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xml" ContentType="application/vnd.openxmlformats-officedocument.themeOverride+xml"/>
  <Override PartName="/xl/drawings/drawing17.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0.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1.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2.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3.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4.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5.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6.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7.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8.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9.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0.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3.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4.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5.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6.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7.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8.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39.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0.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45.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46.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47.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48.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49.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50.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51.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52.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53.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54.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55.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58.xml" ContentType="application/vnd.openxmlformats-officedocument.drawingml.chartshapes+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5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updateLinks="never"/>
  <mc:AlternateContent xmlns:mc="http://schemas.openxmlformats.org/markup-compatibility/2006">
    <mc:Choice Requires="x15">
      <x15ac:absPath xmlns:x15ac="http://schemas.microsoft.com/office/spreadsheetml/2010/11/ac" url="H:\BAU\"/>
    </mc:Choice>
  </mc:AlternateContent>
  <xr:revisionPtr revIDLastSave="0" documentId="8_{93136E71-667C-4E42-9985-C5902D6268B5}" xr6:coauthVersionLast="41" xr6:coauthVersionMax="41" xr10:uidLastSave="{00000000-0000-0000-0000-000000000000}"/>
  <bookViews>
    <workbookView xWindow="28530" yWindow="0" windowWidth="25470" windowHeight="15600" xr2:uid="{00000000-000D-0000-FFFF-FFFF00000000}"/>
  </bookViews>
  <sheets>
    <sheet name="Intro" sheetId="18" r:id="rId1"/>
    <sheet name="Contents" sheetId="15" r:id="rId2"/>
    <sheet name="Quick facts" sheetId="16" r:id="rId3"/>
    <sheet name="Key findings" sheetId="5" r:id="rId4"/>
    <sheet name="Māori Non-Māori" sheetId="2" r:id="rId5"/>
    <sheet name="Age Sex" sheetId="1" r:id="rId6"/>
    <sheet name="Deprivation" sheetId="8" r:id="rId7"/>
    <sheet name="Methods" sheetId="10" r:id="rId8"/>
    <sheet name="DHB region" sheetId="26" r:id="rId9"/>
    <sheet name="Urban Rural" sheetId="14" r:id="rId10"/>
    <sheet name="Ethnic group" sheetId="24" r:id="rId11"/>
    <sheet name="International" sheetId="17" r:id="rId12"/>
    <sheet name="About" sheetId="23" r:id="rId13"/>
    <sheet name="Codes" sheetId="22" r:id="rId14"/>
    <sheet name="ref" sheetId="4" state="hidden" r:id="rId15"/>
    <sheet name="Data" sheetId="7" state="hidden" r:id="rId16"/>
  </sheets>
  <externalReferences>
    <externalReference r:id="rId17"/>
  </externalReferences>
  <definedNames>
    <definedName name="_xlnm._FilterDatabase" localSheetId="15" hidden="1">Data!$AY$2:$BF$423</definedName>
    <definedName name="_xlnm._FilterDatabase" localSheetId="11" hidden="1">International!$P$8:$R$40</definedName>
    <definedName name="_Toc126059762" localSheetId="12">About!$E$64</definedName>
    <definedName name="_Toc462301296" localSheetId="13">Codes!$C$5</definedName>
    <definedName name="agesextable">Data!$A:$H</definedName>
    <definedName name="deptable">Data!$J:$R</definedName>
    <definedName name="DHB5yr">Data!$AD:$AN</definedName>
    <definedName name="DHB5yrNatRate">Data!$AP:$AW</definedName>
    <definedName name="Methodstable">Data!$T:$AB</definedName>
    <definedName name="MPAO5yr">Data!$BS:$BY</definedName>
    <definedName name="MPAOdep5yr">Data!$CA:$CH</definedName>
    <definedName name="mpaopercmethods">Data!$CJ:$CQ</definedName>
    <definedName name="Percalldeaths">Data!$BH:$BQ</definedName>
    <definedName name="_xlnm.Print_Area" localSheetId="12">About!$A$1:$G$85</definedName>
    <definedName name="_xlnm.Print_Area" localSheetId="5">'Age Sex'!$A$1:$AL$79</definedName>
    <definedName name="_xlnm.Print_Area" localSheetId="13">Codes!$A$1:$G$37</definedName>
    <definedName name="_xlnm.Print_Area" localSheetId="1">Contents!$A$1:$F$38</definedName>
    <definedName name="_xlnm.Print_Area" localSheetId="6">Deprivation!$A$1:$AB$130</definedName>
    <definedName name="_xlnm.Print_Area" localSheetId="8">'DHB region'!$A$1:$AC$132</definedName>
    <definedName name="_xlnm.Print_Area" localSheetId="10">'Ethnic group'!$A$1:$Z$177</definedName>
    <definedName name="_xlnm.Print_Area" localSheetId="0">Intro!$A$1:$P$34</definedName>
    <definedName name="_xlnm.Print_Area" localSheetId="3">'Key findings'!$A$1:$F$68</definedName>
    <definedName name="_xlnm.Print_Area" localSheetId="4">'Māori Non-Māori'!$A$1:$AN$258</definedName>
    <definedName name="_xlnm.Print_Area" localSheetId="7">Methods!$A$1:$AO$107</definedName>
    <definedName name="_xlnm.Print_Area" localSheetId="2">'Quick facts'!$A$1:$AU$140</definedName>
    <definedName name="UnkDep">Data!$CT:$CY</definedName>
    <definedName name="Unknown_Urban_Rural">Data!$DB:$DC</definedName>
    <definedName name="URtable">Data!$AY:$BF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S51" i="24" l="1"/>
  <c r="AS50" i="24"/>
  <c r="AS49" i="24"/>
  <c r="AS48" i="24"/>
  <c r="AS46" i="24"/>
  <c r="AS45" i="24"/>
  <c r="AS44" i="24"/>
  <c r="AS43" i="24"/>
  <c r="AS41" i="24"/>
  <c r="AS40" i="24"/>
  <c r="AS39" i="24"/>
  <c r="AS38" i="24"/>
  <c r="BK136" i="16"/>
  <c r="BK137" i="16"/>
  <c r="BK138" i="16"/>
  <c r="BK135" i="16"/>
  <c r="BJ136" i="16"/>
  <c r="BJ137" i="16"/>
  <c r="BJ138" i="16"/>
  <c r="BJ135" i="16"/>
  <c r="BI136" i="16"/>
  <c r="BI137" i="16"/>
  <c r="BI138" i="16"/>
  <c r="BI135" i="16"/>
  <c r="CT123" i="7" l="1"/>
  <c r="CT124" i="7"/>
  <c r="CT125" i="7"/>
  <c r="CT126" i="7"/>
  <c r="CT127" i="7"/>
  <c r="CT128" i="7"/>
  <c r="AB36" i="26" l="1"/>
  <c r="Z36" i="26"/>
  <c r="AA36" i="26"/>
  <c r="AB12" i="26"/>
  <c r="AA12" i="26"/>
  <c r="Z12" i="26"/>
  <c r="Z13" i="26"/>
  <c r="AP5" i="7"/>
  <c r="AP6" i="7"/>
  <c r="AP7" i="7"/>
  <c r="AP8" i="7"/>
  <c r="AP9" i="7"/>
  <c r="AP4" i="7"/>
  <c r="AD4" i="7" l="1"/>
  <c r="BD31" i="26" l="1"/>
  <c r="Z75" i="26"/>
  <c r="AA75" i="26" s="1"/>
  <c r="BB75" i="26"/>
  <c r="AB13" i="26"/>
  <c r="AD55" i="7"/>
  <c r="AB37" i="26" l="1"/>
  <c r="S23" i="14"/>
  <c r="T23" i="14"/>
  <c r="U23" i="14"/>
  <c r="V23" i="14"/>
  <c r="W23" i="14"/>
  <c r="X23" i="14"/>
  <c r="Y23" i="14"/>
  <c r="Z23" i="14"/>
  <c r="AA23" i="14"/>
  <c r="AB23" i="14"/>
  <c r="BH131" i="7" l="1"/>
  <c r="BH132" i="7"/>
  <c r="BH133" i="7"/>
  <c r="BH134" i="7"/>
  <c r="BH135" i="7"/>
  <c r="BH136" i="7"/>
  <c r="BH137" i="7"/>
  <c r="AY394" i="7" l="1"/>
  <c r="AY395" i="7"/>
  <c r="AY396" i="7"/>
  <c r="AY397" i="7"/>
  <c r="AY398" i="7"/>
  <c r="AY399" i="7"/>
  <c r="AY400" i="7"/>
  <c r="AY401" i="7"/>
  <c r="AY402" i="7"/>
  <c r="AY403" i="7"/>
  <c r="AY404" i="7"/>
  <c r="AY405" i="7"/>
  <c r="AY406" i="7"/>
  <c r="AY407" i="7"/>
  <c r="AY408" i="7"/>
  <c r="AY409" i="7"/>
  <c r="AY410" i="7"/>
  <c r="AY411" i="7"/>
  <c r="AY412" i="7"/>
  <c r="AY413" i="7"/>
  <c r="AY414" i="7"/>
  <c r="AY415" i="7"/>
  <c r="AY416" i="7"/>
  <c r="AY417" i="7"/>
  <c r="AY418" i="7"/>
  <c r="AY419" i="7"/>
  <c r="AY420" i="7"/>
  <c r="AY421" i="7"/>
  <c r="AY422" i="7"/>
  <c r="AY423" i="7"/>
  <c r="AD67" i="7"/>
  <c r="AD68" i="7"/>
  <c r="AD69" i="7"/>
  <c r="AD70" i="7"/>
  <c r="AD71" i="7"/>
  <c r="AD72" i="7"/>
  <c r="AD73" i="7"/>
  <c r="AD74" i="7"/>
  <c r="AD75" i="7"/>
  <c r="AD76" i="7"/>
  <c r="AD77" i="7"/>
  <c r="AD78" i="7"/>
  <c r="AD79" i="7"/>
  <c r="AD80" i="7"/>
  <c r="AD81" i="7"/>
  <c r="AD82" i="7"/>
  <c r="AD83" i="7"/>
  <c r="AD84" i="7"/>
  <c r="AD85" i="7"/>
  <c r="AD86" i="7"/>
  <c r="AD87" i="7"/>
  <c r="AD88" i="7"/>
  <c r="AD89" i="7"/>
  <c r="AD90" i="7"/>
  <c r="AD91" i="7"/>
  <c r="AD92" i="7"/>
  <c r="AD93" i="7"/>
  <c r="AD94" i="7"/>
  <c r="AD95" i="7"/>
  <c r="AD96" i="7"/>
  <c r="AD97" i="7"/>
  <c r="AD98" i="7"/>
  <c r="AD99" i="7"/>
  <c r="AD100" i="7"/>
  <c r="AD101" i="7"/>
  <c r="AD102" i="7"/>
  <c r="AD103" i="7"/>
  <c r="AD104" i="7"/>
  <c r="AD105" i="7"/>
  <c r="AD106" i="7"/>
  <c r="AD107" i="7"/>
  <c r="AD108" i="7"/>
  <c r="AD109" i="7"/>
  <c r="AD110" i="7"/>
  <c r="AD111" i="7"/>
  <c r="AD112" i="7"/>
  <c r="AD113" i="7"/>
  <c r="AD114" i="7"/>
  <c r="AD115" i="7"/>
  <c r="AD116" i="7"/>
  <c r="AD117" i="7"/>
  <c r="AD118" i="7"/>
  <c r="AD119" i="7"/>
  <c r="AD120" i="7"/>
  <c r="AD121" i="7"/>
  <c r="AD122" i="7"/>
  <c r="AD123" i="7"/>
  <c r="AD124" i="7"/>
  <c r="AD125" i="7"/>
  <c r="AD126" i="7"/>
  <c r="AD127" i="7"/>
  <c r="AD128" i="7"/>
  <c r="CI29" i="10" l="1"/>
  <c r="CI38" i="10"/>
  <c r="CI47" i="10"/>
  <c r="CI56" i="10"/>
  <c r="CI65" i="10"/>
  <c r="CI74" i="10"/>
  <c r="CI83" i="10"/>
  <c r="CI92" i="10"/>
  <c r="CI101" i="10"/>
  <c r="T5388" i="7"/>
  <c r="T5389" i="7"/>
  <c r="T5390" i="7"/>
  <c r="T5391" i="7"/>
  <c r="T5392" i="7"/>
  <c r="T5393" i="7"/>
  <c r="T5394" i="7"/>
  <c r="T5395" i="7"/>
  <c r="T5396" i="7"/>
  <c r="T5397" i="7"/>
  <c r="T5398" i="7"/>
  <c r="T5399" i="7"/>
  <c r="T5400" i="7"/>
  <c r="T5401" i="7"/>
  <c r="T5402" i="7"/>
  <c r="T5403" i="7"/>
  <c r="T5404" i="7"/>
  <c r="T5405" i="7"/>
  <c r="T5406" i="7"/>
  <c r="T5407" i="7"/>
  <c r="T5408" i="7"/>
  <c r="T5409" i="7"/>
  <c r="T5410" i="7"/>
  <c r="T5411" i="7"/>
  <c r="T5412" i="7"/>
  <c r="T5413" i="7"/>
  <c r="T5414" i="7"/>
  <c r="T5415" i="7"/>
  <c r="T5416" i="7"/>
  <c r="T5417" i="7"/>
  <c r="T5418" i="7"/>
  <c r="T5419" i="7"/>
  <c r="T5420" i="7"/>
  <c r="T5421" i="7"/>
  <c r="T5422" i="7"/>
  <c r="T5423" i="7"/>
  <c r="T5424" i="7"/>
  <c r="T5425" i="7"/>
  <c r="T5426" i="7"/>
  <c r="T5427" i="7"/>
  <c r="T5428" i="7"/>
  <c r="T5429" i="7"/>
  <c r="T5430" i="7"/>
  <c r="T5431" i="7"/>
  <c r="T5432" i="7"/>
  <c r="T5433" i="7"/>
  <c r="T5434" i="7"/>
  <c r="T5435" i="7"/>
  <c r="T5436" i="7"/>
  <c r="T5437" i="7"/>
  <c r="T5438" i="7"/>
  <c r="T5439" i="7"/>
  <c r="T5440" i="7"/>
  <c r="T5441" i="7"/>
  <c r="T5442" i="7"/>
  <c r="T5443" i="7"/>
  <c r="T5444" i="7"/>
  <c r="T5445" i="7"/>
  <c r="T5446" i="7"/>
  <c r="T5447" i="7"/>
  <c r="T5448" i="7"/>
  <c r="T5449" i="7"/>
  <c r="T5450" i="7"/>
  <c r="T5451" i="7"/>
  <c r="T5452" i="7"/>
  <c r="T5453" i="7"/>
  <c r="T5454" i="7"/>
  <c r="T5455" i="7"/>
  <c r="T5456" i="7"/>
  <c r="T5457" i="7"/>
  <c r="T5458" i="7"/>
  <c r="T5459" i="7"/>
  <c r="T5460" i="7"/>
  <c r="T5461" i="7"/>
  <c r="T5462" i="7"/>
  <c r="T5463" i="7"/>
  <c r="T5464" i="7"/>
  <c r="T5465" i="7"/>
  <c r="T5466" i="7"/>
  <c r="T5467" i="7"/>
  <c r="T5468" i="7"/>
  <c r="T5469" i="7"/>
  <c r="T5470" i="7"/>
  <c r="T5471" i="7"/>
  <c r="T5472" i="7"/>
  <c r="T5473" i="7"/>
  <c r="T5474" i="7"/>
  <c r="T5475" i="7"/>
  <c r="T5476" i="7"/>
  <c r="T5477" i="7"/>
  <c r="T5478" i="7"/>
  <c r="T5479" i="7"/>
  <c r="T5480" i="7"/>
  <c r="T5481" i="7"/>
  <c r="T5482" i="7"/>
  <c r="T5483" i="7"/>
  <c r="T5484" i="7"/>
  <c r="T5485" i="7"/>
  <c r="T5486" i="7"/>
  <c r="T5487" i="7"/>
  <c r="T5488" i="7"/>
  <c r="T5489" i="7"/>
  <c r="T5490" i="7"/>
  <c r="T5491" i="7"/>
  <c r="T5492" i="7"/>
  <c r="T5493" i="7"/>
  <c r="T5494" i="7"/>
  <c r="T5495" i="7"/>
  <c r="T5496" i="7"/>
  <c r="T5497" i="7"/>
  <c r="T5498" i="7"/>
  <c r="T5499" i="7"/>
  <c r="T5500" i="7"/>
  <c r="T5501" i="7"/>
  <c r="T5502" i="7"/>
  <c r="T5503" i="7"/>
  <c r="T5504" i="7"/>
  <c r="T5505" i="7"/>
  <c r="T5506" i="7"/>
  <c r="T5507" i="7"/>
  <c r="T5508" i="7"/>
  <c r="T5509" i="7"/>
  <c r="T5510" i="7"/>
  <c r="T5511" i="7"/>
  <c r="T5512" i="7"/>
  <c r="T5513" i="7"/>
  <c r="T5514" i="7"/>
  <c r="T5515" i="7"/>
  <c r="T5516" i="7"/>
  <c r="T5517" i="7"/>
  <c r="T5518" i="7"/>
  <c r="T5519" i="7"/>
  <c r="T5520" i="7"/>
  <c r="T5521" i="7"/>
  <c r="T5522" i="7"/>
  <c r="T5523" i="7"/>
  <c r="T5524" i="7"/>
  <c r="T5525" i="7"/>
  <c r="T5526" i="7"/>
  <c r="T5527" i="7"/>
  <c r="T5528" i="7"/>
  <c r="T5529" i="7"/>
  <c r="T5530" i="7"/>
  <c r="T5531" i="7"/>
  <c r="T5532" i="7"/>
  <c r="T5533" i="7"/>
  <c r="T5534" i="7"/>
  <c r="T5535" i="7"/>
  <c r="T5536" i="7"/>
  <c r="T5537" i="7"/>
  <c r="T5538" i="7"/>
  <c r="T5539" i="7"/>
  <c r="T5540" i="7"/>
  <c r="T5541" i="7"/>
  <c r="T5542" i="7"/>
  <c r="T5543" i="7"/>
  <c r="T5544" i="7"/>
  <c r="T5545" i="7"/>
  <c r="T5546" i="7"/>
  <c r="T5547" i="7"/>
  <c r="T5548" i="7"/>
  <c r="T5549" i="7"/>
  <c r="T5550" i="7"/>
  <c r="T5551" i="7"/>
  <c r="T5552" i="7"/>
  <c r="T5553" i="7"/>
  <c r="T5554" i="7"/>
  <c r="T5555" i="7"/>
  <c r="T5556" i="7"/>
  <c r="T5557" i="7"/>
  <c r="T5558" i="7"/>
  <c r="T5559" i="7"/>
  <c r="T5560" i="7"/>
  <c r="T5561" i="7"/>
  <c r="T5562" i="7"/>
  <c r="T5563" i="7"/>
  <c r="T5564" i="7"/>
  <c r="T5565" i="7"/>
  <c r="T5566" i="7"/>
  <c r="T5567" i="7"/>
  <c r="T5568" i="7"/>
  <c r="T5569" i="7"/>
  <c r="T5570" i="7"/>
  <c r="T5571" i="7"/>
  <c r="T5572" i="7"/>
  <c r="T5573" i="7"/>
  <c r="T5574" i="7"/>
  <c r="T5575" i="7"/>
  <c r="T5576" i="7"/>
  <c r="T5577" i="7"/>
  <c r="T5578" i="7"/>
  <c r="T5579" i="7"/>
  <c r="T5580" i="7"/>
  <c r="T5581" i="7"/>
  <c r="T5582" i="7"/>
  <c r="T5583" i="7"/>
  <c r="T5584" i="7"/>
  <c r="T5585" i="7"/>
  <c r="T5586" i="7"/>
  <c r="T5587" i="7"/>
  <c r="T5588" i="7"/>
  <c r="T5589" i="7"/>
  <c r="T5590" i="7"/>
  <c r="T5591" i="7"/>
  <c r="T5592" i="7"/>
  <c r="T5593" i="7"/>
  <c r="T5594" i="7"/>
  <c r="T5595" i="7"/>
  <c r="T5596" i="7"/>
  <c r="T5597" i="7"/>
  <c r="T5598" i="7"/>
  <c r="T5599" i="7"/>
  <c r="T5600" i="7"/>
  <c r="T5601" i="7"/>
  <c r="T5602" i="7"/>
  <c r="T5603" i="7"/>
  <c r="T5604" i="7"/>
  <c r="T5605" i="7"/>
  <c r="T5606" i="7"/>
  <c r="T5607" i="7"/>
  <c r="T5608" i="7"/>
  <c r="T5609" i="7"/>
  <c r="T5610" i="7"/>
  <c r="T5611" i="7"/>
  <c r="T5612" i="7"/>
  <c r="T5613" i="7"/>
  <c r="T5614" i="7"/>
  <c r="T5615" i="7"/>
  <c r="T5616" i="7"/>
  <c r="T5617" i="7"/>
  <c r="T5618" i="7"/>
  <c r="T5619" i="7"/>
  <c r="T5620" i="7"/>
  <c r="T5621" i="7"/>
  <c r="T5622" i="7"/>
  <c r="T5623" i="7"/>
  <c r="T5624" i="7"/>
  <c r="T5625" i="7"/>
  <c r="T5626" i="7"/>
  <c r="T5627" i="7"/>
  <c r="T5628" i="7"/>
  <c r="T5629" i="7"/>
  <c r="T5630" i="7"/>
  <c r="T5631" i="7"/>
  <c r="T5632" i="7"/>
  <c r="T5633" i="7"/>
  <c r="T5634" i="7"/>
  <c r="T5635" i="7"/>
  <c r="T5636" i="7"/>
  <c r="T5637" i="7"/>
  <c r="T5638" i="7"/>
  <c r="T5639" i="7"/>
  <c r="T5640" i="7"/>
  <c r="T5641" i="7"/>
  <c r="T5642" i="7"/>
  <c r="T5643" i="7"/>
  <c r="T5644" i="7"/>
  <c r="T5645" i="7"/>
  <c r="T5646" i="7"/>
  <c r="T5647" i="7"/>
  <c r="T5648" i="7"/>
  <c r="T5649" i="7"/>
  <c r="T5650" i="7"/>
  <c r="T5651" i="7"/>
  <c r="T5652" i="7"/>
  <c r="T5653" i="7"/>
  <c r="T5654" i="7"/>
  <c r="T5655" i="7"/>
  <c r="T5656" i="7"/>
  <c r="T5657" i="7"/>
  <c r="J4054" i="7" l="1"/>
  <c r="J4055" i="7"/>
  <c r="J4056" i="7"/>
  <c r="J4057" i="7"/>
  <c r="J4058" i="7"/>
  <c r="J4059" i="7"/>
  <c r="J4060" i="7"/>
  <c r="J4061" i="7"/>
  <c r="J4062" i="7"/>
  <c r="J4063" i="7"/>
  <c r="J4064" i="7"/>
  <c r="J4065" i="7"/>
  <c r="J4066" i="7"/>
  <c r="J4067" i="7"/>
  <c r="J4068" i="7"/>
  <c r="J4069" i="7"/>
  <c r="J4070" i="7"/>
  <c r="J4071" i="7"/>
  <c r="J4072" i="7"/>
  <c r="J4073" i="7"/>
  <c r="J4074" i="7"/>
  <c r="J4075" i="7"/>
  <c r="J4076" i="7"/>
  <c r="J4077" i="7"/>
  <c r="J4078" i="7"/>
  <c r="J4079" i="7"/>
  <c r="J4080" i="7"/>
  <c r="J4081" i="7"/>
  <c r="J4082" i="7"/>
  <c r="J4083" i="7"/>
  <c r="J4084" i="7"/>
  <c r="J4085" i="7"/>
  <c r="J4086" i="7"/>
  <c r="J4087" i="7"/>
  <c r="J4088" i="7"/>
  <c r="J4089" i="7"/>
  <c r="J4090" i="7"/>
  <c r="J4091" i="7"/>
  <c r="J4092" i="7"/>
  <c r="J4093" i="7"/>
  <c r="J4094" i="7"/>
  <c r="J4095" i="7"/>
  <c r="J4096" i="7"/>
  <c r="J4097" i="7"/>
  <c r="J4098" i="7"/>
  <c r="J4099" i="7"/>
  <c r="J4100" i="7"/>
  <c r="J4101" i="7"/>
  <c r="J4102" i="7"/>
  <c r="J4103" i="7"/>
  <c r="J4104" i="7"/>
  <c r="J4105" i="7"/>
  <c r="J4106" i="7"/>
  <c r="J4107" i="7"/>
  <c r="J4108" i="7"/>
  <c r="J4109" i="7"/>
  <c r="J4110" i="7"/>
  <c r="J4111" i="7"/>
  <c r="J4112" i="7"/>
  <c r="J4113" i="7"/>
  <c r="J4114" i="7"/>
  <c r="J4115" i="7"/>
  <c r="J4116" i="7"/>
  <c r="J4117" i="7"/>
  <c r="J4118" i="7"/>
  <c r="J4119" i="7"/>
  <c r="J4120" i="7"/>
  <c r="J4121" i="7"/>
  <c r="J4122" i="7"/>
  <c r="J4123" i="7"/>
  <c r="J4124" i="7"/>
  <c r="J4125" i="7"/>
  <c r="J4126" i="7"/>
  <c r="J4127" i="7"/>
  <c r="J4128" i="7"/>
  <c r="J4129" i="7"/>
  <c r="J4130" i="7"/>
  <c r="J4131" i="7"/>
  <c r="J4132" i="7"/>
  <c r="J4133" i="7"/>
  <c r="J4134" i="7"/>
  <c r="J4135" i="7"/>
  <c r="J4136" i="7"/>
  <c r="J4137" i="7"/>
  <c r="J4138" i="7"/>
  <c r="J4139" i="7"/>
  <c r="J4140" i="7"/>
  <c r="J4141" i="7"/>
  <c r="J4142" i="7"/>
  <c r="J4143" i="7"/>
  <c r="J4144" i="7"/>
  <c r="J4145" i="7"/>
  <c r="J4146" i="7"/>
  <c r="J4147" i="7"/>
  <c r="J4148" i="7"/>
  <c r="J4149" i="7"/>
  <c r="J4150" i="7"/>
  <c r="J4151" i="7"/>
  <c r="J4152" i="7"/>
  <c r="J4153" i="7"/>
  <c r="J4154" i="7"/>
  <c r="J4155" i="7"/>
  <c r="J4156" i="7"/>
  <c r="J4157" i="7"/>
  <c r="J4158" i="7"/>
  <c r="J4159" i="7"/>
  <c r="J4160" i="7"/>
  <c r="J4161" i="7"/>
  <c r="J4162" i="7"/>
  <c r="J4163" i="7"/>
  <c r="J4164" i="7"/>
  <c r="J4165" i="7"/>
  <c r="J4166" i="7"/>
  <c r="J4167" i="7"/>
  <c r="J4168" i="7"/>
  <c r="J4169" i="7"/>
  <c r="J4170" i="7"/>
  <c r="J4171" i="7"/>
  <c r="J4172" i="7"/>
  <c r="J4173" i="7"/>
  <c r="J4174" i="7"/>
  <c r="J4175" i="7"/>
  <c r="J4176" i="7"/>
  <c r="J4177" i="7"/>
  <c r="J4178" i="7"/>
  <c r="J4179" i="7"/>
  <c r="J4180" i="7"/>
  <c r="J4181" i="7"/>
  <c r="J4182" i="7"/>
  <c r="J4183" i="7"/>
  <c r="J4184" i="7"/>
  <c r="J4185" i="7"/>
  <c r="J4186" i="7"/>
  <c r="J4187" i="7"/>
  <c r="J4188" i="7"/>
  <c r="J4189" i="7"/>
  <c r="J4190" i="7"/>
  <c r="J4191" i="7"/>
  <c r="J4192" i="7"/>
  <c r="J4193" i="7"/>
  <c r="J4194" i="7"/>
  <c r="J4195" i="7"/>
  <c r="J4196" i="7"/>
  <c r="J4197" i="7"/>
  <c r="J4198" i="7"/>
  <c r="J4199" i="7"/>
  <c r="J4200" i="7"/>
  <c r="J4201" i="7"/>
  <c r="J4202" i="7"/>
  <c r="J4203" i="7"/>
  <c r="J4204" i="7"/>
  <c r="J4205" i="7"/>
  <c r="J4206" i="7"/>
  <c r="J4207" i="7"/>
  <c r="J4208" i="7"/>
  <c r="J4209" i="7"/>
  <c r="J4210" i="7"/>
  <c r="J4211" i="7"/>
  <c r="J4212" i="7"/>
  <c r="J4213" i="7"/>
  <c r="J4214" i="7"/>
  <c r="J4215" i="7"/>
  <c r="J4216" i="7"/>
  <c r="J4217" i="7"/>
  <c r="J4218" i="7"/>
  <c r="J4219" i="7"/>
  <c r="J4220" i="7"/>
  <c r="J4221" i="7"/>
  <c r="J4222" i="7"/>
  <c r="J4223" i="7"/>
  <c r="J4224" i="7"/>
  <c r="J4225" i="7"/>
  <c r="J4226" i="7"/>
  <c r="J4227" i="7"/>
  <c r="J4228" i="7"/>
  <c r="J4229" i="7"/>
  <c r="J4230" i="7"/>
  <c r="J4231" i="7"/>
  <c r="J4232" i="7"/>
  <c r="J4233" i="7"/>
  <c r="J4234" i="7"/>
  <c r="J4235" i="7"/>
  <c r="J4236" i="7"/>
  <c r="J4237" i="7"/>
  <c r="J4238" i="7"/>
  <c r="J4239" i="7"/>
  <c r="J4240" i="7"/>
  <c r="J4241" i="7"/>
  <c r="J4242" i="7"/>
  <c r="J4243" i="7"/>
  <c r="J4244" i="7"/>
  <c r="J4245" i="7"/>
  <c r="J4246" i="7"/>
  <c r="J4247" i="7"/>
  <c r="J4248" i="7"/>
  <c r="J4249" i="7"/>
  <c r="J4250" i="7"/>
  <c r="J4251" i="7"/>
  <c r="J4252" i="7"/>
  <c r="J4253" i="7"/>
  <c r="J4254" i="7"/>
  <c r="J4255" i="7"/>
  <c r="J4256" i="7"/>
  <c r="J4257" i="7"/>
  <c r="J4258" i="7"/>
  <c r="J4259" i="7"/>
  <c r="J4260" i="7"/>
  <c r="J4261" i="7"/>
  <c r="J4262" i="7"/>
  <c r="J4263" i="7"/>
  <c r="J4264" i="7"/>
  <c r="J4265" i="7"/>
  <c r="J4266" i="7"/>
  <c r="J4267" i="7"/>
  <c r="J4268" i="7"/>
  <c r="J4269" i="7"/>
  <c r="J4270" i="7"/>
  <c r="J4271" i="7"/>
  <c r="J4272" i="7"/>
  <c r="J4273" i="7"/>
  <c r="J4274" i="7"/>
  <c r="J4275" i="7"/>
  <c r="J4276" i="7"/>
  <c r="J4277" i="7"/>
  <c r="J4278" i="7"/>
  <c r="J4279" i="7"/>
  <c r="J4280" i="7"/>
  <c r="J4281" i="7"/>
  <c r="J4282" i="7"/>
  <c r="J4283" i="7"/>
  <c r="J4284" i="7"/>
  <c r="J4285" i="7"/>
  <c r="J4286" i="7"/>
  <c r="J4287" i="7"/>
  <c r="J4288" i="7"/>
  <c r="J4289" i="7"/>
  <c r="J4290" i="7"/>
  <c r="J4291" i="7"/>
  <c r="J4292" i="7"/>
  <c r="J4293" i="7"/>
  <c r="J4294" i="7"/>
  <c r="J4295" i="7"/>
  <c r="J4296" i="7"/>
  <c r="J4297" i="7"/>
  <c r="J4298" i="7"/>
  <c r="J4299" i="7"/>
  <c r="J4300" i="7"/>
  <c r="J4301" i="7"/>
  <c r="J4302" i="7"/>
  <c r="J4303" i="7"/>
  <c r="J4304" i="7"/>
  <c r="J4305" i="7"/>
  <c r="J4306" i="7"/>
  <c r="J4307" i="7"/>
  <c r="J4308" i="7"/>
  <c r="J4309" i="7"/>
  <c r="J4310" i="7"/>
  <c r="J4311" i="7"/>
  <c r="J4312" i="7"/>
  <c r="J4313" i="7"/>
  <c r="J4314" i="7"/>
  <c r="J4315" i="7"/>
  <c r="J4316" i="7"/>
  <c r="J4317" i="7"/>
  <c r="J4318" i="7"/>
  <c r="J4319" i="7"/>
  <c r="J4320" i="7"/>
  <c r="J4321" i="7"/>
  <c r="J4322" i="7"/>
  <c r="J4323" i="7"/>
  <c r="J4324" i="7"/>
  <c r="A1084" i="7"/>
  <c r="A1085" i="7"/>
  <c r="A1086" i="7"/>
  <c r="A1087" i="7"/>
  <c r="A1088" i="7"/>
  <c r="A1089" i="7"/>
  <c r="A1090" i="7"/>
  <c r="A1091" i="7"/>
  <c r="A1092" i="7"/>
  <c r="A1093" i="7"/>
  <c r="A1094" i="7"/>
  <c r="A1095" i="7"/>
  <c r="A1096" i="7"/>
  <c r="A1097" i="7"/>
  <c r="A1098" i="7"/>
  <c r="A1099" i="7"/>
  <c r="A1100" i="7"/>
  <c r="A1101" i="7"/>
  <c r="A1102" i="7"/>
  <c r="A1103" i="7"/>
  <c r="A1104" i="7"/>
  <c r="A1105" i="7"/>
  <c r="A1106" i="7"/>
  <c r="A1107" i="7"/>
  <c r="A1108" i="7"/>
  <c r="A1109" i="7"/>
  <c r="A1110" i="7"/>
  <c r="A1111" i="7"/>
  <c r="A1112" i="7"/>
  <c r="A1113" i="7"/>
  <c r="A1114" i="7"/>
  <c r="A1115" i="7"/>
  <c r="A1116" i="7"/>
  <c r="A1117" i="7"/>
  <c r="A1118" i="7"/>
  <c r="A1119" i="7"/>
  <c r="A1120" i="7"/>
  <c r="A1121" i="7"/>
  <c r="A1122" i="7"/>
  <c r="A1123" i="7"/>
  <c r="A1124" i="7"/>
  <c r="A1125" i="7"/>
  <c r="A1126" i="7"/>
  <c r="A1127" i="7"/>
  <c r="A1128" i="7"/>
  <c r="A1129" i="7"/>
  <c r="A1130" i="7"/>
  <c r="A1131" i="7"/>
  <c r="A1132" i="7"/>
  <c r="A1133" i="7"/>
  <c r="A1134" i="7"/>
  <c r="A1135" i="7"/>
  <c r="A1136" i="7"/>
  <c r="A1137" i="7"/>
  <c r="BC103" i="26" l="1"/>
  <c r="BC104" i="26"/>
  <c r="CA4" i="7"/>
  <c r="CA5" i="7"/>
  <c r="CA6" i="7"/>
  <c r="CA7" i="7"/>
  <c r="CA8" i="7"/>
  <c r="CA9" i="7"/>
  <c r="CA10" i="7"/>
  <c r="CA11" i="7"/>
  <c r="CA12" i="7"/>
  <c r="CA13" i="7"/>
  <c r="CA14" i="7"/>
  <c r="CA15" i="7"/>
  <c r="CA16" i="7"/>
  <c r="CA17" i="7"/>
  <c r="CA18" i="7"/>
  <c r="CA19" i="7"/>
  <c r="CA20" i="7"/>
  <c r="CA21" i="7"/>
  <c r="CA22" i="7"/>
  <c r="CA23" i="7"/>
  <c r="CA24" i="7"/>
  <c r="CA25" i="7"/>
  <c r="CA26" i="7"/>
  <c r="CA27" i="7"/>
  <c r="CA28" i="7"/>
  <c r="CA29" i="7"/>
  <c r="CA30" i="7"/>
  <c r="CA31" i="7"/>
  <c r="CA32" i="7"/>
  <c r="CA33" i="7"/>
  <c r="CA34" i="7"/>
  <c r="CA35" i="7"/>
  <c r="CA36" i="7"/>
  <c r="CA37" i="7"/>
  <c r="CA38" i="7"/>
  <c r="CA39" i="7"/>
  <c r="CA40" i="7"/>
  <c r="CA41" i="7"/>
  <c r="CA42" i="7"/>
  <c r="CA43" i="7"/>
  <c r="CA44" i="7"/>
  <c r="CA45" i="7"/>
  <c r="CA46" i="7"/>
  <c r="CA47" i="7"/>
  <c r="CA48" i="7"/>
  <c r="CA49" i="7"/>
  <c r="CA50" i="7"/>
  <c r="CA51" i="7"/>
  <c r="CA52" i="7"/>
  <c r="CA53" i="7"/>
  <c r="CA54" i="7"/>
  <c r="CA55" i="7"/>
  <c r="CA56" i="7"/>
  <c r="CA57" i="7"/>
  <c r="CA58" i="7"/>
  <c r="CA59" i="7"/>
  <c r="CA60" i="7"/>
  <c r="CA61" i="7"/>
  <c r="CA62" i="7"/>
  <c r="CA63" i="7"/>
  <c r="CA64" i="7"/>
  <c r="CA65" i="7"/>
  <c r="CA66" i="7"/>
  <c r="CA67" i="7"/>
  <c r="CA68" i="7"/>
  <c r="CA69" i="7"/>
  <c r="CA70" i="7"/>
  <c r="CA71" i="7"/>
  <c r="CA72" i="7"/>
  <c r="CA73" i="7"/>
  <c r="CA74" i="7"/>
  <c r="CA75" i="7"/>
  <c r="CA76" i="7"/>
  <c r="CA77" i="7"/>
  <c r="CA78" i="7"/>
  <c r="CA79" i="7"/>
  <c r="CA80" i="7"/>
  <c r="CA81" i="7"/>
  <c r="CA82" i="7"/>
  <c r="CA83" i="7"/>
  <c r="CA84" i="7"/>
  <c r="CA85" i="7"/>
  <c r="CA86" i="7"/>
  <c r="CA87" i="7"/>
  <c r="CA88" i="7"/>
  <c r="CA89" i="7"/>
  <c r="CA90" i="7"/>
  <c r="CA91" i="7"/>
  <c r="CA92" i="7"/>
  <c r="CA93" i="7"/>
  <c r="CA94" i="7"/>
  <c r="CA95" i="7"/>
  <c r="CA96" i="7"/>
  <c r="CA97" i="7"/>
  <c r="CA98" i="7"/>
  <c r="CA99" i="7"/>
  <c r="CA100" i="7"/>
  <c r="CA101" i="7"/>
  <c r="CA102" i="7"/>
  <c r="CA103" i="7"/>
  <c r="CA104" i="7"/>
  <c r="CA105" i="7"/>
  <c r="CA106" i="7"/>
  <c r="CA107" i="7"/>
  <c r="CA108" i="7"/>
  <c r="CA109" i="7"/>
  <c r="CA110" i="7"/>
  <c r="CA111" i="7"/>
  <c r="CA112" i="7"/>
  <c r="CA113" i="7"/>
  <c r="CA114" i="7"/>
  <c r="CA115" i="7"/>
  <c r="CA116" i="7"/>
  <c r="CA117" i="7"/>
  <c r="CA118" i="7"/>
  <c r="CA119" i="7"/>
  <c r="CA120" i="7"/>
  <c r="CA121" i="7"/>
  <c r="CA122" i="7"/>
  <c r="CA123" i="7"/>
  <c r="CA124" i="7"/>
  <c r="CA125" i="7"/>
  <c r="CA126" i="7"/>
  <c r="CA127" i="7"/>
  <c r="CA128" i="7"/>
  <c r="CA129" i="7"/>
  <c r="CA130" i="7"/>
  <c r="CA131" i="7"/>
  <c r="CA132" i="7"/>
  <c r="CA133" i="7"/>
  <c r="CA134" i="7"/>
  <c r="CA135" i="7"/>
  <c r="CA136" i="7"/>
  <c r="CA137" i="7"/>
  <c r="CA138" i="7"/>
  <c r="CA139" i="7"/>
  <c r="CA140" i="7"/>
  <c r="CA141" i="7"/>
  <c r="CA142" i="7"/>
  <c r="CA143" i="7"/>
  <c r="CA144" i="7"/>
  <c r="CA145" i="7"/>
  <c r="CA146" i="7"/>
  <c r="CA147" i="7"/>
  <c r="CA148" i="7"/>
  <c r="CA149" i="7"/>
  <c r="CA150" i="7"/>
  <c r="CA151" i="7"/>
  <c r="CA152" i="7"/>
  <c r="CA153" i="7"/>
  <c r="CA154" i="7"/>
  <c r="CA155" i="7"/>
  <c r="CA156" i="7"/>
  <c r="CA157" i="7"/>
  <c r="CA158" i="7"/>
  <c r="CA159" i="7"/>
  <c r="CA160" i="7"/>
  <c r="CA161" i="7"/>
  <c r="CA162" i="7"/>
  <c r="CA163" i="7"/>
  <c r="CA164" i="7"/>
  <c r="CA165" i="7"/>
  <c r="CA166" i="7"/>
  <c r="CA167" i="7"/>
  <c r="CA168" i="7"/>
  <c r="CA169" i="7"/>
  <c r="CA170" i="7"/>
  <c r="CA171" i="7"/>
  <c r="CA172" i="7"/>
  <c r="CA173" i="7"/>
  <c r="CA174" i="7"/>
  <c r="CA175" i="7"/>
  <c r="CA176" i="7"/>
  <c r="CA177" i="7"/>
  <c r="CA178" i="7"/>
  <c r="CA179" i="7"/>
  <c r="CA180" i="7"/>
  <c r="CA181" i="7"/>
  <c r="CA182" i="7"/>
  <c r="CA183" i="7"/>
  <c r="CA184" i="7"/>
  <c r="CA185" i="7"/>
  <c r="CA186" i="7"/>
  <c r="CA187" i="7"/>
  <c r="CA188" i="7"/>
  <c r="CA189" i="7"/>
  <c r="CA190" i="7"/>
  <c r="CA191" i="7"/>
  <c r="CA192" i="7"/>
  <c r="CA193" i="7"/>
  <c r="CA194" i="7"/>
  <c r="CA195" i="7"/>
  <c r="CA196" i="7"/>
  <c r="CA197" i="7"/>
  <c r="CA198" i="7"/>
  <c r="CA199" i="7"/>
  <c r="CA200" i="7"/>
  <c r="CA201" i="7"/>
  <c r="CA202" i="7"/>
  <c r="CA203" i="7"/>
  <c r="CA204" i="7"/>
  <c r="CA205" i="7"/>
  <c r="CA206" i="7"/>
  <c r="CA207" i="7"/>
  <c r="CA208" i="7"/>
  <c r="CA209" i="7"/>
  <c r="CA210" i="7"/>
  <c r="CA211" i="7"/>
  <c r="CA212" i="7"/>
  <c r="CA213" i="7"/>
  <c r="CA214" i="7"/>
  <c r="CA215" i="7"/>
  <c r="CA216" i="7"/>
  <c r="CA217" i="7"/>
  <c r="CA218" i="7"/>
  <c r="CA219" i="7"/>
  <c r="CA220" i="7"/>
  <c r="CA221" i="7"/>
  <c r="CA222" i="7"/>
  <c r="CA223" i="7"/>
  <c r="CA224" i="7"/>
  <c r="CA225" i="7"/>
  <c r="CA226" i="7"/>
  <c r="CA227" i="7"/>
  <c r="CA228" i="7"/>
  <c r="CA229" i="7"/>
  <c r="CA230" i="7"/>
  <c r="CA231" i="7"/>
  <c r="CA232" i="7"/>
  <c r="CA233" i="7"/>
  <c r="CA234" i="7"/>
  <c r="CA235" i="7"/>
  <c r="CA236" i="7"/>
  <c r="CA237" i="7"/>
  <c r="CA238" i="7"/>
  <c r="CA239" i="7"/>
  <c r="CA240" i="7"/>
  <c r="CA241" i="7"/>
  <c r="CA242" i="7"/>
  <c r="CA243" i="7"/>
  <c r="CA244" i="7"/>
  <c r="CA245" i="7"/>
  <c r="CA246" i="7"/>
  <c r="CA247" i="7"/>
  <c r="CA248" i="7"/>
  <c r="CA249" i="7"/>
  <c r="CA250" i="7"/>
  <c r="CA251" i="7"/>
  <c r="CA252" i="7"/>
  <c r="CA253" i="7"/>
  <c r="CA254" i="7"/>
  <c r="CA255" i="7"/>
  <c r="CA256" i="7"/>
  <c r="CA257" i="7"/>
  <c r="CA258" i="7"/>
  <c r="CA259" i="7"/>
  <c r="CA260" i="7"/>
  <c r="CA261" i="7"/>
  <c r="CA262" i="7"/>
  <c r="CA263" i="7"/>
  <c r="CA264" i="7"/>
  <c r="CA265" i="7"/>
  <c r="CA266" i="7"/>
  <c r="CA267" i="7"/>
  <c r="CA268" i="7"/>
  <c r="CA269" i="7"/>
  <c r="CA270" i="7"/>
  <c r="CA271" i="7"/>
  <c r="CA272" i="7"/>
  <c r="CA273" i="7"/>
  <c r="CA274" i="7"/>
  <c r="CA275" i="7"/>
  <c r="CA276" i="7"/>
  <c r="CA277" i="7"/>
  <c r="CA278" i="7"/>
  <c r="CA279" i="7"/>
  <c r="CA280" i="7"/>
  <c r="CA281" i="7"/>
  <c r="CA282" i="7"/>
  <c r="CA283" i="7"/>
  <c r="CA284" i="7"/>
  <c r="CA285" i="7"/>
  <c r="CA286" i="7"/>
  <c r="CA287" i="7"/>
  <c r="CA288" i="7"/>
  <c r="CA289" i="7"/>
  <c r="CA290" i="7"/>
  <c r="CA291" i="7"/>
  <c r="CA292" i="7"/>
  <c r="CA293" i="7"/>
  <c r="CA294" i="7"/>
  <c r="CA295" i="7"/>
  <c r="CA296" i="7"/>
  <c r="CA297" i="7"/>
  <c r="CA298" i="7"/>
  <c r="CA299" i="7"/>
  <c r="CA300" i="7"/>
  <c r="CA301" i="7"/>
  <c r="CA302" i="7"/>
  <c r="CA303" i="7"/>
  <c r="CA304" i="7"/>
  <c r="CA305" i="7"/>
  <c r="CA306" i="7"/>
  <c r="CA307" i="7"/>
  <c r="CA308" i="7"/>
  <c r="CA309" i="7"/>
  <c r="CA310" i="7"/>
  <c r="CA311" i="7"/>
  <c r="CA312" i="7"/>
  <c r="CA313" i="7"/>
  <c r="CA314" i="7"/>
  <c r="CA315" i="7"/>
  <c r="CA316" i="7"/>
  <c r="CA317" i="7"/>
  <c r="CA318" i="7"/>
  <c r="CA319" i="7"/>
  <c r="CA320" i="7"/>
  <c r="CA321" i="7"/>
  <c r="CA322" i="7"/>
  <c r="CA323" i="7"/>
  <c r="CA324" i="7"/>
  <c r="CA325" i="7"/>
  <c r="CA326" i="7"/>
  <c r="CA327" i="7"/>
  <c r="CA328" i="7"/>
  <c r="CA329" i="7"/>
  <c r="CA330" i="7"/>
  <c r="CA331" i="7"/>
  <c r="CA332" i="7"/>
  <c r="CA333" i="7"/>
  <c r="CA334" i="7"/>
  <c r="CA335" i="7"/>
  <c r="CA336" i="7"/>
  <c r="CA337" i="7"/>
  <c r="CA338" i="7"/>
  <c r="CA339" i="7"/>
  <c r="CA340" i="7"/>
  <c r="CA341" i="7"/>
  <c r="CA342" i="7"/>
  <c r="CA343" i="7"/>
  <c r="CA344" i="7"/>
  <c r="CA345" i="7"/>
  <c r="CA346" i="7"/>
  <c r="CA347" i="7"/>
  <c r="CA348" i="7"/>
  <c r="CA349" i="7"/>
  <c r="CA350" i="7"/>
  <c r="CA351" i="7"/>
  <c r="CA352" i="7"/>
  <c r="CA353" i="7"/>
  <c r="CA354" i="7"/>
  <c r="CA355" i="7"/>
  <c r="CA356" i="7"/>
  <c r="CA357" i="7"/>
  <c r="CA358" i="7"/>
  <c r="CA359" i="7"/>
  <c r="CA360" i="7"/>
  <c r="CA361" i="7"/>
  <c r="CA362" i="7"/>
  <c r="CA363" i="7"/>
  <c r="CT5" i="7"/>
  <c r="CT6" i="7"/>
  <c r="CT7" i="7"/>
  <c r="CT8" i="7"/>
  <c r="CT9" i="7"/>
  <c r="CT10" i="7"/>
  <c r="CT11" i="7"/>
  <c r="CT12" i="7"/>
  <c r="CT13" i="7"/>
  <c r="CT14" i="7"/>
  <c r="CT15" i="7"/>
  <c r="CT16" i="7"/>
  <c r="CT17" i="7"/>
  <c r="CT18" i="7"/>
  <c r="CT19" i="7"/>
  <c r="CT20" i="7"/>
  <c r="CT21" i="7"/>
  <c r="CT22" i="7"/>
  <c r="CT23" i="7"/>
  <c r="CT24" i="7"/>
  <c r="CT25" i="7"/>
  <c r="CT26" i="7"/>
  <c r="CT27" i="7"/>
  <c r="CT28" i="7"/>
  <c r="CT29" i="7"/>
  <c r="CT30" i="7"/>
  <c r="CT31" i="7"/>
  <c r="CT32" i="7"/>
  <c r="CT33" i="7"/>
  <c r="CT34" i="7"/>
  <c r="CT35" i="7"/>
  <c r="CT36" i="7"/>
  <c r="CT37" i="7"/>
  <c r="CT38" i="7"/>
  <c r="CT39" i="7"/>
  <c r="CT40" i="7"/>
  <c r="CT41" i="7"/>
  <c r="CT42" i="7"/>
  <c r="CT43" i="7"/>
  <c r="CT44" i="7"/>
  <c r="CT45" i="7"/>
  <c r="CT46" i="7"/>
  <c r="CT47" i="7"/>
  <c r="CT48" i="7"/>
  <c r="CT49" i="7"/>
  <c r="CT50" i="7"/>
  <c r="CT51" i="7"/>
  <c r="CT52" i="7"/>
  <c r="CT53" i="7"/>
  <c r="CT54" i="7"/>
  <c r="CT55" i="7"/>
  <c r="CT56" i="7"/>
  <c r="CT57" i="7"/>
  <c r="CT58" i="7"/>
  <c r="CT59" i="7"/>
  <c r="CT60" i="7"/>
  <c r="CT61" i="7"/>
  <c r="CT62" i="7"/>
  <c r="CT63" i="7"/>
  <c r="CT64" i="7"/>
  <c r="CT65" i="7"/>
  <c r="CT66" i="7"/>
  <c r="CT67" i="7"/>
  <c r="CT68" i="7"/>
  <c r="CT69" i="7"/>
  <c r="CT70" i="7"/>
  <c r="CT71" i="7"/>
  <c r="CT72" i="7"/>
  <c r="CT73" i="7"/>
  <c r="CT74" i="7"/>
  <c r="CT75" i="7"/>
  <c r="CT76" i="7"/>
  <c r="CT77" i="7"/>
  <c r="CT78" i="7"/>
  <c r="CT79" i="7"/>
  <c r="CT80" i="7"/>
  <c r="CT81" i="7"/>
  <c r="CT82" i="7"/>
  <c r="CT83" i="7"/>
  <c r="CT84" i="7"/>
  <c r="CT85" i="7"/>
  <c r="CT86" i="7"/>
  <c r="CT87" i="7"/>
  <c r="CT88" i="7"/>
  <c r="CT89" i="7"/>
  <c r="CT90" i="7"/>
  <c r="CT91" i="7"/>
  <c r="CT92" i="7"/>
  <c r="CT93" i="7"/>
  <c r="CT94" i="7"/>
  <c r="CT95" i="7"/>
  <c r="CT96" i="7"/>
  <c r="CT97" i="7"/>
  <c r="CT98" i="7"/>
  <c r="CT99" i="7"/>
  <c r="CT100" i="7"/>
  <c r="CT101" i="7"/>
  <c r="CT102" i="7"/>
  <c r="CT103" i="7"/>
  <c r="CT104" i="7"/>
  <c r="CT105" i="7"/>
  <c r="CT106" i="7"/>
  <c r="CT107" i="7"/>
  <c r="CT108" i="7"/>
  <c r="CT109" i="7"/>
  <c r="CT110" i="7"/>
  <c r="CT111" i="7"/>
  <c r="CT112" i="7"/>
  <c r="CT113" i="7"/>
  <c r="CT114" i="7"/>
  <c r="CT115" i="7"/>
  <c r="CT116" i="7"/>
  <c r="CT117" i="7"/>
  <c r="CT118" i="7"/>
  <c r="CT119" i="7"/>
  <c r="CT120" i="7"/>
  <c r="CT121" i="7"/>
  <c r="CT122" i="7"/>
  <c r="CT4" i="7"/>
  <c r="CJ5" i="7"/>
  <c r="CJ6" i="7"/>
  <c r="CJ7" i="7"/>
  <c r="CJ8" i="7"/>
  <c r="CJ9" i="7"/>
  <c r="CJ10" i="7"/>
  <c r="CJ11" i="7"/>
  <c r="CJ12" i="7"/>
  <c r="CJ13" i="7"/>
  <c r="CJ14" i="7"/>
  <c r="CJ15" i="7"/>
  <c r="CJ16" i="7"/>
  <c r="CJ17" i="7"/>
  <c r="CJ18" i="7"/>
  <c r="CJ19" i="7"/>
  <c r="CJ20" i="7"/>
  <c r="CJ21" i="7"/>
  <c r="CJ22" i="7"/>
  <c r="CJ23" i="7"/>
  <c r="CJ24" i="7"/>
  <c r="CJ25" i="7"/>
  <c r="CJ26" i="7"/>
  <c r="CJ27" i="7"/>
  <c r="CJ28" i="7"/>
  <c r="CJ29" i="7"/>
  <c r="CJ30" i="7"/>
  <c r="CJ31" i="7"/>
  <c r="CJ32" i="7"/>
  <c r="CJ33" i="7"/>
  <c r="CJ34" i="7"/>
  <c r="CJ35" i="7"/>
  <c r="CJ36" i="7"/>
  <c r="CJ37" i="7"/>
  <c r="CJ38" i="7"/>
  <c r="CJ39" i="7"/>
  <c r="CJ40" i="7"/>
  <c r="CJ41" i="7"/>
  <c r="CJ42" i="7"/>
  <c r="CJ43" i="7"/>
  <c r="CJ44" i="7"/>
  <c r="CJ45" i="7"/>
  <c r="CJ46" i="7"/>
  <c r="CJ47" i="7"/>
  <c r="CJ48" i="7"/>
  <c r="CJ49" i="7"/>
  <c r="CJ50" i="7"/>
  <c r="CJ51" i="7"/>
  <c r="CJ52" i="7"/>
  <c r="CJ53" i="7"/>
  <c r="CJ54" i="7"/>
  <c r="CJ55" i="7"/>
  <c r="CJ56" i="7"/>
  <c r="CJ57" i="7"/>
  <c r="CJ58" i="7"/>
  <c r="CJ59" i="7"/>
  <c r="CJ60" i="7"/>
  <c r="CJ61" i="7"/>
  <c r="CJ62" i="7"/>
  <c r="CJ63" i="7"/>
  <c r="CJ64" i="7"/>
  <c r="CJ65" i="7"/>
  <c r="CJ66" i="7"/>
  <c r="CJ67" i="7"/>
  <c r="CJ68" i="7"/>
  <c r="CJ69" i="7"/>
  <c r="CJ70" i="7"/>
  <c r="CJ71" i="7"/>
  <c r="CJ72" i="7"/>
  <c r="CJ73" i="7"/>
  <c r="CJ74" i="7"/>
  <c r="CJ75" i="7"/>
  <c r="CJ76" i="7"/>
  <c r="CJ77" i="7"/>
  <c r="CJ78" i="7"/>
  <c r="CJ79" i="7"/>
  <c r="CJ80" i="7"/>
  <c r="CJ81" i="7"/>
  <c r="CJ82" i="7"/>
  <c r="CJ83" i="7"/>
  <c r="CJ84" i="7"/>
  <c r="CJ85" i="7"/>
  <c r="CJ86" i="7"/>
  <c r="CJ87" i="7"/>
  <c r="CJ88" i="7"/>
  <c r="CJ89" i="7"/>
  <c r="CJ90" i="7"/>
  <c r="CJ91" i="7"/>
  <c r="CJ92" i="7"/>
  <c r="CJ93" i="7"/>
  <c r="CJ94" i="7"/>
  <c r="CJ95" i="7"/>
  <c r="CJ96" i="7"/>
  <c r="CJ97" i="7"/>
  <c r="CJ98" i="7"/>
  <c r="CJ99" i="7"/>
  <c r="CJ100" i="7"/>
  <c r="CJ101" i="7"/>
  <c r="CJ102" i="7"/>
  <c r="CJ103" i="7"/>
  <c r="CJ104" i="7"/>
  <c r="CJ105" i="7"/>
  <c r="CJ106" i="7"/>
  <c r="CJ107" i="7"/>
  <c r="CJ108" i="7"/>
  <c r="CJ109" i="7"/>
  <c r="CJ110" i="7"/>
  <c r="CJ111" i="7"/>
  <c r="CJ112" i="7"/>
  <c r="CJ113" i="7"/>
  <c r="CJ114" i="7"/>
  <c r="CJ115" i="7"/>
  <c r="CJ116" i="7"/>
  <c r="CJ117" i="7"/>
  <c r="CJ118" i="7"/>
  <c r="CJ119" i="7"/>
  <c r="CJ120" i="7"/>
  <c r="CJ121" i="7"/>
  <c r="CJ122" i="7"/>
  <c r="CJ123" i="7"/>
  <c r="CJ124" i="7"/>
  <c r="CJ125" i="7"/>
  <c r="CJ126" i="7"/>
  <c r="CJ127" i="7"/>
  <c r="CJ128" i="7"/>
  <c r="CJ129" i="7"/>
  <c r="CJ130" i="7"/>
  <c r="CJ131" i="7"/>
  <c r="CJ132" i="7"/>
  <c r="CJ133" i="7"/>
  <c r="CJ134" i="7"/>
  <c r="CJ135" i="7"/>
  <c r="CJ136" i="7"/>
  <c r="CJ137" i="7"/>
  <c r="CJ138" i="7"/>
  <c r="CJ139" i="7"/>
  <c r="CJ140" i="7"/>
  <c r="CJ141" i="7"/>
  <c r="CJ142" i="7"/>
  <c r="CJ143" i="7"/>
  <c r="CJ144" i="7"/>
  <c r="CJ145" i="7"/>
  <c r="CJ146" i="7"/>
  <c r="CJ147" i="7"/>
  <c r="CJ148" i="7"/>
  <c r="CJ149" i="7"/>
  <c r="CJ150" i="7"/>
  <c r="CJ151" i="7"/>
  <c r="CJ152" i="7"/>
  <c r="CJ153" i="7"/>
  <c r="CJ154" i="7"/>
  <c r="CJ155" i="7"/>
  <c r="CJ156" i="7"/>
  <c r="CJ157" i="7"/>
  <c r="CJ158" i="7"/>
  <c r="CJ159" i="7"/>
  <c r="CJ160" i="7"/>
  <c r="CJ161" i="7"/>
  <c r="CJ162" i="7"/>
  <c r="CJ163" i="7"/>
  <c r="CJ164" i="7"/>
  <c r="CJ165" i="7"/>
  <c r="CJ166" i="7"/>
  <c r="CJ167" i="7"/>
  <c r="CJ168" i="7"/>
  <c r="CJ169" i="7"/>
  <c r="CJ170" i="7"/>
  <c r="CJ171" i="7"/>
  <c r="CJ172" i="7"/>
  <c r="CJ173" i="7"/>
  <c r="CJ174" i="7"/>
  <c r="CJ175" i="7"/>
  <c r="CJ176" i="7"/>
  <c r="CJ177" i="7"/>
  <c r="CJ178" i="7"/>
  <c r="CJ179" i="7"/>
  <c r="CJ180" i="7"/>
  <c r="CJ181" i="7"/>
  <c r="CJ182" i="7"/>
  <c r="CJ183" i="7"/>
  <c r="CJ184" i="7"/>
  <c r="CJ185" i="7"/>
  <c r="CJ186" i="7"/>
  <c r="CJ187" i="7"/>
  <c r="CJ188" i="7"/>
  <c r="CJ189" i="7"/>
  <c r="CJ190" i="7"/>
  <c r="CJ191" i="7"/>
  <c r="CJ192" i="7"/>
  <c r="CJ193" i="7"/>
  <c r="CJ194" i="7"/>
  <c r="CJ195" i="7"/>
  <c r="CJ196" i="7"/>
  <c r="CJ197" i="7"/>
  <c r="CJ198" i="7"/>
  <c r="CJ199" i="7"/>
  <c r="CJ200" i="7"/>
  <c r="CJ201" i="7"/>
  <c r="CJ202" i="7"/>
  <c r="CJ203" i="7"/>
  <c r="CJ204" i="7"/>
  <c r="CJ205" i="7"/>
  <c r="CJ206" i="7"/>
  <c r="CJ207" i="7"/>
  <c r="CJ208" i="7"/>
  <c r="CJ209" i="7"/>
  <c r="CJ210" i="7"/>
  <c r="CJ211" i="7"/>
  <c r="CJ212" i="7"/>
  <c r="CJ213" i="7"/>
  <c r="CJ214" i="7"/>
  <c r="CJ215" i="7"/>
  <c r="CJ216" i="7"/>
  <c r="CJ217" i="7"/>
  <c r="CJ218" i="7"/>
  <c r="CJ219" i="7"/>
  <c r="CJ220" i="7"/>
  <c r="CJ221" i="7"/>
  <c r="CJ222" i="7"/>
  <c r="CJ223" i="7"/>
  <c r="CJ224" i="7"/>
  <c r="CJ225" i="7"/>
  <c r="CJ226" i="7"/>
  <c r="CJ227" i="7"/>
  <c r="CJ228" i="7"/>
  <c r="CJ229" i="7"/>
  <c r="CJ230" i="7"/>
  <c r="CJ231" i="7"/>
  <c r="CJ232" i="7"/>
  <c r="CJ233" i="7"/>
  <c r="CJ234" i="7"/>
  <c r="CJ235" i="7"/>
  <c r="CJ236" i="7"/>
  <c r="CJ237" i="7"/>
  <c r="CJ238" i="7"/>
  <c r="CJ239" i="7"/>
  <c r="CJ240" i="7"/>
  <c r="CJ241" i="7"/>
  <c r="CJ242" i="7"/>
  <c r="CJ243" i="7"/>
  <c r="CJ244" i="7"/>
  <c r="CJ245" i="7"/>
  <c r="CJ246" i="7"/>
  <c r="CJ247" i="7"/>
  <c r="CJ248" i="7"/>
  <c r="CJ249" i="7"/>
  <c r="CJ250" i="7"/>
  <c r="CJ251" i="7"/>
  <c r="CJ252" i="7"/>
  <c r="CJ253" i="7"/>
  <c r="CJ254" i="7"/>
  <c r="CJ255" i="7"/>
  <c r="CJ256" i="7"/>
  <c r="CJ257" i="7"/>
  <c r="CJ258" i="7"/>
  <c r="CJ259" i="7"/>
  <c r="CJ260" i="7"/>
  <c r="CJ261" i="7"/>
  <c r="CJ262" i="7"/>
  <c r="CJ263" i="7"/>
  <c r="CJ264" i="7"/>
  <c r="CJ265" i="7"/>
  <c r="CJ266" i="7"/>
  <c r="CJ267" i="7"/>
  <c r="CJ268" i="7"/>
  <c r="CJ269" i="7"/>
  <c r="CJ270" i="7"/>
  <c r="CJ271" i="7"/>
  <c r="CJ272" i="7"/>
  <c r="CJ273" i="7"/>
  <c r="CJ274" i="7"/>
  <c r="CJ275" i="7"/>
  <c r="CJ276" i="7"/>
  <c r="CJ277" i="7"/>
  <c r="CJ278" i="7"/>
  <c r="CJ279" i="7"/>
  <c r="CJ280" i="7"/>
  <c r="CJ281" i="7"/>
  <c r="CJ282" i="7"/>
  <c r="CJ283" i="7"/>
  <c r="CJ284" i="7"/>
  <c r="CJ285" i="7"/>
  <c r="CJ286" i="7"/>
  <c r="CJ287" i="7"/>
  <c r="CJ288" i="7"/>
  <c r="CJ289" i="7"/>
  <c r="CJ290" i="7"/>
  <c r="CJ291" i="7"/>
  <c r="CJ292" i="7"/>
  <c r="CJ293" i="7"/>
  <c r="CJ294" i="7"/>
  <c r="CJ295" i="7"/>
  <c r="CJ296" i="7"/>
  <c r="CJ297" i="7"/>
  <c r="CJ298" i="7"/>
  <c r="CJ299" i="7"/>
  <c r="CJ300" i="7"/>
  <c r="CJ301" i="7"/>
  <c r="CJ302" i="7"/>
  <c r="CJ303" i="7"/>
  <c r="CJ304" i="7"/>
  <c r="CJ305" i="7"/>
  <c r="CJ306" i="7"/>
  <c r="CJ307" i="7"/>
  <c r="CJ308" i="7"/>
  <c r="CJ309" i="7"/>
  <c r="CJ310" i="7"/>
  <c r="CJ311" i="7"/>
  <c r="CJ312" i="7"/>
  <c r="CJ313" i="7"/>
  <c r="CJ314" i="7"/>
  <c r="CJ315" i="7"/>
  <c r="CJ316" i="7"/>
  <c r="CJ317" i="7"/>
  <c r="CJ318" i="7"/>
  <c r="CJ319" i="7"/>
  <c r="CJ320" i="7"/>
  <c r="CJ321" i="7"/>
  <c r="CJ322" i="7"/>
  <c r="CJ323" i="7"/>
  <c r="CJ324" i="7"/>
  <c r="CJ325" i="7"/>
  <c r="CJ326" i="7"/>
  <c r="CJ327" i="7"/>
  <c r="CJ328" i="7"/>
  <c r="CJ329" i="7"/>
  <c r="CJ330" i="7"/>
  <c r="CJ331" i="7"/>
  <c r="CJ332" i="7"/>
  <c r="CJ333" i="7"/>
  <c r="CJ334" i="7"/>
  <c r="CJ335" i="7"/>
  <c r="CJ336" i="7"/>
  <c r="CJ337" i="7"/>
  <c r="CJ338" i="7"/>
  <c r="CJ339" i="7"/>
  <c r="CJ340" i="7"/>
  <c r="CJ341" i="7"/>
  <c r="CJ342" i="7"/>
  <c r="CJ343" i="7"/>
  <c r="CJ344" i="7"/>
  <c r="CJ345" i="7"/>
  <c r="CJ346" i="7"/>
  <c r="CJ347" i="7"/>
  <c r="CJ348" i="7"/>
  <c r="CJ349" i="7"/>
  <c r="CJ350" i="7"/>
  <c r="CJ351" i="7"/>
  <c r="CJ352" i="7"/>
  <c r="CJ353" i="7"/>
  <c r="CJ354" i="7"/>
  <c r="CJ355" i="7"/>
  <c r="CJ356" i="7"/>
  <c r="CJ357" i="7"/>
  <c r="CJ358" i="7"/>
  <c r="CJ359" i="7"/>
  <c r="CJ360" i="7"/>
  <c r="CJ361" i="7"/>
  <c r="CJ362" i="7"/>
  <c r="CJ363" i="7"/>
  <c r="CJ364" i="7"/>
  <c r="CJ365" i="7"/>
  <c r="CJ366" i="7"/>
  <c r="CJ367" i="7"/>
  <c r="CJ368" i="7"/>
  <c r="CJ369" i="7"/>
  <c r="CJ370" i="7"/>
  <c r="CJ371" i="7"/>
  <c r="CJ372" i="7"/>
  <c r="CJ373" i="7"/>
  <c r="CJ374" i="7"/>
  <c r="CJ375" i="7"/>
  <c r="CJ376" i="7"/>
  <c r="CJ377" i="7"/>
  <c r="CJ378" i="7"/>
  <c r="CJ379" i="7"/>
  <c r="CJ380" i="7"/>
  <c r="CJ381" i="7"/>
  <c r="CJ382" i="7"/>
  <c r="CJ383" i="7"/>
  <c r="CJ384" i="7"/>
  <c r="CJ385" i="7"/>
  <c r="CJ386" i="7"/>
  <c r="CJ387" i="7"/>
  <c r="CJ388" i="7"/>
  <c r="CJ389" i="7"/>
  <c r="CJ390" i="7"/>
  <c r="CJ391" i="7"/>
  <c r="CJ392" i="7"/>
  <c r="CJ393" i="7"/>
  <c r="CJ394" i="7"/>
  <c r="CJ395" i="7"/>
  <c r="CJ396" i="7"/>
  <c r="CJ397" i="7"/>
  <c r="CJ398" i="7"/>
  <c r="CJ399" i="7"/>
  <c r="CJ400" i="7"/>
  <c r="CJ401" i="7"/>
  <c r="CJ402" i="7"/>
  <c r="CJ403" i="7"/>
  <c r="CJ404" i="7"/>
  <c r="CJ405" i="7"/>
  <c r="CJ406" i="7"/>
  <c r="CJ407" i="7"/>
  <c r="CJ408" i="7"/>
  <c r="CJ409" i="7"/>
  <c r="CJ410" i="7"/>
  <c r="CJ411" i="7"/>
  <c r="CJ412" i="7"/>
  <c r="CJ413" i="7"/>
  <c r="CJ414" i="7"/>
  <c r="CJ415" i="7"/>
  <c r="CJ416" i="7"/>
  <c r="CJ417" i="7"/>
  <c r="CJ418" i="7"/>
  <c r="CJ419" i="7"/>
  <c r="CJ420" i="7"/>
  <c r="CJ421" i="7"/>
  <c r="CJ422" i="7"/>
  <c r="CJ423" i="7"/>
  <c r="CJ424" i="7"/>
  <c r="CJ425" i="7"/>
  <c r="CJ426" i="7"/>
  <c r="CJ427" i="7"/>
  <c r="CJ428" i="7"/>
  <c r="CJ429" i="7"/>
  <c r="CJ430" i="7"/>
  <c r="CJ431" i="7"/>
  <c r="CJ432" i="7"/>
  <c r="CJ433" i="7"/>
  <c r="CJ434" i="7"/>
  <c r="CJ435" i="7"/>
  <c r="CJ436" i="7"/>
  <c r="CJ437" i="7"/>
  <c r="CJ438" i="7"/>
  <c r="CJ439" i="7"/>
  <c r="CJ440" i="7"/>
  <c r="CJ441" i="7"/>
  <c r="CJ442" i="7"/>
  <c r="CJ443" i="7"/>
  <c r="CJ444" i="7"/>
  <c r="CJ445" i="7"/>
  <c r="CJ446" i="7"/>
  <c r="CJ447" i="7"/>
  <c r="CJ448" i="7"/>
  <c r="CJ449" i="7"/>
  <c r="CJ450" i="7"/>
  <c r="CJ451" i="7"/>
  <c r="CJ452" i="7"/>
  <c r="CJ453" i="7"/>
  <c r="CJ454" i="7"/>
  <c r="CJ455" i="7"/>
  <c r="CJ456" i="7"/>
  <c r="CJ457" i="7"/>
  <c r="CJ458" i="7"/>
  <c r="CJ459" i="7"/>
  <c r="CJ460" i="7"/>
  <c r="CJ461" i="7"/>
  <c r="CJ462" i="7"/>
  <c r="CJ463" i="7"/>
  <c r="CJ464" i="7"/>
  <c r="CJ465" i="7"/>
  <c r="CJ466" i="7"/>
  <c r="CJ467" i="7"/>
  <c r="CJ468" i="7"/>
  <c r="CJ469" i="7"/>
  <c r="CJ470" i="7"/>
  <c r="CJ471" i="7"/>
  <c r="CJ472" i="7"/>
  <c r="CJ473" i="7"/>
  <c r="CJ474" i="7"/>
  <c r="CJ475" i="7"/>
  <c r="CJ476" i="7"/>
  <c r="CJ477" i="7"/>
  <c r="CJ478" i="7"/>
  <c r="CJ479" i="7"/>
  <c r="CJ4" i="7"/>
  <c r="AD5" i="7"/>
  <c r="AD6" i="7"/>
  <c r="AD7" i="7"/>
  <c r="AD8" i="7"/>
  <c r="AD9" i="7"/>
  <c r="AD10" i="7"/>
  <c r="AD11" i="7"/>
  <c r="AD12" i="7"/>
  <c r="AD13" i="7"/>
  <c r="AD14" i="7"/>
  <c r="AD15" i="7"/>
  <c r="AD16" i="7"/>
  <c r="AD17" i="7"/>
  <c r="AD18" i="7"/>
  <c r="AD19" i="7"/>
  <c r="AD20" i="7"/>
  <c r="AD21" i="7"/>
  <c r="AD22" i="7"/>
  <c r="AD23" i="7"/>
  <c r="AD24" i="7"/>
  <c r="AD25" i="7"/>
  <c r="AD26" i="7"/>
  <c r="AD27" i="7"/>
  <c r="AD28" i="7"/>
  <c r="AD29" i="7"/>
  <c r="AD30" i="7"/>
  <c r="AD31" i="7"/>
  <c r="AD32" i="7"/>
  <c r="AD33" i="7"/>
  <c r="AD34" i="7"/>
  <c r="AD35" i="7"/>
  <c r="AD36" i="7"/>
  <c r="AD37" i="7"/>
  <c r="AD38" i="7"/>
  <c r="AD39" i="7"/>
  <c r="AD40" i="7"/>
  <c r="AD41" i="7"/>
  <c r="AD42" i="7"/>
  <c r="AD43" i="7"/>
  <c r="AD44" i="7"/>
  <c r="AD45" i="7"/>
  <c r="AD46" i="7"/>
  <c r="AD47" i="7"/>
  <c r="AD48" i="7"/>
  <c r="AD49" i="7"/>
  <c r="AD50" i="7"/>
  <c r="AD51" i="7"/>
  <c r="AD52" i="7"/>
  <c r="AD53" i="7"/>
  <c r="AD54" i="7"/>
  <c r="AD56" i="7"/>
  <c r="AD57" i="7"/>
  <c r="AD58" i="7"/>
  <c r="AD59" i="7"/>
  <c r="AD60" i="7"/>
  <c r="AD61" i="7"/>
  <c r="AD62" i="7"/>
  <c r="AD63" i="7"/>
  <c r="AD64" i="7"/>
  <c r="AD65" i="7"/>
  <c r="AD66" i="7"/>
  <c r="BH5" i="7"/>
  <c r="BH6" i="7"/>
  <c r="BH7" i="7"/>
  <c r="BH8" i="7"/>
  <c r="BH9" i="7"/>
  <c r="BH10" i="7"/>
  <c r="BH11" i="7"/>
  <c r="BH12" i="7"/>
  <c r="BH13" i="7"/>
  <c r="BH14" i="7"/>
  <c r="BH15" i="7"/>
  <c r="BH16" i="7"/>
  <c r="BH17" i="7"/>
  <c r="BH18" i="7"/>
  <c r="BH19" i="7"/>
  <c r="BH20" i="7"/>
  <c r="BH21" i="7"/>
  <c r="BH22" i="7"/>
  <c r="BH23" i="7"/>
  <c r="BH24" i="7"/>
  <c r="BH25" i="7"/>
  <c r="BH26" i="7"/>
  <c r="BH27" i="7"/>
  <c r="BH28" i="7"/>
  <c r="BH29" i="7"/>
  <c r="BH30" i="7"/>
  <c r="BH31" i="7"/>
  <c r="BH32" i="7"/>
  <c r="BH33" i="7"/>
  <c r="BH34" i="7"/>
  <c r="BH35" i="7"/>
  <c r="BH36" i="7"/>
  <c r="BH37" i="7"/>
  <c r="BH38" i="7"/>
  <c r="BH39" i="7"/>
  <c r="BH40" i="7"/>
  <c r="BH41" i="7"/>
  <c r="BH42" i="7"/>
  <c r="BH43" i="7"/>
  <c r="BH44" i="7"/>
  <c r="BH45" i="7"/>
  <c r="BH46" i="7"/>
  <c r="BH47" i="7"/>
  <c r="BH48" i="7"/>
  <c r="BH49" i="7"/>
  <c r="BH50" i="7"/>
  <c r="BH51" i="7"/>
  <c r="BH52" i="7"/>
  <c r="BH53" i="7"/>
  <c r="BH54" i="7"/>
  <c r="BH55" i="7"/>
  <c r="BH56" i="7"/>
  <c r="BH57" i="7"/>
  <c r="BH58" i="7"/>
  <c r="BH59" i="7"/>
  <c r="BH60" i="7"/>
  <c r="BH61" i="7"/>
  <c r="BH62" i="7"/>
  <c r="BH63" i="7"/>
  <c r="BH64" i="7"/>
  <c r="BH65" i="7"/>
  <c r="BH66" i="7"/>
  <c r="BH67" i="7"/>
  <c r="BH68" i="7"/>
  <c r="BH69" i="7"/>
  <c r="BH70" i="7"/>
  <c r="BH71" i="7"/>
  <c r="BH72" i="7"/>
  <c r="BH73" i="7"/>
  <c r="BH74" i="7"/>
  <c r="BH75" i="7"/>
  <c r="BH76" i="7"/>
  <c r="BH77" i="7"/>
  <c r="BH78" i="7"/>
  <c r="BH79" i="7"/>
  <c r="BH80" i="7"/>
  <c r="BH81" i="7"/>
  <c r="BH82" i="7"/>
  <c r="BH83" i="7"/>
  <c r="BH84" i="7"/>
  <c r="BH85" i="7"/>
  <c r="BH86" i="7"/>
  <c r="BH87" i="7"/>
  <c r="BH88" i="7"/>
  <c r="BH89" i="7"/>
  <c r="BH90" i="7"/>
  <c r="BH91" i="7"/>
  <c r="BH92" i="7"/>
  <c r="BH93" i="7"/>
  <c r="BH94" i="7"/>
  <c r="BH95" i="7"/>
  <c r="BH96" i="7"/>
  <c r="BH97" i="7"/>
  <c r="BH98" i="7"/>
  <c r="BH99" i="7"/>
  <c r="BH100" i="7"/>
  <c r="BH101" i="7"/>
  <c r="BH102" i="7"/>
  <c r="BH103" i="7"/>
  <c r="BH104" i="7"/>
  <c r="BH105" i="7"/>
  <c r="BH106" i="7"/>
  <c r="BH107" i="7"/>
  <c r="BH108" i="7"/>
  <c r="BH109" i="7"/>
  <c r="BH110" i="7"/>
  <c r="BH111" i="7"/>
  <c r="BH112" i="7"/>
  <c r="BH113" i="7"/>
  <c r="BH114" i="7"/>
  <c r="BH115" i="7"/>
  <c r="BH116" i="7"/>
  <c r="BH117" i="7"/>
  <c r="BH118" i="7"/>
  <c r="BH119" i="7"/>
  <c r="BH120" i="7"/>
  <c r="BH121" i="7"/>
  <c r="BH122" i="7"/>
  <c r="BH123" i="7"/>
  <c r="BH124" i="7"/>
  <c r="BH125" i="7"/>
  <c r="BH126" i="7"/>
  <c r="BH127" i="7"/>
  <c r="BH128" i="7"/>
  <c r="BH129" i="7"/>
  <c r="BH130" i="7"/>
  <c r="BH4" i="7"/>
  <c r="AY43" i="7"/>
  <c r="AY238" i="7"/>
  <c r="AY82" i="7"/>
  <c r="AY277" i="7"/>
  <c r="AY121" i="7"/>
  <c r="AY316" i="7"/>
  <c r="AY160" i="7"/>
  <c r="AY355" i="7"/>
  <c r="AY56" i="7"/>
  <c r="AY251" i="7"/>
  <c r="AY95" i="7"/>
  <c r="AY290" i="7"/>
  <c r="AY134" i="7"/>
  <c r="AY329" i="7"/>
  <c r="AY173" i="7"/>
  <c r="AY368" i="7"/>
  <c r="AY69" i="7"/>
  <c r="AY264" i="7"/>
  <c r="AY108" i="7"/>
  <c r="AY303" i="7"/>
  <c r="AY147" i="7"/>
  <c r="AY342" i="7"/>
  <c r="AY186" i="7"/>
  <c r="AY381" i="7"/>
  <c r="AY44" i="7"/>
  <c r="AY239" i="7"/>
  <c r="AY83" i="7"/>
  <c r="AY278" i="7"/>
  <c r="AY122" i="7"/>
  <c r="AY317" i="7"/>
  <c r="AY161" i="7"/>
  <c r="AY356" i="7"/>
  <c r="AY57" i="7"/>
  <c r="AY252" i="7"/>
  <c r="AY96" i="7"/>
  <c r="AY291" i="7"/>
  <c r="AY135" i="7"/>
  <c r="AY330" i="7"/>
  <c r="AY174" i="7"/>
  <c r="AY369" i="7"/>
  <c r="AY70" i="7"/>
  <c r="AY265" i="7"/>
  <c r="AY109" i="7"/>
  <c r="AY304" i="7"/>
  <c r="AY148" i="7"/>
  <c r="AY343" i="7"/>
  <c r="AY187" i="7"/>
  <c r="AY382" i="7"/>
  <c r="AY45" i="7"/>
  <c r="AY240" i="7"/>
  <c r="AY84" i="7"/>
  <c r="AY279" i="7"/>
  <c r="AY123" i="7"/>
  <c r="AY318" i="7"/>
  <c r="AY162" i="7"/>
  <c r="AY357" i="7"/>
  <c r="AY58" i="7"/>
  <c r="AY253" i="7"/>
  <c r="AY97" i="7"/>
  <c r="AY292" i="7"/>
  <c r="AY136" i="7"/>
  <c r="AY331" i="7"/>
  <c r="AY175" i="7"/>
  <c r="AY370" i="7"/>
  <c r="AY71" i="7"/>
  <c r="AY266" i="7"/>
  <c r="AY110" i="7"/>
  <c r="AY305" i="7"/>
  <c r="AY149" i="7"/>
  <c r="AY344" i="7"/>
  <c r="AY188" i="7"/>
  <c r="AY383" i="7"/>
  <c r="AY46" i="7"/>
  <c r="AY241" i="7"/>
  <c r="AY85" i="7"/>
  <c r="AY280" i="7"/>
  <c r="AY124" i="7"/>
  <c r="AY319" i="7"/>
  <c r="AY163" i="7"/>
  <c r="AY358" i="7"/>
  <c r="AY59" i="7"/>
  <c r="AY254" i="7"/>
  <c r="AY98" i="7"/>
  <c r="AY293" i="7"/>
  <c r="AY137" i="7"/>
  <c r="AY332" i="7"/>
  <c r="AY176" i="7"/>
  <c r="AY371" i="7"/>
  <c r="AY72" i="7"/>
  <c r="AY267" i="7"/>
  <c r="AY111" i="7"/>
  <c r="AY306" i="7"/>
  <c r="AY150" i="7"/>
  <c r="AY345" i="7"/>
  <c r="AY189" i="7"/>
  <c r="AY384" i="7"/>
  <c r="AY47" i="7"/>
  <c r="AY242" i="7"/>
  <c r="AY86" i="7"/>
  <c r="AY281" i="7"/>
  <c r="AY125" i="7"/>
  <c r="AY320" i="7"/>
  <c r="AY164" i="7"/>
  <c r="AY359" i="7"/>
  <c r="AY60" i="7"/>
  <c r="AY255" i="7"/>
  <c r="AY99" i="7"/>
  <c r="AY294" i="7"/>
  <c r="AY138" i="7"/>
  <c r="AY333" i="7"/>
  <c r="AY177" i="7"/>
  <c r="AY372" i="7"/>
  <c r="AY73" i="7"/>
  <c r="AY268" i="7"/>
  <c r="AY112" i="7"/>
  <c r="AY307" i="7"/>
  <c r="AY151" i="7"/>
  <c r="AY346" i="7"/>
  <c r="AY190" i="7"/>
  <c r="AY385" i="7"/>
  <c r="AY48" i="7"/>
  <c r="AY243" i="7"/>
  <c r="AY87" i="7"/>
  <c r="AY282" i="7"/>
  <c r="AY126" i="7"/>
  <c r="AY321" i="7"/>
  <c r="AY165" i="7"/>
  <c r="AY360" i="7"/>
  <c r="AY61" i="7"/>
  <c r="AY256" i="7"/>
  <c r="AY100" i="7"/>
  <c r="AY295" i="7"/>
  <c r="AY139" i="7"/>
  <c r="AY334" i="7"/>
  <c r="AY178" i="7"/>
  <c r="AY373" i="7"/>
  <c r="AY74" i="7"/>
  <c r="AY269" i="7"/>
  <c r="AY113" i="7"/>
  <c r="AY308" i="7"/>
  <c r="AY152" i="7"/>
  <c r="AY347" i="7"/>
  <c r="AY191" i="7"/>
  <c r="AY386" i="7"/>
  <c r="AY49" i="7"/>
  <c r="AY244" i="7"/>
  <c r="AY88" i="7"/>
  <c r="AY283" i="7"/>
  <c r="AY127" i="7"/>
  <c r="AY322" i="7"/>
  <c r="AY166" i="7"/>
  <c r="AY361" i="7"/>
  <c r="AY62" i="7"/>
  <c r="AY257" i="7"/>
  <c r="AY101" i="7"/>
  <c r="AY296" i="7"/>
  <c r="AY140" i="7"/>
  <c r="AY335" i="7"/>
  <c r="AY179" i="7"/>
  <c r="AY374" i="7"/>
  <c r="AY75" i="7"/>
  <c r="AY270" i="7"/>
  <c r="AY114" i="7"/>
  <c r="AY309" i="7"/>
  <c r="AY153" i="7"/>
  <c r="AY348" i="7"/>
  <c r="AY192" i="7"/>
  <c r="AY387" i="7"/>
  <c r="AY50" i="7"/>
  <c r="AY245" i="7"/>
  <c r="AY89" i="7"/>
  <c r="AY284" i="7"/>
  <c r="AY128" i="7"/>
  <c r="AY323" i="7"/>
  <c r="AY167" i="7"/>
  <c r="AY362" i="7"/>
  <c r="AY63" i="7"/>
  <c r="AY258" i="7"/>
  <c r="AY102" i="7"/>
  <c r="AY297" i="7"/>
  <c r="AY141" i="7"/>
  <c r="AY336" i="7"/>
  <c r="AY180" i="7"/>
  <c r="AY375" i="7"/>
  <c r="AY76" i="7"/>
  <c r="AY271" i="7"/>
  <c r="AY115" i="7"/>
  <c r="AY310" i="7"/>
  <c r="AY154" i="7"/>
  <c r="AY349" i="7"/>
  <c r="AY193" i="7"/>
  <c r="AY388" i="7"/>
  <c r="AY51" i="7"/>
  <c r="AY246" i="7"/>
  <c r="AY90" i="7"/>
  <c r="AY285" i="7"/>
  <c r="AY129" i="7"/>
  <c r="AY324" i="7"/>
  <c r="AY168" i="7"/>
  <c r="AY363" i="7"/>
  <c r="AY64" i="7"/>
  <c r="AY259" i="7"/>
  <c r="AY103" i="7"/>
  <c r="AY298" i="7"/>
  <c r="AY142" i="7"/>
  <c r="AY337" i="7"/>
  <c r="AY181" i="7"/>
  <c r="AY376" i="7"/>
  <c r="AY77" i="7"/>
  <c r="AY272" i="7"/>
  <c r="AY116" i="7"/>
  <c r="AY311" i="7"/>
  <c r="AY155" i="7"/>
  <c r="AY350" i="7"/>
  <c r="AY194" i="7"/>
  <c r="AY389" i="7"/>
  <c r="AY52" i="7"/>
  <c r="AY247" i="7"/>
  <c r="AY91" i="7"/>
  <c r="AY286" i="7"/>
  <c r="AY130" i="7"/>
  <c r="AY325" i="7"/>
  <c r="AY169" i="7"/>
  <c r="AY364" i="7"/>
  <c r="AY65" i="7"/>
  <c r="AY260" i="7"/>
  <c r="AY104" i="7"/>
  <c r="AY299" i="7"/>
  <c r="AY143" i="7"/>
  <c r="AY338" i="7"/>
  <c r="AY182" i="7"/>
  <c r="AY377" i="7"/>
  <c r="AY78" i="7"/>
  <c r="AY273" i="7"/>
  <c r="AY117" i="7"/>
  <c r="AY312" i="7"/>
  <c r="AY156" i="7"/>
  <c r="AY351" i="7"/>
  <c r="AY195" i="7"/>
  <c r="AY390" i="7"/>
  <c r="AY53" i="7"/>
  <c r="AY248" i="7"/>
  <c r="AY92" i="7"/>
  <c r="AY287" i="7"/>
  <c r="AY131" i="7"/>
  <c r="AY326" i="7"/>
  <c r="AY170" i="7"/>
  <c r="AY365" i="7"/>
  <c r="AY66" i="7"/>
  <c r="AY261" i="7"/>
  <c r="AY105" i="7"/>
  <c r="AY300" i="7"/>
  <c r="AY144" i="7"/>
  <c r="AY339" i="7"/>
  <c r="AY183" i="7"/>
  <c r="AY378" i="7"/>
  <c r="AY79" i="7"/>
  <c r="AY274" i="7"/>
  <c r="AY118" i="7"/>
  <c r="AY313" i="7"/>
  <c r="AY157" i="7"/>
  <c r="AY352" i="7"/>
  <c r="AY196" i="7"/>
  <c r="AY391" i="7"/>
  <c r="AY54" i="7"/>
  <c r="AY249" i="7"/>
  <c r="AY93" i="7"/>
  <c r="AY288" i="7"/>
  <c r="AY132" i="7"/>
  <c r="AY327" i="7"/>
  <c r="AY171" i="7"/>
  <c r="AY366" i="7"/>
  <c r="AY67" i="7"/>
  <c r="AY262" i="7"/>
  <c r="AY106" i="7"/>
  <c r="AY301" i="7"/>
  <c r="AY145" i="7"/>
  <c r="AY340" i="7"/>
  <c r="AY184" i="7"/>
  <c r="AY379" i="7"/>
  <c r="AY80" i="7"/>
  <c r="AY275" i="7"/>
  <c r="AY119" i="7"/>
  <c r="AY314" i="7"/>
  <c r="AY158" i="7"/>
  <c r="AY353" i="7"/>
  <c r="AY197" i="7"/>
  <c r="AY392" i="7"/>
  <c r="AY55" i="7"/>
  <c r="AY250" i="7"/>
  <c r="AY94" i="7"/>
  <c r="AY289" i="7"/>
  <c r="AY133" i="7"/>
  <c r="AY328" i="7"/>
  <c r="AY172" i="7"/>
  <c r="AY367" i="7"/>
  <c r="AY68" i="7"/>
  <c r="AY263" i="7"/>
  <c r="AY107" i="7"/>
  <c r="AY302" i="7"/>
  <c r="AY146" i="7"/>
  <c r="AY341" i="7"/>
  <c r="AY185" i="7"/>
  <c r="AY380" i="7"/>
  <c r="AY81" i="7"/>
  <c r="AY276" i="7"/>
  <c r="AY120" i="7"/>
  <c r="AY315" i="7"/>
  <c r="AY159" i="7"/>
  <c r="AY354" i="7"/>
  <c r="AY198" i="7"/>
  <c r="AY393" i="7"/>
  <c r="AY4" i="7"/>
  <c r="AY199" i="7"/>
  <c r="AY5" i="7"/>
  <c r="AY200" i="7"/>
  <c r="AY6" i="7"/>
  <c r="AY201" i="7"/>
  <c r="AY7" i="7"/>
  <c r="AY202" i="7"/>
  <c r="AY8" i="7"/>
  <c r="AY203" i="7"/>
  <c r="AY9" i="7"/>
  <c r="AY204" i="7"/>
  <c r="AY10" i="7"/>
  <c r="AY205" i="7"/>
  <c r="AY11" i="7"/>
  <c r="AY206" i="7"/>
  <c r="AY12" i="7"/>
  <c r="AY207" i="7"/>
  <c r="AY13" i="7"/>
  <c r="AY208" i="7"/>
  <c r="AY14" i="7"/>
  <c r="AY209" i="7"/>
  <c r="AY15" i="7"/>
  <c r="AY210" i="7"/>
  <c r="AY16" i="7"/>
  <c r="AY211" i="7"/>
  <c r="AY17" i="7"/>
  <c r="AY212" i="7"/>
  <c r="AY18" i="7"/>
  <c r="AY213" i="7"/>
  <c r="AY19" i="7"/>
  <c r="AY214" i="7"/>
  <c r="AY20" i="7"/>
  <c r="AY215" i="7"/>
  <c r="AY21" i="7"/>
  <c r="AY216" i="7"/>
  <c r="AY22" i="7"/>
  <c r="AY217" i="7"/>
  <c r="AY23" i="7"/>
  <c r="AY218" i="7"/>
  <c r="AY24" i="7"/>
  <c r="AY219" i="7"/>
  <c r="AY25" i="7"/>
  <c r="AY220" i="7"/>
  <c r="AY26" i="7"/>
  <c r="AY221" i="7"/>
  <c r="AY27" i="7"/>
  <c r="AY222" i="7"/>
  <c r="AY28" i="7"/>
  <c r="AY223" i="7"/>
  <c r="AY29" i="7"/>
  <c r="AY224" i="7"/>
  <c r="AY30" i="7"/>
  <c r="AY225" i="7"/>
  <c r="AY31" i="7"/>
  <c r="AY226" i="7"/>
  <c r="AY32" i="7"/>
  <c r="AY227" i="7"/>
  <c r="AY33" i="7"/>
  <c r="AY228" i="7"/>
  <c r="AY34" i="7"/>
  <c r="AY229" i="7"/>
  <c r="AY35" i="7"/>
  <c r="AY230" i="7"/>
  <c r="AY36" i="7"/>
  <c r="AY231" i="7"/>
  <c r="AY37" i="7"/>
  <c r="AY232" i="7"/>
  <c r="AY38" i="7"/>
  <c r="AY233" i="7"/>
  <c r="AY39" i="7"/>
  <c r="AY234" i="7"/>
  <c r="AY40" i="7"/>
  <c r="AY235" i="7"/>
  <c r="AY41" i="7"/>
  <c r="AY236" i="7"/>
  <c r="AY42" i="7"/>
  <c r="AY237" i="7"/>
  <c r="BP101" i="10"/>
  <c r="BQ101" i="10"/>
  <c r="BR101" i="10"/>
  <c r="BS101" i="10"/>
  <c r="BT101" i="10"/>
  <c r="BU101" i="10"/>
  <c r="BV101" i="10"/>
  <c r="BW101" i="10"/>
  <c r="BX101" i="10"/>
  <c r="BY101" i="10"/>
  <c r="BZ101" i="10"/>
  <c r="CA101" i="10"/>
  <c r="CB101" i="10"/>
  <c r="CC101" i="10"/>
  <c r="CD101" i="10"/>
  <c r="CE101" i="10"/>
  <c r="CF101" i="10"/>
  <c r="CG101" i="10"/>
  <c r="CH101" i="10"/>
  <c r="BO101" i="10"/>
  <c r="BP92" i="10"/>
  <c r="BQ92" i="10"/>
  <c r="BR92" i="10"/>
  <c r="BS92" i="10"/>
  <c r="BT92" i="10"/>
  <c r="BU92" i="10"/>
  <c r="BV92" i="10"/>
  <c r="BW92" i="10"/>
  <c r="BX92" i="10"/>
  <c r="BY92" i="10"/>
  <c r="BZ92" i="10"/>
  <c r="CA92" i="10"/>
  <c r="CB92" i="10"/>
  <c r="CC92" i="10"/>
  <c r="CD92" i="10"/>
  <c r="CE92" i="10"/>
  <c r="CF92" i="10"/>
  <c r="CG92" i="10"/>
  <c r="CH92" i="10"/>
  <c r="BO92" i="10"/>
  <c r="BP83" i="10"/>
  <c r="BQ83" i="10"/>
  <c r="BR83" i="10"/>
  <c r="BS83" i="10"/>
  <c r="BT83" i="10"/>
  <c r="BU83" i="10"/>
  <c r="BV83" i="10"/>
  <c r="BW83" i="10"/>
  <c r="BX83" i="10"/>
  <c r="BY83" i="10"/>
  <c r="BZ83" i="10"/>
  <c r="CA83" i="10"/>
  <c r="CB83" i="10"/>
  <c r="CC83" i="10"/>
  <c r="CD83" i="10"/>
  <c r="CE83" i="10"/>
  <c r="CF83" i="10"/>
  <c r="CG83" i="10"/>
  <c r="CH83" i="10"/>
  <c r="BO83" i="10"/>
  <c r="BP74" i="10"/>
  <c r="BQ74" i="10"/>
  <c r="BR74" i="10"/>
  <c r="BS74" i="10"/>
  <c r="BT74" i="10"/>
  <c r="BU74" i="10"/>
  <c r="BV74" i="10"/>
  <c r="BW74" i="10"/>
  <c r="BX74" i="10"/>
  <c r="BY74" i="10"/>
  <c r="BZ74" i="10"/>
  <c r="CA74" i="10"/>
  <c r="CB74" i="10"/>
  <c r="CC74" i="10"/>
  <c r="CD74" i="10"/>
  <c r="CE74" i="10"/>
  <c r="CF74" i="10"/>
  <c r="CG74" i="10"/>
  <c r="CH74" i="10"/>
  <c r="BO74" i="10"/>
  <c r="BO65" i="10"/>
  <c r="BP65" i="10"/>
  <c r="BQ65" i="10"/>
  <c r="BR65" i="10"/>
  <c r="BS65" i="10"/>
  <c r="BT65" i="10"/>
  <c r="BU65" i="10"/>
  <c r="BV65" i="10"/>
  <c r="BW65" i="10"/>
  <c r="BX65" i="10"/>
  <c r="BY65" i="10"/>
  <c r="BZ65" i="10"/>
  <c r="CA65" i="10"/>
  <c r="CB65" i="10"/>
  <c r="CC65" i="10"/>
  <c r="CD65" i="10"/>
  <c r="CE65" i="10"/>
  <c r="CF65" i="10"/>
  <c r="CG65" i="10"/>
  <c r="CH65" i="10"/>
  <c r="BP56" i="10"/>
  <c r="BQ56" i="10"/>
  <c r="BR56" i="10"/>
  <c r="BS56" i="10"/>
  <c r="BT56" i="10"/>
  <c r="BU56" i="10"/>
  <c r="BV56" i="10"/>
  <c r="BW56" i="10"/>
  <c r="BX56" i="10"/>
  <c r="BY56" i="10"/>
  <c r="BZ56" i="10"/>
  <c r="CA56" i="10"/>
  <c r="CB56" i="10"/>
  <c r="CC56" i="10"/>
  <c r="CD56" i="10"/>
  <c r="CE56" i="10"/>
  <c r="CF56" i="10"/>
  <c r="CG56" i="10"/>
  <c r="CH56" i="10"/>
  <c r="BO56" i="10"/>
  <c r="BP47" i="10"/>
  <c r="BQ47" i="10"/>
  <c r="BR47" i="10"/>
  <c r="BS47" i="10"/>
  <c r="BT47" i="10"/>
  <c r="BU47" i="10"/>
  <c r="BV47" i="10"/>
  <c r="BW47" i="10"/>
  <c r="BX47" i="10"/>
  <c r="BY47" i="10"/>
  <c r="BZ47" i="10"/>
  <c r="CA47" i="10"/>
  <c r="CB47" i="10"/>
  <c r="CC47" i="10"/>
  <c r="CD47" i="10"/>
  <c r="CE47" i="10"/>
  <c r="CF47" i="10"/>
  <c r="CG47" i="10"/>
  <c r="CH47" i="10"/>
  <c r="BO47" i="10"/>
  <c r="BP38" i="10"/>
  <c r="BQ38" i="10"/>
  <c r="BR38" i="10"/>
  <c r="BS38" i="10"/>
  <c r="BT38" i="10"/>
  <c r="BU38" i="10"/>
  <c r="BV38" i="10"/>
  <c r="BW38" i="10"/>
  <c r="BX38" i="10"/>
  <c r="BY38" i="10"/>
  <c r="BZ38" i="10"/>
  <c r="CA38" i="10"/>
  <c r="CB38" i="10"/>
  <c r="CC38" i="10"/>
  <c r="CD38" i="10"/>
  <c r="CE38" i="10"/>
  <c r="CF38" i="10"/>
  <c r="CG38" i="10"/>
  <c r="CH38" i="10"/>
  <c r="BO38" i="10"/>
  <c r="BO29" i="10"/>
  <c r="BP29" i="10"/>
  <c r="BQ29" i="10"/>
  <c r="BR29" i="10"/>
  <c r="BS29" i="10"/>
  <c r="BT29" i="10"/>
  <c r="BU29" i="10"/>
  <c r="BV29" i="10"/>
  <c r="BW29" i="10"/>
  <c r="BX29" i="10"/>
  <c r="BY29" i="10"/>
  <c r="BZ29" i="10"/>
  <c r="CA29" i="10"/>
  <c r="CB29" i="10"/>
  <c r="CC29" i="10"/>
  <c r="CD29" i="10"/>
  <c r="CE29" i="10"/>
  <c r="CF29" i="10"/>
  <c r="CG29" i="10"/>
  <c r="CH29" i="10"/>
  <c r="BS4" i="7"/>
  <c r="BS7" i="7"/>
  <c r="BS5" i="7"/>
  <c r="BS10" i="7"/>
  <c r="BS8" i="7"/>
  <c r="BS11" i="7"/>
  <c r="BS9" i="7"/>
  <c r="BS14" i="7"/>
  <c r="BS12" i="7"/>
  <c r="BS15" i="7"/>
  <c r="BS13" i="7"/>
  <c r="BS18" i="7"/>
  <c r="BS16" i="7"/>
  <c r="BS19" i="7"/>
  <c r="BS17" i="7"/>
  <c r="BS22" i="7"/>
  <c r="BS20" i="7"/>
  <c r="BS23" i="7"/>
  <c r="BS21" i="7"/>
  <c r="BS24" i="7"/>
  <c r="BS25" i="7"/>
  <c r="BS26" i="7"/>
  <c r="BS27" i="7"/>
  <c r="BS28" i="7"/>
  <c r="BS29" i="7"/>
  <c r="BS30" i="7"/>
  <c r="BS31" i="7"/>
  <c r="BS32" i="7"/>
  <c r="BS33" i="7"/>
  <c r="BS34" i="7"/>
  <c r="BS35" i="7"/>
  <c r="BS36" i="7"/>
  <c r="BS37" i="7"/>
  <c r="BS38" i="7"/>
  <c r="BS39" i="7"/>
  <c r="BS40" i="7"/>
  <c r="BS41" i="7"/>
  <c r="BS42" i="7"/>
  <c r="BS43" i="7"/>
  <c r="BS44" i="7"/>
  <c r="BS45" i="7"/>
  <c r="BS46" i="7"/>
  <c r="BS47" i="7"/>
  <c r="BS48" i="7"/>
  <c r="BS49" i="7"/>
  <c r="BS50" i="7"/>
  <c r="BS51" i="7"/>
  <c r="BS52" i="7"/>
  <c r="BS53" i="7"/>
  <c r="BS54" i="7"/>
  <c r="BS55" i="7"/>
  <c r="BS56" i="7"/>
  <c r="BS57" i="7"/>
  <c r="BS58" i="7"/>
  <c r="BS59" i="7"/>
  <c r="BS60" i="7"/>
  <c r="BS61" i="7"/>
  <c r="BS62" i="7"/>
  <c r="BS63" i="7"/>
  <c r="BS6" i="7"/>
  <c r="T5" i="7"/>
  <c r="T6" i="7"/>
  <c r="T7" i="7"/>
  <c r="T8" i="7"/>
  <c r="T9" i="7"/>
  <c r="T10" i="7"/>
  <c r="T11" i="7"/>
  <c r="T12" i="7"/>
  <c r="T13" i="7"/>
  <c r="T14" i="7"/>
  <c r="T15" i="7"/>
  <c r="T16" i="7"/>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T1016" i="7"/>
  <c r="T1017" i="7"/>
  <c r="T1018" i="7"/>
  <c r="T1019" i="7"/>
  <c r="T1020" i="7"/>
  <c r="T1021" i="7"/>
  <c r="T1022" i="7"/>
  <c r="T1023" i="7"/>
  <c r="T1024" i="7"/>
  <c r="T1025" i="7"/>
  <c r="T1026" i="7"/>
  <c r="T1027" i="7"/>
  <c r="T1028" i="7"/>
  <c r="T1029" i="7"/>
  <c r="T1030" i="7"/>
  <c r="T1031" i="7"/>
  <c r="T1032" i="7"/>
  <c r="T1033" i="7"/>
  <c r="T1034" i="7"/>
  <c r="T1035" i="7"/>
  <c r="T1036" i="7"/>
  <c r="T1037" i="7"/>
  <c r="T1038" i="7"/>
  <c r="T1039" i="7"/>
  <c r="T1040" i="7"/>
  <c r="T1041" i="7"/>
  <c r="T1042" i="7"/>
  <c r="T1043" i="7"/>
  <c r="T1044" i="7"/>
  <c r="T1045" i="7"/>
  <c r="T1046" i="7"/>
  <c r="T1047" i="7"/>
  <c r="T1048" i="7"/>
  <c r="T1049" i="7"/>
  <c r="T1050" i="7"/>
  <c r="T1051" i="7"/>
  <c r="T1052" i="7"/>
  <c r="T1053" i="7"/>
  <c r="T1054" i="7"/>
  <c r="T1055" i="7"/>
  <c r="T1056" i="7"/>
  <c r="T1057" i="7"/>
  <c r="T1058" i="7"/>
  <c r="T1059" i="7"/>
  <c r="T1060" i="7"/>
  <c r="T1061" i="7"/>
  <c r="T1062" i="7"/>
  <c r="T1063" i="7"/>
  <c r="T1064" i="7"/>
  <c r="T1065" i="7"/>
  <c r="T1066" i="7"/>
  <c r="T1067" i="7"/>
  <c r="T1068" i="7"/>
  <c r="T1069" i="7"/>
  <c r="T1070" i="7"/>
  <c r="T1071" i="7"/>
  <c r="T1072" i="7"/>
  <c r="T1073" i="7"/>
  <c r="T1074" i="7"/>
  <c r="T1075" i="7"/>
  <c r="T1076" i="7"/>
  <c r="T1077" i="7"/>
  <c r="T1078" i="7"/>
  <c r="T1079" i="7"/>
  <c r="T1080" i="7"/>
  <c r="T1081" i="7"/>
  <c r="T1082" i="7"/>
  <c r="T1083" i="7"/>
  <c r="T1084" i="7"/>
  <c r="T1085" i="7"/>
  <c r="T1086" i="7"/>
  <c r="T1087" i="7"/>
  <c r="T1088" i="7"/>
  <c r="T1089" i="7"/>
  <c r="T1090" i="7"/>
  <c r="T1091" i="7"/>
  <c r="T1092" i="7"/>
  <c r="T1093" i="7"/>
  <c r="T1094" i="7"/>
  <c r="T1095" i="7"/>
  <c r="T1096" i="7"/>
  <c r="T1097" i="7"/>
  <c r="T1098" i="7"/>
  <c r="T1099" i="7"/>
  <c r="T1100" i="7"/>
  <c r="T1101" i="7"/>
  <c r="T1102" i="7"/>
  <c r="T1103" i="7"/>
  <c r="T1104" i="7"/>
  <c r="T1105" i="7"/>
  <c r="T1106" i="7"/>
  <c r="T1107" i="7"/>
  <c r="T1108" i="7"/>
  <c r="T1109" i="7"/>
  <c r="T1110" i="7"/>
  <c r="T1111" i="7"/>
  <c r="T1112" i="7"/>
  <c r="T1113" i="7"/>
  <c r="T1114" i="7"/>
  <c r="T1115" i="7"/>
  <c r="T1116" i="7"/>
  <c r="T1117" i="7"/>
  <c r="T1118" i="7"/>
  <c r="T1119" i="7"/>
  <c r="T1120" i="7"/>
  <c r="T1121" i="7"/>
  <c r="T1122" i="7"/>
  <c r="T1123" i="7"/>
  <c r="T1124" i="7"/>
  <c r="T1125" i="7"/>
  <c r="T1126" i="7"/>
  <c r="T1127" i="7"/>
  <c r="T1128" i="7"/>
  <c r="T1129" i="7"/>
  <c r="T1130" i="7"/>
  <c r="T1131" i="7"/>
  <c r="T1132" i="7"/>
  <c r="T1133" i="7"/>
  <c r="T1134" i="7"/>
  <c r="T1135" i="7"/>
  <c r="T1136" i="7"/>
  <c r="T1137" i="7"/>
  <c r="T1138" i="7"/>
  <c r="T1139" i="7"/>
  <c r="T1140" i="7"/>
  <c r="T1141" i="7"/>
  <c r="T1142" i="7"/>
  <c r="T1143" i="7"/>
  <c r="T1144" i="7"/>
  <c r="T1145" i="7"/>
  <c r="T1146" i="7"/>
  <c r="T1147" i="7"/>
  <c r="T1148" i="7"/>
  <c r="T1149" i="7"/>
  <c r="T1150" i="7"/>
  <c r="T1151" i="7"/>
  <c r="T1152" i="7"/>
  <c r="T1153" i="7"/>
  <c r="T1154" i="7"/>
  <c r="T1155" i="7"/>
  <c r="T1156" i="7"/>
  <c r="T1157" i="7"/>
  <c r="T1158" i="7"/>
  <c r="T1159" i="7"/>
  <c r="T1160" i="7"/>
  <c r="T1161" i="7"/>
  <c r="T1162" i="7"/>
  <c r="T1163" i="7"/>
  <c r="T1164" i="7"/>
  <c r="T1165" i="7"/>
  <c r="T1166" i="7"/>
  <c r="T1167" i="7"/>
  <c r="T1168" i="7"/>
  <c r="T1169" i="7"/>
  <c r="T1170" i="7"/>
  <c r="T1171" i="7"/>
  <c r="T1172" i="7"/>
  <c r="T1173" i="7"/>
  <c r="T1174" i="7"/>
  <c r="T1175" i="7"/>
  <c r="T1176" i="7"/>
  <c r="T1177" i="7"/>
  <c r="T1178" i="7"/>
  <c r="T1179" i="7"/>
  <c r="T1180" i="7"/>
  <c r="T1181" i="7"/>
  <c r="T1182" i="7"/>
  <c r="T1183" i="7"/>
  <c r="T1184" i="7"/>
  <c r="T1185" i="7"/>
  <c r="T1186" i="7"/>
  <c r="T1187" i="7"/>
  <c r="T1188" i="7"/>
  <c r="T1189" i="7"/>
  <c r="T1190" i="7"/>
  <c r="T1191" i="7"/>
  <c r="T1192" i="7"/>
  <c r="T1193" i="7"/>
  <c r="T1194" i="7"/>
  <c r="T1195" i="7"/>
  <c r="T1196" i="7"/>
  <c r="T1197" i="7"/>
  <c r="T1198" i="7"/>
  <c r="T1199" i="7"/>
  <c r="T1200" i="7"/>
  <c r="T1201" i="7"/>
  <c r="T1202" i="7"/>
  <c r="T1203" i="7"/>
  <c r="T1204" i="7"/>
  <c r="T1205" i="7"/>
  <c r="T1206" i="7"/>
  <c r="T1207" i="7"/>
  <c r="T1208" i="7"/>
  <c r="T1209" i="7"/>
  <c r="T1210" i="7"/>
  <c r="T1211" i="7"/>
  <c r="T1212" i="7"/>
  <c r="T1213" i="7"/>
  <c r="T1214" i="7"/>
  <c r="T1215" i="7"/>
  <c r="T1216" i="7"/>
  <c r="T1217" i="7"/>
  <c r="T1218" i="7"/>
  <c r="T1219" i="7"/>
  <c r="T1220" i="7"/>
  <c r="T1221" i="7"/>
  <c r="T1222" i="7"/>
  <c r="T1223" i="7"/>
  <c r="T1224" i="7"/>
  <c r="T1225" i="7"/>
  <c r="T1226" i="7"/>
  <c r="T1227" i="7"/>
  <c r="T1228" i="7"/>
  <c r="T1229" i="7"/>
  <c r="T1230" i="7"/>
  <c r="T1231" i="7"/>
  <c r="T1232" i="7"/>
  <c r="T1233" i="7"/>
  <c r="T1234" i="7"/>
  <c r="T1235" i="7"/>
  <c r="T1236" i="7"/>
  <c r="T1237" i="7"/>
  <c r="T1238" i="7"/>
  <c r="T1239" i="7"/>
  <c r="T1240" i="7"/>
  <c r="T1241" i="7"/>
  <c r="T1242" i="7"/>
  <c r="T1243" i="7"/>
  <c r="T1244" i="7"/>
  <c r="T1245" i="7"/>
  <c r="T1246" i="7"/>
  <c r="T1247" i="7"/>
  <c r="T1248" i="7"/>
  <c r="T1249" i="7"/>
  <c r="T1250" i="7"/>
  <c r="T1251" i="7"/>
  <c r="T1252" i="7"/>
  <c r="T1253" i="7"/>
  <c r="T1254" i="7"/>
  <c r="T1255" i="7"/>
  <c r="T1256" i="7"/>
  <c r="T1257" i="7"/>
  <c r="T1258" i="7"/>
  <c r="T1259" i="7"/>
  <c r="T1260" i="7"/>
  <c r="T1261" i="7"/>
  <c r="T1262" i="7"/>
  <c r="T1263" i="7"/>
  <c r="T1264" i="7"/>
  <c r="T1265" i="7"/>
  <c r="T1266" i="7"/>
  <c r="T1267" i="7"/>
  <c r="T1268" i="7"/>
  <c r="T1269" i="7"/>
  <c r="T1270" i="7"/>
  <c r="T1271" i="7"/>
  <c r="T1272" i="7"/>
  <c r="T1273" i="7"/>
  <c r="T1274" i="7"/>
  <c r="T1275" i="7"/>
  <c r="T1276" i="7"/>
  <c r="T1277" i="7"/>
  <c r="T1278" i="7"/>
  <c r="T1279" i="7"/>
  <c r="T1280" i="7"/>
  <c r="T1281" i="7"/>
  <c r="T1282" i="7"/>
  <c r="T1283" i="7"/>
  <c r="T1284" i="7"/>
  <c r="T1285" i="7"/>
  <c r="T1286" i="7"/>
  <c r="T1287" i="7"/>
  <c r="T1288" i="7"/>
  <c r="T1289" i="7"/>
  <c r="T1290" i="7"/>
  <c r="T1291" i="7"/>
  <c r="T1292" i="7"/>
  <c r="T1293" i="7"/>
  <c r="T1294" i="7"/>
  <c r="T1295" i="7"/>
  <c r="T1296" i="7"/>
  <c r="T1297" i="7"/>
  <c r="T1298" i="7"/>
  <c r="T1299" i="7"/>
  <c r="T1300" i="7"/>
  <c r="T1301" i="7"/>
  <c r="T1302" i="7"/>
  <c r="T1303" i="7"/>
  <c r="T1304" i="7"/>
  <c r="T1305" i="7"/>
  <c r="T1306" i="7"/>
  <c r="T1307" i="7"/>
  <c r="T1308" i="7"/>
  <c r="T1309" i="7"/>
  <c r="T1310" i="7"/>
  <c r="T1311" i="7"/>
  <c r="T1312" i="7"/>
  <c r="T1313" i="7"/>
  <c r="T1314" i="7"/>
  <c r="T1315" i="7"/>
  <c r="T1316" i="7"/>
  <c r="T1317" i="7"/>
  <c r="T1318" i="7"/>
  <c r="T1319" i="7"/>
  <c r="T1320" i="7"/>
  <c r="T1321" i="7"/>
  <c r="T1322" i="7"/>
  <c r="T1323" i="7"/>
  <c r="T1324" i="7"/>
  <c r="T1325" i="7"/>
  <c r="T1326" i="7"/>
  <c r="T1327" i="7"/>
  <c r="T1328" i="7"/>
  <c r="T1329" i="7"/>
  <c r="T1330" i="7"/>
  <c r="T1331" i="7"/>
  <c r="T1332" i="7"/>
  <c r="T1333" i="7"/>
  <c r="T1334" i="7"/>
  <c r="T1335" i="7"/>
  <c r="T1336" i="7"/>
  <c r="T1337" i="7"/>
  <c r="T1338" i="7"/>
  <c r="T1339" i="7"/>
  <c r="T1340" i="7"/>
  <c r="T1341" i="7"/>
  <c r="T1342" i="7"/>
  <c r="T1343" i="7"/>
  <c r="T1344" i="7"/>
  <c r="T1345" i="7"/>
  <c r="T1346" i="7"/>
  <c r="T1347" i="7"/>
  <c r="T1348" i="7"/>
  <c r="T1349" i="7"/>
  <c r="T1350" i="7"/>
  <c r="T1351" i="7"/>
  <c r="T1352" i="7"/>
  <c r="T1353" i="7"/>
  <c r="T1354" i="7"/>
  <c r="T1355" i="7"/>
  <c r="T1356" i="7"/>
  <c r="T1357" i="7"/>
  <c r="T1358" i="7"/>
  <c r="T1359" i="7"/>
  <c r="T1360" i="7"/>
  <c r="T1361" i="7"/>
  <c r="T1362" i="7"/>
  <c r="T1363" i="7"/>
  <c r="T1364" i="7"/>
  <c r="T1365" i="7"/>
  <c r="T1366" i="7"/>
  <c r="T1367" i="7"/>
  <c r="T1368" i="7"/>
  <c r="T1369" i="7"/>
  <c r="T1370" i="7"/>
  <c r="T1371" i="7"/>
  <c r="T1372" i="7"/>
  <c r="T1373" i="7"/>
  <c r="T1374" i="7"/>
  <c r="T1375" i="7"/>
  <c r="T1376" i="7"/>
  <c r="T1377" i="7"/>
  <c r="T1378" i="7"/>
  <c r="T1379" i="7"/>
  <c r="T1380" i="7"/>
  <c r="T1381" i="7"/>
  <c r="T1382" i="7"/>
  <c r="T1383" i="7"/>
  <c r="T1384" i="7"/>
  <c r="T1385" i="7"/>
  <c r="T1386" i="7"/>
  <c r="T1387" i="7"/>
  <c r="T1388" i="7"/>
  <c r="T1389" i="7"/>
  <c r="T1390" i="7"/>
  <c r="T1391" i="7"/>
  <c r="T1392" i="7"/>
  <c r="T1393" i="7"/>
  <c r="T1394" i="7"/>
  <c r="T1395" i="7"/>
  <c r="T1396" i="7"/>
  <c r="T1397" i="7"/>
  <c r="T1398" i="7"/>
  <c r="T1399" i="7"/>
  <c r="T1400" i="7"/>
  <c r="T1401" i="7"/>
  <c r="T1402" i="7"/>
  <c r="T1403" i="7"/>
  <c r="T1404" i="7"/>
  <c r="T1405" i="7"/>
  <c r="T1406" i="7"/>
  <c r="T1407" i="7"/>
  <c r="T1408" i="7"/>
  <c r="T1409" i="7"/>
  <c r="T1410" i="7"/>
  <c r="T1411" i="7"/>
  <c r="T1412" i="7"/>
  <c r="T1413" i="7"/>
  <c r="T1414" i="7"/>
  <c r="T1415" i="7"/>
  <c r="T1416" i="7"/>
  <c r="T1417" i="7"/>
  <c r="T1418" i="7"/>
  <c r="T1419" i="7"/>
  <c r="T1420" i="7"/>
  <c r="T1421" i="7"/>
  <c r="T1422" i="7"/>
  <c r="T1423" i="7"/>
  <c r="T1424" i="7"/>
  <c r="T1425" i="7"/>
  <c r="T1426" i="7"/>
  <c r="T1427" i="7"/>
  <c r="T1428" i="7"/>
  <c r="T1429" i="7"/>
  <c r="T1430" i="7"/>
  <c r="T1431" i="7"/>
  <c r="T1432" i="7"/>
  <c r="T1433" i="7"/>
  <c r="T1434" i="7"/>
  <c r="T1435" i="7"/>
  <c r="T1436" i="7"/>
  <c r="T1437" i="7"/>
  <c r="T1438" i="7"/>
  <c r="T1439" i="7"/>
  <c r="T1440" i="7"/>
  <c r="T1441" i="7"/>
  <c r="T1442" i="7"/>
  <c r="T1443" i="7"/>
  <c r="T1444" i="7"/>
  <c r="T1445" i="7"/>
  <c r="T1446" i="7"/>
  <c r="T1447" i="7"/>
  <c r="T1448" i="7"/>
  <c r="T1449" i="7"/>
  <c r="T1450" i="7"/>
  <c r="T1451" i="7"/>
  <c r="T1452" i="7"/>
  <c r="T1453" i="7"/>
  <c r="T1454" i="7"/>
  <c r="T1455" i="7"/>
  <c r="T1456" i="7"/>
  <c r="T1457" i="7"/>
  <c r="T1458" i="7"/>
  <c r="T1459" i="7"/>
  <c r="T1460" i="7"/>
  <c r="T1461" i="7"/>
  <c r="T1462" i="7"/>
  <c r="T1463" i="7"/>
  <c r="T1464" i="7"/>
  <c r="T1465" i="7"/>
  <c r="T1466" i="7"/>
  <c r="T1467" i="7"/>
  <c r="T1468" i="7"/>
  <c r="T1469" i="7"/>
  <c r="T1470" i="7"/>
  <c r="T1471" i="7"/>
  <c r="T1472" i="7"/>
  <c r="T1473" i="7"/>
  <c r="T1474" i="7"/>
  <c r="T1475" i="7"/>
  <c r="T1476" i="7"/>
  <c r="T1477" i="7"/>
  <c r="T1478" i="7"/>
  <c r="T1479" i="7"/>
  <c r="T1480" i="7"/>
  <c r="T1481" i="7"/>
  <c r="T1482" i="7"/>
  <c r="T1483" i="7"/>
  <c r="T1484" i="7"/>
  <c r="T1485" i="7"/>
  <c r="T1486" i="7"/>
  <c r="T1487" i="7"/>
  <c r="T1488" i="7"/>
  <c r="T1489" i="7"/>
  <c r="T1490" i="7"/>
  <c r="T1491" i="7"/>
  <c r="T1492" i="7"/>
  <c r="T1493" i="7"/>
  <c r="T1494" i="7"/>
  <c r="T1495" i="7"/>
  <c r="T1496" i="7"/>
  <c r="T1497" i="7"/>
  <c r="T1498" i="7"/>
  <c r="T1499" i="7"/>
  <c r="T1500" i="7"/>
  <c r="T1501" i="7"/>
  <c r="T1502" i="7"/>
  <c r="T1503" i="7"/>
  <c r="T1504" i="7"/>
  <c r="T1505" i="7"/>
  <c r="T1506" i="7"/>
  <c r="T1507" i="7"/>
  <c r="T1508" i="7"/>
  <c r="T1509" i="7"/>
  <c r="T1510" i="7"/>
  <c r="T1511" i="7"/>
  <c r="T1512" i="7"/>
  <c r="T1513" i="7"/>
  <c r="T1514" i="7"/>
  <c r="T1515" i="7"/>
  <c r="T1516" i="7"/>
  <c r="T1517" i="7"/>
  <c r="T1518" i="7"/>
  <c r="T1519" i="7"/>
  <c r="T1520" i="7"/>
  <c r="T1521" i="7"/>
  <c r="T1522" i="7"/>
  <c r="T1523" i="7"/>
  <c r="T1524" i="7"/>
  <c r="T1525" i="7"/>
  <c r="T1526" i="7"/>
  <c r="T1527" i="7"/>
  <c r="T1528" i="7"/>
  <c r="T1529" i="7"/>
  <c r="T1530" i="7"/>
  <c r="T1531" i="7"/>
  <c r="T1532" i="7"/>
  <c r="T1533" i="7"/>
  <c r="T1534" i="7"/>
  <c r="T1535" i="7"/>
  <c r="T1536" i="7"/>
  <c r="T1537" i="7"/>
  <c r="T1538" i="7"/>
  <c r="T1539" i="7"/>
  <c r="T1540" i="7"/>
  <c r="T1541" i="7"/>
  <c r="T1542" i="7"/>
  <c r="T1543" i="7"/>
  <c r="T1544" i="7"/>
  <c r="T1545" i="7"/>
  <c r="T1546" i="7"/>
  <c r="T1547" i="7"/>
  <c r="T1548" i="7"/>
  <c r="T1549" i="7"/>
  <c r="T1550" i="7"/>
  <c r="T1551" i="7"/>
  <c r="T1552" i="7"/>
  <c r="T1553" i="7"/>
  <c r="T1554" i="7"/>
  <c r="T1555" i="7"/>
  <c r="T1556" i="7"/>
  <c r="T1557" i="7"/>
  <c r="T1558" i="7"/>
  <c r="T1559" i="7"/>
  <c r="T1560" i="7"/>
  <c r="T1561" i="7"/>
  <c r="T1562" i="7"/>
  <c r="T1563" i="7"/>
  <c r="T1564" i="7"/>
  <c r="T1565" i="7"/>
  <c r="T1566" i="7"/>
  <c r="T1567" i="7"/>
  <c r="T1568" i="7"/>
  <c r="T1569" i="7"/>
  <c r="T1570" i="7"/>
  <c r="T1571" i="7"/>
  <c r="T1572" i="7"/>
  <c r="T1573" i="7"/>
  <c r="T1574" i="7"/>
  <c r="T1575" i="7"/>
  <c r="T1576" i="7"/>
  <c r="T1577" i="7"/>
  <c r="T1578" i="7"/>
  <c r="T1579" i="7"/>
  <c r="T1580" i="7"/>
  <c r="T1581" i="7"/>
  <c r="T1582" i="7"/>
  <c r="T1583" i="7"/>
  <c r="T1584" i="7"/>
  <c r="T1585" i="7"/>
  <c r="T1586" i="7"/>
  <c r="T1587" i="7"/>
  <c r="T1588" i="7"/>
  <c r="T1589" i="7"/>
  <c r="T1590" i="7"/>
  <c r="T1591" i="7"/>
  <c r="T1592" i="7"/>
  <c r="T1593" i="7"/>
  <c r="T1594" i="7"/>
  <c r="T1595" i="7"/>
  <c r="T1596" i="7"/>
  <c r="T1597" i="7"/>
  <c r="T1598" i="7"/>
  <c r="T1599" i="7"/>
  <c r="T1600" i="7"/>
  <c r="T1601" i="7"/>
  <c r="T1602" i="7"/>
  <c r="T1603" i="7"/>
  <c r="T1604" i="7"/>
  <c r="T1605" i="7"/>
  <c r="T1606" i="7"/>
  <c r="T1607" i="7"/>
  <c r="T1608" i="7"/>
  <c r="T1609" i="7"/>
  <c r="T1610" i="7"/>
  <c r="T1611" i="7"/>
  <c r="T1612" i="7"/>
  <c r="T1613" i="7"/>
  <c r="T1614" i="7"/>
  <c r="T1615" i="7"/>
  <c r="T1616" i="7"/>
  <c r="T1617" i="7"/>
  <c r="T1618" i="7"/>
  <c r="T1619" i="7"/>
  <c r="T1620" i="7"/>
  <c r="T1621" i="7"/>
  <c r="T1622" i="7"/>
  <c r="T1623" i="7"/>
  <c r="T1624" i="7"/>
  <c r="T1625" i="7"/>
  <c r="T1626" i="7"/>
  <c r="T1627" i="7"/>
  <c r="T1628" i="7"/>
  <c r="T1629" i="7"/>
  <c r="T1630" i="7"/>
  <c r="T1631" i="7"/>
  <c r="T1632" i="7"/>
  <c r="T1633" i="7"/>
  <c r="T1634" i="7"/>
  <c r="T1635" i="7"/>
  <c r="T1636" i="7"/>
  <c r="T1637" i="7"/>
  <c r="T1638" i="7"/>
  <c r="T1639" i="7"/>
  <c r="T1640" i="7"/>
  <c r="T1641" i="7"/>
  <c r="T1642" i="7"/>
  <c r="T1643" i="7"/>
  <c r="T1644" i="7"/>
  <c r="T1645" i="7"/>
  <c r="T1646" i="7"/>
  <c r="T1647" i="7"/>
  <c r="T1648" i="7"/>
  <c r="T1649" i="7"/>
  <c r="T1650" i="7"/>
  <c r="T1651" i="7"/>
  <c r="T1652" i="7"/>
  <c r="T1653" i="7"/>
  <c r="T1654" i="7"/>
  <c r="T1655" i="7"/>
  <c r="T1656" i="7"/>
  <c r="T1657" i="7"/>
  <c r="T1658" i="7"/>
  <c r="T1659" i="7"/>
  <c r="T1660" i="7"/>
  <c r="T1661" i="7"/>
  <c r="T1662" i="7"/>
  <c r="T1663" i="7"/>
  <c r="T1664" i="7"/>
  <c r="T1665" i="7"/>
  <c r="T1666" i="7"/>
  <c r="T1667" i="7"/>
  <c r="T1668" i="7"/>
  <c r="T1669" i="7"/>
  <c r="T1670" i="7"/>
  <c r="T1671" i="7"/>
  <c r="T1672" i="7"/>
  <c r="T1673" i="7"/>
  <c r="T1674" i="7"/>
  <c r="T1675" i="7"/>
  <c r="T1676" i="7"/>
  <c r="T1677" i="7"/>
  <c r="T1678" i="7"/>
  <c r="T1679" i="7"/>
  <c r="T1680" i="7"/>
  <c r="T1681" i="7"/>
  <c r="T1682" i="7"/>
  <c r="T1683" i="7"/>
  <c r="T1684" i="7"/>
  <c r="T1685" i="7"/>
  <c r="T1686" i="7"/>
  <c r="T1687" i="7"/>
  <c r="T1688" i="7"/>
  <c r="T1689" i="7"/>
  <c r="T1690" i="7"/>
  <c r="T1691" i="7"/>
  <c r="T1692" i="7"/>
  <c r="T1693" i="7"/>
  <c r="T1694" i="7"/>
  <c r="T1695" i="7"/>
  <c r="T1696" i="7"/>
  <c r="T1697" i="7"/>
  <c r="T1698" i="7"/>
  <c r="T1699" i="7"/>
  <c r="T1700" i="7"/>
  <c r="T1701" i="7"/>
  <c r="T1702" i="7"/>
  <c r="T1703" i="7"/>
  <c r="T1704" i="7"/>
  <c r="T1705" i="7"/>
  <c r="T1706" i="7"/>
  <c r="T1707" i="7"/>
  <c r="T1708" i="7"/>
  <c r="T1709" i="7"/>
  <c r="T1710" i="7"/>
  <c r="T1711" i="7"/>
  <c r="T1712" i="7"/>
  <c r="T1713" i="7"/>
  <c r="T1714" i="7"/>
  <c r="T1715" i="7"/>
  <c r="T1716" i="7"/>
  <c r="T1717" i="7"/>
  <c r="T1718" i="7"/>
  <c r="T1719" i="7"/>
  <c r="T1720" i="7"/>
  <c r="T1721" i="7"/>
  <c r="T1722" i="7"/>
  <c r="T1723" i="7"/>
  <c r="T1724" i="7"/>
  <c r="T1725" i="7"/>
  <c r="T1726" i="7"/>
  <c r="T1727" i="7"/>
  <c r="T1728" i="7"/>
  <c r="T1729" i="7"/>
  <c r="T1730" i="7"/>
  <c r="T1731" i="7"/>
  <c r="T1732" i="7"/>
  <c r="T1733" i="7"/>
  <c r="T1734" i="7"/>
  <c r="T1735" i="7"/>
  <c r="T1736" i="7"/>
  <c r="T1737" i="7"/>
  <c r="T1738" i="7"/>
  <c r="T1739" i="7"/>
  <c r="T1740" i="7"/>
  <c r="T1741" i="7"/>
  <c r="T1742" i="7"/>
  <c r="T1743" i="7"/>
  <c r="T1744" i="7"/>
  <c r="T1745" i="7"/>
  <c r="T1746" i="7"/>
  <c r="T1747" i="7"/>
  <c r="T1748" i="7"/>
  <c r="T1749" i="7"/>
  <c r="T1750" i="7"/>
  <c r="T1751" i="7"/>
  <c r="T1752" i="7"/>
  <c r="T1753" i="7"/>
  <c r="T1754" i="7"/>
  <c r="T1755" i="7"/>
  <c r="T1756" i="7"/>
  <c r="T1757" i="7"/>
  <c r="T1758" i="7"/>
  <c r="T1759" i="7"/>
  <c r="T1760" i="7"/>
  <c r="T1761" i="7"/>
  <c r="T1762" i="7"/>
  <c r="T1763" i="7"/>
  <c r="T1764" i="7"/>
  <c r="T1765" i="7"/>
  <c r="T1766" i="7"/>
  <c r="T1767" i="7"/>
  <c r="T1768" i="7"/>
  <c r="T1769" i="7"/>
  <c r="T1770" i="7"/>
  <c r="T1771" i="7"/>
  <c r="T1772" i="7"/>
  <c r="T1773" i="7"/>
  <c r="T1774" i="7"/>
  <c r="T1775" i="7"/>
  <c r="T1776" i="7"/>
  <c r="T1777" i="7"/>
  <c r="T1778" i="7"/>
  <c r="T1779" i="7"/>
  <c r="T1780" i="7"/>
  <c r="T1781" i="7"/>
  <c r="T1782" i="7"/>
  <c r="T1783" i="7"/>
  <c r="T1784" i="7"/>
  <c r="T1785" i="7"/>
  <c r="T1786" i="7"/>
  <c r="T1787" i="7"/>
  <c r="T1788" i="7"/>
  <c r="T1789" i="7"/>
  <c r="T1790" i="7"/>
  <c r="T1791" i="7"/>
  <c r="T1792" i="7"/>
  <c r="T1793" i="7"/>
  <c r="T1794" i="7"/>
  <c r="T1795" i="7"/>
  <c r="T1796" i="7"/>
  <c r="T1797" i="7"/>
  <c r="T1798" i="7"/>
  <c r="T1799" i="7"/>
  <c r="T1800" i="7"/>
  <c r="T1801" i="7"/>
  <c r="T1802" i="7"/>
  <c r="T1803" i="7"/>
  <c r="T1804" i="7"/>
  <c r="T1805" i="7"/>
  <c r="T1806" i="7"/>
  <c r="T1807" i="7"/>
  <c r="T1808" i="7"/>
  <c r="T1809" i="7"/>
  <c r="T1810" i="7"/>
  <c r="T1811" i="7"/>
  <c r="T1812" i="7"/>
  <c r="T1813" i="7"/>
  <c r="T1814" i="7"/>
  <c r="T1815" i="7"/>
  <c r="T1816" i="7"/>
  <c r="T1817" i="7"/>
  <c r="T1818" i="7"/>
  <c r="T1819" i="7"/>
  <c r="T1820" i="7"/>
  <c r="T1821" i="7"/>
  <c r="T1822" i="7"/>
  <c r="T1823" i="7"/>
  <c r="T1824" i="7"/>
  <c r="T1825" i="7"/>
  <c r="T1826" i="7"/>
  <c r="T1827" i="7"/>
  <c r="T1828" i="7"/>
  <c r="T1829" i="7"/>
  <c r="T1830" i="7"/>
  <c r="T1831" i="7"/>
  <c r="T1832" i="7"/>
  <c r="T1833" i="7"/>
  <c r="T1834" i="7"/>
  <c r="T1835" i="7"/>
  <c r="T1836" i="7"/>
  <c r="T1837" i="7"/>
  <c r="T1838" i="7"/>
  <c r="T1839" i="7"/>
  <c r="T1840" i="7"/>
  <c r="T1841" i="7"/>
  <c r="T1842" i="7"/>
  <c r="T1843" i="7"/>
  <c r="T1844" i="7"/>
  <c r="T1845" i="7"/>
  <c r="T1846" i="7"/>
  <c r="T1847" i="7"/>
  <c r="T1848" i="7"/>
  <c r="T1849" i="7"/>
  <c r="T1850" i="7"/>
  <c r="T1851" i="7"/>
  <c r="T1852" i="7"/>
  <c r="T1853" i="7"/>
  <c r="T1854" i="7"/>
  <c r="T1855" i="7"/>
  <c r="T1856" i="7"/>
  <c r="T1857" i="7"/>
  <c r="T1858" i="7"/>
  <c r="T1859" i="7"/>
  <c r="T1860" i="7"/>
  <c r="T1861" i="7"/>
  <c r="T1862" i="7"/>
  <c r="T1863" i="7"/>
  <c r="T1864" i="7"/>
  <c r="T1865" i="7"/>
  <c r="T1866" i="7"/>
  <c r="T1867" i="7"/>
  <c r="T1868" i="7"/>
  <c r="T1869" i="7"/>
  <c r="T1870" i="7"/>
  <c r="T1871" i="7"/>
  <c r="T1872" i="7"/>
  <c r="T1873" i="7"/>
  <c r="T1874" i="7"/>
  <c r="T1875" i="7"/>
  <c r="T1876" i="7"/>
  <c r="T1877" i="7"/>
  <c r="T1878" i="7"/>
  <c r="T1879" i="7"/>
  <c r="T1880" i="7"/>
  <c r="T1881" i="7"/>
  <c r="T1882" i="7"/>
  <c r="T1883" i="7"/>
  <c r="T1884" i="7"/>
  <c r="T1885" i="7"/>
  <c r="T1886" i="7"/>
  <c r="T1887" i="7"/>
  <c r="T1888" i="7"/>
  <c r="T1889" i="7"/>
  <c r="T1890" i="7"/>
  <c r="T1891" i="7"/>
  <c r="T1892" i="7"/>
  <c r="T1893" i="7"/>
  <c r="T1894" i="7"/>
  <c r="T1895" i="7"/>
  <c r="T1896" i="7"/>
  <c r="T1897" i="7"/>
  <c r="T1898" i="7"/>
  <c r="T1899" i="7"/>
  <c r="T1900" i="7"/>
  <c r="T1901" i="7"/>
  <c r="T1902" i="7"/>
  <c r="T1903" i="7"/>
  <c r="T1904" i="7"/>
  <c r="T1905" i="7"/>
  <c r="T1906" i="7"/>
  <c r="T1907" i="7"/>
  <c r="T1908" i="7"/>
  <c r="T1909" i="7"/>
  <c r="T1910" i="7"/>
  <c r="T1911" i="7"/>
  <c r="T1912" i="7"/>
  <c r="T1913" i="7"/>
  <c r="T1914" i="7"/>
  <c r="T1915" i="7"/>
  <c r="T1916" i="7"/>
  <c r="T1917" i="7"/>
  <c r="T1918" i="7"/>
  <c r="T1919" i="7"/>
  <c r="T1920" i="7"/>
  <c r="T1921" i="7"/>
  <c r="T1922" i="7"/>
  <c r="T1923" i="7"/>
  <c r="T1924" i="7"/>
  <c r="T1925" i="7"/>
  <c r="T1926" i="7"/>
  <c r="T1927" i="7"/>
  <c r="T1928" i="7"/>
  <c r="T1929" i="7"/>
  <c r="T1930" i="7"/>
  <c r="T1931" i="7"/>
  <c r="T1932" i="7"/>
  <c r="T1933" i="7"/>
  <c r="T1934" i="7"/>
  <c r="T1935" i="7"/>
  <c r="T1936" i="7"/>
  <c r="T1937" i="7"/>
  <c r="T1938" i="7"/>
  <c r="T1939" i="7"/>
  <c r="T1940" i="7"/>
  <c r="T1941" i="7"/>
  <c r="T1942" i="7"/>
  <c r="T1943" i="7"/>
  <c r="T1944" i="7"/>
  <c r="T1945" i="7"/>
  <c r="T1946" i="7"/>
  <c r="T1947" i="7"/>
  <c r="T1948" i="7"/>
  <c r="T1949" i="7"/>
  <c r="T1950" i="7"/>
  <c r="T1951" i="7"/>
  <c r="T1952" i="7"/>
  <c r="T1953" i="7"/>
  <c r="T1954" i="7"/>
  <c r="T1955" i="7"/>
  <c r="T1956" i="7"/>
  <c r="T1957" i="7"/>
  <c r="T1958" i="7"/>
  <c r="T1959" i="7"/>
  <c r="T1960" i="7"/>
  <c r="T1961" i="7"/>
  <c r="T1962" i="7"/>
  <c r="T1963" i="7"/>
  <c r="T1964" i="7"/>
  <c r="T1965" i="7"/>
  <c r="T1966" i="7"/>
  <c r="T1967" i="7"/>
  <c r="T1968" i="7"/>
  <c r="T1969" i="7"/>
  <c r="T1970" i="7"/>
  <c r="T1971" i="7"/>
  <c r="T1972" i="7"/>
  <c r="T1973" i="7"/>
  <c r="T1974" i="7"/>
  <c r="T1975" i="7"/>
  <c r="T1976" i="7"/>
  <c r="T1977" i="7"/>
  <c r="T1978" i="7"/>
  <c r="T1979" i="7"/>
  <c r="T1980" i="7"/>
  <c r="T1981" i="7"/>
  <c r="T1982" i="7"/>
  <c r="T1983" i="7"/>
  <c r="T1984" i="7"/>
  <c r="T1985" i="7"/>
  <c r="T1986" i="7"/>
  <c r="T1987" i="7"/>
  <c r="T1988" i="7"/>
  <c r="T1989" i="7"/>
  <c r="T1990" i="7"/>
  <c r="T1991" i="7"/>
  <c r="T1992" i="7"/>
  <c r="T1993" i="7"/>
  <c r="T1994" i="7"/>
  <c r="T1995" i="7"/>
  <c r="T1996" i="7"/>
  <c r="T1997" i="7"/>
  <c r="T1998" i="7"/>
  <c r="T1999" i="7"/>
  <c r="T2000" i="7"/>
  <c r="T2001" i="7"/>
  <c r="T2002" i="7"/>
  <c r="T2003" i="7"/>
  <c r="T2004" i="7"/>
  <c r="T2005" i="7"/>
  <c r="T2006" i="7"/>
  <c r="T2007" i="7"/>
  <c r="T2008" i="7"/>
  <c r="T2009" i="7"/>
  <c r="T2010" i="7"/>
  <c r="T2011" i="7"/>
  <c r="T2012" i="7"/>
  <c r="T2013" i="7"/>
  <c r="T2014" i="7"/>
  <c r="T2015" i="7"/>
  <c r="T2016" i="7"/>
  <c r="T2017" i="7"/>
  <c r="T2018" i="7"/>
  <c r="T2019" i="7"/>
  <c r="T2020" i="7"/>
  <c r="T2021" i="7"/>
  <c r="T2022" i="7"/>
  <c r="T2023" i="7"/>
  <c r="T2024" i="7"/>
  <c r="T2025" i="7"/>
  <c r="T2026" i="7"/>
  <c r="T2027" i="7"/>
  <c r="T2028" i="7"/>
  <c r="T2029" i="7"/>
  <c r="T2030" i="7"/>
  <c r="T2031" i="7"/>
  <c r="T2032" i="7"/>
  <c r="T2033" i="7"/>
  <c r="T2034" i="7"/>
  <c r="T2035" i="7"/>
  <c r="T2036" i="7"/>
  <c r="T2037" i="7"/>
  <c r="T2038" i="7"/>
  <c r="T2039" i="7"/>
  <c r="T2040" i="7"/>
  <c r="T2041" i="7"/>
  <c r="T2042" i="7"/>
  <c r="T2043" i="7"/>
  <c r="T2044" i="7"/>
  <c r="T2045" i="7"/>
  <c r="T2046" i="7"/>
  <c r="T2047" i="7"/>
  <c r="T2048" i="7"/>
  <c r="T2049" i="7"/>
  <c r="T2050" i="7"/>
  <c r="T2051" i="7"/>
  <c r="T2052" i="7"/>
  <c r="T2053" i="7"/>
  <c r="T2054" i="7"/>
  <c r="T2055" i="7"/>
  <c r="T2056" i="7"/>
  <c r="T2057" i="7"/>
  <c r="T2058" i="7"/>
  <c r="T2059" i="7"/>
  <c r="T2060" i="7"/>
  <c r="T2061" i="7"/>
  <c r="T2062" i="7"/>
  <c r="T2063" i="7"/>
  <c r="T2064" i="7"/>
  <c r="T2065" i="7"/>
  <c r="T2066" i="7"/>
  <c r="T2067" i="7"/>
  <c r="T2068" i="7"/>
  <c r="T2069" i="7"/>
  <c r="T2070" i="7"/>
  <c r="T2071" i="7"/>
  <c r="T2072" i="7"/>
  <c r="T2073" i="7"/>
  <c r="T2074" i="7"/>
  <c r="T2075" i="7"/>
  <c r="T2076" i="7"/>
  <c r="T2077" i="7"/>
  <c r="T2078" i="7"/>
  <c r="T2079" i="7"/>
  <c r="T2080" i="7"/>
  <c r="T2081" i="7"/>
  <c r="T2082" i="7"/>
  <c r="T2083" i="7"/>
  <c r="T2084" i="7"/>
  <c r="T2085" i="7"/>
  <c r="T2086" i="7"/>
  <c r="T2087" i="7"/>
  <c r="T2088" i="7"/>
  <c r="T2089" i="7"/>
  <c r="T2090" i="7"/>
  <c r="T2091" i="7"/>
  <c r="T2092" i="7"/>
  <c r="T2093" i="7"/>
  <c r="T2094" i="7"/>
  <c r="T2095" i="7"/>
  <c r="T2096" i="7"/>
  <c r="T2097" i="7"/>
  <c r="T2098" i="7"/>
  <c r="T2099" i="7"/>
  <c r="T2100" i="7"/>
  <c r="T2101" i="7"/>
  <c r="T2102" i="7"/>
  <c r="T2103" i="7"/>
  <c r="T2104" i="7"/>
  <c r="T2105" i="7"/>
  <c r="T2106" i="7"/>
  <c r="T2107" i="7"/>
  <c r="T2108" i="7"/>
  <c r="T2109" i="7"/>
  <c r="T2110" i="7"/>
  <c r="T2111" i="7"/>
  <c r="T2112" i="7"/>
  <c r="T2113" i="7"/>
  <c r="T2114" i="7"/>
  <c r="T2115" i="7"/>
  <c r="T2116" i="7"/>
  <c r="T2117" i="7"/>
  <c r="T2118" i="7"/>
  <c r="T2119" i="7"/>
  <c r="T2120" i="7"/>
  <c r="T2121" i="7"/>
  <c r="T2122" i="7"/>
  <c r="T2123" i="7"/>
  <c r="T2124" i="7"/>
  <c r="T2125" i="7"/>
  <c r="T2126" i="7"/>
  <c r="T2127" i="7"/>
  <c r="T2128" i="7"/>
  <c r="T2129" i="7"/>
  <c r="T2130" i="7"/>
  <c r="T2131" i="7"/>
  <c r="T2132" i="7"/>
  <c r="T2133" i="7"/>
  <c r="T2134" i="7"/>
  <c r="T2135" i="7"/>
  <c r="T2136" i="7"/>
  <c r="T2137" i="7"/>
  <c r="T2138" i="7"/>
  <c r="T2139" i="7"/>
  <c r="T2140" i="7"/>
  <c r="T2141" i="7"/>
  <c r="T2142" i="7"/>
  <c r="T2143" i="7"/>
  <c r="T2144" i="7"/>
  <c r="T2145" i="7"/>
  <c r="T2146" i="7"/>
  <c r="T2147" i="7"/>
  <c r="T2148" i="7"/>
  <c r="T2149" i="7"/>
  <c r="T2150" i="7"/>
  <c r="T2151" i="7"/>
  <c r="T2152" i="7"/>
  <c r="T2153" i="7"/>
  <c r="T2154" i="7"/>
  <c r="T2155" i="7"/>
  <c r="T2156" i="7"/>
  <c r="T2157" i="7"/>
  <c r="T2158" i="7"/>
  <c r="T2159" i="7"/>
  <c r="T2160" i="7"/>
  <c r="T2161" i="7"/>
  <c r="T2162" i="7"/>
  <c r="T2163" i="7"/>
  <c r="T2164" i="7"/>
  <c r="T2165" i="7"/>
  <c r="T2166" i="7"/>
  <c r="T2167" i="7"/>
  <c r="T2168" i="7"/>
  <c r="T2169" i="7"/>
  <c r="T2170" i="7"/>
  <c r="T2171" i="7"/>
  <c r="T2172" i="7"/>
  <c r="T2173" i="7"/>
  <c r="T2174" i="7"/>
  <c r="T2175" i="7"/>
  <c r="T2176" i="7"/>
  <c r="T2177" i="7"/>
  <c r="T2178" i="7"/>
  <c r="T2179" i="7"/>
  <c r="T2180" i="7"/>
  <c r="T2181" i="7"/>
  <c r="T2182" i="7"/>
  <c r="T2183" i="7"/>
  <c r="T2184" i="7"/>
  <c r="T2185" i="7"/>
  <c r="T2186" i="7"/>
  <c r="T2187" i="7"/>
  <c r="T2188" i="7"/>
  <c r="T2189" i="7"/>
  <c r="T2190" i="7"/>
  <c r="T2191" i="7"/>
  <c r="T2192" i="7"/>
  <c r="T2193" i="7"/>
  <c r="T2194" i="7"/>
  <c r="T2195" i="7"/>
  <c r="T2196" i="7"/>
  <c r="T2197" i="7"/>
  <c r="T2198" i="7"/>
  <c r="T2199" i="7"/>
  <c r="T2200" i="7"/>
  <c r="T2201" i="7"/>
  <c r="T2202" i="7"/>
  <c r="T2203" i="7"/>
  <c r="T2204" i="7"/>
  <c r="T2205" i="7"/>
  <c r="T2206" i="7"/>
  <c r="T2207" i="7"/>
  <c r="T2208" i="7"/>
  <c r="T2209" i="7"/>
  <c r="T2210" i="7"/>
  <c r="T2211" i="7"/>
  <c r="T2212" i="7"/>
  <c r="T2213" i="7"/>
  <c r="T2214" i="7"/>
  <c r="T2215" i="7"/>
  <c r="T2216" i="7"/>
  <c r="T2217" i="7"/>
  <c r="T2218" i="7"/>
  <c r="T2219" i="7"/>
  <c r="T2220" i="7"/>
  <c r="T2221" i="7"/>
  <c r="T2222" i="7"/>
  <c r="T2223" i="7"/>
  <c r="T2224" i="7"/>
  <c r="T2225" i="7"/>
  <c r="T2226" i="7"/>
  <c r="T2227" i="7"/>
  <c r="T2228" i="7"/>
  <c r="T2229" i="7"/>
  <c r="T2230" i="7"/>
  <c r="T2231" i="7"/>
  <c r="T2232" i="7"/>
  <c r="T2233" i="7"/>
  <c r="T2234" i="7"/>
  <c r="T2235" i="7"/>
  <c r="T2236" i="7"/>
  <c r="T2237" i="7"/>
  <c r="T2238" i="7"/>
  <c r="T2239" i="7"/>
  <c r="T2240" i="7"/>
  <c r="T2241" i="7"/>
  <c r="T2242" i="7"/>
  <c r="T2243" i="7"/>
  <c r="T2244" i="7"/>
  <c r="T2245" i="7"/>
  <c r="T2246" i="7"/>
  <c r="T2247" i="7"/>
  <c r="T2248" i="7"/>
  <c r="T2249" i="7"/>
  <c r="T2250" i="7"/>
  <c r="T2251" i="7"/>
  <c r="T2252" i="7"/>
  <c r="T2253" i="7"/>
  <c r="T2254" i="7"/>
  <c r="T2255" i="7"/>
  <c r="T2256" i="7"/>
  <c r="T2257" i="7"/>
  <c r="T2258" i="7"/>
  <c r="T2259" i="7"/>
  <c r="T2260" i="7"/>
  <c r="T2261" i="7"/>
  <c r="T2262" i="7"/>
  <c r="T2263" i="7"/>
  <c r="T2264" i="7"/>
  <c r="T2265" i="7"/>
  <c r="T2266" i="7"/>
  <c r="T2267" i="7"/>
  <c r="T2268" i="7"/>
  <c r="T2269" i="7"/>
  <c r="T2270" i="7"/>
  <c r="T2271" i="7"/>
  <c r="T2272" i="7"/>
  <c r="T2273" i="7"/>
  <c r="T2274" i="7"/>
  <c r="T2275" i="7"/>
  <c r="T2276" i="7"/>
  <c r="T2277" i="7"/>
  <c r="T2278" i="7"/>
  <c r="T2279" i="7"/>
  <c r="T2280" i="7"/>
  <c r="T2281" i="7"/>
  <c r="T2282" i="7"/>
  <c r="T2283" i="7"/>
  <c r="T2284" i="7"/>
  <c r="T2285" i="7"/>
  <c r="T2286" i="7"/>
  <c r="T2287" i="7"/>
  <c r="T2288" i="7"/>
  <c r="T2289" i="7"/>
  <c r="T2290" i="7"/>
  <c r="T2291" i="7"/>
  <c r="T2292" i="7"/>
  <c r="T2293" i="7"/>
  <c r="T2294" i="7"/>
  <c r="T2295" i="7"/>
  <c r="T2296" i="7"/>
  <c r="T2297" i="7"/>
  <c r="T2298" i="7"/>
  <c r="T2299" i="7"/>
  <c r="T2300" i="7"/>
  <c r="T2301" i="7"/>
  <c r="T2302" i="7"/>
  <c r="T2303" i="7"/>
  <c r="T2304" i="7"/>
  <c r="T2305" i="7"/>
  <c r="T2306" i="7"/>
  <c r="T2307" i="7"/>
  <c r="T2308" i="7"/>
  <c r="T2309" i="7"/>
  <c r="T2310" i="7"/>
  <c r="T2311" i="7"/>
  <c r="T2312" i="7"/>
  <c r="T2313" i="7"/>
  <c r="T2314" i="7"/>
  <c r="T2315" i="7"/>
  <c r="T2316" i="7"/>
  <c r="T2317" i="7"/>
  <c r="T2318" i="7"/>
  <c r="T2319" i="7"/>
  <c r="T2320" i="7"/>
  <c r="T2321" i="7"/>
  <c r="T2322" i="7"/>
  <c r="T2323" i="7"/>
  <c r="T2324" i="7"/>
  <c r="T2325" i="7"/>
  <c r="T2326" i="7"/>
  <c r="T2327" i="7"/>
  <c r="T2328" i="7"/>
  <c r="T2329" i="7"/>
  <c r="T2330" i="7"/>
  <c r="T2331" i="7"/>
  <c r="T2332" i="7"/>
  <c r="T2333" i="7"/>
  <c r="T2334" i="7"/>
  <c r="T2335" i="7"/>
  <c r="T2336" i="7"/>
  <c r="T2337" i="7"/>
  <c r="T2338" i="7"/>
  <c r="T2339" i="7"/>
  <c r="T2340" i="7"/>
  <c r="T2341" i="7"/>
  <c r="T2342" i="7"/>
  <c r="T2343" i="7"/>
  <c r="T2344" i="7"/>
  <c r="T2345" i="7"/>
  <c r="T2346" i="7"/>
  <c r="T2347" i="7"/>
  <c r="T2348" i="7"/>
  <c r="T2349" i="7"/>
  <c r="T2350" i="7"/>
  <c r="T2351" i="7"/>
  <c r="T2352" i="7"/>
  <c r="T2353" i="7"/>
  <c r="T2354" i="7"/>
  <c r="T2355" i="7"/>
  <c r="T2356" i="7"/>
  <c r="T2357" i="7"/>
  <c r="T2358" i="7"/>
  <c r="T2359" i="7"/>
  <c r="T2360" i="7"/>
  <c r="T2361" i="7"/>
  <c r="T2362" i="7"/>
  <c r="T2363" i="7"/>
  <c r="T2364" i="7"/>
  <c r="T2365" i="7"/>
  <c r="T2366" i="7"/>
  <c r="T2367" i="7"/>
  <c r="T2368" i="7"/>
  <c r="T2369" i="7"/>
  <c r="T2370" i="7"/>
  <c r="T2371" i="7"/>
  <c r="T2372" i="7"/>
  <c r="T2373" i="7"/>
  <c r="T2374" i="7"/>
  <c r="T2375" i="7"/>
  <c r="T2376" i="7"/>
  <c r="T2377" i="7"/>
  <c r="T2378" i="7"/>
  <c r="T2379" i="7"/>
  <c r="T2380" i="7"/>
  <c r="T2381" i="7"/>
  <c r="T2382" i="7"/>
  <c r="T2383" i="7"/>
  <c r="T2384" i="7"/>
  <c r="T2385" i="7"/>
  <c r="T2386" i="7"/>
  <c r="T2387" i="7"/>
  <c r="T2388" i="7"/>
  <c r="T2389" i="7"/>
  <c r="T2390" i="7"/>
  <c r="T2391" i="7"/>
  <c r="T2392" i="7"/>
  <c r="T2393" i="7"/>
  <c r="T2394" i="7"/>
  <c r="T2395" i="7"/>
  <c r="T2396" i="7"/>
  <c r="T2397" i="7"/>
  <c r="T2398" i="7"/>
  <c r="T2399" i="7"/>
  <c r="T2400" i="7"/>
  <c r="T2401" i="7"/>
  <c r="T2402" i="7"/>
  <c r="T2403" i="7"/>
  <c r="T2404" i="7"/>
  <c r="T2405" i="7"/>
  <c r="T2406" i="7"/>
  <c r="T2407" i="7"/>
  <c r="T2408" i="7"/>
  <c r="T2409" i="7"/>
  <c r="T2410" i="7"/>
  <c r="T2411" i="7"/>
  <c r="T2412" i="7"/>
  <c r="T2413" i="7"/>
  <c r="T2414" i="7"/>
  <c r="T2415" i="7"/>
  <c r="T2416" i="7"/>
  <c r="T2417" i="7"/>
  <c r="T2418" i="7"/>
  <c r="T2419" i="7"/>
  <c r="T2420" i="7"/>
  <c r="T2421" i="7"/>
  <c r="T2422" i="7"/>
  <c r="T2423" i="7"/>
  <c r="T2424" i="7"/>
  <c r="T2425" i="7"/>
  <c r="T2426" i="7"/>
  <c r="T2427" i="7"/>
  <c r="T2428" i="7"/>
  <c r="T2429" i="7"/>
  <c r="T2430" i="7"/>
  <c r="T2431" i="7"/>
  <c r="T2432" i="7"/>
  <c r="T2433" i="7"/>
  <c r="T2434" i="7"/>
  <c r="T2435" i="7"/>
  <c r="T2436" i="7"/>
  <c r="T2437" i="7"/>
  <c r="T2438" i="7"/>
  <c r="T2439" i="7"/>
  <c r="T2440" i="7"/>
  <c r="T2441" i="7"/>
  <c r="T2442" i="7"/>
  <c r="T2443" i="7"/>
  <c r="T2444" i="7"/>
  <c r="T2445" i="7"/>
  <c r="T2446" i="7"/>
  <c r="T2447" i="7"/>
  <c r="T2448" i="7"/>
  <c r="T2449" i="7"/>
  <c r="T2450" i="7"/>
  <c r="T2451" i="7"/>
  <c r="T2452" i="7"/>
  <c r="T2453" i="7"/>
  <c r="T2454" i="7"/>
  <c r="T2455" i="7"/>
  <c r="T2456" i="7"/>
  <c r="T2457" i="7"/>
  <c r="T2458" i="7"/>
  <c r="T2459" i="7"/>
  <c r="T2460" i="7"/>
  <c r="T2461" i="7"/>
  <c r="T2462" i="7"/>
  <c r="T2463" i="7"/>
  <c r="T2464" i="7"/>
  <c r="T2465" i="7"/>
  <c r="T2466" i="7"/>
  <c r="T2467" i="7"/>
  <c r="T2468" i="7"/>
  <c r="T2469" i="7"/>
  <c r="T2470" i="7"/>
  <c r="T2471" i="7"/>
  <c r="T2472" i="7"/>
  <c r="T2473" i="7"/>
  <c r="T2474" i="7"/>
  <c r="T2475" i="7"/>
  <c r="T2476" i="7"/>
  <c r="T2477" i="7"/>
  <c r="T2478" i="7"/>
  <c r="T2479" i="7"/>
  <c r="T2480" i="7"/>
  <c r="T2481" i="7"/>
  <c r="T2482" i="7"/>
  <c r="T2483" i="7"/>
  <c r="T2484" i="7"/>
  <c r="T2485" i="7"/>
  <c r="T2486" i="7"/>
  <c r="T2487" i="7"/>
  <c r="T2488" i="7"/>
  <c r="T2489" i="7"/>
  <c r="T2490" i="7"/>
  <c r="T2491" i="7"/>
  <c r="T2492" i="7"/>
  <c r="T2493" i="7"/>
  <c r="T2494" i="7"/>
  <c r="T2495" i="7"/>
  <c r="T2496" i="7"/>
  <c r="T2497" i="7"/>
  <c r="T2498" i="7"/>
  <c r="T2499" i="7"/>
  <c r="T2500" i="7"/>
  <c r="T2501" i="7"/>
  <c r="T2502" i="7"/>
  <c r="T2503" i="7"/>
  <c r="T2504" i="7"/>
  <c r="T2505" i="7"/>
  <c r="T2506" i="7"/>
  <c r="T2507" i="7"/>
  <c r="T2508" i="7"/>
  <c r="T2509" i="7"/>
  <c r="T2510" i="7"/>
  <c r="T2511" i="7"/>
  <c r="T2512" i="7"/>
  <c r="T2513" i="7"/>
  <c r="T2514" i="7"/>
  <c r="T2515" i="7"/>
  <c r="T2516" i="7"/>
  <c r="T2517" i="7"/>
  <c r="T2518" i="7"/>
  <c r="T2519" i="7"/>
  <c r="T2520" i="7"/>
  <c r="T2521" i="7"/>
  <c r="T2522" i="7"/>
  <c r="T2523" i="7"/>
  <c r="T2524" i="7"/>
  <c r="T2525" i="7"/>
  <c r="T2526" i="7"/>
  <c r="T2527" i="7"/>
  <c r="T2528" i="7"/>
  <c r="T2529" i="7"/>
  <c r="T2530" i="7"/>
  <c r="T2531" i="7"/>
  <c r="T2532" i="7"/>
  <c r="T2533" i="7"/>
  <c r="T2534" i="7"/>
  <c r="T2535" i="7"/>
  <c r="T2536" i="7"/>
  <c r="T2537" i="7"/>
  <c r="T2538" i="7"/>
  <c r="T2539" i="7"/>
  <c r="T2540" i="7"/>
  <c r="T2541" i="7"/>
  <c r="T2542" i="7"/>
  <c r="T2543" i="7"/>
  <c r="T2544" i="7"/>
  <c r="T2545" i="7"/>
  <c r="T2546" i="7"/>
  <c r="T2547" i="7"/>
  <c r="T2548" i="7"/>
  <c r="T2549" i="7"/>
  <c r="T2550" i="7"/>
  <c r="T2551" i="7"/>
  <c r="T2552" i="7"/>
  <c r="T2553" i="7"/>
  <c r="T2554" i="7"/>
  <c r="T2555" i="7"/>
  <c r="T2556" i="7"/>
  <c r="T2557" i="7"/>
  <c r="T2558" i="7"/>
  <c r="T2559" i="7"/>
  <c r="T2560" i="7"/>
  <c r="T2561" i="7"/>
  <c r="T2562" i="7"/>
  <c r="T2563" i="7"/>
  <c r="T2564" i="7"/>
  <c r="T2565" i="7"/>
  <c r="T2566" i="7"/>
  <c r="T2567" i="7"/>
  <c r="T2568" i="7"/>
  <c r="T2569" i="7"/>
  <c r="T2570" i="7"/>
  <c r="T2571" i="7"/>
  <c r="T2572" i="7"/>
  <c r="T2573" i="7"/>
  <c r="T2574" i="7"/>
  <c r="T2575" i="7"/>
  <c r="T2576" i="7"/>
  <c r="T2577" i="7"/>
  <c r="T2578" i="7"/>
  <c r="T2579" i="7"/>
  <c r="T2580" i="7"/>
  <c r="T2581" i="7"/>
  <c r="T2582" i="7"/>
  <c r="T2583" i="7"/>
  <c r="T2584" i="7"/>
  <c r="T2585" i="7"/>
  <c r="T2586" i="7"/>
  <c r="T2587" i="7"/>
  <c r="T2588" i="7"/>
  <c r="T2589" i="7"/>
  <c r="T2590" i="7"/>
  <c r="T2591" i="7"/>
  <c r="T2592" i="7"/>
  <c r="T2593" i="7"/>
  <c r="T2594" i="7"/>
  <c r="T2595" i="7"/>
  <c r="T2596" i="7"/>
  <c r="T2597" i="7"/>
  <c r="T2598" i="7"/>
  <c r="T2599" i="7"/>
  <c r="T2600" i="7"/>
  <c r="T2601" i="7"/>
  <c r="T2602" i="7"/>
  <c r="T2603" i="7"/>
  <c r="T2604" i="7"/>
  <c r="T2605" i="7"/>
  <c r="T2606" i="7"/>
  <c r="T2607" i="7"/>
  <c r="T2608" i="7"/>
  <c r="T2609" i="7"/>
  <c r="T2610" i="7"/>
  <c r="T2611" i="7"/>
  <c r="T2612" i="7"/>
  <c r="T2613" i="7"/>
  <c r="T2614" i="7"/>
  <c r="T2615" i="7"/>
  <c r="T2616" i="7"/>
  <c r="T2617" i="7"/>
  <c r="T2618" i="7"/>
  <c r="T2619" i="7"/>
  <c r="T2620" i="7"/>
  <c r="T2621" i="7"/>
  <c r="T2622" i="7"/>
  <c r="T2623" i="7"/>
  <c r="T2624" i="7"/>
  <c r="T2625" i="7"/>
  <c r="T2626" i="7"/>
  <c r="T2627" i="7"/>
  <c r="T2628" i="7"/>
  <c r="T2629" i="7"/>
  <c r="T2630" i="7"/>
  <c r="T2631" i="7"/>
  <c r="T2632" i="7"/>
  <c r="T2633" i="7"/>
  <c r="T2634" i="7"/>
  <c r="T2635" i="7"/>
  <c r="T2636" i="7"/>
  <c r="T2637" i="7"/>
  <c r="T2638" i="7"/>
  <c r="T2639" i="7"/>
  <c r="T2640" i="7"/>
  <c r="T2641" i="7"/>
  <c r="T2642" i="7"/>
  <c r="T2643" i="7"/>
  <c r="T2644" i="7"/>
  <c r="T2645" i="7"/>
  <c r="T2646" i="7"/>
  <c r="T2647" i="7"/>
  <c r="T2648" i="7"/>
  <c r="T2649" i="7"/>
  <c r="T2650" i="7"/>
  <c r="T2651" i="7"/>
  <c r="T2652" i="7"/>
  <c r="T2653" i="7"/>
  <c r="T2654" i="7"/>
  <c r="T2655" i="7"/>
  <c r="T2656" i="7"/>
  <c r="T2657" i="7"/>
  <c r="T2658" i="7"/>
  <c r="T2659" i="7"/>
  <c r="T2660" i="7"/>
  <c r="T2661" i="7"/>
  <c r="T2662" i="7"/>
  <c r="T2663" i="7"/>
  <c r="T2664" i="7"/>
  <c r="T2665" i="7"/>
  <c r="T2666" i="7"/>
  <c r="T2667" i="7"/>
  <c r="T2668" i="7"/>
  <c r="T2669" i="7"/>
  <c r="T2670" i="7"/>
  <c r="T2671" i="7"/>
  <c r="T2672" i="7"/>
  <c r="T2673" i="7"/>
  <c r="T2674" i="7"/>
  <c r="T2675" i="7"/>
  <c r="T2676" i="7"/>
  <c r="T2677" i="7"/>
  <c r="T2678" i="7"/>
  <c r="T2679" i="7"/>
  <c r="T2680" i="7"/>
  <c r="T2681" i="7"/>
  <c r="T2682" i="7"/>
  <c r="T2683" i="7"/>
  <c r="T2684" i="7"/>
  <c r="T2685" i="7"/>
  <c r="T2686" i="7"/>
  <c r="T2687" i="7"/>
  <c r="T2688" i="7"/>
  <c r="T2689" i="7"/>
  <c r="T2690" i="7"/>
  <c r="T2691" i="7"/>
  <c r="T2692" i="7"/>
  <c r="T2693" i="7"/>
  <c r="T2694" i="7"/>
  <c r="T2695" i="7"/>
  <c r="T2696" i="7"/>
  <c r="T2697" i="7"/>
  <c r="T2698" i="7"/>
  <c r="T2699" i="7"/>
  <c r="T2700" i="7"/>
  <c r="T2701" i="7"/>
  <c r="T2702" i="7"/>
  <c r="T2703" i="7"/>
  <c r="T2704" i="7"/>
  <c r="T2705" i="7"/>
  <c r="T2706" i="7"/>
  <c r="T2707" i="7"/>
  <c r="T2708" i="7"/>
  <c r="T2709" i="7"/>
  <c r="T2710" i="7"/>
  <c r="T2711" i="7"/>
  <c r="T2712" i="7"/>
  <c r="T2713" i="7"/>
  <c r="T2714" i="7"/>
  <c r="T2715" i="7"/>
  <c r="T2716" i="7"/>
  <c r="T2717" i="7"/>
  <c r="T2718" i="7"/>
  <c r="T2719" i="7"/>
  <c r="T2720" i="7"/>
  <c r="T2721" i="7"/>
  <c r="T2722" i="7"/>
  <c r="T2723" i="7"/>
  <c r="T2724" i="7"/>
  <c r="T2725" i="7"/>
  <c r="T2726" i="7"/>
  <c r="T2727" i="7"/>
  <c r="T2728" i="7"/>
  <c r="T2729" i="7"/>
  <c r="T2730" i="7"/>
  <c r="T2731" i="7"/>
  <c r="T2732" i="7"/>
  <c r="T2733" i="7"/>
  <c r="T2734" i="7"/>
  <c r="T2735" i="7"/>
  <c r="T2736" i="7"/>
  <c r="T2737" i="7"/>
  <c r="T2738" i="7"/>
  <c r="T2739" i="7"/>
  <c r="T2740" i="7"/>
  <c r="T2741" i="7"/>
  <c r="T2742" i="7"/>
  <c r="T2743" i="7"/>
  <c r="T2744" i="7"/>
  <c r="T2745" i="7"/>
  <c r="T2746" i="7"/>
  <c r="T2747" i="7"/>
  <c r="T2748" i="7"/>
  <c r="T2749" i="7"/>
  <c r="T2750" i="7"/>
  <c r="T2751" i="7"/>
  <c r="T2752" i="7"/>
  <c r="T2753" i="7"/>
  <c r="T2754" i="7"/>
  <c r="T2755" i="7"/>
  <c r="T2756" i="7"/>
  <c r="T2757" i="7"/>
  <c r="T2758" i="7"/>
  <c r="T2759" i="7"/>
  <c r="T2760" i="7"/>
  <c r="T2761" i="7"/>
  <c r="T2762" i="7"/>
  <c r="T2763" i="7"/>
  <c r="T2764" i="7"/>
  <c r="T2765" i="7"/>
  <c r="T2766" i="7"/>
  <c r="T2767" i="7"/>
  <c r="T2768" i="7"/>
  <c r="T2769" i="7"/>
  <c r="T2770" i="7"/>
  <c r="T2771" i="7"/>
  <c r="T2772" i="7"/>
  <c r="T2773" i="7"/>
  <c r="T2774" i="7"/>
  <c r="T2775" i="7"/>
  <c r="T2776" i="7"/>
  <c r="T2777" i="7"/>
  <c r="T2778" i="7"/>
  <c r="T2779" i="7"/>
  <c r="T2780" i="7"/>
  <c r="T2781" i="7"/>
  <c r="T2782" i="7"/>
  <c r="T2783" i="7"/>
  <c r="T2784" i="7"/>
  <c r="T2785" i="7"/>
  <c r="T2786" i="7"/>
  <c r="T2787" i="7"/>
  <c r="T2788" i="7"/>
  <c r="T2789" i="7"/>
  <c r="T2790" i="7"/>
  <c r="T2791" i="7"/>
  <c r="T2792" i="7"/>
  <c r="T2793" i="7"/>
  <c r="T2794" i="7"/>
  <c r="T2795" i="7"/>
  <c r="T2796" i="7"/>
  <c r="T2797" i="7"/>
  <c r="T2798" i="7"/>
  <c r="T2799" i="7"/>
  <c r="T2800" i="7"/>
  <c r="T2801" i="7"/>
  <c r="T2802" i="7"/>
  <c r="T2803" i="7"/>
  <c r="T2804" i="7"/>
  <c r="T2805" i="7"/>
  <c r="T2806" i="7"/>
  <c r="T2807" i="7"/>
  <c r="T2808" i="7"/>
  <c r="T2809" i="7"/>
  <c r="T2810" i="7"/>
  <c r="T2811" i="7"/>
  <c r="T2812" i="7"/>
  <c r="T2813" i="7"/>
  <c r="T2814" i="7"/>
  <c r="T2815" i="7"/>
  <c r="T2816" i="7"/>
  <c r="T2817" i="7"/>
  <c r="T2818" i="7"/>
  <c r="T2819" i="7"/>
  <c r="T2820" i="7"/>
  <c r="T2821" i="7"/>
  <c r="T2822" i="7"/>
  <c r="T2823" i="7"/>
  <c r="T2824" i="7"/>
  <c r="T2825" i="7"/>
  <c r="T2826" i="7"/>
  <c r="T2827" i="7"/>
  <c r="T2828" i="7"/>
  <c r="T2829" i="7"/>
  <c r="T2830" i="7"/>
  <c r="T2831" i="7"/>
  <c r="T2832" i="7"/>
  <c r="T2833" i="7"/>
  <c r="T2834" i="7"/>
  <c r="T2835" i="7"/>
  <c r="T2836" i="7"/>
  <c r="T2837" i="7"/>
  <c r="T2838" i="7"/>
  <c r="T2839" i="7"/>
  <c r="T2840" i="7"/>
  <c r="T2841" i="7"/>
  <c r="T2842" i="7"/>
  <c r="T2843" i="7"/>
  <c r="T2844" i="7"/>
  <c r="T2845" i="7"/>
  <c r="T2846" i="7"/>
  <c r="T2847" i="7"/>
  <c r="T2848" i="7"/>
  <c r="T2849" i="7"/>
  <c r="T2850" i="7"/>
  <c r="T2851" i="7"/>
  <c r="T2852" i="7"/>
  <c r="T2853" i="7"/>
  <c r="T2854" i="7"/>
  <c r="T2855" i="7"/>
  <c r="T2856" i="7"/>
  <c r="T2857" i="7"/>
  <c r="T2858" i="7"/>
  <c r="T2859" i="7"/>
  <c r="T2860" i="7"/>
  <c r="T2861" i="7"/>
  <c r="T2862" i="7"/>
  <c r="T2863" i="7"/>
  <c r="T2864" i="7"/>
  <c r="T2865" i="7"/>
  <c r="T2866" i="7"/>
  <c r="T2867" i="7"/>
  <c r="T2868" i="7"/>
  <c r="T2869" i="7"/>
  <c r="T2870" i="7"/>
  <c r="T2871" i="7"/>
  <c r="T2872" i="7"/>
  <c r="T2873" i="7"/>
  <c r="T2874" i="7"/>
  <c r="T2875" i="7"/>
  <c r="T2876" i="7"/>
  <c r="T2877" i="7"/>
  <c r="T2878" i="7"/>
  <c r="T2879" i="7"/>
  <c r="T2880" i="7"/>
  <c r="T2881" i="7"/>
  <c r="T2882" i="7"/>
  <c r="T2883" i="7"/>
  <c r="T2884" i="7"/>
  <c r="T2885" i="7"/>
  <c r="T2886" i="7"/>
  <c r="T2887" i="7"/>
  <c r="T2888" i="7"/>
  <c r="T2889" i="7"/>
  <c r="T2890" i="7"/>
  <c r="T2891" i="7"/>
  <c r="T2892" i="7"/>
  <c r="T2893" i="7"/>
  <c r="T2894" i="7"/>
  <c r="T2895" i="7"/>
  <c r="T2896" i="7"/>
  <c r="T2897" i="7"/>
  <c r="T2898" i="7"/>
  <c r="T2899" i="7"/>
  <c r="T2900" i="7"/>
  <c r="T2901" i="7"/>
  <c r="T2902" i="7"/>
  <c r="T2903" i="7"/>
  <c r="T2904" i="7"/>
  <c r="T2905" i="7"/>
  <c r="T2906" i="7"/>
  <c r="T2907" i="7"/>
  <c r="T2908" i="7"/>
  <c r="T2909" i="7"/>
  <c r="T2910" i="7"/>
  <c r="T2911" i="7"/>
  <c r="T2912" i="7"/>
  <c r="T2913" i="7"/>
  <c r="T2914" i="7"/>
  <c r="T2915" i="7"/>
  <c r="T2916" i="7"/>
  <c r="T2917" i="7"/>
  <c r="T2918" i="7"/>
  <c r="T2919" i="7"/>
  <c r="T2920" i="7"/>
  <c r="T2921" i="7"/>
  <c r="T2922" i="7"/>
  <c r="T2923" i="7"/>
  <c r="T2924" i="7"/>
  <c r="T2925" i="7"/>
  <c r="T2926" i="7"/>
  <c r="T2927" i="7"/>
  <c r="T2928" i="7"/>
  <c r="T2929" i="7"/>
  <c r="T2930" i="7"/>
  <c r="T2931" i="7"/>
  <c r="T2932" i="7"/>
  <c r="T2933" i="7"/>
  <c r="T2934" i="7"/>
  <c r="T2935" i="7"/>
  <c r="T2936" i="7"/>
  <c r="T2937" i="7"/>
  <c r="T2938" i="7"/>
  <c r="T2939" i="7"/>
  <c r="T2940" i="7"/>
  <c r="T2941" i="7"/>
  <c r="T2942" i="7"/>
  <c r="T2943" i="7"/>
  <c r="T2944" i="7"/>
  <c r="T2945" i="7"/>
  <c r="T2946" i="7"/>
  <c r="T2947" i="7"/>
  <c r="T2948" i="7"/>
  <c r="T2949" i="7"/>
  <c r="T2950" i="7"/>
  <c r="T2951" i="7"/>
  <c r="T2952" i="7"/>
  <c r="T2953" i="7"/>
  <c r="T2954" i="7"/>
  <c r="T2955" i="7"/>
  <c r="T2956" i="7"/>
  <c r="T2957" i="7"/>
  <c r="T2958" i="7"/>
  <c r="T2959" i="7"/>
  <c r="T2960" i="7"/>
  <c r="T2961" i="7"/>
  <c r="T2962" i="7"/>
  <c r="T2963" i="7"/>
  <c r="T2964" i="7"/>
  <c r="T2965" i="7"/>
  <c r="T2966" i="7"/>
  <c r="T2967" i="7"/>
  <c r="T2968" i="7"/>
  <c r="T2969" i="7"/>
  <c r="T2970" i="7"/>
  <c r="T2971" i="7"/>
  <c r="T2972" i="7"/>
  <c r="T2973" i="7"/>
  <c r="T2974" i="7"/>
  <c r="T2975" i="7"/>
  <c r="T2976" i="7"/>
  <c r="T2977" i="7"/>
  <c r="T2978" i="7"/>
  <c r="T2979" i="7"/>
  <c r="T2980" i="7"/>
  <c r="T2981" i="7"/>
  <c r="T2982" i="7"/>
  <c r="T2983" i="7"/>
  <c r="T2984" i="7"/>
  <c r="T2985" i="7"/>
  <c r="T2986" i="7"/>
  <c r="T2987" i="7"/>
  <c r="T2988" i="7"/>
  <c r="T2989" i="7"/>
  <c r="T2990" i="7"/>
  <c r="T2991" i="7"/>
  <c r="T2992" i="7"/>
  <c r="T2993" i="7"/>
  <c r="T2994" i="7"/>
  <c r="T2995" i="7"/>
  <c r="T2996" i="7"/>
  <c r="T2997" i="7"/>
  <c r="T2998" i="7"/>
  <c r="T2999" i="7"/>
  <c r="T3000" i="7"/>
  <c r="T3001" i="7"/>
  <c r="T3002" i="7"/>
  <c r="T3003" i="7"/>
  <c r="T3004" i="7"/>
  <c r="T3005" i="7"/>
  <c r="T3006" i="7"/>
  <c r="T3007" i="7"/>
  <c r="T3008" i="7"/>
  <c r="T3009" i="7"/>
  <c r="T3010" i="7"/>
  <c r="T3011" i="7"/>
  <c r="T3012" i="7"/>
  <c r="T3013" i="7"/>
  <c r="T3014" i="7"/>
  <c r="T3015" i="7"/>
  <c r="T3016" i="7"/>
  <c r="T3017" i="7"/>
  <c r="T3018" i="7"/>
  <c r="T3019" i="7"/>
  <c r="T3020" i="7"/>
  <c r="T3021" i="7"/>
  <c r="T3022" i="7"/>
  <c r="T3023" i="7"/>
  <c r="T3024" i="7"/>
  <c r="T3025" i="7"/>
  <c r="T3026" i="7"/>
  <c r="T3027" i="7"/>
  <c r="T3028" i="7"/>
  <c r="T3029" i="7"/>
  <c r="T3030" i="7"/>
  <c r="T3031" i="7"/>
  <c r="T3032" i="7"/>
  <c r="T3033" i="7"/>
  <c r="T3034" i="7"/>
  <c r="T3035" i="7"/>
  <c r="T3036" i="7"/>
  <c r="T3037" i="7"/>
  <c r="T3038" i="7"/>
  <c r="T3039" i="7"/>
  <c r="T3040" i="7"/>
  <c r="T3041" i="7"/>
  <c r="T3042" i="7"/>
  <c r="T3043" i="7"/>
  <c r="T3044" i="7"/>
  <c r="T3045" i="7"/>
  <c r="T3046" i="7"/>
  <c r="T3047" i="7"/>
  <c r="T3048" i="7"/>
  <c r="T3049" i="7"/>
  <c r="T3050" i="7"/>
  <c r="T3051" i="7"/>
  <c r="T3052" i="7"/>
  <c r="T3053" i="7"/>
  <c r="T3054" i="7"/>
  <c r="T3055" i="7"/>
  <c r="T3056" i="7"/>
  <c r="T3057" i="7"/>
  <c r="T3058" i="7"/>
  <c r="T3059" i="7"/>
  <c r="T3060" i="7"/>
  <c r="T3061" i="7"/>
  <c r="T3062" i="7"/>
  <c r="T3063" i="7"/>
  <c r="T3064" i="7"/>
  <c r="T3065" i="7"/>
  <c r="T3066" i="7"/>
  <c r="T3067" i="7"/>
  <c r="T3068" i="7"/>
  <c r="T3069" i="7"/>
  <c r="T3070" i="7"/>
  <c r="T3071" i="7"/>
  <c r="T3072" i="7"/>
  <c r="T3073" i="7"/>
  <c r="T3074" i="7"/>
  <c r="T3075" i="7"/>
  <c r="T3076" i="7"/>
  <c r="T3077" i="7"/>
  <c r="T3078" i="7"/>
  <c r="T3079" i="7"/>
  <c r="T3080" i="7"/>
  <c r="T3081" i="7"/>
  <c r="T3082" i="7"/>
  <c r="T3083" i="7"/>
  <c r="T3084" i="7"/>
  <c r="T3085" i="7"/>
  <c r="T3086" i="7"/>
  <c r="T3087" i="7"/>
  <c r="T3088" i="7"/>
  <c r="T3089" i="7"/>
  <c r="T3090" i="7"/>
  <c r="T3091" i="7"/>
  <c r="T3092" i="7"/>
  <c r="T3093" i="7"/>
  <c r="T3094" i="7"/>
  <c r="T3095" i="7"/>
  <c r="T3096" i="7"/>
  <c r="T3097" i="7"/>
  <c r="T3098" i="7"/>
  <c r="T3099" i="7"/>
  <c r="T3100" i="7"/>
  <c r="T3101" i="7"/>
  <c r="T3102" i="7"/>
  <c r="T3103" i="7"/>
  <c r="T3104" i="7"/>
  <c r="T3105" i="7"/>
  <c r="T3106" i="7"/>
  <c r="T3107" i="7"/>
  <c r="T3108" i="7"/>
  <c r="T3109" i="7"/>
  <c r="T3110" i="7"/>
  <c r="T3111" i="7"/>
  <c r="T3112" i="7"/>
  <c r="T3113" i="7"/>
  <c r="T3114" i="7"/>
  <c r="T3115" i="7"/>
  <c r="T3116" i="7"/>
  <c r="T3117" i="7"/>
  <c r="T3118" i="7"/>
  <c r="T3119" i="7"/>
  <c r="T3120" i="7"/>
  <c r="T3121" i="7"/>
  <c r="T3122" i="7"/>
  <c r="T3123" i="7"/>
  <c r="T3124" i="7"/>
  <c r="T3125" i="7"/>
  <c r="T3126" i="7"/>
  <c r="T3127" i="7"/>
  <c r="T3128" i="7"/>
  <c r="T3129" i="7"/>
  <c r="T3130" i="7"/>
  <c r="T3131" i="7"/>
  <c r="T3132" i="7"/>
  <c r="T3133" i="7"/>
  <c r="T3134" i="7"/>
  <c r="T3135" i="7"/>
  <c r="T3136" i="7"/>
  <c r="T3137" i="7"/>
  <c r="T3138" i="7"/>
  <c r="T3139" i="7"/>
  <c r="T3140" i="7"/>
  <c r="T3141" i="7"/>
  <c r="T3142" i="7"/>
  <c r="T3143" i="7"/>
  <c r="T3144" i="7"/>
  <c r="T3145" i="7"/>
  <c r="T3146" i="7"/>
  <c r="T3147" i="7"/>
  <c r="T3148" i="7"/>
  <c r="T3149" i="7"/>
  <c r="T3150" i="7"/>
  <c r="T3151" i="7"/>
  <c r="T3152" i="7"/>
  <c r="T3153" i="7"/>
  <c r="T3154" i="7"/>
  <c r="T3155" i="7"/>
  <c r="T3156" i="7"/>
  <c r="T3157" i="7"/>
  <c r="T3158" i="7"/>
  <c r="T3159" i="7"/>
  <c r="T3160" i="7"/>
  <c r="T3161" i="7"/>
  <c r="T3162" i="7"/>
  <c r="T3163" i="7"/>
  <c r="T3164" i="7"/>
  <c r="T3165" i="7"/>
  <c r="T3166" i="7"/>
  <c r="T3167" i="7"/>
  <c r="T3168" i="7"/>
  <c r="T3169" i="7"/>
  <c r="T3170" i="7"/>
  <c r="T3171" i="7"/>
  <c r="T3172" i="7"/>
  <c r="T3173" i="7"/>
  <c r="T3174" i="7"/>
  <c r="T3175" i="7"/>
  <c r="T3176" i="7"/>
  <c r="T3177" i="7"/>
  <c r="T3178" i="7"/>
  <c r="T3179" i="7"/>
  <c r="T3180" i="7"/>
  <c r="T3181" i="7"/>
  <c r="T3182" i="7"/>
  <c r="T3183" i="7"/>
  <c r="T3184" i="7"/>
  <c r="T3185" i="7"/>
  <c r="T3186" i="7"/>
  <c r="T3187" i="7"/>
  <c r="T3188" i="7"/>
  <c r="T3189" i="7"/>
  <c r="T3190" i="7"/>
  <c r="T3191" i="7"/>
  <c r="T3192" i="7"/>
  <c r="T3193" i="7"/>
  <c r="T3194" i="7"/>
  <c r="T3195" i="7"/>
  <c r="T3196" i="7"/>
  <c r="T3197" i="7"/>
  <c r="T3198" i="7"/>
  <c r="T3199" i="7"/>
  <c r="T3200" i="7"/>
  <c r="T3201" i="7"/>
  <c r="T3202" i="7"/>
  <c r="T3203" i="7"/>
  <c r="T3204" i="7"/>
  <c r="T3205" i="7"/>
  <c r="T3206" i="7"/>
  <c r="T3207" i="7"/>
  <c r="T3208" i="7"/>
  <c r="T3209" i="7"/>
  <c r="T3210" i="7"/>
  <c r="T3211" i="7"/>
  <c r="T3212" i="7"/>
  <c r="T3213" i="7"/>
  <c r="T3214" i="7"/>
  <c r="T3215" i="7"/>
  <c r="T3216" i="7"/>
  <c r="T3217" i="7"/>
  <c r="T3218" i="7"/>
  <c r="T3219" i="7"/>
  <c r="T3220" i="7"/>
  <c r="T3221" i="7"/>
  <c r="T3222" i="7"/>
  <c r="T3223" i="7"/>
  <c r="T3224" i="7"/>
  <c r="T3225" i="7"/>
  <c r="T3226" i="7"/>
  <c r="T3227" i="7"/>
  <c r="T3228" i="7"/>
  <c r="T3229" i="7"/>
  <c r="T3230" i="7"/>
  <c r="T3231" i="7"/>
  <c r="T3232" i="7"/>
  <c r="T3233" i="7"/>
  <c r="T3234" i="7"/>
  <c r="T3235" i="7"/>
  <c r="T3236" i="7"/>
  <c r="T3237" i="7"/>
  <c r="T3238" i="7"/>
  <c r="T3239" i="7"/>
  <c r="T3240" i="7"/>
  <c r="T3241" i="7"/>
  <c r="T3242" i="7"/>
  <c r="T3243" i="7"/>
  <c r="T3244" i="7"/>
  <c r="T3245" i="7"/>
  <c r="T3246" i="7"/>
  <c r="T3247" i="7"/>
  <c r="T3248" i="7"/>
  <c r="T3249" i="7"/>
  <c r="T3250" i="7"/>
  <c r="T3251" i="7"/>
  <c r="T3252" i="7"/>
  <c r="T3253" i="7"/>
  <c r="T3254" i="7"/>
  <c r="T3255" i="7"/>
  <c r="T3256" i="7"/>
  <c r="T3257" i="7"/>
  <c r="T3258" i="7"/>
  <c r="T3259" i="7"/>
  <c r="T3260" i="7"/>
  <c r="T3261" i="7"/>
  <c r="T3262" i="7"/>
  <c r="T3263" i="7"/>
  <c r="T3264" i="7"/>
  <c r="T3265" i="7"/>
  <c r="T3266" i="7"/>
  <c r="T3267" i="7"/>
  <c r="T3268" i="7"/>
  <c r="T3269" i="7"/>
  <c r="T3270" i="7"/>
  <c r="T3271" i="7"/>
  <c r="T3272" i="7"/>
  <c r="T3273" i="7"/>
  <c r="T3274" i="7"/>
  <c r="T3275" i="7"/>
  <c r="T3276" i="7"/>
  <c r="T3277" i="7"/>
  <c r="T3278" i="7"/>
  <c r="T3279" i="7"/>
  <c r="T3280" i="7"/>
  <c r="T3281" i="7"/>
  <c r="T3282" i="7"/>
  <c r="T3283" i="7"/>
  <c r="T3284" i="7"/>
  <c r="T3285" i="7"/>
  <c r="T3286" i="7"/>
  <c r="T3287" i="7"/>
  <c r="T3288" i="7"/>
  <c r="T3289" i="7"/>
  <c r="T3290" i="7"/>
  <c r="T3291" i="7"/>
  <c r="T3292" i="7"/>
  <c r="T3293" i="7"/>
  <c r="T3294" i="7"/>
  <c r="T3295" i="7"/>
  <c r="T3296" i="7"/>
  <c r="T3297" i="7"/>
  <c r="T3298" i="7"/>
  <c r="T3299" i="7"/>
  <c r="T3300" i="7"/>
  <c r="T3301" i="7"/>
  <c r="T3302" i="7"/>
  <c r="T3303" i="7"/>
  <c r="T3304" i="7"/>
  <c r="T3305" i="7"/>
  <c r="T3306" i="7"/>
  <c r="T3307" i="7"/>
  <c r="T3308" i="7"/>
  <c r="T3309" i="7"/>
  <c r="T3310" i="7"/>
  <c r="T3311" i="7"/>
  <c r="T3312" i="7"/>
  <c r="T3313" i="7"/>
  <c r="T3314" i="7"/>
  <c r="T3315" i="7"/>
  <c r="T3316" i="7"/>
  <c r="T3317" i="7"/>
  <c r="T3318" i="7"/>
  <c r="T3319" i="7"/>
  <c r="T3320" i="7"/>
  <c r="T3321" i="7"/>
  <c r="T3322" i="7"/>
  <c r="T3323" i="7"/>
  <c r="T3324" i="7"/>
  <c r="T3325" i="7"/>
  <c r="T3326" i="7"/>
  <c r="T3327" i="7"/>
  <c r="T3328" i="7"/>
  <c r="T3329" i="7"/>
  <c r="T3330" i="7"/>
  <c r="T3331" i="7"/>
  <c r="T3332" i="7"/>
  <c r="T3333" i="7"/>
  <c r="T3334" i="7"/>
  <c r="T3335" i="7"/>
  <c r="T3336" i="7"/>
  <c r="T3337" i="7"/>
  <c r="T3338" i="7"/>
  <c r="T3339" i="7"/>
  <c r="T3340" i="7"/>
  <c r="T3341" i="7"/>
  <c r="T3342" i="7"/>
  <c r="T3343" i="7"/>
  <c r="T3344" i="7"/>
  <c r="T3345" i="7"/>
  <c r="T3346" i="7"/>
  <c r="T3347" i="7"/>
  <c r="T3348" i="7"/>
  <c r="T3349" i="7"/>
  <c r="T3350" i="7"/>
  <c r="T3351" i="7"/>
  <c r="T3352" i="7"/>
  <c r="T3353" i="7"/>
  <c r="T3354" i="7"/>
  <c r="T3355" i="7"/>
  <c r="T3356" i="7"/>
  <c r="T3357" i="7"/>
  <c r="T3358" i="7"/>
  <c r="T3359" i="7"/>
  <c r="T3360" i="7"/>
  <c r="T3361" i="7"/>
  <c r="T3362" i="7"/>
  <c r="T3363" i="7"/>
  <c r="T3364" i="7"/>
  <c r="T3365" i="7"/>
  <c r="T3366" i="7"/>
  <c r="T3367" i="7"/>
  <c r="T3368" i="7"/>
  <c r="T3369" i="7"/>
  <c r="T3370" i="7"/>
  <c r="T3371" i="7"/>
  <c r="T3372" i="7"/>
  <c r="T3373" i="7"/>
  <c r="T3374" i="7"/>
  <c r="T3375" i="7"/>
  <c r="T3376" i="7"/>
  <c r="T3377" i="7"/>
  <c r="T3378" i="7"/>
  <c r="T3379" i="7"/>
  <c r="T3380" i="7"/>
  <c r="T3381" i="7"/>
  <c r="T3382" i="7"/>
  <c r="T3383" i="7"/>
  <c r="T3384" i="7"/>
  <c r="T3385" i="7"/>
  <c r="T3386" i="7"/>
  <c r="T3387" i="7"/>
  <c r="T3388" i="7"/>
  <c r="T3389" i="7"/>
  <c r="T3390" i="7"/>
  <c r="T3391" i="7"/>
  <c r="T3392" i="7"/>
  <c r="T3393" i="7"/>
  <c r="T3394" i="7"/>
  <c r="T3395" i="7"/>
  <c r="T3396" i="7"/>
  <c r="T3397" i="7"/>
  <c r="T3398" i="7"/>
  <c r="T3399" i="7"/>
  <c r="T3400" i="7"/>
  <c r="T3401" i="7"/>
  <c r="T3402" i="7"/>
  <c r="T3403" i="7"/>
  <c r="T3404" i="7"/>
  <c r="T3405" i="7"/>
  <c r="T3406" i="7"/>
  <c r="T3407" i="7"/>
  <c r="T3408" i="7"/>
  <c r="T3409" i="7"/>
  <c r="T3410" i="7"/>
  <c r="T3411" i="7"/>
  <c r="T3412" i="7"/>
  <c r="T3413" i="7"/>
  <c r="T3414" i="7"/>
  <c r="T3415" i="7"/>
  <c r="T3416" i="7"/>
  <c r="T3417" i="7"/>
  <c r="T3418" i="7"/>
  <c r="T3419" i="7"/>
  <c r="T3420" i="7"/>
  <c r="T3421" i="7"/>
  <c r="T3422" i="7"/>
  <c r="T3423" i="7"/>
  <c r="T3424" i="7"/>
  <c r="T3425" i="7"/>
  <c r="T3426" i="7"/>
  <c r="T3427" i="7"/>
  <c r="T3428" i="7"/>
  <c r="T3429" i="7"/>
  <c r="T3430" i="7"/>
  <c r="T3431" i="7"/>
  <c r="T3432" i="7"/>
  <c r="T3433" i="7"/>
  <c r="T3434" i="7"/>
  <c r="T3435" i="7"/>
  <c r="T3436" i="7"/>
  <c r="T3437" i="7"/>
  <c r="T3438" i="7"/>
  <c r="T3439" i="7"/>
  <c r="T3440" i="7"/>
  <c r="T3441" i="7"/>
  <c r="T3442" i="7"/>
  <c r="T3443" i="7"/>
  <c r="T3444" i="7"/>
  <c r="T3445" i="7"/>
  <c r="T3446" i="7"/>
  <c r="T3447" i="7"/>
  <c r="T3448" i="7"/>
  <c r="T3449" i="7"/>
  <c r="T3450" i="7"/>
  <c r="T3451" i="7"/>
  <c r="T3452" i="7"/>
  <c r="T3453" i="7"/>
  <c r="T3454" i="7"/>
  <c r="T3455" i="7"/>
  <c r="T3456" i="7"/>
  <c r="T3457" i="7"/>
  <c r="T3458" i="7"/>
  <c r="T3459" i="7"/>
  <c r="T3460" i="7"/>
  <c r="T3461" i="7"/>
  <c r="T3462" i="7"/>
  <c r="T3463" i="7"/>
  <c r="T3464" i="7"/>
  <c r="T3465" i="7"/>
  <c r="T3466" i="7"/>
  <c r="T3467" i="7"/>
  <c r="T3468" i="7"/>
  <c r="T3469" i="7"/>
  <c r="T3470" i="7"/>
  <c r="T3471" i="7"/>
  <c r="T3472" i="7"/>
  <c r="T3473" i="7"/>
  <c r="T3474" i="7"/>
  <c r="T3475" i="7"/>
  <c r="T3476" i="7"/>
  <c r="T3477" i="7"/>
  <c r="T3478" i="7"/>
  <c r="T3479" i="7"/>
  <c r="T3480" i="7"/>
  <c r="T3481" i="7"/>
  <c r="T3482" i="7"/>
  <c r="T3483" i="7"/>
  <c r="T3484" i="7"/>
  <c r="T3485" i="7"/>
  <c r="T3486" i="7"/>
  <c r="T3487" i="7"/>
  <c r="T3488" i="7"/>
  <c r="T3489" i="7"/>
  <c r="T3490" i="7"/>
  <c r="T3491" i="7"/>
  <c r="T3492" i="7"/>
  <c r="T3493" i="7"/>
  <c r="T3494" i="7"/>
  <c r="T3495" i="7"/>
  <c r="T3496" i="7"/>
  <c r="T3497" i="7"/>
  <c r="T3498" i="7"/>
  <c r="T3499" i="7"/>
  <c r="T3500" i="7"/>
  <c r="T3501" i="7"/>
  <c r="T3502" i="7"/>
  <c r="T3503" i="7"/>
  <c r="T3504" i="7"/>
  <c r="T3505" i="7"/>
  <c r="T3506" i="7"/>
  <c r="T3507" i="7"/>
  <c r="T3508" i="7"/>
  <c r="T3509" i="7"/>
  <c r="T3510" i="7"/>
  <c r="T3511" i="7"/>
  <c r="T3512" i="7"/>
  <c r="T3513" i="7"/>
  <c r="T3514" i="7"/>
  <c r="T3515" i="7"/>
  <c r="T3516" i="7"/>
  <c r="T3517" i="7"/>
  <c r="T3518" i="7"/>
  <c r="T3519" i="7"/>
  <c r="T3520" i="7"/>
  <c r="T3521" i="7"/>
  <c r="T3522" i="7"/>
  <c r="T3523" i="7"/>
  <c r="T3524" i="7"/>
  <c r="T3525" i="7"/>
  <c r="T3526" i="7"/>
  <c r="T3527" i="7"/>
  <c r="T3528" i="7"/>
  <c r="T3529" i="7"/>
  <c r="T3530" i="7"/>
  <c r="T3531" i="7"/>
  <c r="T3532" i="7"/>
  <c r="T3533" i="7"/>
  <c r="T3534" i="7"/>
  <c r="T3535" i="7"/>
  <c r="T3536" i="7"/>
  <c r="T3537" i="7"/>
  <c r="T3538" i="7"/>
  <c r="T3539" i="7"/>
  <c r="T3540" i="7"/>
  <c r="T3541" i="7"/>
  <c r="T3542" i="7"/>
  <c r="T3543" i="7"/>
  <c r="T3544" i="7"/>
  <c r="T3545" i="7"/>
  <c r="T3546" i="7"/>
  <c r="T3547" i="7"/>
  <c r="T3548" i="7"/>
  <c r="T3549" i="7"/>
  <c r="T3550" i="7"/>
  <c r="T3551" i="7"/>
  <c r="T3552" i="7"/>
  <c r="T3553" i="7"/>
  <c r="T3554" i="7"/>
  <c r="T3555" i="7"/>
  <c r="T3556" i="7"/>
  <c r="T3557" i="7"/>
  <c r="T3558" i="7"/>
  <c r="T3559" i="7"/>
  <c r="T3560" i="7"/>
  <c r="T3561" i="7"/>
  <c r="T3562" i="7"/>
  <c r="T3563" i="7"/>
  <c r="T3564" i="7"/>
  <c r="T3565" i="7"/>
  <c r="T3566" i="7"/>
  <c r="T3567" i="7"/>
  <c r="T3568" i="7"/>
  <c r="T3569" i="7"/>
  <c r="T3570" i="7"/>
  <c r="T3571" i="7"/>
  <c r="T3572" i="7"/>
  <c r="T3573" i="7"/>
  <c r="T3574" i="7"/>
  <c r="T3575" i="7"/>
  <c r="T3576" i="7"/>
  <c r="T3577" i="7"/>
  <c r="T3578" i="7"/>
  <c r="T3579" i="7"/>
  <c r="T3580" i="7"/>
  <c r="T3581" i="7"/>
  <c r="T3582" i="7"/>
  <c r="T3583" i="7"/>
  <c r="T3584" i="7"/>
  <c r="T3585" i="7"/>
  <c r="T3586" i="7"/>
  <c r="T3587" i="7"/>
  <c r="T3588" i="7"/>
  <c r="T3589" i="7"/>
  <c r="T3590" i="7"/>
  <c r="T3591" i="7"/>
  <c r="T3592" i="7"/>
  <c r="T3593" i="7"/>
  <c r="T3594" i="7"/>
  <c r="T3595" i="7"/>
  <c r="T3596" i="7"/>
  <c r="T3597" i="7"/>
  <c r="T3598" i="7"/>
  <c r="T3599" i="7"/>
  <c r="T3600" i="7"/>
  <c r="T3601" i="7"/>
  <c r="T3602" i="7"/>
  <c r="T3603" i="7"/>
  <c r="T3604" i="7"/>
  <c r="T3605" i="7"/>
  <c r="T3606" i="7"/>
  <c r="T3607" i="7"/>
  <c r="T3608" i="7"/>
  <c r="T3609" i="7"/>
  <c r="T3610" i="7"/>
  <c r="T3611" i="7"/>
  <c r="T3612" i="7"/>
  <c r="T3613" i="7"/>
  <c r="T3614" i="7"/>
  <c r="T3615" i="7"/>
  <c r="T3616" i="7"/>
  <c r="T3617" i="7"/>
  <c r="T3618" i="7"/>
  <c r="T3619" i="7"/>
  <c r="T3620" i="7"/>
  <c r="T3621" i="7"/>
  <c r="T3622" i="7"/>
  <c r="T3623" i="7"/>
  <c r="T3624" i="7"/>
  <c r="T3625" i="7"/>
  <c r="T3626" i="7"/>
  <c r="T3627" i="7"/>
  <c r="T3628" i="7"/>
  <c r="T3629" i="7"/>
  <c r="T3630" i="7"/>
  <c r="T3631" i="7"/>
  <c r="T3632" i="7"/>
  <c r="T3633" i="7"/>
  <c r="T3634" i="7"/>
  <c r="T3635" i="7"/>
  <c r="T3636" i="7"/>
  <c r="T3637" i="7"/>
  <c r="T3638" i="7"/>
  <c r="T3639" i="7"/>
  <c r="T3640" i="7"/>
  <c r="T3641" i="7"/>
  <c r="T3642" i="7"/>
  <c r="T3643" i="7"/>
  <c r="T3644" i="7"/>
  <c r="T3645" i="7"/>
  <c r="T3646" i="7"/>
  <c r="T3647" i="7"/>
  <c r="T3648" i="7"/>
  <c r="T3649" i="7"/>
  <c r="T3650" i="7"/>
  <c r="T3651" i="7"/>
  <c r="T3652" i="7"/>
  <c r="T3653" i="7"/>
  <c r="T3654" i="7"/>
  <c r="T3655" i="7"/>
  <c r="T3656" i="7"/>
  <c r="T3657" i="7"/>
  <c r="T3658" i="7"/>
  <c r="T3659" i="7"/>
  <c r="T3660" i="7"/>
  <c r="T3661" i="7"/>
  <c r="T3662" i="7"/>
  <c r="T3663" i="7"/>
  <c r="T3664" i="7"/>
  <c r="T3665" i="7"/>
  <c r="T3666" i="7"/>
  <c r="T3667" i="7"/>
  <c r="T3668" i="7"/>
  <c r="T3669" i="7"/>
  <c r="T3670" i="7"/>
  <c r="T3671" i="7"/>
  <c r="T3672" i="7"/>
  <c r="T3673" i="7"/>
  <c r="T3674" i="7"/>
  <c r="T3675" i="7"/>
  <c r="T3676" i="7"/>
  <c r="T3677" i="7"/>
  <c r="T3678" i="7"/>
  <c r="T3679" i="7"/>
  <c r="T3680" i="7"/>
  <c r="T3681" i="7"/>
  <c r="T3682" i="7"/>
  <c r="T3683" i="7"/>
  <c r="T3684" i="7"/>
  <c r="T3685" i="7"/>
  <c r="T3686" i="7"/>
  <c r="T3687" i="7"/>
  <c r="T3688" i="7"/>
  <c r="T3689" i="7"/>
  <c r="T3690" i="7"/>
  <c r="T3691" i="7"/>
  <c r="T3692" i="7"/>
  <c r="T3693" i="7"/>
  <c r="T3694" i="7"/>
  <c r="T3695" i="7"/>
  <c r="T3696" i="7"/>
  <c r="T3697" i="7"/>
  <c r="T3698" i="7"/>
  <c r="T3699" i="7"/>
  <c r="T3700" i="7"/>
  <c r="T3701" i="7"/>
  <c r="T3702" i="7"/>
  <c r="T3703" i="7"/>
  <c r="T3704" i="7"/>
  <c r="T3705" i="7"/>
  <c r="T3706" i="7"/>
  <c r="T3707" i="7"/>
  <c r="T3708" i="7"/>
  <c r="T3709" i="7"/>
  <c r="T3710" i="7"/>
  <c r="T3711" i="7"/>
  <c r="T3712" i="7"/>
  <c r="T3713" i="7"/>
  <c r="T3714" i="7"/>
  <c r="T3715" i="7"/>
  <c r="T3716" i="7"/>
  <c r="T3717" i="7"/>
  <c r="T3718" i="7"/>
  <c r="T3719" i="7"/>
  <c r="T3720" i="7"/>
  <c r="T3721" i="7"/>
  <c r="T3722" i="7"/>
  <c r="T3723" i="7"/>
  <c r="T3724" i="7"/>
  <c r="T3725" i="7"/>
  <c r="T3726" i="7"/>
  <c r="T3727" i="7"/>
  <c r="T3728" i="7"/>
  <c r="T3729" i="7"/>
  <c r="T3730" i="7"/>
  <c r="T3731" i="7"/>
  <c r="T3732" i="7"/>
  <c r="T3733" i="7"/>
  <c r="T3734" i="7"/>
  <c r="T3735" i="7"/>
  <c r="T3736" i="7"/>
  <c r="T3737" i="7"/>
  <c r="T3738" i="7"/>
  <c r="T3739" i="7"/>
  <c r="T3740" i="7"/>
  <c r="T3741" i="7"/>
  <c r="T3742" i="7"/>
  <c r="T3743" i="7"/>
  <c r="T3744" i="7"/>
  <c r="T3745" i="7"/>
  <c r="T3746" i="7"/>
  <c r="T3747" i="7"/>
  <c r="T3748" i="7"/>
  <c r="T3749" i="7"/>
  <c r="T3750" i="7"/>
  <c r="T3751" i="7"/>
  <c r="T3752" i="7"/>
  <c r="T3753" i="7"/>
  <c r="T3754" i="7"/>
  <c r="T3755" i="7"/>
  <c r="T3756" i="7"/>
  <c r="T3757" i="7"/>
  <c r="T3758" i="7"/>
  <c r="T3759" i="7"/>
  <c r="T3760" i="7"/>
  <c r="T3761" i="7"/>
  <c r="T3762" i="7"/>
  <c r="T3763" i="7"/>
  <c r="T3764" i="7"/>
  <c r="T3765" i="7"/>
  <c r="T3766" i="7"/>
  <c r="T3767" i="7"/>
  <c r="T3768" i="7"/>
  <c r="T3769" i="7"/>
  <c r="T3770" i="7"/>
  <c r="T3771" i="7"/>
  <c r="T3772" i="7"/>
  <c r="T3773" i="7"/>
  <c r="T3774" i="7"/>
  <c r="T3775" i="7"/>
  <c r="T3776" i="7"/>
  <c r="T3777" i="7"/>
  <c r="T3778" i="7"/>
  <c r="T3779" i="7"/>
  <c r="T3780" i="7"/>
  <c r="T3781" i="7"/>
  <c r="T3782" i="7"/>
  <c r="T3783" i="7"/>
  <c r="T3784" i="7"/>
  <c r="T3785" i="7"/>
  <c r="T3786" i="7"/>
  <c r="T3787" i="7"/>
  <c r="T3788" i="7"/>
  <c r="T3789" i="7"/>
  <c r="T3790" i="7"/>
  <c r="T3791" i="7"/>
  <c r="T3792" i="7"/>
  <c r="T3793" i="7"/>
  <c r="T3794" i="7"/>
  <c r="T3795" i="7"/>
  <c r="T3796" i="7"/>
  <c r="T3797" i="7"/>
  <c r="T3798" i="7"/>
  <c r="T3799" i="7"/>
  <c r="T3800" i="7"/>
  <c r="T3801" i="7"/>
  <c r="T3802" i="7"/>
  <c r="T3803" i="7"/>
  <c r="T3804" i="7"/>
  <c r="T3805" i="7"/>
  <c r="T3806" i="7"/>
  <c r="T3807" i="7"/>
  <c r="T3808" i="7"/>
  <c r="T3809" i="7"/>
  <c r="T3810" i="7"/>
  <c r="T3811" i="7"/>
  <c r="T3812" i="7"/>
  <c r="T3813" i="7"/>
  <c r="T3814" i="7"/>
  <c r="T3815" i="7"/>
  <c r="T3816" i="7"/>
  <c r="T3817" i="7"/>
  <c r="T3818" i="7"/>
  <c r="T3819" i="7"/>
  <c r="T3820" i="7"/>
  <c r="T3821" i="7"/>
  <c r="T3822" i="7"/>
  <c r="T3823" i="7"/>
  <c r="T3824" i="7"/>
  <c r="T3825" i="7"/>
  <c r="T3826" i="7"/>
  <c r="T3827" i="7"/>
  <c r="T3828" i="7"/>
  <c r="T3829" i="7"/>
  <c r="T3830" i="7"/>
  <c r="T3831" i="7"/>
  <c r="T3832" i="7"/>
  <c r="T3833" i="7"/>
  <c r="T3834" i="7"/>
  <c r="T3835" i="7"/>
  <c r="T3836" i="7"/>
  <c r="T3837" i="7"/>
  <c r="T3838" i="7"/>
  <c r="T3839" i="7"/>
  <c r="T3840" i="7"/>
  <c r="T3841" i="7"/>
  <c r="T3842" i="7"/>
  <c r="T3843" i="7"/>
  <c r="T3844" i="7"/>
  <c r="T3845" i="7"/>
  <c r="T3846" i="7"/>
  <c r="T3847" i="7"/>
  <c r="T3848" i="7"/>
  <c r="T3849" i="7"/>
  <c r="T3850" i="7"/>
  <c r="T3851" i="7"/>
  <c r="T3852" i="7"/>
  <c r="T3853" i="7"/>
  <c r="T3854" i="7"/>
  <c r="T3855" i="7"/>
  <c r="T3856" i="7"/>
  <c r="T3857" i="7"/>
  <c r="T3858" i="7"/>
  <c r="T3859" i="7"/>
  <c r="T3860" i="7"/>
  <c r="T3861" i="7"/>
  <c r="T3862" i="7"/>
  <c r="T3863" i="7"/>
  <c r="T3864" i="7"/>
  <c r="T3865" i="7"/>
  <c r="T3866" i="7"/>
  <c r="T3867" i="7"/>
  <c r="T3868" i="7"/>
  <c r="T3869" i="7"/>
  <c r="T3870" i="7"/>
  <c r="T3871" i="7"/>
  <c r="T3872" i="7"/>
  <c r="T3873" i="7"/>
  <c r="T3874" i="7"/>
  <c r="T3875" i="7"/>
  <c r="T3876" i="7"/>
  <c r="T3877" i="7"/>
  <c r="T3878" i="7"/>
  <c r="T3879" i="7"/>
  <c r="T3880" i="7"/>
  <c r="T3881" i="7"/>
  <c r="T3882" i="7"/>
  <c r="T3883" i="7"/>
  <c r="T3884" i="7"/>
  <c r="T3885" i="7"/>
  <c r="T3886" i="7"/>
  <c r="T3887" i="7"/>
  <c r="T3888" i="7"/>
  <c r="T3889" i="7"/>
  <c r="T3890" i="7"/>
  <c r="T3891" i="7"/>
  <c r="T3892" i="7"/>
  <c r="T3893" i="7"/>
  <c r="T3894" i="7"/>
  <c r="T3895" i="7"/>
  <c r="T3896" i="7"/>
  <c r="T3897" i="7"/>
  <c r="T3898" i="7"/>
  <c r="T3899" i="7"/>
  <c r="T3900" i="7"/>
  <c r="T3901" i="7"/>
  <c r="T3902" i="7"/>
  <c r="T3903" i="7"/>
  <c r="T3904" i="7"/>
  <c r="T3905" i="7"/>
  <c r="T3906" i="7"/>
  <c r="T3907" i="7"/>
  <c r="T3908" i="7"/>
  <c r="T3909" i="7"/>
  <c r="T3910" i="7"/>
  <c r="T3911" i="7"/>
  <c r="T3912" i="7"/>
  <c r="T3913" i="7"/>
  <c r="T3914" i="7"/>
  <c r="T3915" i="7"/>
  <c r="T3916" i="7"/>
  <c r="T3917" i="7"/>
  <c r="T3918" i="7"/>
  <c r="T3919" i="7"/>
  <c r="T3920" i="7"/>
  <c r="T3921" i="7"/>
  <c r="T3922" i="7"/>
  <c r="T3923" i="7"/>
  <c r="T3924" i="7"/>
  <c r="T3925" i="7"/>
  <c r="T3926" i="7"/>
  <c r="T3927" i="7"/>
  <c r="T3928" i="7"/>
  <c r="T3929" i="7"/>
  <c r="T3930" i="7"/>
  <c r="T3931" i="7"/>
  <c r="T3932" i="7"/>
  <c r="T3933" i="7"/>
  <c r="T3934" i="7"/>
  <c r="T3935" i="7"/>
  <c r="T3936" i="7"/>
  <c r="T3937" i="7"/>
  <c r="T3938" i="7"/>
  <c r="T3939" i="7"/>
  <c r="T3940" i="7"/>
  <c r="T3941" i="7"/>
  <c r="T3942" i="7"/>
  <c r="T3943" i="7"/>
  <c r="T3944" i="7"/>
  <c r="T3945" i="7"/>
  <c r="T3946" i="7"/>
  <c r="T3947" i="7"/>
  <c r="T3948" i="7"/>
  <c r="T3949" i="7"/>
  <c r="T3950" i="7"/>
  <c r="T3951" i="7"/>
  <c r="T3952" i="7"/>
  <c r="T3953" i="7"/>
  <c r="T3954" i="7"/>
  <c r="T3955" i="7"/>
  <c r="T3956" i="7"/>
  <c r="T3957" i="7"/>
  <c r="T3958" i="7"/>
  <c r="T3959" i="7"/>
  <c r="T3960" i="7"/>
  <c r="T3961" i="7"/>
  <c r="T3962" i="7"/>
  <c r="T3963" i="7"/>
  <c r="T3964" i="7"/>
  <c r="T3965" i="7"/>
  <c r="T3966" i="7"/>
  <c r="T3967" i="7"/>
  <c r="T3968" i="7"/>
  <c r="T3969" i="7"/>
  <c r="T3970" i="7"/>
  <c r="T3971" i="7"/>
  <c r="T3972" i="7"/>
  <c r="T3973" i="7"/>
  <c r="T3974" i="7"/>
  <c r="T3975" i="7"/>
  <c r="T3976" i="7"/>
  <c r="T3977" i="7"/>
  <c r="T3978" i="7"/>
  <c r="T3979" i="7"/>
  <c r="T3980" i="7"/>
  <c r="T3981" i="7"/>
  <c r="T3982" i="7"/>
  <c r="T3983" i="7"/>
  <c r="T3984" i="7"/>
  <c r="T3985" i="7"/>
  <c r="T3986" i="7"/>
  <c r="T3987" i="7"/>
  <c r="T3988" i="7"/>
  <c r="T3989" i="7"/>
  <c r="T3990" i="7"/>
  <c r="T3991" i="7"/>
  <c r="T3992" i="7"/>
  <c r="T3993" i="7"/>
  <c r="T3994" i="7"/>
  <c r="T3995" i="7"/>
  <c r="T3996" i="7"/>
  <c r="T3997" i="7"/>
  <c r="T3998" i="7"/>
  <c r="T3999" i="7"/>
  <c r="T4000" i="7"/>
  <c r="T4001" i="7"/>
  <c r="T4002" i="7"/>
  <c r="T4003" i="7"/>
  <c r="T4004" i="7"/>
  <c r="T4005" i="7"/>
  <c r="T4006" i="7"/>
  <c r="T4007" i="7"/>
  <c r="T4008" i="7"/>
  <c r="T4009" i="7"/>
  <c r="T4010" i="7"/>
  <c r="T4011" i="7"/>
  <c r="T4012" i="7"/>
  <c r="T4013" i="7"/>
  <c r="T4014" i="7"/>
  <c r="T4015" i="7"/>
  <c r="T4016" i="7"/>
  <c r="T4017" i="7"/>
  <c r="T4018" i="7"/>
  <c r="T4019" i="7"/>
  <c r="T4020" i="7"/>
  <c r="T4021" i="7"/>
  <c r="T4022" i="7"/>
  <c r="T4023" i="7"/>
  <c r="T4024" i="7"/>
  <c r="T4025" i="7"/>
  <c r="T4026" i="7"/>
  <c r="T4027" i="7"/>
  <c r="T4028" i="7"/>
  <c r="T4029" i="7"/>
  <c r="T4030" i="7"/>
  <c r="T4031" i="7"/>
  <c r="T4032" i="7"/>
  <c r="T4033" i="7"/>
  <c r="T4034" i="7"/>
  <c r="T4035" i="7"/>
  <c r="T4036" i="7"/>
  <c r="T4037" i="7"/>
  <c r="T4038" i="7"/>
  <c r="T4039" i="7"/>
  <c r="T4040" i="7"/>
  <c r="T4041" i="7"/>
  <c r="T4042" i="7"/>
  <c r="T4043" i="7"/>
  <c r="T4044" i="7"/>
  <c r="T4045" i="7"/>
  <c r="T4046" i="7"/>
  <c r="T4047" i="7"/>
  <c r="T4048" i="7"/>
  <c r="T4049" i="7"/>
  <c r="T4050" i="7"/>
  <c r="T4051" i="7"/>
  <c r="T4052" i="7"/>
  <c r="T4053" i="7"/>
  <c r="T4054" i="7"/>
  <c r="T4055" i="7"/>
  <c r="T4056" i="7"/>
  <c r="T4057" i="7"/>
  <c r="T4058" i="7"/>
  <c r="T4059" i="7"/>
  <c r="T4060" i="7"/>
  <c r="T4061" i="7"/>
  <c r="T4062" i="7"/>
  <c r="T4063" i="7"/>
  <c r="T4064" i="7"/>
  <c r="T4065" i="7"/>
  <c r="T4066" i="7"/>
  <c r="T4067" i="7"/>
  <c r="T4068" i="7"/>
  <c r="T4069" i="7"/>
  <c r="T4070" i="7"/>
  <c r="T4071" i="7"/>
  <c r="T4072" i="7"/>
  <c r="T4073" i="7"/>
  <c r="T4074" i="7"/>
  <c r="T4075" i="7"/>
  <c r="T4076" i="7"/>
  <c r="T4077" i="7"/>
  <c r="T4078" i="7"/>
  <c r="T4079" i="7"/>
  <c r="T4080" i="7"/>
  <c r="T4081" i="7"/>
  <c r="T4082" i="7"/>
  <c r="T4083" i="7"/>
  <c r="T4084" i="7"/>
  <c r="T4085" i="7"/>
  <c r="T4086" i="7"/>
  <c r="T4087" i="7"/>
  <c r="T4088" i="7"/>
  <c r="T4089" i="7"/>
  <c r="T4090" i="7"/>
  <c r="T4091" i="7"/>
  <c r="T4092" i="7"/>
  <c r="T4093" i="7"/>
  <c r="T4094" i="7"/>
  <c r="T4095" i="7"/>
  <c r="T4096" i="7"/>
  <c r="T4097" i="7"/>
  <c r="T4098" i="7"/>
  <c r="T4099" i="7"/>
  <c r="T4100" i="7"/>
  <c r="T4101" i="7"/>
  <c r="T4102" i="7"/>
  <c r="T4103" i="7"/>
  <c r="T4104" i="7"/>
  <c r="T4105" i="7"/>
  <c r="T4106" i="7"/>
  <c r="T4107" i="7"/>
  <c r="T4108" i="7"/>
  <c r="T4109" i="7"/>
  <c r="T4110" i="7"/>
  <c r="T4111" i="7"/>
  <c r="T4112" i="7"/>
  <c r="T4113" i="7"/>
  <c r="T4114" i="7"/>
  <c r="T4115" i="7"/>
  <c r="T4116" i="7"/>
  <c r="T4117" i="7"/>
  <c r="T4118" i="7"/>
  <c r="T4119" i="7"/>
  <c r="T4120" i="7"/>
  <c r="T4121" i="7"/>
  <c r="T4122" i="7"/>
  <c r="T4123" i="7"/>
  <c r="T4124" i="7"/>
  <c r="T4125" i="7"/>
  <c r="T4126" i="7"/>
  <c r="T4127" i="7"/>
  <c r="T4128" i="7"/>
  <c r="T4129" i="7"/>
  <c r="T4130" i="7"/>
  <c r="T4131" i="7"/>
  <c r="T4132" i="7"/>
  <c r="T4133" i="7"/>
  <c r="T4134" i="7"/>
  <c r="T4135" i="7"/>
  <c r="T4136" i="7"/>
  <c r="T4137" i="7"/>
  <c r="T4138" i="7"/>
  <c r="T4139" i="7"/>
  <c r="T4140" i="7"/>
  <c r="T4141" i="7"/>
  <c r="T4142" i="7"/>
  <c r="T4143" i="7"/>
  <c r="T4144" i="7"/>
  <c r="T4145" i="7"/>
  <c r="T4146" i="7"/>
  <c r="T4147" i="7"/>
  <c r="T4148" i="7"/>
  <c r="T4149" i="7"/>
  <c r="T4150" i="7"/>
  <c r="T4151" i="7"/>
  <c r="T4152" i="7"/>
  <c r="T4153" i="7"/>
  <c r="T4154" i="7"/>
  <c r="T4155" i="7"/>
  <c r="T4156" i="7"/>
  <c r="T4157" i="7"/>
  <c r="T4158" i="7"/>
  <c r="T4159" i="7"/>
  <c r="T4160" i="7"/>
  <c r="T4161" i="7"/>
  <c r="T4162" i="7"/>
  <c r="T4163" i="7"/>
  <c r="T4164" i="7"/>
  <c r="T4165" i="7"/>
  <c r="T4166" i="7"/>
  <c r="T4167" i="7"/>
  <c r="T4168" i="7"/>
  <c r="T4169" i="7"/>
  <c r="T4170" i="7"/>
  <c r="T4171" i="7"/>
  <c r="T4172" i="7"/>
  <c r="T4173" i="7"/>
  <c r="T4174" i="7"/>
  <c r="T4175" i="7"/>
  <c r="T4176" i="7"/>
  <c r="T4177" i="7"/>
  <c r="T4178" i="7"/>
  <c r="T4179" i="7"/>
  <c r="T4180" i="7"/>
  <c r="T4181" i="7"/>
  <c r="T4182" i="7"/>
  <c r="T4183" i="7"/>
  <c r="T4184" i="7"/>
  <c r="T4185" i="7"/>
  <c r="T4186" i="7"/>
  <c r="T4187" i="7"/>
  <c r="T4188" i="7"/>
  <c r="T4189" i="7"/>
  <c r="T4190" i="7"/>
  <c r="T4191" i="7"/>
  <c r="T4192" i="7"/>
  <c r="T4193" i="7"/>
  <c r="T4194" i="7"/>
  <c r="T4195" i="7"/>
  <c r="T4196" i="7"/>
  <c r="T4197" i="7"/>
  <c r="T4198" i="7"/>
  <c r="T4199" i="7"/>
  <c r="T4200" i="7"/>
  <c r="T4201" i="7"/>
  <c r="T4202" i="7"/>
  <c r="T4203" i="7"/>
  <c r="T4204" i="7"/>
  <c r="T4205" i="7"/>
  <c r="T4206" i="7"/>
  <c r="T4207" i="7"/>
  <c r="T4208" i="7"/>
  <c r="T4209" i="7"/>
  <c r="T4210" i="7"/>
  <c r="T4211" i="7"/>
  <c r="T4212" i="7"/>
  <c r="T4213" i="7"/>
  <c r="T4214" i="7"/>
  <c r="T4215" i="7"/>
  <c r="T4216" i="7"/>
  <c r="T4217" i="7"/>
  <c r="T4218" i="7"/>
  <c r="T4219" i="7"/>
  <c r="T4220" i="7"/>
  <c r="T4221" i="7"/>
  <c r="T4222" i="7"/>
  <c r="T4223" i="7"/>
  <c r="T4224" i="7"/>
  <c r="T4225" i="7"/>
  <c r="T4226" i="7"/>
  <c r="T4227" i="7"/>
  <c r="T4228" i="7"/>
  <c r="T4229" i="7"/>
  <c r="T4230" i="7"/>
  <c r="T4231" i="7"/>
  <c r="T4232" i="7"/>
  <c r="T4233" i="7"/>
  <c r="T4234" i="7"/>
  <c r="T4235" i="7"/>
  <c r="T4236" i="7"/>
  <c r="T4237" i="7"/>
  <c r="T4238" i="7"/>
  <c r="T4239" i="7"/>
  <c r="T4240" i="7"/>
  <c r="T4241" i="7"/>
  <c r="T4242" i="7"/>
  <c r="T4243" i="7"/>
  <c r="T4244" i="7"/>
  <c r="T4245" i="7"/>
  <c r="T4246" i="7"/>
  <c r="T4247" i="7"/>
  <c r="T4248" i="7"/>
  <c r="T4249" i="7"/>
  <c r="T4250" i="7"/>
  <c r="T4251" i="7"/>
  <c r="T4252" i="7"/>
  <c r="T4253" i="7"/>
  <c r="T4254" i="7"/>
  <c r="T4255" i="7"/>
  <c r="T4256" i="7"/>
  <c r="T4257" i="7"/>
  <c r="T4258" i="7"/>
  <c r="T4259" i="7"/>
  <c r="T4260" i="7"/>
  <c r="T4261" i="7"/>
  <c r="T4262" i="7"/>
  <c r="T4263" i="7"/>
  <c r="T4264" i="7"/>
  <c r="T4265" i="7"/>
  <c r="T4266" i="7"/>
  <c r="T4267" i="7"/>
  <c r="T4268" i="7"/>
  <c r="T4269" i="7"/>
  <c r="T4270" i="7"/>
  <c r="T4271" i="7"/>
  <c r="T4272" i="7"/>
  <c r="T4273" i="7"/>
  <c r="T4274" i="7"/>
  <c r="T4275" i="7"/>
  <c r="T4276" i="7"/>
  <c r="T4277" i="7"/>
  <c r="T4278" i="7"/>
  <c r="T4279" i="7"/>
  <c r="T4280" i="7"/>
  <c r="T4281" i="7"/>
  <c r="T4282" i="7"/>
  <c r="T4283" i="7"/>
  <c r="T4284" i="7"/>
  <c r="T4285" i="7"/>
  <c r="T4286" i="7"/>
  <c r="T4287" i="7"/>
  <c r="T4288" i="7"/>
  <c r="T4289" i="7"/>
  <c r="T4290" i="7"/>
  <c r="T4291" i="7"/>
  <c r="T4292" i="7"/>
  <c r="T4293" i="7"/>
  <c r="T4294" i="7"/>
  <c r="T4295" i="7"/>
  <c r="T4296" i="7"/>
  <c r="T4297" i="7"/>
  <c r="T4298" i="7"/>
  <c r="T4299" i="7"/>
  <c r="T4300" i="7"/>
  <c r="T4301" i="7"/>
  <c r="T4302" i="7"/>
  <c r="T4303" i="7"/>
  <c r="T4304" i="7"/>
  <c r="T4305" i="7"/>
  <c r="T4306" i="7"/>
  <c r="T4307" i="7"/>
  <c r="T4308" i="7"/>
  <c r="T4309" i="7"/>
  <c r="T4310" i="7"/>
  <c r="T4311" i="7"/>
  <c r="T4312" i="7"/>
  <c r="T4313" i="7"/>
  <c r="T4314" i="7"/>
  <c r="T4315" i="7"/>
  <c r="T4316" i="7"/>
  <c r="T4317" i="7"/>
  <c r="T4318" i="7"/>
  <c r="T4319" i="7"/>
  <c r="T4320" i="7"/>
  <c r="T4321" i="7"/>
  <c r="T4322" i="7"/>
  <c r="T4323" i="7"/>
  <c r="T4324" i="7"/>
  <c r="T4325" i="7"/>
  <c r="T4326" i="7"/>
  <c r="T4327" i="7"/>
  <c r="T4328" i="7"/>
  <c r="T4329" i="7"/>
  <c r="T4330" i="7"/>
  <c r="T4331" i="7"/>
  <c r="T4332" i="7"/>
  <c r="T4333" i="7"/>
  <c r="T4334" i="7"/>
  <c r="T4335" i="7"/>
  <c r="T4336" i="7"/>
  <c r="T4337" i="7"/>
  <c r="T4338" i="7"/>
  <c r="T4339" i="7"/>
  <c r="T4340" i="7"/>
  <c r="T4341" i="7"/>
  <c r="T4342" i="7"/>
  <c r="T4343" i="7"/>
  <c r="T4344" i="7"/>
  <c r="T4345" i="7"/>
  <c r="T4346" i="7"/>
  <c r="T4347" i="7"/>
  <c r="T4348" i="7"/>
  <c r="T4349" i="7"/>
  <c r="T4350" i="7"/>
  <c r="T4351" i="7"/>
  <c r="T4352" i="7"/>
  <c r="T4353" i="7"/>
  <c r="T4354" i="7"/>
  <c r="T4355" i="7"/>
  <c r="T4356" i="7"/>
  <c r="T4357" i="7"/>
  <c r="T4358" i="7"/>
  <c r="T4359" i="7"/>
  <c r="T4360" i="7"/>
  <c r="T4361" i="7"/>
  <c r="T4362" i="7"/>
  <c r="T4363" i="7"/>
  <c r="T4364" i="7"/>
  <c r="T4365" i="7"/>
  <c r="T4366" i="7"/>
  <c r="T4367" i="7"/>
  <c r="T4368" i="7"/>
  <c r="T4369" i="7"/>
  <c r="T4370" i="7"/>
  <c r="T4371" i="7"/>
  <c r="T4372" i="7"/>
  <c r="T4373" i="7"/>
  <c r="T4374" i="7"/>
  <c r="T4375" i="7"/>
  <c r="T4376" i="7"/>
  <c r="T4377" i="7"/>
  <c r="T4378" i="7"/>
  <c r="T4379" i="7"/>
  <c r="T4380" i="7"/>
  <c r="T4381" i="7"/>
  <c r="T4382" i="7"/>
  <c r="T4383" i="7"/>
  <c r="T4384" i="7"/>
  <c r="T4385" i="7"/>
  <c r="T4386" i="7"/>
  <c r="T4387" i="7"/>
  <c r="T4388" i="7"/>
  <c r="T4389" i="7"/>
  <c r="T4390" i="7"/>
  <c r="T4391" i="7"/>
  <c r="T4392" i="7"/>
  <c r="T4393" i="7"/>
  <c r="T4394" i="7"/>
  <c r="T4395" i="7"/>
  <c r="T4396" i="7"/>
  <c r="T4397" i="7"/>
  <c r="T4398" i="7"/>
  <c r="T4399" i="7"/>
  <c r="T4400" i="7"/>
  <c r="T4401" i="7"/>
  <c r="T4402" i="7"/>
  <c r="T4403" i="7"/>
  <c r="T4404" i="7"/>
  <c r="T4405" i="7"/>
  <c r="T4406" i="7"/>
  <c r="T4407" i="7"/>
  <c r="T4408" i="7"/>
  <c r="T4409" i="7"/>
  <c r="T4410" i="7"/>
  <c r="T4411" i="7"/>
  <c r="T4412" i="7"/>
  <c r="T4413" i="7"/>
  <c r="T4414" i="7"/>
  <c r="T4415" i="7"/>
  <c r="T4416" i="7"/>
  <c r="T4417" i="7"/>
  <c r="T4418" i="7"/>
  <c r="T4419" i="7"/>
  <c r="T4420" i="7"/>
  <c r="T4421" i="7"/>
  <c r="T4422" i="7"/>
  <c r="T4423" i="7"/>
  <c r="T4424" i="7"/>
  <c r="T4425" i="7"/>
  <c r="T4426" i="7"/>
  <c r="T4427" i="7"/>
  <c r="T4428" i="7"/>
  <c r="T4429" i="7"/>
  <c r="T4430" i="7"/>
  <c r="T4431" i="7"/>
  <c r="T4432" i="7"/>
  <c r="T4433" i="7"/>
  <c r="T4434" i="7"/>
  <c r="T4435" i="7"/>
  <c r="T4436" i="7"/>
  <c r="T4437" i="7"/>
  <c r="T4438" i="7"/>
  <c r="T4439" i="7"/>
  <c r="T4440" i="7"/>
  <c r="T4441" i="7"/>
  <c r="T4442" i="7"/>
  <c r="T4443" i="7"/>
  <c r="T4444" i="7"/>
  <c r="T4445" i="7"/>
  <c r="T4446" i="7"/>
  <c r="T4447" i="7"/>
  <c r="T4448" i="7"/>
  <c r="T4449" i="7"/>
  <c r="T4450" i="7"/>
  <c r="T4451" i="7"/>
  <c r="T4452" i="7"/>
  <c r="T4453" i="7"/>
  <c r="T4454" i="7"/>
  <c r="T4455" i="7"/>
  <c r="T4456" i="7"/>
  <c r="T4457" i="7"/>
  <c r="T4458" i="7"/>
  <c r="T4459" i="7"/>
  <c r="T4460" i="7"/>
  <c r="T4461" i="7"/>
  <c r="T4462" i="7"/>
  <c r="T4463" i="7"/>
  <c r="T4464" i="7"/>
  <c r="T4465" i="7"/>
  <c r="T4466" i="7"/>
  <c r="T4467" i="7"/>
  <c r="T4468" i="7"/>
  <c r="T4469" i="7"/>
  <c r="T4470" i="7"/>
  <c r="T4471" i="7"/>
  <c r="T4472" i="7"/>
  <c r="T4473" i="7"/>
  <c r="T4474" i="7"/>
  <c r="T4475" i="7"/>
  <c r="T4476" i="7"/>
  <c r="T4477" i="7"/>
  <c r="T4478" i="7"/>
  <c r="T4479" i="7"/>
  <c r="T4480" i="7"/>
  <c r="T4481" i="7"/>
  <c r="T4482" i="7"/>
  <c r="T4483" i="7"/>
  <c r="T4484" i="7"/>
  <c r="T4485" i="7"/>
  <c r="T4486" i="7"/>
  <c r="T4487" i="7"/>
  <c r="T4488" i="7"/>
  <c r="T4489" i="7"/>
  <c r="T4490" i="7"/>
  <c r="T4491" i="7"/>
  <c r="T4492" i="7"/>
  <c r="T4493" i="7"/>
  <c r="T4494" i="7"/>
  <c r="T4495" i="7"/>
  <c r="T4496" i="7"/>
  <c r="T4497" i="7"/>
  <c r="T4498" i="7"/>
  <c r="T4499" i="7"/>
  <c r="T4500" i="7"/>
  <c r="T4501" i="7"/>
  <c r="T4502" i="7"/>
  <c r="T4503" i="7"/>
  <c r="T4504" i="7"/>
  <c r="T4505" i="7"/>
  <c r="T4506" i="7"/>
  <c r="T4507" i="7"/>
  <c r="T4508" i="7"/>
  <c r="T4509" i="7"/>
  <c r="T4510" i="7"/>
  <c r="T4511" i="7"/>
  <c r="T4512" i="7"/>
  <c r="T4513" i="7"/>
  <c r="T4514" i="7"/>
  <c r="T4515" i="7"/>
  <c r="T4516" i="7"/>
  <c r="T4517" i="7"/>
  <c r="T4518" i="7"/>
  <c r="T4519" i="7"/>
  <c r="T4520" i="7"/>
  <c r="T4521" i="7"/>
  <c r="T4522" i="7"/>
  <c r="T4523" i="7"/>
  <c r="T4524" i="7"/>
  <c r="T4525" i="7"/>
  <c r="T4526" i="7"/>
  <c r="T4527" i="7"/>
  <c r="T4528" i="7"/>
  <c r="T4529" i="7"/>
  <c r="T4530" i="7"/>
  <c r="T4531" i="7"/>
  <c r="T4532" i="7"/>
  <c r="T4533" i="7"/>
  <c r="T4534" i="7"/>
  <c r="T4535" i="7"/>
  <c r="T4536" i="7"/>
  <c r="T4537" i="7"/>
  <c r="T4538" i="7"/>
  <c r="T4539" i="7"/>
  <c r="T4540" i="7"/>
  <c r="T4541" i="7"/>
  <c r="T4542" i="7"/>
  <c r="T4543" i="7"/>
  <c r="T4544" i="7"/>
  <c r="T4545" i="7"/>
  <c r="T4546" i="7"/>
  <c r="T4547" i="7"/>
  <c r="T4548" i="7"/>
  <c r="T4549" i="7"/>
  <c r="T4550" i="7"/>
  <c r="T4551" i="7"/>
  <c r="T4552" i="7"/>
  <c r="T4553" i="7"/>
  <c r="T4554" i="7"/>
  <c r="T4555" i="7"/>
  <c r="T4556" i="7"/>
  <c r="T4557" i="7"/>
  <c r="T4558" i="7"/>
  <c r="T4559" i="7"/>
  <c r="T4560" i="7"/>
  <c r="T4561" i="7"/>
  <c r="T4562" i="7"/>
  <c r="T4563" i="7"/>
  <c r="T4564" i="7"/>
  <c r="T4565" i="7"/>
  <c r="T4566" i="7"/>
  <c r="T4567" i="7"/>
  <c r="T4568" i="7"/>
  <c r="T4569" i="7"/>
  <c r="T4570" i="7"/>
  <c r="T4571" i="7"/>
  <c r="T4572" i="7"/>
  <c r="T4573" i="7"/>
  <c r="T4574" i="7"/>
  <c r="T4575" i="7"/>
  <c r="T4576" i="7"/>
  <c r="T4577" i="7"/>
  <c r="T4578" i="7"/>
  <c r="T4579" i="7"/>
  <c r="T4580" i="7"/>
  <c r="T4581" i="7"/>
  <c r="T4582" i="7"/>
  <c r="T4583" i="7"/>
  <c r="T4584" i="7"/>
  <c r="T4585" i="7"/>
  <c r="T4586" i="7"/>
  <c r="T4587" i="7"/>
  <c r="T4588" i="7"/>
  <c r="T4589" i="7"/>
  <c r="T4590" i="7"/>
  <c r="T4591" i="7"/>
  <c r="T4592" i="7"/>
  <c r="T4593" i="7"/>
  <c r="T4594" i="7"/>
  <c r="T4595" i="7"/>
  <c r="T4596" i="7"/>
  <c r="T4597" i="7"/>
  <c r="T4598" i="7"/>
  <c r="T4599" i="7"/>
  <c r="T4600" i="7"/>
  <c r="T4601" i="7"/>
  <c r="T4602" i="7"/>
  <c r="T4603" i="7"/>
  <c r="T4604" i="7"/>
  <c r="T4605" i="7"/>
  <c r="T4606" i="7"/>
  <c r="T4607" i="7"/>
  <c r="T4608" i="7"/>
  <c r="T4609" i="7"/>
  <c r="T4610" i="7"/>
  <c r="T4611" i="7"/>
  <c r="T4612" i="7"/>
  <c r="T4613" i="7"/>
  <c r="T4614" i="7"/>
  <c r="T4615" i="7"/>
  <c r="T4616" i="7"/>
  <c r="T4617" i="7"/>
  <c r="T4618" i="7"/>
  <c r="T4619" i="7"/>
  <c r="T4620" i="7"/>
  <c r="T4621" i="7"/>
  <c r="T4622" i="7"/>
  <c r="T4623" i="7"/>
  <c r="T4624" i="7"/>
  <c r="T4625" i="7"/>
  <c r="T4626" i="7"/>
  <c r="T4627" i="7"/>
  <c r="T4628" i="7"/>
  <c r="T4629" i="7"/>
  <c r="T4630" i="7"/>
  <c r="T4631" i="7"/>
  <c r="T4632" i="7"/>
  <c r="T4633" i="7"/>
  <c r="T4634" i="7"/>
  <c r="T4635" i="7"/>
  <c r="T4636" i="7"/>
  <c r="T4637" i="7"/>
  <c r="T4638" i="7"/>
  <c r="T4639" i="7"/>
  <c r="T4640" i="7"/>
  <c r="T4641" i="7"/>
  <c r="T4642" i="7"/>
  <c r="T4643" i="7"/>
  <c r="T4644" i="7"/>
  <c r="T4645" i="7"/>
  <c r="T4646" i="7"/>
  <c r="T4647" i="7"/>
  <c r="T4648" i="7"/>
  <c r="T4649" i="7"/>
  <c r="T4650" i="7"/>
  <c r="T4651" i="7"/>
  <c r="T4652" i="7"/>
  <c r="T4653" i="7"/>
  <c r="T4654" i="7"/>
  <c r="T4655" i="7"/>
  <c r="T4656" i="7"/>
  <c r="T4657" i="7"/>
  <c r="T4658" i="7"/>
  <c r="T4659" i="7"/>
  <c r="T4660" i="7"/>
  <c r="T4661" i="7"/>
  <c r="T4662" i="7"/>
  <c r="T4663" i="7"/>
  <c r="T4664" i="7"/>
  <c r="T4665" i="7"/>
  <c r="T4666" i="7"/>
  <c r="T4667" i="7"/>
  <c r="T4668" i="7"/>
  <c r="T4669" i="7"/>
  <c r="T4670" i="7"/>
  <c r="T4671" i="7"/>
  <c r="T4672" i="7"/>
  <c r="T4673" i="7"/>
  <c r="T4674" i="7"/>
  <c r="T4675" i="7"/>
  <c r="T4676" i="7"/>
  <c r="T4677" i="7"/>
  <c r="T4678" i="7"/>
  <c r="T4679" i="7"/>
  <c r="T4680" i="7"/>
  <c r="T4681" i="7"/>
  <c r="T4682" i="7"/>
  <c r="T4683" i="7"/>
  <c r="T4684" i="7"/>
  <c r="T4685" i="7"/>
  <c r="T4686" i="7"/>
  <c r="T4687" i="7"/>
  <c r="T4688" i="7"/>
  <c r="T4689" i="7"/>
  <c r="T4690" i="7"/>
  <c r="T4691" i="7"/>
  <c r="T4692" i="7"/>
  <c r="T4693" i="7"/>
  <c r="T4694" i="7"/>
  <c r="T4695" i="7"/>
  <c r="T4696" i="7"/>
  <c r="T4697" i="7"/>
  <c r="T4698" i="7"/>
  <c r="T4699" i="7"/>
  <c r="T4700" i="7"/>
  <c r="T4701" i="7"/>
  <c r="T4702" i="7"/>
  <c r="T4703" i="7"/>
  <c r="T4704" i="7"/>
  <c r="T4705" i="7"/>
  <c r="T4706" i="7"/>
  <c r="T4707" i="7"/>
  <c r="T4708" i="7"/>
  <c r="T4709" i="7"/>
  <c r="T4710" i="7"/>
  <c r="T4711" i="7"/>
  <c r="T4712" i="7"/>
  <c r="T4713" i="7"/>
  <c r="T4714" i="7"/>
  <c r="T4715" i="7"/>
  <c r="T4716" i="7"/>
  <c r="T4717" i="7"/>
  <c r="T4718" i="7"/>
  <c r="T4719" i="7"/>
  <c r="T4720" i="7"/>
  <c r="T4721" i="7"/>
  <c r="T4722" i="7"/>
  <c r="T4723" i="7"/>
  <c r="T4724" i="7"/>
  <c r="T4725" i="7"/>
  <c r="T4726" i="7"/>
  <c r="T4727" i="7"/>
  <c r="T4728" i="7"/>
  <c r="T4729" i="7"/>
  <c r="T4730" i="7"/>
  <c r="T4731" i="7"/>
  <c r="T4732" i="7"/>
  <c r="T4733" i="7"/>
  <c r="T4734" i="7"/>
  <c r="T4735" i="7"/>
  <c r="T4736" i="7"/>
  <c r="T4737" i="7"/>
  <c r="T4738" i="7"/>
  <c r="T4739" i="7"/>
  <c r="T4740" i="7"/>
  <c r="T4741" i="7"/>
  <c r="T4742" i="7"/>
  <c r="T4743" i="7"/>
  <c r="T4744" i="7"/>
  <c r="T4745" i="7"/>
  <c r="T4746" i="7"/>
  <c r="T4747" i="7"/>
  <c r="T4748" i="7"/>
  <c r="T4749" i="7"/>
  <c r="T4750" i="7"/>
  <c r="T4751" i="7"/>
  <c r="T4752" i="7"/>
  <c r="T4753" i="7"/>
  <c r="T4754" i="7"/>
  <c r="T4755" i="7"/>
  <c r="T4756" i="7"/>
  <c r="T4757" i="7"/>
  <c r="T4758" i="7"/>
  <c r="T4759" i="7"/>
  <c r="T4760" i="7"/>
  <c r="T4761" i="7"/>
  <c r="T4762" i="7"/>
  <c r="T4763" i="7"/>
  <c r="T4764" i="7"/>
  <c r="T4765" i="7"/>
  <c r="T4766" i="7"/>
  <c r="T4767" i="7"/>
  <c r="T4768" i="7"/>
  <c r="T4769" i="7"/>
  <c r="T4770" i="7"/>
  <c r="T4771" i="7"/>
  <c r="T4772" i="7"/>
  <c r="T4773" i="7"/>
  <c r="T4774" i="7"/>
  <c r="T4775" i="7"/>
  <c r="T4776" i="7"/>
  <c r="T4777" i="7"/>
  <c r="T4778" i="7"/>
  <c r="T4779" i="7"/>
  <c r="T4780" i="7"/>
  <c r="T4781" i="7"/>
  <c r="T4782" i="7"/>
  <c r="T4783" i="7"/>
  <c r="T4784" i="7"/>
  <c r="T4785" i="7"/>
  <c r="T4786" i="7"/>
  <c r="T4787" i="7"/>
  <c r="T4788" i="7"/>
  <c r="T4789" i="7"/>
  <c r="T4790" i="7"/>
  <c r="T4791" i="7"/>
  <c r="T4792" i="7"/>
  <c r="T4793" i="7"/>
  <c r="T4794" i="7"/>
  <c r="T4795" i="7"/>
  <c r="T4796" i="7"/>
  <c r="T4797" i="7"/>
  <c r="T4798" i="7"/>
  <c r="T4799" i="7"/>
  <c r="T4800" i="7"/>
  <c r="T4801" i="7"/>
  <c r="T4802" i="7"/>
  <c r="T4803" i="7"/>
  <c r="T4804" i="7"/>
  <c r="T4805" i="7"/>
  <c r="T4806" i="7"/>
  <c r="T4807" i="7"/>
  <c r="T4808" i="7"/>
  <c r="T4809" i="7"/>
  <c r="T4810" i="7"/>
  <c r="T4811" i="7"/>
  <c r="T4812" i="7"/>
  <c r="T4813" i="7"/>
  <c r="T4814" i="7"/>
  <c r="T4815" i="7"/>
  <c r="T4816" i="7"/>
  <c r="T4817" i="7"/>
  <c r="T4818" i="7"/>
  <c r="T4819" i="7"/>
  <c r="T4820" i="7"/>
  <c r="T4821" i="7"/>
  <c r="T4822" i="7"/>
  <c r="T4823" i="7"/>
  <c r="T4824" i="7"/>
  <c r="T4825" i="7"/>
  <c r="T4826" i="7"/>
  <c r="T4827" i="7"/>
  <c r="T4828" i="7"/>
  <c r="T4829" i="7"/>
  <c r="T4830" i="7"/>
  <c r="T4831" i="7"/>
  <c r="T4832" i="7"/>
  <c r="T4833" i="7"/>
  <c r="T4834" i="7"/>
  <c r="T4835" i="7"/>
  <c r="T4836" i="7"/>
  <c r="T4837" i="7"/>
  <c r="T4838" i="7"/>
  <c r="T4839" i="7"/>
  <c r="T4840" i="7"/>
  <c r="T4841" i="7"/>
  <c r="T4842" i="7"/>
  <c r="T4843" i="7"/>
  <c r="T4844" i="7"/>
  <c r="T4845" i="7"/>
  <c r="T4846" i="7"/>
  <c r="T4847" i="7"/>
  <c r="T4848" i="7"/>
  <c r="T4849" i="7"/>
  <c r="T4850" i="7"/>
  <c r="T4851" i="7"/>
  <c r="T4852" i="7"/>
  <c r="T4853" i="7"/>
  <c r="T4854" i="7"/>
  <c r="T4855" i="7"/>
  <c r="T4856" i="7"/>
  <c r="T4857" i="7"/>
  <c r="T4858" i="7"/>
  <c r="T4859" i="7"/>
  <c r="T4860" i="7"/>
  <c r="T4861" i="7"/>
  <c r="T4862" i="7"/>
  <c r="T4863" i="7"/>
  <c r="T4864" i="7"/>
  <c r="T4865" i="7"/>
  <c r="T4866" i="7"/>
  <c r="T4867" i="7"/>
  <c r="T4868" i="7"/>
  <c r="T4869" i="7"/>
  <c r="T4870" i="7"/>
  <c r="T4871" i="7"/>
  <c r="T4872" i="7"/>
  <c r="T4873" i="7"/>
  <c r="T4874" i="7"/>
  <c r="T4875" i="7"/>
  <c r="T4876" i="7"/>
  <c r="T4877" i="7"/>
  <c r="T4878" i="7"/>
  <c r="T4879" i="7"/>
  <c r="T4880" i="7"/>
  <c r="T4881" i="7"/>
  <c r="T4882" i="7"/>
  <c r="T4883" i="7"/>
  <c r="T4884" i="7"/>
  <c r="T4885" i="7"/>
  <c r="T4886" i="7"/>
  <c r="T4887" i="7"/>
  <c r="T4888" i="7"/>
  <c r="T4889" i="7"/>
  <c r="T4890" i="7"/>
  <c r="T4891" i="7"/>
  <c r="T4892" i="7"/>
  <c r="T4893" i="7"/>
  <c r="T4894" i="7"/>
  <c r="T4895" i="7"/>
  <c r="T4896" i="7"/>
  <c r="T4897" i="7"/>
  <c r="T4898" i="7"/>
  <c r="T4899" i="7"/>
  <c r="T4900" i="7"/>
  <c r="T4901" i="7"/>
  <c r="T4902" i="7"/>
  <c r="T4903" i="7"/>
  <c r="T4904" i="7"/>
  <c r="T4905" i="7"/>
  <c r="T4906" i="7"/>
  <c r="T4907" i="7"/>
  <c r="T4908" i="7"/>
  <c r="T4909" i="7"/>
  <c r="T4910" i="7"/>
  <c r="T4911" i="7"/>
  <c r="T4912" i="7"/>
  <c r="T4913" i="7"/>
  <c r="T4914" i="7"/>
  <c r="T4915" i="7"/>
  <c r="T4916" i="7"/>
  <c r="T4917" i="7"/>
  <c r="T4918" i="7"/>
  <c r="T4919" i="7"/>
  <c r="T4920" i="7"/>
  <c r="T4921" i="7"/>
  <c r="T4922" i="7"/>
  <c r="T4923" i="7"/>
  <c r="T4924" i="7"/>
  <c r="T4925" i="7"/>
  <c r="T4926" i="7"/>
  <c r="T4927" i="7"/>
  <c r="T4928" i="7"/>
  <c r="T4929" i="7"/>
  <c r="T4930" i="7"/>
  <c r="T4931" i="7"/>
  <c r="T4932" i="7"/>
  <c r="T4933" i="7"/>
  <c r="T4934" i="7"/>
  <c r="T4935" i="7"/>
  <c r="T4936" i="7"/>
  <c r="T4937" i="7"/>
  <c r="T4938" i="7"/>
  <c r="T4939" i="7"/>
  <c r="T4940" i="7"/>
  <c r="T4941" i="7"/>
  <c r="T4942" i="7"/>
  <c r="T4943" i="7"/>
  <c r="T4944" i="7"/>
  <c r="T4945" i="7"/>
  <c r="T4946" i="7"/>
  <c r="T4947" i="7"/>
  <c r="T4948" i="7"/>
  <c r="T4949" i="7"/>
  <c r="T4950" i="7"/>
  <c r="T4951" i="7"/>
  <c r="T4952" i="7"/>
  <c r="T4953" i="7"/>
  <c r="T4954" i="7"/>
  <c r="T4955" i="7"/>
  <c r="T4956" i="7"/>
  <c r="T4957" i="7"/>
  <c r="T4958" i="7"/>
  <c r="T4959" i="7"/>
  <c r="T4960" i="7"/>
  <c r="T4961" i="7"/>
  <c r="T4962" i="7"/>
  <c r="T4963" i="7"/>
  <c r="T4964" i="7"/>
  <c r="T4965" i="7"/>
  <c r="T4966" i="7"/>
  <c r="T4967" i="7"/>
  <c r="T4968" i="7"/>
  <c r="T4969" i="7"/>
  <c r="T4970" i="7"/>
  <c r="T4971" i="7"/>
  <c r="T4972" i="7"/>
  <c r="T4973" i="7"/>
  <c r="T4974" i="7"/>
  <c r="T4975" i="7"/>
  <c r="T4976" i="7"/>
  <c r="T4977" i="7"/>
  <c r="T4978" i="7"/>
  <c r="T4979" i="7"/>
  <c r="T4980" i="7"/>
  <c r="T4981" i="7"/>
  <c r="T4982" i="7"/>
  <c r="T4983" i="7"/>
  <c r="T4984" i="7"/>
  <c r="T4985" i="7"/>
  <c r="T4986" i="7"/>
  <c r="T4987" i="7"/>
  <c r="T4988" i="7"/>
  <c r="T4989" i="7"/>
  <c r="T4990" i="7"/>
  <c r="T4991" i="7"/>
  <c r="T4992" i="7"/>
  <c r="T4993" i="7"/>
  <c r="T4994" i="7"/>
  <c r="T4995" i="7"/>
  <c r="T4996" i="7"/>
  <c r="T4997" i="7"/>
  <c r="T4998" i="7"/>
  <c r="T4999" i="7"/>
  <c r="T5000" i="7"/>
  <c r="T5001" i="7"/>
  <c r="T5002" i="7"/>
  <c r="T5003" i="7"/>
  <c r="T5004" i="7"/>
  <c r="T5005" i="7"/>
  <c r="T5006" i="7"/>
  <c r="T5007" i="7"/>
  <c r="T5008" i="7"/>
  <c r="T5009" i="7"/>
  <c r="T5010" i="7"/>
  <c r="T5011" i="7"/>
  <c r="T5012" i="7"/>
  <c r="T5013" i="7"/>
  <c r="T5014" i="7"/>
  <c r="T5015" i="7"/>
  <c r="T5016" i="7"/>
  <c r="T5017" i="7"/>
  <c r="T5018" i="7"/>
  <c r="T5019" i="7"/>
  <c r="T5020" i="7"/>
  <c r="T5021" i="7"/>
  <c r="T5022" i="7"/>
  <c r="T5023" i="7"/>
  <c r="T5024" i="7"/>
  <c r="T5025" i="7"/>
  <c r="T5026" i="7"/>
  <c r="T5027" i="7"/>
  <c r="T5028" i="7"/>
  <c r="T5029" i="7"/>
  <c r="T5030" i="7"/>
  <c r="T5031" i="7"/>
  <c r="T5032" i="7"/>
  <c r="T5033" i="7"/>
  <c r="T5034" i="7"/>
  <c r="T5035" i="7"/>
  <c r="T5036" i="7"/>
  <c r="T5037" i="7"/>
  <c r="T5038" i="7"/>
  <c r="T5039" i="7"/>
  <c r="T5040" i="7"/>
  <c r="T5041" i="7"/>
  <c r="T5042" i="7"/>
  <c r="T5043" i="7"/>
  <c r="T5044" i="7"/>
  <c r="T5045" i="7"/>
  <c r="T5046" i="7"/>
  <c r="T5047" i="7"/>
  <c r="T5048" i="7"/>
  <c r="T5049" i="7"/>
  <c r="T5050" i="7"/>
  <c r="T5051" i="7"/>
  <c r="T5052" i="7"/>
  <c r="T5053" i="7"/>
  <c r="T5054" i="7"/>
  <c r="T5055" i="7"/>
  <c r="T5056" i="7"/>
  <c r="T5057" i="7"/>
  <c r="T5058" i="7"/>
  <c r="T5059" i="7"/>
  <c r="T5060" i="7"/>
  <c r="T5061" i="7"/>
  <c r="T5062" i="7"/>
  <c r="T5063" i="7"/>
  <c r="T5064" i="7"/>
  <c r="T5065" i="7"/>
  <c r="T5066" i="7"/>
  <c r="T5067" i="7"/>
  <c r="T5068" i="7"/>
  <c r="T5069" i="7"/>
  <c r="T5070" i="7"/>
  <c r="T5071" i="7"/>
  <c r="T5072" i="7"/>
  <c r="T5073" i="7"/>
  <c r="T5074" i="7"/>
  <c r="T5075" i="7"/>
  <c r="T5076" i="7"/>
  <c r="T5077" i="7"/>
  <c r="T5078" i="7"/>
  <c r="T5079" i="7"/>
  <c r="T5080" i="7"/>
  <c r="T5081" i="7"/>
  <c r="T5082" i="7"/>
  <c r="T5083" i="7"/>
  <c r="T5084" i="7"/>
  <c r="T5085" i="7"/>
  <c r="T5086" i="7"/>
  <c r="T5087" i="7"/>
  <c r="T5088" i="7"/>
  <c r="T5089" i="7"/>
  <c r="T5090" i="7"/>
  <c r="T5091" i="7"/>
  <c r="T5092" i="7"/>
  <c r="T5093" i="7"/>
  <c r="T5094" i="7"/>
  <c r="T5095" i="7"/>
  <c r="T5096" i="7"/>
  <c r="T5097" i="7"/>
  <c r="T5098" i="7"/>
  <c r="T5099" i="7"/>
  <c r="T5100" i="7"/>
  <c r="T5101" i="7"/>
  <c r="T5102" i="7"/>
  <c r="T5103" i="7"/>
  <c r="T5104" i="7"/>
  <c r="T5105" i="7"/>
  <c r="T5106" i="7"/>
  <c r="T5107" i="7"/>
  <c r="T5108" i="7"/>
  <c r="T5109" i="7"/>
  <c r="T5110" i="7"/>
  <c r="T5111" i="7"/>
  <c r="T5112" i="7"/>
  <c r="T5113" i="7"/>
  <c r="T5114" i="7"/>
  <c r="T5115" i="7"/>
  <c r="T5116" i="7"/>
  <c r="T5117" i="7"/>
  <c r="T5118" i="7"/>
  <c r="T5119" i="7"/>
  <c r="T5120" i="7"/>
  <c r="T5121" i="7"/>
  <c r="T5122" i="7"/>
  <c r="T5123" i="7"/>
  <c r="T5124" i="7"/>
  <c r="T5125" i="7"/>
  <c r="T5126" i="7"/>
  <c r="T5127" i="7"/>
  <c r="T5128" i="7"/>
  <c r="T5129" i="7"/>
  <c r="T5130" i="7"/>
  <c r="T5131" i="7"/>
  <c r="T5132" i="7"/>
  <c r="T5133" i="7"/>
  <c r="T5134" i="7"/>
  <c r="T5135" i="7"/>
  <c r="T5136" i="7"/>
  <c r="T5137" i="7"/>
  <c r="T5138" i="7"/>
  <c r="T5139" i="7"/>
  <c r="T5140" i="7"/>
  <c r="T5141" i="7"/>
  <c r="T5142" i="7"/>
  <c r="T5143" i="7"/>
  <c r="T5144" i="7"/>
  <c r="T5145" i="7"/>
  <c r="T5146" i="7"/>
  <c r="T5147" i="7"/>
  <c r="T5148" i="7"/>
  <c r="T5149" i="7"/>
  <c r="T5150" i="7"/>
  <c r="T5151" i="7"/>
  <c r="T5152" i="7"/>
  <c r="T5153" i="7"/>
  <c r="T5154" i="7"/>
  <c r="T5155" i="7"/>
  <c r="T5156" i="7"/>
  <c r="T5157" i="7"/>
  <c r="T5158" i="7"/>
  <c r="T5159" i="7"/>
  <c r="T5160" i="7"/>
  <c r="T5161" i="7"/>
  <c r="T5162" i="7"/>
  <c r="T5163" i="7"/>
  <c r="T5164" i="7"/>
  <c r="T5165" i="7"/>
  <c r="T5166" i="7"/>
  <c r="T5167" i="7"/>
  <c r="T5168" i="7"/>
  <c r="T5169" i="7"/>
  <c r="T5170" i="7"/>
  <c r="T5171" i="7"/>
  <c r="T5172" i="7"/>
  <c r="T5173" i="7"/>
  <c r="T5174" i="7"/>
  <c r="T5175" i="7"/>
  <c r="T5176" i="7"/>
  <c r="T5177" i="7"/>
  <c r="T5178" i="7"/>
  <c r="T5179" i="7"/>
  <c r="T5180" i="7"/>
  <c r="T5181" i="7"/>
  <c r="T5182" i="7"/>
  <c r="T5183" i="7"/>
  <c r="T5184" i="7"/>
  <c r="T5185" i="7"/>
  <c r="T5186" i="7"/>
  <c r="T5187" i="7"/>
  <c r="T5188" i="7"/>
  <c r="T5189" i="7"/>
  <c r="T5190" i="7"/>
  <c r="T5191" i="7"/>
  <c r="T5192" i="7"/>
  <c r="T5193" i="7"/>
  <c r="T5194" i="7"/>
  <c r="T5195" i="7"/>
  <c r="T5196" i="7"/>
  <c r="T5197" i="7"/>
  <c r="T5198" i="7"/>
  <c r="T5199" i="7"/>
  <c r="T5200" i="7"/>
  <c r="T5201" i="7"/>
  <c r="T5202" i="7"/>
  <c r="T5203" i="7"/>
  <c r="T5204" i="7"/>
  <c r="T5205" i="7"/>
  <c r="T5206" i="7"/>
  <c r="T5207" i="7"/>
  <c r="T5208" i="7"/>
  <c r="T5209" i="7"/>
  <c r="T5210" i="7"/>
  <c r="T5211" i="7"/>
  <c r="T5212" i="7"/>
  <c r="T5213" i="7"/>
  <c r="T5214" i="7"/>
  <c r="T5215" i="7"/>
  <c r="T5216" i="7"/>
  <c r="T5217" i="7"/>
  <c r="T5218" i="7"/>
  <c r="T5219" i="7"/>
  <c r="T5220" i="7"/>
  <c r="T5221" i="7"/>
  <c r="T5222" i="7"/>
  <c r="T5223" i="7"/>
  <c r="T5224" i="7"/>
  <c r="T5225" i="7"/>
  <c r="T5226" i="7"/>
  <c r="T5227" i="7"/>
  <c r="T5228" i="7"/>
  <c r="T5229" i="7"/>
  <c r="T5230" i="7"/>
  <c r="T5231" i="7"/>
  <c r="T5232" i="7"/>
  <c r="T5233" i="7"/>
  <c r="T5234" i="7"/>
  <c r="T5235" i="7"/>
  <c r="T5236" i="7"/>
  <c r="T5237" i="7"/>
  <c r="T5238" i="7"/>
  <c r="T5239" i="7"/>
  <c r="T5240" i="7"/>
  <c r="T5241" i="7"/>
  <c r="T5242" i="7"/>
  <c r="T5243" i="7"/>
  <c r="T5244" i="7"/>
  <c r="T5245" i="7"/>
  <c r="T5246" i="7"/>
  <c r="T5247" i="7"/>
  <c r="T5248" i="7"/>
  <c r="T5249" i="7"/>
  <c r="T5250" i="7"/>
  <c r="T5251" i="7"/>
  <c r="T5252" i="7"/>
  <c r="T5253" i="7"/>
  <c r="T5254" i="7"/>
  <c r="T5255" i="7"/>
  <c r="T5256" i="7"/>
  <c r="T5257" i="7"/>
  <c r="T5258" i="7"/>
  <c r="T5259" i="7"/>
  <c r="T5260" i="7"/>
  <c r="T5261" i="7"/>
  <c r="T5262" i="7"/>
  <c r="T5263" i="7"/>
  <c r="T5264" i="7"/>
  <c r="T5265" i="7"/>
  <c r="T5266" i="7"/>
  <c r="T5267" i="7"/>
  <c r="T5268" i="7"/>
  <c r="T5269" i="7"/>
  <c r="T5270" i="7"/>
  <c r="T5271" i="7"/>
  <c r="T5272" i="7"/>
  <c r="T5273" i="7"/>
  <c r="T5274" i="7"/>
  <c r="T5275" i="7"/>
  <c r="T5276" i="7"/>
  <c r="T5277" i="7"/>
  <c r="T5278" i="7"/>
  <c r="T5279" i="7"/>
  <c r="T5280" i="7"/>
  <c r="T5281" i="7"/>
  <c r="T5282" i="7"/>
  <c r="T5283" i="7"/>
  <c r="T5284" i="7"/>
  <c r="T5285" i="7"/>
  <c r="T5286" i="7"/>
  <c r="T5287" i="7"/>
  <c r="T5288" i="7"/>
  <c r="T5289" i="7"/>
  <c r="T5290" i="7"/>
  <c r="T5291" i="7"/>
  <c r="T5292" i="7"/>
  <c r="T5293" i="7"/>
  <c r="T5294" i="7"/>
  <c r="T5295" i="7"/>
  <c r="T5296" i="7"/>
  <c r="T5297" i="7"/>
  <c r="T5298" i="7"/>
  <c r="T5299" i="7"/>
  <c r="T5300" i="7"/>
  <c r="T5301" i="7"/>
  <c r="T5302" i="7"/>
  <c r="T5303" i="7"/>
  <c r="T5304" i="7"/>
  <c r="T5305" i="7"/>
  <c r="T5306" i="7"/>
  <c r="T5307" i="7"/>
  <c r="T5308" i="7"/>
  <c r="T5309" i="7"/>
  <c r="T5310" i="7"/>
  <c r="T5311" i="7"/>
  <c r="T5312" i="7"/>
  <c r="T5313" i="7"/>
  <c r="T5314" i="7"/>
  <c r="T5315" i="7"/>
  <c r="T5316" i="7"/>
  <c r="T5317" i="7"/>
  <c r="T5318" i="7"/>
  <c r="T5319" i="7"/>
  <c r="T5320" i="7"/>
  <c r="T5321" i="7"/>
  <c r="T5322" i="7"/>
  <c r="T5323" i="7"/>
  <c r="T5324" i="7"/>
  <c r="T5325" i="7"/>
  <c r="T5326" i="7"/>
  <c r="T5327" i="7"/>
  <c r="T5328" i="7"/>
  <c r="T5329" i="7"/>
  <c r="T5330" i="7"/>
  <c r="T5331" i="7"/>
  <c r="T5332" i="7"/>
  <c r="T5333" i="7"/>
  <c r="T5334" i="7"/>
  <c r="T5335" i="7"/>
  <c r="T5336" i="7"/>
  <c r="T5337" i="7"/>
  <c r="T5338" i="7"/>
  <c r="T5339" i="7"/>
  <c r="T5340" i="7"/>
  <c r="T5341" i="7"/>
  <c r="T5342" i="7"/>
  <c r="T5343" i="7"/>
  <c r="T5344" i="7"/>
  <c r="T5345" i="7"/>
  <c r="T5346" i="7"/>
  <c r="T5347" i="7"/>
  <c r="T5348" i="7"/>
  <c r="T5349" i="7"/>
  <c r="T5350" i="7"/>
  <c r="T5351" i="7"/>
  <c r="T5352" i="7"/>
  <c r="T5353" i="7"/>
  <c r="T5354" i="7"/>
  <c r="T5355" i="7"/>
  <c r="T5356" i="7"/>
  <c r="T5357" i="7"/>
  <c r="T5358" i="7"/>
  <c r="T5359" i="7"/>
  <c r="T5360" i="7"/>
  <c r="T5361" i="7"/>
  <c r="T5362" i="7"/>
  <c r="T5363" i="7"/>
  <c r="T5364" i="7"/>
  <c r="T5365" i="7"/>
  <c r="T5366" i="7"/>
  <c r="T5367" i="7"/>
  <c r="T5368" i="7"/>
  <c r="T5369" i="7"/>
  <c r="T5370" i="7"/>
  <c r="T5371" i="7"/>
  <c r="T5372" i="7"/>
  <c r="T5373" i="7"/>
  <c r="T5374" i="7"/>
  <c r="T5375" i="7"/>
  <c r="T5376" i="7"/>
  <c r="T5377" i="7"/>
  <c r="T5378" i="7"/>
  <c r="T5379" i="7"/>
  <c r="T5380" i="7"/>
  <c r="T5381" i="7"/>
  <c r="T5382" i="7"/>
  <c r="T5383" i="7"/>
  <c r="T5384" i="7"/>
  <c r="T5385" i="7"/>
  <c r="T5386" i="7"/>
  <c r="T5387" i="7"/>
  <c r="T4" i="7"/>
  <c r="CE100" i="10"/>
  <c r="J814" i="7"/>
  <c r="J1624" i="7"/>
  <c r="J2434" i="7"/>
  <c r="J3244" i="7"/>
  <c r="J5" i="7"/>
  <c r="J815" i="7"/>
  <c r="J1625" i="7"/>
  <c r="J2435" i="7"/>
  <c r="J3245" i="7"/>
  <c r="J6" i="7"/>
  <c r="J816" i="7"/>
  <c r="J1626" i="7"/>
  <c r="J2436" i="7"/>
  <c r="J3246" i="7"/>
  <c r="J7" i="7"/>
  <c r="J817" i="7"/>
  <c r="J1627" i="7"/>
  <c r="J2437" i="7"/>
  <c r="J3247" i="7"/>
  <c r="J8" i="7"/>
  <c r="J818" i="7"/>
  <c r="J1628" i="7"/>
  <c r="J2438" i="7"/>
  <c r="J3248" i="7"/>
  <c r="J9" i="7"/>
  <c r="J819" i="7"/>
  <c r="J1629" i="7"/>
  <c r="J2439" i="7"/>
  <c r="J3249" i="7"/>
  <c r="J10" i="7"/>
  <c r="J820" i="7"/>
  <c r="J1630" i="7"/>
  <c r="J2440" i="7"/>
  <c r="J3250" i="7"/>
  <c r="J11" i="7"/>
  <c r="J821" i="7"/>
  <c r="J1631" i="7"/>
  <c r="J2441" i="7"/>
  <c r="J3251" i="7"/>
  <c r="J12" i="7"/>
  <c r="J822" i="7"/>
  <c r="J1632" i="7"/>
  <c r="J2442" i="7"/>
  <c r="J3252" i="7"/>
  <c r="J13" i="7"/>
  <c r="J823" i="7"/>
  <c r="J1633" i="7"/>
  <c r="J2443" i="7"/>
  <c r="J3253" i="7"/>
  <c r="J14" i="7"/>
  <c r="J824" i="7"/>
  <c r="J1634" i="7"/>
  <c r="J2444" i="7"/>
  <c r="J3254" i="7"/>
  <c r="J15" i="7"/>
  <c r="J825" i="7"/>
  <c r="J1635" i="7"/>
  <c r="J2445" i="7"/>
  <c r="J3255" i="7"/>
  <c r="J16" i="7"/>
  <c r="J826" i="7"/>
  <c r="J1636" i="7"/>
  <c r="J2446" i="7"/>
  <c r="J3256" i="7"/>
  <c r="J17" i="7"/>
  <c r="J827" i="7"/>
  <c r="J1637" i="7"/>
  <c r="J2447" i="7"/>
  <c r="J3257" i="7"/>
  <c r="J18" i="7"/>
  <c r="J828" i="7"/>
  <c r="J1638" i="7"/>
  <c r="J2448" i="7"/>
  <c r="J3258" i="7"/>
  <c r="J139" i="7"/>
  <c r="J949" i="7"/>
  <c r="J1759" i="7"/>
  <c r="J2569" i="7"/>
  <c r="J3379" i="7"/>
  <c r="J140" i="7"/>
  <c r="J950" i="7"/>
  <c r="J1760" i="7"/>
  <c r="J2570" i="7"/>
  <c r="J3380" i="7"/>
  <c r="J141" i="7"/>
  <c r="J951" i="7"/>
  <c r="J1761" i="7"/>
  <c r="J2571" i="7"/>
  <c r="J3381" i="7"/>
  <c r="J142" i="7"/>
  <c r="J952" i="7"/>
  <c r="J1762" i="7"/>
  <c r="J2572" i="7"/>
  <c r="J3382" i="7"/>
  <c r="J143" i="7"/>
  <c r="J953" i="7"/>
  <c r="J1763" i="7"/>
  <c r="J2573" i="7"/>
  <c r="J3383" i="7"/>
  <c r="J144" i="7"/>
  <c r="J954" i="7"/>
  <c r="J1764" i="7"/>
  <c r="J2574" i="7"/>
  <c r="J3384" i="7"/>
  <c r="J145" i="7"/>
  <c r="J955" i="7"/>
  <c r="J1765" i="7"/>
  <c r="J2575" i="7"/>
  <c r="J3385" i="7"/>
  <c r="J146" i="7"/>
  <c r="J956" i="7"/>
  <c r="J1766" i="7"/>
  <c r="J2576" i="7"/>
  <c r="J3386" i="7"/>
  <c r="J147" i="7"/>
  <c r="J957" i="7"/>
  <c r="J1767" i="7"/>
  <c r="J2577" i="7"/>
  <c r="J3387" i="7"/>
  <c r="J148" i="7"/>
  <c r="J958" i="7"/>
  <c r="J1768" i="7"/>
  <c r="J2578" i="7"/>
  <c r="J3388" i="7"/>
  <c r="J149" i="7"/>
  <c r="J959" i="7"/>
  <c r="J1769" i="7"/>
  <c r="J2579" i="7"/>
  <c r="J3389" i="7"/>
  <c r="J150" i="7"/>
  <c r="J960" i="7"/>
  <c r="J1770" i="7"/>
  <c r="J2580" i="7"/>
  <c r="J3390" i="7"/>
  <c r="J151" i="7"/>
  <c r="J961" i="7"/>
  <c r="J1771" i="7"/>
  <c r="J2581" i="7"/>
  <c r="J3391" i="7"/>
  <c r="J152" i="7"/>
  <c r="J962" i="7"/>
  <c r="J1772" i="7"/>
  <c r="J2582" i="7"/>
  <c r="J3392" i="7"/>
  <c r="J153" i="7"/>
  <c r="J963" i="7"/>
  <c r="J1773" i="7"/>
  <c r="J2583" i="7"/>
  <c r="J3393" i="7"/>
  <c r="J274" i="7"/>
  <c r="J1084" i="7"/>
  <c r="J1894" i="7"/>
  <c r="J2704" i="7"/>
  <c r="J3514" i="7"/>
  <c r="J275" i="7"/>
  <c r="J1085" i="7"/>
  <c r="J1895" i="7"/>
  <c r="J2705" i="7"/>
  <c r="J3515" i="7"/>
  <c r="J276" i="7"/>
  <c r="J1086" i="7"/>
  <c r="J1896" i="7"/>
  <c r="J2706" i="7"/>
  <c r="J3516" i="7"/>
  <c r="J277" i="7"/>
  <c r="J1087" i="7"/>
  <c r="J1897" i="7"/>
  <c r="J2707" i="7"/>
  <c r="J3517" i="7"/>
  <c r="J278" i="7"/>
  <c r="J1088" i="7"/>
  <c r="J1898" i="7"/>
  <c r="J2708" i="7"/>
  <c r="J3518" i="7"/>
  <c r="J279" i="7"/>
  <c r="J1089" i="7"/>
  <c r="J1899" i="7"/>
  <c r="J2709" i="7"/>
  <c r="J3519" i="7"/>
  <c r="J280" i="7"/>
  <c r="J1090" i="7"/>
  <c r="J1900" i="7"/>
  <c r="J2710" i="7"/>
  <c r="J3520" i="7"/>
  <c r="J281" i="7"/>
  <c r="J1091" i="7"/>
  <c r="J1901" i="7"/>
  <c r="J2711" i="7"/>
  <c r="J3521" i="7"/>
  <c r="J282" i="7"/>
  <c r="J1092" i="7"/>
  <c r="J1902" i="7"/>
  <c r="J2712" i="7"/>
  <c r="J3522" i="7"/>
  <c r="J283" i="7"/>
  <c r="J1093" i="7"/>
  <c r="J1903" i="7"/>
  <c r="J2713" i="7"/>
  <c r="J3523" i="7"/>
  <c r="J284" i="7"/>
  <c r="J1094" i="7"/>
  <c r="J1904" i="7"/>
  <c r="J2714" i="7"/>
  <c r="J3524" i="7"/>
  <c r="J285" i="7"/>
  <c r="J1095" i="7"/>
  <c r="J1905" i="7"/>
  <c r="J2715" i="7"/>
  <c r="J3525" i="7"/>
  <c r="J286" i="7"/>
  <c r="J1096" i="7"/>
  <c r="J1906" i="7"/>
  <c r="J2716" i="7"/>
  <c r="J3526" i="7"/>
  <c r="J287" i="7"/>
  <c r="J1097" i="7"/>
  <c r="J1907" i="7"/>
  <c r="J2717" i="7"/>
  <c r="J3527" i="7"/>
  <c r="J288" i="7"/>
  <c r="J1098" i="7"/>
  <c r="J1908" i="7"/>
  <c r="J2718" i="7"/>
  <c r="J3528" i="7"/>
  <c r="J409" i="7"/>
  <c r="J1219" i="7"/>
  <c r="J2029" i="7"/>
  <c r="J2839" i="7"/>
  <c r="J3649" i="7"/>
  <c r="J410" i="7"/>
  <c r="J1220" i="7"/>
  <c r="J2030" i="7"/>
  <c r="J2840" i="7"/>
  <c r="J3650" i="7"/>
  <c r="J411" i="7"/>
  <c r="J1221" i="7"/>
  <c r="J2031" i="7"/>
  <c r="J2841" i="7"/>
  <c r="J3651" i="7"/>
  <c r="J412" i="7"/>
  <c r="J1222" i="7"/>
  <c r="J2032" i="7"/>
  <c r="J2842" i="7"/>
  <c r="J3652" i="7"/>
  <c r="J413" i="7"/>
  <c r="J1223" i="7"/>
  <c r="J2033" i="7"/>
  <c r="J2843" i="7"/>
  <c r="J3653" i="7"/>
  <c r="J414" i="7"/>
  <c r="J1224" i="7"/>
  <c r="J2034" i="7"/>
  <c r="J2844" i="7"/>
  <c r="J3654" i="7"/>
  <c r="J415" i="7"/>
  <c r="J1225" i="7"/>
  <c r="J2035" i="7"/>
  <c r="J2845" i="7"/>
  <c r="J3655" i="7"/>
  <c r="J416" i="7"/>
  <c r="J1226" i="7"/>
  <c r="J2036" i="7"/>
  <c r="J2846" i="7"/>
  <c r="J3656" i="7"/>
  <c r="J417" i="7"/>
  <c r="J1227" i="7"/>
  <c r="J2037" i="7"/>
  <c r="J2847" i="7"/>
  <c r="J3657" i="7"/>
  <c r="J418" i="7"/>
  <c r="J1228" i="7"/>
  <c r="J2038" i="7"/>
  <c r="J2848" i="7"/>
  <c r="J3658" i="7"/>
  <c r="J419" i="7"/>
  <c r="J1229" i="7"/>
  <c r="J2039" i="7"/>
  <c r="J2849" i="7"/>
  <c r="J3659" i="7"/>
  <c r="J420" i="7"/>
  <c r="J1230" i="7"/>
  <c r="J2040" i="7"/>
  <c r="J2850" i="7"/>
  <c r="J3660" i="7"/>
  <c r="J421" i="7"/>
  <c r="J1231" i="7"/>
  <c r="J2041" i="7"/>
  <c r="J2851" i="7"/>
  <c r="J3661" i="7"/>
  <c r="J422" i="7"/>
  <c r="J1232" i="7"/>
  <c r="J2042" i="7"/>
  <c r="J2852" i="7"/>
  <c r="J3662" i="7"/>
  <c r="J423" i="7"/>
  <c r="J1233" i="7"/>
  <c r="J2043" i="7"/>
  <c r="J2853" i="7"/>
  <c r="J3663" i="7"/>
  <c r="J544" i="7"/>
  <c r="J1354" i="7"/>
  <c r="J2164" i="7"/>
  <c r="J2974" i="7"/>
  <c r="J3784" i="7"/>
  <c r="J545" i="7"/>
  <c r="J1355" i="7"/>
  <c r="J2165" i="7"/>
  <c r="J2975" i="7"/>
  <c r="J3785" i="7"/>
  <c r="J546" i="7"/>
  <c r="J1356" i="7"/>
  <c r="J2166" i="7"/>
  <c r="J2976" i="7"/>
  <c r="J3786" i="7"/>
  <c r="J547" i="7"/>
  <c r="J1357" i="7"/>
  <c r="J2167" i="7"/>
  <c r="J2977" i="7"/>
  <c r="J3787" i="7"/>
  <c r="J548" i="7"/>
  <c r="J1358" i="7"/>
  <c r="J2168" i="7"/>
  <c r="J2978" i="7"/>
  <c r="J3788" i="7"/>
  <c r="J549" i="7"/>
  <c r="J1359" i="7"/>
  <c r="J2169" i="7"/>
  <c r="J2979" i="7"/>
  <c r="J3789" i="7"/>
  <c r="J550" i="7"/>
  <c r="J1360" i="7"/>
  <c r="J2170" i="7"/>
  <c r="J2980" i="7"/>
  <c r="J3790" i="7"/>
  <c r="J551" i="7"/>
  <c r="J1361" i="7"/>
  <c r="J2171" i="7"/>
  <c r="J2981" i="7"/>
  <c r="J3791" i="7"/>
  <c r="J552" i="7"/>
  <c r="J1362" i="7"/>
  <c r="J2172" i="7"/>
  <c r="J2982" i="7"/>
  <c r="J3792" i="7"/>
  <c r="J553" i="7"/>
  <c r="J1363" i="7"/>
  <c r="J2173" i="7"/>
  <c r="J2983" i="7"/>
  <c r="J3793" i="7"/>
  <c r="J554" i="7"/>
  <c r="J1364" i="7"/>
  <c r="J2174" i="7"/>
  <c r="J2984" i="7"/>
  <c r="J3794" i="7"/>
  <c r="J555" i="7"/>
  <c r="J1365" i="7"/>
  <c r="J2175" i="7"/>
  <c r="J2985" i="7"/>
  <c r="J3795" i="7"/>
  <c r="J556" i="7"/>
  <c r="J1366" i="7"/>
  <c r="J2176" i="7"/>
  <c r="J2986" i="7"/>
  <c r="J3796" i="7"/>
  <c r="J557" i="7"/>
  <c r="J1367" i="7"/>
  <c r="J2177" i="7"/>
  <c r="J2987" i="7"/>
  <c r="J3797" i="7"/>
  <c r="J558" i="7"/>
  <c r="J1368" i="7"/>
  <c r="J2178" i="7"/>
  <c r="J2988" i="7"/>
  <c r="J3798" i="7"/>
  <c r="J679" i="7"/>
  <c r="J1489" i="7"/>
  <c r="J2299" i="7"/>
  <c r="J3109" i="7"/>
  <c r="J3919" i="7"/>
  <c r="J680" i="7"/>
  <c r="J1490" i="7"/>
  <c r="J2300" i="7"/>
  <c r="J3110" i="7"/>
  <c r="J3920" i="7"/>
  <c r="J681" i="7"/>
  <c r="J1491" i="7"/>
  <c r="J2301" i="7"/>
  <c r="J3111" i="7"/>
  <c r="J3921" i="7"/>
  <c r="J682" i="7"/>
  <c r="J1492" i="7"/>
  <c r="J2302" i="7"/>
  <c r="J3112" i="7"/>
  <c r="J3922" i="7"/>
  <c r="J683" i="7"/>
  <c r="J1493" i="7"/>
  <c r="J2303" i="7"/>
  <c r="J3113" i="7"/>
  <c r="J3923" i="7"/>
  <c r="J684" i="7"/>
  <c r="J1494" i="7"/>
  <c r="J2304" i="7"/>
  <c r="J3114" i="7"/>
  <c r="J3924" i="7"/>
  <c r="J685" i="7"/>
  <c r="J1495" i="7"/>
  <c r="J2305" i="7"/>
  <c r="J3115" i="7"/>
  <c r="J3925" i="7"/>
  <c r="J686" i="7"/>
  <c r="J1496" i="7"/>
  <c r="J2306" i="7"/>
  <c r="J3116" i="7"/>
  <c r="J3926" i="7"/>
  <c r="J687" i="7"/>
  <c r="J1497" i="7"/>
  <c r="J2307" i="7"/>
  <c r="J3117" i="7"/>
  <c r="J3927" i="7"/>
  <c r="J688" i="7"/>
  <c r="J1498" i="7"/>
  <c r="J2308" i="7"/>
  <c r="J3118" i="7"/>
  <c r="J3928" i="7"/>
  <c r="J689" i="7"/>
  <c r="J1499" i="7"/>
  <c r="J2309" i="7"/>
  <c r="J3119" i="7"/>
  <c r="J3929" i="7"/>
  <c r="J690" i="7"/>
  <c r="J1500" i="7"/>
  <c r="J2310" i="7"/>
  <c r="J3120" i="7"/>
  <c r="J3930" i="7"/>
  <c r="J691" i="7"/>
  <c r="J1501" i="7"/>
  <c r="J2311" i="7"/>
  <c r="J3121" i="7"/>
  <c r="J3931" i="7"/>
  <c r="J692" i="7"/>
  <c r="J1502" i="7"/>
  <c r="J2312" i="7"/>
  <c r="J3122" i="7"/>
  <c r="J3932" i="7"/>
  <c r="J693" i="7"/>
  <c r="J1503" i="7"/>
  <c r="J2313" i="7"/>
  <c r="J3123" i="7"/>
  <c r="J3933" i="7"/>
  <c r="J19" i="7"/>
  <c r="J829" i="7"/>
  <c r="J1639" i="7"/>
  <c r="J2449" i="7"/>
  <c r="J3259" i="7"/>
  <c r="J20" i="7"/>
  <c r="J830" i="7"/>
  <c r="J1640" i="7"/>
  <c r="J2450" i="7"/>
  <c r="J3260" i="7"/>
  <c r="J21" i="7"/>
  <c r="J831" i="7"/>
  <c r="J1641" i="7"/>
  <c r="J2451" i="7"/>
  <c r="J3261" i="7"/>
  <c r="J22" i="7"/>
  <c r="J832" i="7"/>
  <c r="J1642" i="7"/>
  <c r="J2452" i="7"/>
  <c r="J3262" i="7"/>
  <c r="J23" i="7"/>
  <c r="J833" i="7"/>
  <c r="J1643" i="7"/>
  <c r="J2453" i="7"/>
  <c r="J3263" i="7"/>
  <c r="J24" i="7"/>
  <c r="J834" i="7"/>
  <c r="J1644" i="7"/>
  <c r="J2454" i="7"/>
  <c r="J3264" i="7"/>
  <c r="J25" i="7"/>
  <c r="J835" i="7"/>
  <c r="J1645" i="7"/>
  <c r="J2455" i="7"/>
  <c r="J3265" i="7"/>
  <c r="J26" i="7"/>
  <c r="J836" i="7"/>
  <c r="J1646" i="7"/>
  <c r="J2456" i="7"/>
  <c r="J3266" i="7"/>
  <c r="J27" i="7"/>
  <c r="J837" i="7"/>
  <c r="J1647" i="7"/>
  <c r="J2457" i="7"/>
  <c r="J3267" i="7"/>
  <c r="J28" i="7"/>
  <c r="J838" i="7"/>
  <c r="J1648" i="7"/>
  <c r="J2458" i="7"/>
  <c r="J3268" i="7"/>
  <c r="J29" i="7"/>
  <c r="J839" i="7"/>
  <c r="J1649" i="7"/>
  <c r="J2459" i="7"/>
  <c r="J3269" i="7"/>
  <c r="J30" i="7"/>
  <c r="J840" i="7"/>
  <c r="J1650" i="7"/>
  <c r="J2460" i="7"/>
  <c r="J3270" i="7"/>
  <c r="J31" i="7"/>
  <c r="J841" i="7"/>
  <c r="J1651" i="7"/>
  <c r="J2461" i="7"/>
  <c r="J3271" i="7"/>
  <c r="J32" i="7"/>
  <c r="J842" i="7"/>
  <c r="J1652" i="7"/>
  <c r="J2462" i="7"/>
  <c r="J3272" i="7"/>
  <c r="J33" i="7"/>
  <c r="J843" i="7"/>
  <c r="J1653" i="7"/>
  <c r="J2463" i="7"/>
  <c r="J3273" i="7"/>
  <c r="J154" i="7"/>
  <c r="J964" i="7"/>
  <c r="J1774" i="7"/>
  <c r="J2584" i="7"/>
  <c r="J3394" i="7"/>
  <c r="J155" i="7"/>
  <c r="J965" i="7"/>
  <c r="J1775" i="7"/>
  <c r="J2585" i="7"/>
  <c r="J3395" i="7"/>
  <c r="J156" i="7"/>
  <c r="J966" i="7"/>
  <c r="J1776" i="7"/>
  <c r="J2586" i="7"/>
  <c r="J3396" i="7"/>
  <c r="J157" i="7"/>
  <c r="J967" i="7"/>
  <c r="J1777" i="7"/>
  <c r="J2587" i="7"/>
  <c r="J3397" i="7"/>
  <c r="J158" i="7"/>
  <c r="J968" i="7"/>
  <c r="J1778" i="7"/>
  <c r="J2588" i="7"/>
  <c r="J3398" i="7"/>
  <c r="J159" i="7"/>
  <c r="J969" i="7"/>
  <c r="J1779" i="7"/>
  <c r="J2589" i="7"/>
  <c r="J3399" i="7"/>
  <c r="J160" i="7"/>
  <c r="J970" i="7"/>
  <c r="J1780" i="7"/>
  <c r="J2590" i="7"/>
  <c r="J3400" i="7"/>
  <c r="J161" i="7"/>
  <c r="J971" i="7"/>
  <c r="J1781" i="7"/>
  <c r="J2591" i="7"/>
  <c r="J3401" i="7"/>
  <c r="J162" i="7"/>
  <c r="J972" i="7"/>
  <c r="J1782" i="7"/>
  <c r="J2592" i="7"/>
  <c r="J3402" i="7"/>
  <c r="J163" i="7"/>
  <c r="J973" i="7"/>
  <c r="J1783" i="7"/>
  <c r="J2593" i="7"/>
  <c r="J3403" i="7"/>
  <c r="J164" i="7"/>
  <c r="J974" i="7"/>
  <c r="J1784" i="7"/>
  <c r="J2594" i="7"/>
  <c r="J3404" i="7"/>
  <c r="J165" i="7"/>
  <c r="J975" i="7"/>
  <c r="J1785" i="7"/>
  <c r="J2595" i="7"/>
  <c r="J3405" i="7"/>
  <c r="J166" i="7"/>
  <c r="J976" i="7"/>
  <c r="J1786" i="7"/>
  <c r="J2596" i="7"/>
  <c r="J3406" i="7"/>
  <c r="J167" i="7"/>
  <c r="J977" i="7"/>
  <c r="J1787" i="7"/>
  <c r="J2597" i="7"/>
  <c r="J3407" i="7"/>
  <c r="J168" i="7"/>
  <c r="J978" i="7"/>
  <c r="J1788" i="7"/>
  <c r="J2598" i="7"/>
  <c r="J3408" i="7"/>
  <c r="J289" i="7"/>
  <c r="J1099" i="7"/>
  <c r="J1909" i="7"/>
  <c r="J2719" i="7"/>
  <c r="J3529" i="7"/>
  <c r="J290" i="7"/>
  <c r="J1100" i="7"/>
  <c r="J1910" i="7"/>
  <c r="J2720" i="7"/>
  <c r="J3530" i="7"/>
  <c r="J291" i="7"/>
  <c r="J1101" i="7"/>
  <c r="J1911" i="7"/>
  <c r="J2721" i="7"/>
  <c r="J3531" i="7"/>
  <c r="J292" i="7"/>
  <c r="J1102" i="7"/>
  <c r="J1912" i="7"/>
  <c r="J2722" i="7"/>
  <c r="J3532" i="7"/>
  <c r="J293" i="7"/>
  <c r="J1103" i="7"/>
  <c r="J1913" i="7"/>
  <c r="J2723" i="7"/>
  <c r="J3533" i="7"/>
  <c r="J294" i="7"/>
  <c r="J1104" i="7"/>
  <c r="J1914" i="7"/>
  <c r="J2724" i="7"/>
  <c r="J3534" i="7"/>
  <c r="J295" i="7"/>
  <c r="J1105" i="7"/>
  <c r="J1915" i="7"/>
  <c r="J2725" i="7"/>
  <c r="J3535" i="7"/>
  <c r="J296" i="7"/>
  <c r="J1106" i="7"/>
  <c r="J1916" i="7"/>
  <c r="J2726" i="7"/>
  <c r="J3536" i="7"/>
  <c r="J297" i="7"/>
  <c r="J1107" i="7"/>
  <c r="J1917" i="7"/>
  <c r="J2727" i="7"/>
  <c r="J3537" i="7"/>
  <c r="J298" i="7"/>
  <c r="J1108" i="7"/>
  <c r="J1918" i="7"/>
  <c r="J2728" i="7"/>
  <c r="J3538" i="7"/>
  <c r="J299" i="7"/>
  <c r="J1109" i="7"/>
  <c r="J1919" i="7"/>
  <c r="J2729" i="7"/>
  <c r="J3539" i="7"/>
  <c r="J300" i="7"/>
  <c r="J1110" i="7"/>
  <c r="J1920" i="7"/>
  <c r="J2730" i="7"/>
  <c r="J3540" i="7"/>
  <c r="J301" i="7"/>
  <c r="J1111" i="7"/>
  <c r="J1921" i="7"/>
  <c r="J2731" i="7"/>
  <c r="J3541" i="7"/>
  <c r="J302" i="7"/>
  <c r="J1112" i="7"/>
  <c r="J1922" i="7"/>
  <c r="J2732" i="7"/>
  <c r="J3542" i="7"/>
  <c r="J303" i="7"/>
  <c r="J1113" i="7"/>
  <c r="J1923" i="7"/>
  <c r="J2733" i="7"/>
  <c r="J3543" i="7"/>
  <c r="J424" i="7"/>
  <c r="J1234" i="7"/>
  <c r="J2044" i="7"/>
  <c r="J2854" i="7"/>
  <c r="J3664" i="7"/>
  <c r="J425" i="7"/>
  <c r="J1235" i="7"/>
  <c r="J2045" i="7"/>
  <c r="J2855" i="7"/>
  <c r="J3665" i="7"/>
  <c r="J426" i="7"/>
  <c r="J1236" i="7"/>
  <c r="J2046" i="7"/>
  <c r="J2856" i="7"/>
  <c r="J3666" i="7"/>
  <c r="J427" i="7"/>
  <c r="J1237" i="7"/>
  <c r="J2047" i="7"/>
  <c r="J2857" i="7"/>
  <c r="J3667" i="7"/>
  <c r="J428" i="7"/>
  <c r="J1238" i="7"/>
  <c r="J2048" i="7"/>
  <c r="J2858" i="7"/>
  <c r="J3668" i="7"/>
  <c r="J429" i="7"/>
  <c r="J1239" i="7"/>
  <c r="J2049" i="7"/>
  <c r="J2859" i="7"/>
  <c r="J3669" i="7"/>
  <c r="J430" i="7"/>
  <c r="J1240" i="7"/>
  <c r="J2050" i="7"/>
  <c r="J2860" i="7"/>
  <c r="J3670" i="7"/>
  <c r="J431" i="7"/>
  <c r="J1241" i="7"/>
  <c r="J2051" i="7"/>
  <c r="J2861" i="7"/>
  <c r="J3671" i="7"/>
  <c r="J432" i="7"/>
  <c r="J1242" i="7"/>
  <c r="J2052" i="7"/>
  <c r="J2862" i="7"/>
  <c r="J3672" i="7"/>
  <c r="J433" i="7"/>
  <c r="J1243" i="7"/>
  <c r="J2053" i="7"/>
  <c r="J2863" i="7"/>
  <c r="J3673" i="7"/>
  <c r="J434" i="7"/>
  <c r="J1244" i="7"/>
  <c r="J2054" i="7"/>
  <c r="J2864" i="7"/>
  <c r="J3674" i="7"/>
  <c r="J435" i="7"/>
  <c r="J1245" i="7"/>
  <c r="J2055" i="7"/>
  <c r="J2865" i="7"/>
  <c r="J3675" i="7"/>
  <c r="J436" i="7"/>
  <c r="J1246" i="7"/>
  <c r="J2056" i="7"/>
  <c r="J2866" i="7"/>
  <c r="J3676" i="7"/>
  <c r="J437" i="7"/>
  <c r="J1247" i="7"/>
  <c r="J2057" i="7"/>
  <c r="J2867" i="7"/>
  <c r="J3677" i="7"/>
  <c r="J438" i="7"/>
  <c r="J1248" i="7"/>
  <c r="J2058" i="7"/>
  <c r="J2868" i="7"/>
  <c r="J3678" i="7"/>
  <c r="J559" i="7"/>
  <c r="J1369" i="7"/>
  <c r="J2179" i="7"/>
  <c r="J2989" i="7"/>
  <c r="J3799" i="7"/>
  <c r="J560" i="7"/>
  <c r="J1370" i="7"/>
  <c r="J2180" i="7"/>
  <c r="J2990" i="7"/>
  <c r="J3800" i="7"/>
  <c r="J561" i="7"/>
  <c r="J1371" i="7"/>
  <c r="J2181" i="7"/>
  <c r="J2991" i="7"/>
  <c r="J3801" i="7"/>
  <c r="J562" i="7"/>
  <c r="J1372" i="7"/>
  <c r="J2182" i="7"/>
  <c r="J2992" i="7"/>
  <c r="J3802" i="7"/>
  <c r="J563" i="7"/>
  <c r="J1373" i="7"/>
  <c r="J2183" i="7"/>
  <c r="J2993" i="7"/>
  <c r="J3803" i="7"/>
  <c r="J564" i="7"/>
  <c r="J1374" i="7"/>
  <c r="J2184" i="7"/>
  <c r="J2994" i="7"/>
  <c r="J3804" i="7"/>
  <c r="J565" i="7"/>
  <c r="J1375" i="7"/>
  <c r="J2185" i="7"/>
  <c r="J2995" i="7"/>
  <c r="J3805" i="7"/>
  <c r="J566" i="7"/>
  <c r="J1376" i="7"/>
  <c r="J2186" i="7"/>
  <c r="J2996" i="7"/>
  <c r="J3806" i="7"/>
  <c r="J567" i="7"/>
  <c r="J1377" i="7"/>
  <c r="J2187" i="7"/>
  <c r="J2997" i="7"/>
  <c r="J3807" i="7"/>
  <c r="J568" i="7"/>
  <c r="J1378" i="7"/>
  <c r="J2188" i="7"/>
  <c r="J2998" i="7"/>
  <c r="J3808" i="7"/>
  <c r="J569" i="7"/>
  <c r="J1379" i="7"/>
  <c r="J2189" i="7"/>
  <c r="J2999" i="7"/>
  <c r="J3809" i="7"/>
  <c r="J570" i="7"/>
  <c r="J1380" i="7"/>
  <c r="J2190" i="7"/>
  <c r="J3000" i="7"/>
  <c r="J3810" i="7"/>
  <c r="J571" i="7"/>
  <c r="J1381" i="7"/>
  <c r="J2191" i="7"/>
  <c r="J3001" i="7"/>
  <c r="J3811" i="7"/>
  <c r="J572" i="7"/>
  <c r="J1382" i="7"/>
  <c r="J2192" i="7"/>
  <c r="J3002" i="7"/>
  <c r="J3812" i="7"/>
  <c r="J573" i="7"/>
  <c r="J1383" i="7"/>
  <c r="J2193" i="7"/>
  <c r="J3003" i="7"/>
  <c r="J3813" i="7"/>
  <c r="J694" i="7"/>
  <c r="J1504" i="7"/>
  <c r="J2314" i="7"/>
  <c r="J3124" i="7"/>
  <c r="J3934" i="7"/>
  <c r="J695" i="7"/>
  <c r="J1505" i="7"/>
  <c r="J2315" i="7"/>
  <c r="J3125" i="7"/>
  <c r="J3935" i="7"/>
  <c r="J696" i="7"/>
  <c r="J1506" i="7"/>
  <c r="J2316" i="7"/>
  <c r="J3126" i="7"/>
  <c r="J3936" i="7"/>
  <c r="J697" i="7"/>
  <c r="J1507" i="7"/>
  <c r="J2317" i="7"/>
  <c r="J3127" i="7"/>
  <c r="J3937" i="7"/>
  <c r="J698" i="7"/>
  <c r="J1508" i="7"/>
  <c r="J2318" i="7"/>
  <c r="J3128" i="7"/>
  <c r="J3938" i="7"/>
  <c r="J699" i="7"/>
  <c r="J1509" i="7"/>
  <c r="J2319" i="7"/>
  <c r="J3129" i="7"/>
  <c r="J3939" i="7"/>
  <c r="J700" i="7"/>
  <c r="J1510" i="7"/>
  <c r="J2320" i="7"/>
  <c r="J3130" i="7"/>
  <c r="J3940" i="7"/>
  <c r="J701" i="7"/>
  <c r="J1511" i="7"/>
  <c r="J2321" i="7"/>
  <c r="J3131" i="7"/>
  <c r="J3941" i="7"/>
  <c r="J702" i="7"/>
  <c r="J1512" i="7"/>
  <c r="J2322" i="7"/>
  <c r="J3132" i="7"/>
  <c r="J3942" i="7"/>
  <c r="J703" i="7"/>
  <c r="J1513" i="7"/>
  <c r="J2323" i="7"/>
  <c r="J3133" i="7"/>
  <c r="J3943" i="7"/>
  <c r="J704" i="7"/>
  <c r="J1514" i="7"/>
  <c r="J2324" i="7"/>
  <c r="J3134" i="7"/>
  <c r="J3944" i="7"/>
  <c r="J705" i="7"/>
  <c r="J1515" i="7"/>
  <c r="J2325" i="7"/>
  <c r="J3135" i="7"/>
  <c r="J3945" i="7"/>
  <c r="J706" i="7"/>
  <c r="J1516" i="7"/>
  <c r="J2326" i="7"/>
  <c r="J3136" i="7"/>
  <c r="J3946" i="7"/>
  <c r="J707" i="7"/>
  <c r="J1517" i="7"/>
  <c r="J2327" i="7"/>
  <c r="J3137" i="7"/>
  <c r="J3947" i="7"/>
  <c r="J708" i="7"/>
  <c r="J1518" i="7"/>
  <c r="J2328" i="7"/>
  <c r="J3138" i="7"/>
  <c r="J3948" i="7"/>
  <c r="J34" i="7"/>
  <c r="J844" i="7"/>
  <c r="J1654" i="7"/>
  <c r="J2464" i="7"/>
  <c r="J3274" i="7"/>
  <c r="J35" i="7"/>
  <c r="J845" i="7"/>
  <c r="J1655" i="7"/>
  <c r="J2465" i="7"/>
  <c r="J3275" i="7"/>
  <c r="J36" i="7"/>
  <c r="J846" i="7"/>
  <c r="J1656" i="7"/>
  <c r="J2466" i="7"/>
  <c r="J3276" i="7"/>
  <c r="J37" i="7"/>
  <c r="J847" i="7"/>
  <c r="J1657" i="7"/>
  <c r="J2467" i="7"/>
  <c r="J3277" i="7"/>
  <c r="J38" i="7"/>
  <c r="J848" i="7"/>
  <c r="J1658" i="7"/>
  <c r="J2468" i="7"/>
  <c r="J3278" i="7"/>
  <c r="J39" i="7"/>
  <c r="J849" i="7"/>
  <c r="J1659" i="7"/>
  <c r="J2469" i="7"/>
  <c r="J3279" i="7"/>
  <c r="J40" i="7"/>
  <c r="J850" i="7"/>
  <c r="J1660" i="7"/>
  <c r="J2470" i="7"/>
  <c r="J3280" i="7"/>
  <c r="J41" i="7"/>
  <c r="J851" i="7"/>
  <c r="J1661" i="7"/>
  <c r="J2471" i="7"/>
  <c r="J3281" i="7"/>
  <c r="J42" i="7"/>
  <c r="J852" i="7"/>
  <c r="J1662" i="7"/>
  <c r="J2472" i="7"/>
  <c r="J3282" i="7"/>
  <c r="J43" i="7"/>
  <c r="J853" i="7"/>
  <c r="J1663" i="7"/>
  <c r="J2473" i="7"/>
  <c r="J3283" i="7"/>
  <c r="J44" i="7"/>
  <c r="J854" i="7"/>
  <c r="J1664" i="7"/>
  <c r="J2474" i="7"/>
  <c r="J3284" i="7"/>
  <c r="J45" i="7"/>
  <c r="J855" i="7"/>
  <c r="J1665" i="7"/>
  <c r="J2475" i="7"/>
  <c r="J3285" i="7"/>
  <c r="J46" i="7"/>
  <c r="J856" i="7"/>
  <c r="J1666" i="7"/>
  <c r="J2476" i="7"/>
  <c r="J3286" i="7"/>
  <c r="J47" i="7"/>
  <c r="J857" i="7"/>
  <c r="J1667" i="7"/>
  <c r="J2477" i="7"/>
  <c r="J3287" i="7"/>
  <c r="J48" i="7"/>
  <c r="J858" i="7"/>
  <c r="J1668" i="7"/>
  <c r="J2478" i="7"/>
  <c r="J3288" i="7"/>
  <c r="J169" i="7"/>
  <c r="J979" i="7"/>
  <c r="J1789" i="7"/>
  <c r="J2599" i="7"/>
  <c r="J3409" i="7"/>
  <c r="J170" i="7"/>
  <c r="J980" i="7"/>
  <c r="J1790" i="7"/>
  <c r="J2600" i="7"/>
  <c r="J3410" i="7"/>
  <c r="J171" i="7"/>
  <c r="J981" i="7"/>
  <c r="J1791" i="7"/>
  <c r="J2601" i="7"/>
  <c r="J3411" i="7"/>
  <c r="J172" i="7"/>
  <c r="J982" i="7"/>
  <c r="J1792" i="7"/>
  <c r="J2602" i="7"/>
  <c r="J3412" i="7"/>
  <c r="J173" i="7"/>
  <c r="J983" i="7"/>
  <c r="J1793" i="7"/>
  <c r="J2603" i="7"/>
  <c r="J3413" i="7"/>
  <c r="J174" i="7"/>
  <c r="J984" i="7"/>
  <c r="J1794" i="7"/>
  <c r="J2604" i="7"/>
  <c r="J3414" i="7"/>
  <c r="J175" i="7"/>
  <c r="J985" i="7"/>
  <c r="J1795" i="7"/>
  <c r="J2605" i="7"/>
  <c r="J3415" i="7"/>
  <c r="J176" i="7"/>
  <c r="J986" i="7"/>
  <c r="J1796" i="7"/>
  <c r="J2606" i="7"/>
  <c r="J3416" i="7"/>
  <c r="J177" i="7"/>
  <c r="J987" i="7"/>
  <c r="J1797" i="7"/>
  <c r="J2607" i="7"/>
  <c r="J3417" i="7"/>
  <c r="J178" i="7"/>
  <c r="J988" i="7"/>
  <c r="J1798" i="7"/>
  <c r="J2608" i="7"/>
  <c r="J3418" i="7"/>
  <c r="J179" i="7"/>
  <c r="J989" i="7"/>
  <c r="J1799" i="7"/>
  <c r="J2609" i="7"/>
  <c r="J3419" i="7"/>
  <c r="J180" i="7"/>
  <c r="J990" i="7"/>
  <c r="J1800" i="7"/>
  <c r="J2610" i="7"/>
  <c r="J3420" i="7"/>
  <c r="J181" i="7"/>
  <c r="J991" i="7"/>
  <c r="J1801" i="7"/>
  <c r="J2611" i="7"/>
  <c r="J3421" i="7"/>
  <c r="J182" i="7"/>
  <c r="J992" i="7"/>
  <c r="J1802" i="7"/>
  <c r="J2612" i="7"/>
  <c r="J3422" i="7"/>
  <c r="J183" i="7"/>
  <c r="J993" i="7"/>
  <c r="J1803" i="7"/>
  <c r="J2613" i="7"/>
  <c r="J3423" i="7"/>
  <c r="J304" i="7"/>
  <c r="J1114" i="7"/>
  <c r="J1924" i="7"/>
  <c r="J2734" i="7"/>
  <c r="J3544" i="7"/>
  <c r="J305" i="7"/>
  <c r="J1115" i="7"/>
  <c r="J1925" i="7"/>
  <c r="J2735" i="7"/>
  <c r="J3545" i="7"/>
  <c r="J306" i="7"/>
  <c r="J1116" i="7"/>
  <c r="J1926" i="7"/>
  <c r="J2736" i="7"/>
  <c r="J3546" i="7"/>
  <c r="J307" i="7"/>
  <c r="J1117" i="7"/>
  <c r="J1927" i="7"/>
  <c r="J2737" i="7"/>
  <c r="J3547" i="7"/>
  <c r="J308" i="7"/>
  <c r="J1118" i="7"/>
  <c r="J1928" i="7"/>
  <c r="J2738" i="7"/>
  <c r="J3548" i="7"/>
  <c r="J309" i="7"/>
  <c r="J1119" i="7"/>
  <c r="J1929" i="7"/>
  <c r="J2739" i="7"/>
  <c r="J3549" i="7"/>
  <c r="J310" i="7"/>
  <c r="J1120" i="7"/>
  <c r="J1930" i="7"/>
  <c r="J2740" i="7"/>
  <c r="J3550" i="7"/>
  <c r="J311" i="7"/>
  <c r="J1121" i="7"/>
  <c r="J1931" i="7"/>
  <c r="J2741" i="7"/>
  <c r="J3551" i="7"/>
  <c r="J312" i="7"/>
  <c r="J1122" i="7"/>
  <c r="J1932" i="7"/>
  <c r="J2742" i="7"/>
  <c r="J3552" i="7"/>
  <c r="J313" i="7"/>
  <c r="J1123" i="7"/>
  <c r="J1933" i="7"/>
  <c r="J2743" i="7"/>
  <c r="J3553" i="7"/>
  <c r="J314" i="7"/>
  <c r="J1124" i="7"/>
  <c r="J1934" i="7"/>
  <c r="J2744" i="7"/>
  <c r="J3554" i="7"/>
  <c r="J315" i="7"/>
  <c r="J1125" i="7"/>
  <c r="J1935" i="7"/>
  <c r="J2745" i="7"/>
  <c r="J3555" i="7"/>
  <c r="J316" i="7"/>
  <c r="J1126" i="7"/>
  <c r="J1936" i="7"/>
  <c r="J2746" i="7"/>
  <c r="J3556" i="7"/>
  <c r="J317" i="7"/>
  <c r="J1127" i="7"/>
  <c r="J1937" i="7"/>
  <c r="J2747" i="7"/>
  <c r="J3557" i="7"/>
  <c r="J318" i="7"/>
  <c r="J1128" i="7"/>
  <c r="J1938" i="7"/>
  <c r="J2748" i="7"/>
  <c r="J3558" i="7"/>
  <c r="J439" i="7"/>
  <c r="J1249" i="7"/>
  <c r="J2059" i="7"/>
  <c r="J2869" i="7"/>
  <c r="J3679" i="7"/>
  <c r="J440" i="7"/>
  <c r="J1250" i="7"/>
  <c r="J2060" i="7"/>
  <c r="J2870" i="7"/>
  <c r="J3680" i="7"/>
  <c r="J441" i="7"/>
  <c r="J1251" i="7"/>
  <c r="J2061" i="7"/>
  <c r="J2871" i="7"/>
  <c r="J3681" i="7"/>
  <c r="J442" i="7"/>
  <c r="J1252" i="7"/>
  <c r="J2062" i="7"/>
  <c r="J2872" i="7"/>
  <c r="J3682" i="7"/>
  <c r="J443" i="7"/>
  <c r="J1253" i="7"/>
  <c r="J2063" i="7"/>
  <c r="J2873" i="7"/>
  <c r="J3683" i="7"/>
  <c r="J444" i="7"/>
  <c r="J1254" i="7"/>
  <c r="J2064" i="7"/>
  <c r="J2874" i="7"/>
  <c r="J3684" i="7"/>
  <c r="J445" i="7"/>
  <c r="J1255" i="7"/>
  <c r="J2065" i="7"/>
  <c r="J2875" i="7"/>
  <c r="J3685" i="7"/>
  <c r="J446" i="7"/>
  <c r="J1256" i="7"/>
  <c r="J2066" i="7"/>
  <c r="J2876" i="7"/>
  <c r="J3686" i="7"/>
  <c r="J447" i="7"/>
  <c r="J1257" i="7"/>
  <c r="J2067" i="7"/>
  <c r="J2877" i="7"/>
  <c r="J3687" i="7"/>
  <c r="J448" i="7"/>
  <c r="J1258" i="7"/>
  <c r="J2068" i="7"/>
  <c r="J2878" i="7"/>
  <c r="J3688" i="7"/>
  <c r="J449" i="7"/>
  <c r="J1259" i="7"/>
  <c r="J2069" i="7"/>
  <c r="J2879" i="7"/>
  <c r="J3689" i="7"/>
  <c r="J450" i="7"/>
  <c r="J1260" i="7"/>
  <c r="J2070" i="7"/>
  <c r="J2880" i="7"/>
  <c r="J3690" i="7"/>
  <c r="J451" i="7"/>
  <c r="J1261" i="7"/>
  <c r="J2071" i="7"/>
  <c r="J2881" i="7"/>
  <c r="J3691" i="7"/>
  <c r="J452" i="7"/>
  <c r="J1262" i="7"/>
  <c r="J2072" i="7"/>
  <c r="J2882" i="7"/>
  <c r="J3692" i="7"/>
  <c r="J453" i="7"/>
  <c r="J1263" i="7"/>
  <c r="J2073" i="7"/>
  <c r="J2883" i="7"/>
  <c r="J3693" i="7"/>
  <c r="J574" i="7"/>
  <c r="J1384" i="7"/>
  <c r="J2194" i="7"/>
  <c r="J3004" i="7"/>
  <c r="J3814" i="7"/>
  <c r="J575" i="7"/>
  <c r="J1385" i="7"/>
  <c r="J2195" i="7"/>
  <c r="J3005" i="7"/>
  <c r="J3815" i="7"/>
  <c r="J576" i="7"/>
  <c r="J1386" i="7"/>
  <c r="J2196" i="7"/>
  <c r="J3006" i="7"/>
  <c r="J3816" i="7"/>
  <c r="J577" i="7"/>
  <c r="J1387" i="7"/>
  <c r="J2197" i="7"/>
  <c r="J3007" i="7"/>
  <c r="J3817" i="7"/>
  <c r="J578" i="7"/>
  <c r="J1388" i="7"/>
  <c r="J2198" i="7"/>
  <c r="J3008" i="7"/>
  <c r="J3818" i="7"/>
  <c r="J579" i="7"/>
  <c r="J1389" i="7"/>
  <c r="J2199" i="7"/>
  <c r="J3009" i="7"/>
  <c r="J3819" i="7"/>
  <c r="J580" i="7"/>
  <c r="J1390" i="7"/>
  <c r="J2200" i="7"/>
  <c r="J3010" i="7"/>
  <c r="J3820" i="7"/>
  <c r="J581" i="7"/>
  <c r="J1391" i="7"/>
  <c r="J2201" i="7"/>
  <c r="J3011" i="7"/>
  <c r="J3821" i="7"/>
  <c r="J582" i="7"/>
  <c r="J1392" i="7"/>
  <c r="J2202" i="7"/>
  <c r="J3012" i="7"/>
  <c r="J3822" i="7"/>
  <c r="J583" i="7"/>
  <c r="J1393" i="7"/>
  <c r="J2203" i="7"/>
  <c r="J3013" i="7"/>
  <c r="J3823" i="7"/>
  <c r="J584" i="7"/>
  <c r="J1394" i="7"/>
  <c r="J2204" i="7"/>
  <c r="J3014" i="7"/>
  <c r="J3824" i="7"/>
  <c r="J585" i="7"/>
  <c r="J1395" i="7"/>
  <c r="J2205" i="7"/>
  <c r="J3015" i="7"/>
  <c r="J3825" i="7"/>
  <c r="J586" i="7"/>
  <c r="J1396" i="7"/>
  <c r="J2206" i="7"/>
  <c r="J3016" i="7"/>
  <c r="J3826" i="7"/>
  <c r="J587" i="7"/>
  <c r="J1397" i="7"/>
  <c r="J2207" i="7"/>
  <c r="J3017" i="7"/>
  <c r="J3827" i="7"/>
  <c r="J588" i="7"/>
  <c r="J1398" i="7"/>
  <c r="J2208" i="7"/>
  <c r="J3018" i="7"/>
  <c r="J3828" i="7"/>
  <c r="J709" i="7"/>
  <c r="J1519" i="7"/>
  <c r="J2329" i="7"/>
  <c r="J3139" i="7"/>
  <c r="J3949" i="7"/>
  <c r="J710" i="7"/>
  <c r="J1520" i="7"/>
  <c r="J2330" i="7"/>
  <c r="J3140" i="7"/>
  <c r="J3950" i="7"/>
  <c r="J711" i="7"/>
  <c r="J1521" i="7"/>
  <c r="J2331" i="7"/>
  <c r="J3141" i="7"/>
  <c r="J3951" i="7"/>
  <c r="J712" i="7"/>
  <c r="J1522" i="7"/>
  <c r="J2332" i="7"/>
  <c r="J3142" i="7"/>
  <c r="J3952" i="7"/>
  <c r="J713" i="7"/>
  <c r="J1523" i="7"/>
  <c r="J2333" i="7"/>
  <c r="J3143" i="7"/>
  <c r="J3953" i="7"/>
  <c r="J714" i="7"/>
  <c r="J1524" i="7"/>
  <c r="J2334" i="7"/>
  <c r="J3144" i="7"/>
  <c r="J3954" i="7"/>
  <c r="J715" i="7"/>
  <c r="J1525" i="7"/>
  <c r="J2335" i="7"/>
  <c r="J3145" i="7"/>
  <c r="J3955" i="7"/>
  <c r="J716" i="7"/>
  <c r="J1526" i="7"/>
  <c r="J2336" i="7"/>
  <c r="J3146" i="7"/>
  <c r="J3956" i="7"/>
  <c r="J717" i="7"/>
  <c r="J1527" i="7"/>
  <c r="J2337" i="7"/>
  <c r="J3147" i="7"/>
  <c r="J3957" i="7"/>
  <c r="J718" i="7"/>
  <c r="J1528" i="7"/>
  <c r="J2338" i="7"/>
  <c r="J3148" i="7"/>
  <c r="J3958" i="7"/>
  <c r="J719" i="7"/>
  <c r="J1529" i="7"/>
  <c r="J2339" i="7"/>
  <c r="J3149" i="7"/>
  <c r="J3959" i="7"/>
  <c r="J720" i="7"/>
  <c r="J1530" i="7"/>
  <c r="J2340" i="7"/>
  <c r="J3150" i="7"/>
  <c r="J3960" i="7"/>
  <c r="J721" i="7"/>
  <c r="J1531" i="7"/>
  <c r="J2341" i="7"/>
  <c r="J3151" i="7"/>
  <c r="J3961" i="7"/>
  <c r="J722" i="7"/>
  <c r="J1532" i="7"/>
  <c r="J2342" i="7"/>
  <c r="J3152" i="7"/>
  <c r="J3962" i="7"/>
  <c r="J723" i="7"/>
  <c r="J1533" i="7"/>
  <c r="J2343" i="7"/>
  <c r="J3153" i="7"/>
  <c r="J3963" i="7"/>
  <c r="J49" i="7"/>
  <c r="J859" i="7"/>
  <c r="J1669" i="7"/>
  <c r="J2479" i="7"/>
  <c r="J3289" i="7"/>
  <c r="J50" i="7"/>
  <c r="J860" i="7"/>
  <c r="J1670" i="7"/>
  <c r="J2480" i="7"/>
  <c r="J3290" i="7"/>
  <c r="J51" i="7"/>
  <c r="J861" i="7"/>
  <c r="J1671" i="7"/>
  <c r="J2481" i="7"/>
  <c r="J3291" i="7"/>
  <c r="J52" i="7"/>
  <c r="J862" i="7"/>
  <c r="J1672" i="7"/>
  <c r="J2482" i="7"/>
  <c r="J3292" i="7"/>
  <c r="J53" i="7"/>
  <c r="J863" i="7"/>
  <c r="J1673" i="7"/>
  <c r="J2483" i="7"/>
  <c r="J3293" i="7"/>
  <c r="J54" i="7"/>
  <c r="J864" i="7"/>
  <c r="J1674" i="7"/>
  <c r="J2484" i="7"/>
  <c r="J3294" i="7"/>
  <c r="J55" i="7"/>
  <c r="J865" i="7"/>
  <c r="J1675" i="7"/>
  <c r="J2485" i="7"/>
  <c r="J3295" i="7"/>
  <c r="J56" i="7"/>
  <c r="J866" i="7"/>
  <c r="J1676" i="7"/>
  <c r="J2486" i="7"/>
  <c r="J3296" i="7"/>
  <c r="J57" i="7"/>
  <c r="J867" i="7"/>
  <c r="J1677" i="7"/>
  <c r="J2487" i="7"/>
  <c r="J3297" i="7"/>
  <c r="J58" i="7"/>
  <c r="J868" i="7"/>
  <c r="J1678" i="7"/>
  <c r="J2488" i="7"/>
  <c r="J3298" i="7"/>
  <c r="J59" i="7"/>
  <c r="J869" i="7"/>
  <c r="J1679" i="7"/>
  <c r="J2489" i="7"/>
  <c r="J3299" i="7"/>
  <c r="J60" i="7"/>
  <c r="J870" i="7"/>
  <c r="J1680" i="7"/>
  <c r="J2490" i="7"/>
  <c r="J3300" i="7"/>
  <c r="J61" i="7"/>
  <c r="J871" i="7"/>
  <c r="J1681" i="7"/>
  <c r="J2491" i="7"/>
  <c r="J3301" i="7"/>
  <c r="J62" i="7"/>
  <c r="J872" i="7"/>
  <c r="J1682" i="7"/>
  <c r="J2492" i="7"/>
  <c r="J3302" i="7"/>
  <c r="J63" i="7"/>
  <c r="J873" i="7"/>
  <c r="J1683" i="7"/>
  <c r="J2493" i="7"/>
  <c r="J3303" i="7"/>
  <c r="J184" i="7"/>
  <c r="J994" i="7"/>
  <c r="J1804" i="7"/>
  <c r="J2614" i="7"/>
  <c r="J3424" i="7"/>
  <c r="J185" i="7"/>
  <c r="J995" i="7"/>
  <c r="J1805" i="7"/>
  <c r="J2615" i="7"/>
  <c r="J3425" i="7"/>
  <c r="J186" i="7"/>
  <c r="J996" i="7"/>
  <c r="J1806" i="7"/>
  <c r="J2616" i="7"/>
  <c r="J3426" i="7"/>
  <c r="J187" i="7"/>
  <c r="J997" i="7"/>
  <c r="J1807" i="7"/>
  <c r="J2617" i="7"/>
  <c r="J3427" i="7"/>
  <c r="J188" i="7"/>
  <c r="J998" i="7"/>
  <c r="J1808" i="7"/>
  <c r="J2618" i="7"/>
  <c r="J3428" i="7"/>
  <c r="J189" i="7"/>
  <c r="J999" i="7"/>
  <c r="J1809" i="7"/>
  <c r="J2619" i="7"/>
  <c r="J3429" i="7"/>
  <c r="J190" i="7"/>
  <c r="J1000" i="7"/>
  <c r="J1810" i="7"/>
  <c r="J2620" i="7"/>
  <c r="J3430" i="7"/>
  <c r="J191" i="7"/>
  <c r="J1001" i="7"/>
  <c r="J1811" i="7"/>
  <c r="J2621" i="7"/>
  <c r="J3431" i="7"/>
  <c r="J192" i="7"/>
  <c r="J1002" i="7"/>
  <c r="J1812" i="7"/>
  <c r="J2622" i="7"/>
  <c r="J3432" i="7"/>
  <c r="J193" i="7"/>
  <c r="J1003" i="7"/>
  <c r="J1813" i="7"/>
  <c r="J2623" i="7"/>
  <c r="J3433" i="7"/>
  <c r="J194" i="7"/>
  <c r="J1004" i="7"/>
  <c r="J1814" i="7"/>
  <c r="J2624" i="7"/>
  <c r="J3434" i="7"/>
  <c r="J195" i="7"/>
  <c r="J1005" i="7"/>
  <c r="J1815" i="7"/>
  <c r="J2625" i="7"/>
  <c r="J3435" i="7"/>
  <c r="J196" i="7"/>
  <c r="J1006" i="7"/>
  <c r="J1816" i="7"/>
  <c r="J2626" i="7"/>
  <c r="J3436" i="7"/>
  <c r="J197" i="7"/>
  <c r="J1007" i="7"/>
  <c r="J1817" i="7"/>
  <c r="J2627" i="7"/>
  <c r="J3437" i="7"/>
  <c r="J198" i="7"/>
  <c r="J1008" i="7"/>
  <c r="J1818" i="7"/>
  <c r="J2628" i="7"/>
  <c r="J3438" i="7"/>
  <c r="J319" i="7"/>
  <c r="J1129" i="7"/>
  <c r="J1939" i="7"/>
  <c r="J2749" i="7"/>
  <c r="J3559" i="7"/>
  <c r="J320" i="7"/>
  <c r="J1130" i="7"/>
  <c r="J1940" i="7"/>
  <c r="J2750" i="7"/>
  <c r="J3560" i="7"/>
  <c r="J321" i="7"/>
  <c r="J1131" i="7"/>
  <c r="J1941" i="7"/>
  <c r="J2751" i="7"/>
  <c r="J3561" i="7"/>
  <c r="J322" i="7"/>
  <c r="J1132" i="7"/>
  <c r="J1942" i="7"/>
  <c r="J2752" i="7"/>
  <c r="J3562" i="7"/>
  <c r="J323" i="7"/>
  <c r="J1133" i="7"/>
  <c r="J1943" i="7"/>
  <c r="J2753" i="7"/>
  <c r="J3563" i="7"/>
  <c r="J324" i="7"/>
  <c r="J1134" i="7"/>
  <c r="J1944" i="7"/>
  <c r="J2754" i="7"/>
  <c r="J3564" i="7"/>
  <c r="J325" i="7"/>
  <c r="J1135" i="7"/>
  <c r="J1945" i="7"/>
  <c r="J2755" i="7"/>
  <c r="J3565" i="7"/>
  <c r="J326" i="7"/>
  <c r="J1136" i="7"/>
  <c r="J1946" i="7"/>
  <c r="J2756" i="7"/>
  <c r="J3566" i="7"/>
  <c r="J327" i="7"/>
  <c r="J1137" i="7"/>
  <c r="J1947" i="7"/>
  <c r="J2757" i="7"/>
  <c r="J3567" i="7"/>
  <c r="J328" i="7"/>
  <c r="J1138" i="7"/>
  <c r="J1948" i="7"/>
  <c r="J2758" i="7"/>
  <c r="J3568" i="7"/>
  <c r="J329" i="7"/>
  <c r="J1139" i="7"/>
  <c r="J1949" i="7"/>
  <c r="J2759" i="7"/>
  <c r="J3569" i="7"/>
  <c r="J330" i="7"/>
  <c r="J1140" i="7"/>
  <c r="J1950" i="7"/>
  <c r="J2760" i="7"/>
  <c r="J3570" i="7"/>
  <c r="J331" i="7"/>
  <c r="J1141" i="7"/>
  <c r="J1951" i="7"/>
  <c r="J2761" i="7"/>
  <c r="J3571" i="7"/>
  <c r="J332" i="7"/>
  <c r="J1142" i="7"/>
  <c r="J1952" i="7"/>
  <c r="J2762" i="7"/>
  <c r="J3572" i="7"/>
  <c r="J333" i="7"/>
  <c r="J1143" i="7"/>
  <c r="J1953" i="7"/>
  <c r="J2763" i="7"/>
  <c r="J3573" i="7"/>
  <c r="J454" i="7"/>
  <c r="J1264" i="7"/>
  <c r="J2074" i="7"/>
  <c r="J2884" i="7"/>
  <c r="J3694" i="7"/>
  <c r="J455" i="7"/>
  <c r="J1265" i="7"/>
  <c r="J2075" i="7"/>
  <c r="J2885" i="7"/>
  <c r="J3695" i="7"/>
  <c r="J456" i="7"/>
  <c r="J1266" i="7"/>
  <c r="J2076" i="7"/>
  <c r="J2886" i="7"/>
  <c r="J3696" i="7"/>
  <c r="J457" i="7"/>
  <c r="J1267" i="7"/>
  <c r="J2077" i="7"/>
  <c r="J2887" i="7"/>
  <c r="J3697" i="7"/>
  <c r="J458" i="7"/>
  <c r="J1268" i="7"/>
  <c r="J2078" i="7"/>
  <c r="J2888" i="7"/>
  <c r="J3698" i="7"/>
  <c r="J459" i="7"/>
  <c r="J1269" i="7"/>
  <c r="J2079" i="7"/>
  <c r="J2889" i="7"/>
  <c r="J3699" i="7"/>
  <c r="J460" i="7"/>
  <c r="J1270" i="7"/>
  <c r="J2080" i="7"/>
  <c r="J2890" i="7"/>
  <c r="J3700" i="7"/>
  <c r="J461" i="7"/>
  <c r="J1271" i="7"/>
  <c r="J2081" i="7"/>
  <c r="J2891" i="7"/>
  <c r="J3701" i="7"/>
  <c r="J462" i="7"/>
  <c r="J1272" i="7"/>
  <c r="J2082" i="7"/>
  <c r="J2892" i="7"/>
  <c r="J3702" i="7"/>
  <c r="J463" i="7"/>
  <c r="J1273" i="7"/>
  <c r="J2083" i="7"/>
  <c r="J2893" i="7"/>
  <c r="J3703" i="7"/>
  <c r="J464" i="7"/>
  <c r="J1274" i="7"/>
  <c r="J2084" i="7"/>
  <c r="J2894" i="7"/>
  <c r="J3704" i="7"/>
  <c r="J465" i="7"/>
  <c r="J1275" i="7"/>
  <c r="J2085" i="7"/>
  <c r="J2895" i="7"/>
  <c r="J3705" i="7"/>
  <c r="J466" i="7"/>
  <c r="J1276" i="7"/>
  <c r="J2086" i="7"/>
  <c r="J2896" i="7"/>
  <c r="J3706" i="7"/>
  <c r="J467" i="7"/>
  <c r="J1277" i="7"/>
  <c r="J2087" i="7"/>
  <c r="J2897" i="7"/>
  <c r="J3707" i="7"/>
  <c r="J468" i="7"/>
  <c r="J1278" i="7"/>
  <c r="J2088" i="7"/>
  <c r="J2898" i="7"/>
  <c r="J3708" i="7"/>
  <c r="J589" i="7"/>
  <c r="J1399" i="7"/>
  <c r="J2209" i="7"/>
  <c r="J3019" i="7"/>
  <c r="J3829" i="7"/>
  <c r="J590" i="7"/>
  <c r="J1400" i="7"/>
  <c r="J2210" i="7"/>
  <c r="J3020" i="7"/>
  <c r="J3830" i="7"/>
  <c r="J591" i="7"/>
  <c r="J1401" i="7"/>
  <c r="J2211" i="7"/>
  <c r="J3021" i="7"/>
  <c r="J3831" i="7"/>
  <c r="J592" i="7"/>
  <c r="J1402" i="7"/>
  <c r="J2212" i="7"/>
  <c r="J3022" i="7"/>
  <c r="J3832" i="7"/>
  <c r="J593" i="7"/>
  <c r="J1403" i="7"/>
  <c r="J2213" i="7"/>
  <c r="J3023" i="7"/>
  <c r="J3833" i="7"/>
  <c r="J594" i="7"/>
  <c r="J1404" i="7"/>
  <c r="J2214" i="7"/>
  <c r="J3024" i="7"/>
  <c r="J3834" i="7"/>
  <c r="J595" i="7"/>
  <c r="J1405" i="7"/>
  <c r="J2215" i="7"/>
  <c r="J3025" i="7"/>
  <c r="J3835" i="7"/>
  <c r="J596" i="7"/>
  <c r="J1406" i="7"/>
  <c r="J2216" i="7"/>
  <c r="J3026" i="7"/>
  <c r="J3836" i="7"/>
  <c r="J597" i="7"/>
  <c r="J1407" i="7"/>
  <c r="J2217" i="7"/>
  <c r="J3027" i="7"/>
  <c r="J3837" i="7"/>
  <c r="J598" i="7"/>
  <c r="J1408" i="7"/>
  <c r="J2218" i="7"/>
  <c r="J3028" i="7"/>
  <c r="J3838" i="7"/>
  <c r="J599" i="7"/>
  <c r="J1409" i="7"/>
  <c r="J2219" i="7"/>
  <c r="J3029" i="7"/>
  <c r="J3839" i="7"/>
  <c r="J600" i="7"/>
  <c r="J1410" i="7"/>
  <c r="J2220" i="7"/>
  <c r="J3030" i="7"/>
  <c r="J3840" i="7"/>
  <c r="J601" i="7"/>
  <c r="J1411" i="7"/>
  <c r="J2221" i="7"/>
  <c r="J3031" i="7"/>
  <c r="J3841" i="7"/>
  <c r="J602" i="7"/>
  <c r="J1412" i="7"/>
  <c r="J2222" i="7"/>
  <c r="J3032" i="7"/>
  <c r="J3842" i="7"/>
  <c r="J603" i="7"/>
  <c r="J1413" i="7"/>
  <c r="J2223" i="7"/>
  <c r="J3033" i="7"/>
  <c r="J3843" i="7"/>
  <c r="J724" i="7"/>
  <c r="J1534" i="7"/>
  <c r="J2344" i="7"/>
  <c r="J3154" i="7"/>
  <c r="J3964" i="7"/>
  <c r="J725" i="7"/>
  <c r="J1535" i="7"/>
  <c r="J2345" i="7"/>
  <c r="J3155" i="7"/>
  <c r="J3965" i="7"/>
  <c r="J726" i="7"/>
  <c r="J1536" i="7"/>
  <c r="J2346" i="7"/>
  <c r="J3156" i="7"/>
  <c r="J3966" i="7"/>
  <c r="J727" i="7"/>
  <c r="J1537" i="7"/>
  <c r="J2347" i="7"/>
  <c r="J3157" i="7"/>
  <c r="J3967" i="7"/>
  <c r="J728" i="7"/>
  <c r="J1538" i="7"/>
  <c r="J2348" i="7"/>
  <c r="J3158" i="7"/>
  <c r="J3968" i="7"/>
  <c r="J729" i="7"/>
  <c r="J1539" i="7"/>
  <c r="J2349" i="7"/>
  <c r="J3159" i="7"/>
  <c r="J3969" i="7"/>
  <c r="J730" i="7"/>
  <c r="J1540" i="7"/>
  <c r="J2350" i="7"/>
  <c r="J3160" i="7"/>
  <c r="J3970" i="7"/>
  <c r="J731" i="7"/>
  <c r="J1541" i="7"/>
  <c r="J2351" i="7"/>
  <c r="J3161" i="7"/>
  <c r="J3971" i="7"/>
  <c r="J732" i="7"/>
  <c r="J1542" i="7"/>
  <c r="J2352" i="7"/>
  <c r="J3162" i="7"/>
  <c r="J3972" i="7"/>
  <c r="J733" i="7"/>
  <c r="J1543" i="7"/>
  <c r="J2353" i="7"/>
  <c r="J3163" i="7"/>
  <c r="J3973" i="7"/>
  <c r="J734" i="7"/>
  <c r="J1544" i="7"/>
  <c r="J2354" i="7"/>
  <c r="J3164" i="7"/>
  <c r="J3974" i="7"/>
  <c r="J735" i="7"/>
  <c r="J1545" i="7"/>
  <c r="J2355" i="7"/>
  <c r="J3165" i="7"/>
  <c r="J3975" i="7"/>
  <c r="J736" i="7"/>
  <c r="J1546" i="7"/>
  <c r="J2356" i="7"/>
  <c r="J3166" i="7"/>
  <c r="J3976" i="7"/>
  <c r="J737" i="7"/>
  <c r="J1547" i="7"/>
  <c r="J2357" i="7"/>
  <c r="J3167" i="7"/>
  <c r="J3977" i="7"/>
  <c r="J738" i="7"/>
  <c r="J1548" i="7"/>
  <c r="J2358" i="7"/>
  <c r="J3168" i="7"/>
  <c r="J3978" i="7"/>
  <c r="J64" i="7"/>
  <c r="J874" i="7"/>
  <c r="J1684" i="7"/>
  <c r="J2494" i="7"/>
  <c r="J3304" i="7"/>
  <c r="J65" i="7"/>
  <c r="J875" i="7"/>
  <c r="J1685" i="7"/>
  <c r="J2495" i="7"/>
  <c r="J3305" i="7"/>
  <c r="J66" i="7"/>
  <c r="J876" i="7"/>
  <c r="J1686" i="7"/>
  <c r="J2496" i="7"/>
  <c r="J3306" i="7"/>
  <c r="J67" i="7"/>
  <c r="J877" i="7"/>
  <c r="J1687" i="7"/>
  <c r="J2497" i="7"/>
  <c r="J3307" i="7"/>
  <c r="J68" i="7"/>
  <c r="J878" i="7"/>
  <c r="J1688" i="7"/>
  <c r="J2498" i="7"/>
  <c r="J3308" i="7"/>
  <c r="J69" i="7"/>
  <c r="J879" i="7"/>
  <c r="J1689" i="7"/>
  <c r="J2499" i="7"/>
  <c r="J3309" i="7"/>
  <c r="J70" i="7"/>
  <c r="J880" i="7"/>
  <c r="J1690" i="7"/>
  <c r="J2500" i="7"/>
  <c r="J3310" i="7"/>
  <c r="J71" i="7"/>
  <c r="J881" i="7"/>
  <c r="J1691" i="7"/>
  <c r="J2501" i="7"/>
  <c r="J3311" i="7"/>
  <c r="J72" i="7"/>
  <c r="J882" i="7"/>
  <c r="J1692" i="7"/>
  <c r="J2502" i="7"/>
  <c r="J3312" i="7"/>
  <c r="J73" i="7"/>
  <c r="J883" i="7"/>
  <c r="J1693" i="7"/>
  <c r="J2503" i="7"/>
  <c r="J3313" i="7"/>
  <c r="J74" i="7"/>
  <c r="J884" i="7"/>
  <c r="J1694" i="7"/>
  <c r="J2504" i="7"/>
  <c r="J3314" i="7"/>
  <c r="J75" i="7"/>
  <c r="J885" i="7"/>
  <c r="J1695" i="7"/>
  <c r="J2505" i="7"/>
  <c r="J3315" i="7"/>
  <c r="J76" i="7"/>
  <c r="J886" i="7"/>
  <c r="J1696" i="7"/>
  <c r="J2506" i="7"/>
  <c r="J3316" i="7"/>
  <c r="J77" i="7"/>
  <c r="J887" i="7"/>
  <c r="J1697" i="7"/>
  <c r="J2507" i="7"/>
  <c r="J3317" i="7"/>
  <c r="J78" i="7"/>
  <c r="J888" i="7"/>
  <c r="J1698" i="7"/>
  <c r="J2508" i="7"/>
  <c r="J3318" i="7"/>
  <c r="J199" i="7"/>
  <c r="J1009" i="7"/>
  <c r="J1819" i="7"/>
  <c r="J2629" i="7"/>
  <c r="J3439" i="7"/>
  <c r="J200" i="7"/>
  <c r="J1010" i="7"/>
  <c r="J1820" i="7"/>
  <c r="J2630" i="7"/>
  <c r="J3440" i="7"/>
  <c r="J201" i="7"/>
  <c r="J1011" i="7"/>
  <c r="J1821" i="7"/>
  <c r="J2631" i="7"/>
  <c r="J3441" i="7"/>
  <c r="J202" i="7"/>
  <c r="J1012" i="7"/>
  <c r="J1822" i="7"/>
  <c r="J2632" i="7"/>
  <c r="J3442" i="7"/>
  <c r="J203" i="7"/>
  <c r="J1013" i="7"/>
  <c r="J1823" i="7"/>
  <c r="J2633" i="7"/>
  <c r="J3443" i="7"/>
  <c r="J204" i="7"/>
  <c r="J1014" i="7"/>
  <c r="J1824" i="7"/>
  <c r="J2634" i="7"/>
  <c r="J3444" i="7"/>
  <c r="J205" i="7"/>
  <c r="J1015" i="7"/>
  <c r="J1825" i="7"/>
  <c r="J2635" i="7"/>
  <c r="J3445" i="7"/>
  <c r="J206" i="7"/>
  <c r="J1016" i="7"/>
  <c r="J1826" i="7"/>
  <c r="J2636" i="7"/>
  <c r="J3446" i="7"/>
  <c r="J207" i="7"/>
  <c r="J1017" i="7"/>
  <c r="J1827" i="7"/>
  <c r="J2637" i="7"/>
  <c r="J3447" i="7"/>
  <c r="J208" i="7"/>
  <c r="J1018" i="7"/>
  <c r="J1828" i="7"/>
  <c r="J2638" i="7"/>
  <c r="J3448" i="7"/>
  <c r="J209" i="7"/>
  <c r="J1019" i="7"/>
  <c r="J1829" i="7"/>
  <c r="J2639" i="7"/>
  <c r="J3449" i="7"/>
  <c r="J210" i="7"/>
  <c r="J1020" i="7"/>
  <c r="J1830" i="7"/>
  <c r="J2640" i="7"/>
  <c r="J3450" i="7"/>
  <c r="J211" i="7"/>
  <c r="J1021" i="7"/>
  <c r="J1831" i="7"/>
  <c r="J2641" i="7"/>
  <c r="J3451" i="7"/>
  <c r="J212" i="7"/>
  <c r="J1022" i="7"/>
  <c r="J1832" i="7"/>
  <c r="J2642" i="7"/>
  <c r="J3452" i="7"/>
  <c r="J213" i="7"/>
  <c r="J1023" i="7"/>
  <c r="J1833" i="7"/>
  <c r="J2643" i="7"/>
  <c r="J3453" i="7"/>
  <c r="J334" i="7"/>
  <c r="J1144" i="7"/>
  <c r="J1954" i="7"/>
  <c r="J2764" i="7"/>
  <c r="J3574" i="7"/>
  <c r="J335" i="7"/>
  <c r="J1145" i="7"/>
  <c r="J1955" i="7"/>
  <c r="J2765" i="7"/>
  <c r="J3575" i="7"/>
  <c r="J336" i="7"/>
  <c r="J1146" i="7"/>
  <c r="J1956" i="7"/>
  <c r="J2766" i="7"/>
  <c r="J3576" i="7"/>
  <c r="J337" i="7"/>
  <c r="J1147" i="7"/>
  <c r="J1957" i="7"/>
  <c r="J2767" i="7"/>
  <c r="J3577" i="7"/>
  <c r="J338" i="7"/>
  <c r="J1148" i="7"/>
  <c r="J1958" i="7"/>
  <c r="J2768" i="7"/>
  <c r="J3578" i="7"/>
  <c r="J339" i="7"/>
  <c r="J1149" i="7"/>
  <c r="J1959" i="7"/>
  <c r="J2769" i="7"/>
  <c r="J3579" i="7"/>
  <c r="J340" i="7"/>
  <c r="J1150" i="7"/>
  <c r="J1960" i="7"/>
  <c r="J2770" i="7"/>
  <c r="J3580" i="7"/>
  <c r="J341" i="7"/>
  <c r="J1151" i="7"/>
  <c r="J1961" i="7"/>
  <c r="J2771" i="7"/>
  <c r="J3581" i="7"/>
  <c r="J342" i="7"/>
  <c r="J1152" i="7"/>
  <c r="J1962" i="7"/>
  <c r="J2772" i="7"/>
  <c r="J3582" i="7"/>
  <c r="J343" i="7"/>
  <c r="J1153" i="7"/>
  <c r="J1963" i="7"/>
  <c r="J2773" i="7"/>
  <c r="J3583" i="7"/>
  <c r="J344" i="7"/>
  <c r="J1154" i="7"/>
  <c r="J1964" i="7"/>
  <c r="J2774" i="7"/>
  <c r="J3584" i="7"/>
  <c r="J345" i="7"/>
  <c r="J1155" i="7"/>
  <c r="J1965" i="7"/>
  <c r="J2775" i="7"/>
  <c r="J3585" i="7"/>
  <c r="J346" i="7"/>
  <c r="J1156" i="7"/>
  <c r="J1966" i="7"/>
  <c r="J2776" i="7"/>
  <c r="J3586" i="7"/>
  <c r="J347" i="7"/>
  <c r="J1157" i="7"/>
  <c r="J1967" i="7"/>
  <c r="J2777" i="7"/>
  <c r="J3587" i="7"/>
  <c r="J348" i="7"/>
  <c r="J1158" i="7"/>
  <c r="J1968" i="7"/>
  <c r="J2778" i="7"/>
  <c r="J3588" i="7"/>
  <c r="J469" i="7"/>
  <c r="J1279" i="7"/>
  <c r="J2089" i="7"/>
  <c r="J2899" i="7"/>
  <c r="J3709" i="7"/>
  <c r="J470" i="7"/>
  <c r="J1280" i="7"/>
  <c r="J2090" i="7"/>
  <c r="J2900" i="7"/>
  <c r="J3710" i="7"/>
  <c r="J471" i="7"/>
  <c r="J1281" i="7"/>
  <c r="J2091" i="7"/>
  <c r="J2901" i="7"/>
  <c r="J3711" i="7"/>
  <c r="J472" i="7"/>
  <c r="J1282" i="7"/>
  <c r="J2092" i="7"/>
  <c r="J2902" i="7"/>
  <c r="J3712" i="7"/>
  <c r="J473" i="7"/>
  <c r="J1283" i="7"/>
  <c r="J2093" i="7"/>
  <c r="J2903" i="7"/>
  <c r="J3713" i="7"/>
  <c r="J474" i="7"/>
  <c r="J1284" i="7"/>
  <c r="J2094" i="7"/>
  <c r="J2904" i="7"/>
  <c r="J3714" i="7"/>
  <c r="J475" i="7"/>
  <c r="J1285" i="7"/>
  <c r="J2095" i="7"/>
  <c r="J2905" i="7"/>
  <c r="J3715" i="7"/>
  <c r="J476" i="7"/>
  <c r="J1286" i="7"/>
  <c r="J2096" i="7"/>
  <c r="J2906" i="7"/>
  <c r="J3716" i="7"/>
  <c r="J477" i="7"/>
  <c r="J1287" i="7"/>
  <c r="J2097" i="7"/>
  <c r="J2907" i="7"/>
  <c r="J3717" i="7"/>
  <c r="J478" i="7"/>
  <c r="J1288" i="7"/>
  <c r="J2098" i="7"/>
  <c r="J2908" i="7"/>
  <c r="J3718" i="7"/>
  <c r="J479" i="7"/>
  <c r="J1289" i="7"/>
  <c r="J2099" i="7"/>
  <c r="J2909" i="7"/>
  <c r="J3719" i="7"/>
  <c r="J480" i="7"/>
  <c r="J1290" i="7"/>
  <c r="J2100" i="7"/>
  <c r="J2910" i="7"/>
  <c r="J3720" i="7"/>
  <c r="J481" i="7"/>
  <c r="J1291" i="7"/>
  <c r="J2101" i="7"/>
  <c r="J2911" i="7"/>
  <c r="J3721" i="7"/>
  <c r="J482" i="7"/>
  <c r="J1292" i="7"/>
  <c r="J2102" i="7"/>
  <c r="J2912" i="7"/>
  <c r="J3722" i="7"/>
  <c r="J483" i="7"/>
  <c r="J1293" i="7"/>
  <c r="J2103" i="7"/>
  <c r="J2913" i="7"/>
  <c r="J3723" i="7"/>
  <c r="J604" i="7"/>
  <c r="J1414" i="7"/>
  <c r="J2224" i="7"/>
  <c r="J3034" i="7"/>
  <c r="J3844" i="7"/>
  <c r="J605" i="7"/>
  <c r="J1415" i="7"/>
  <c r="J2225" i="7"/>
  <c r="J3035" i="7"/>
  <c r="J3845" i="7"/>
  <c r="J606" i="7"/>
  <c r="J1416" i="7"/>
  <c r="J2226" i="7"/>
  <c r="J3036" i="7"/>
  <c r="J3846" i="7"/>
  <c r="J607" i="7"/>
  <c r="J1417" i="7"/>
  <c r="J2227" i="7"/>
  <c r="J3037" i="7"/>
  <c r="J3847" i="7"/>
  <c r="J608" i="7"/>
  <c r="J1418" i="7"/>
  <c r="J2228" i="7"/>
  <c r="J3038" i="7"/>
  <c r="J3848" i="7"/>
  <c r="J609" i="7"/>
  <c r="J1419" i="7"/>
  <c r="J2229" i="7"/>
  <c r="J3039" i="7"/>
  <c r="J3849" i="7"/>
  <c r="J610" i="7"/>
  <c r="J1420" i="7"/>
  <c r="J2230" i="7"/>
  <c r="J3040" i="7"/>
  <c r="J3850" i="7"/>
  <c r="J611" i="7"/>
  <c r="J1421" i="7"/>
  <c r="J2231" i="7"/>
  <c r="J3041" i="7"/>
  <c r="J3851" i="7"/>
  <c r="J612" i="7"/>
  <c r="J1422" i="7"/>
  <c r="J2232" i="7"/>
  <c r="J3042" i="7"/>
  <c r="J3852" i="7"/>
  <c r="J613" i="7"/>
  <c r="J1423" i="7"/>
  <c r="J2233" i="7"/>
  <c r="J3043" i="7"/>
  <c r="J3853" i="7"/>
  <c r="J614" i="7"/>
  <c r="J1424" i="7"/>
  <c r="J2234" i="7"/>
  <c r="J3044" i="7"/>
  <c r="J3854" i="7"/>
  <c r="J615" i="7"/>
  <c r="J1425" i="7"/>
  <c r="J2235" i="7"/>
  <c r="J3045" i="7"/>
  <c r="J3855" i="7"/>
  <c r="J616" i="7"/>
  <c r="J1426" i="7"/>
  <c r="J2236" i="7"/>
  <c r="J3046" i="7"/>
  <c r="J3856" i="7"/>
  <c r="J617" i="7"/>
  <c r="J1427" i="7"/>
  <c r="J2237" i="7"/>
  <c r="J3047" i="7"/>
  <c r="J3857" i="7"/>
  <c r="J618" i="7"/>
  <c r="J1428" i="7"/>
  <c r="J2238" i="7"/>
  <c r="J3048" i="7"/>
  <c r="J3858" i="7"/>
  <c r="J739" i="7"/>
  <c r="J1549" i="7"/>
  <c r="J2359" i="7"/>
  <c r="J3169" i="7"/>
  <c r="J3979" i="7"/>
  <c r="J740" i="7"/>
  <c r="J1550" i="7"/>
  <c r="J2360" i="7"/>
  <c r="J3170" i="7"/>
  <c r="J3980" i="7"/>
  <c r="J741" i="7"/>
  <c r="J1551" i="7"/>
  <c r="J2361" i="7"/>
  <c r="J3171" i="7"/>
  <c r="J3981" i="7"/>
  <c r="J742" i="7"/>
  <c r="J1552" i="7"/>
  <c r="J2362" i="7"/>
  <c r="J3172" i="7"/>
  <c r="J3982" i="7"/>
  <c r="J743" i="7"/>
  <c r="J1553" i="7"/>
  <c r="J2363" i="7"/>
  <c r="J3173" i="7"/>
  <c r="J3983" i="7"/>
  <c r="J744" i="7"/>
  <c r="J1554" i="7"/>
  <c r="J2364" i="7"/>
  <c r="J3174" i="7"/>
  <c r="J3984" i="7"/>
  <c r="J745" i="7"/>
  <c r="J1555" i="7"/>
  <c r="J2365" i="7"/>
  <c r="J3175" i="7"/>
  <c r="J3985" i="7"/>
  <c r="J746" i="7"/>
  <c r="J1556" i="7"/>
  <c r="J2366" i="7"/>
  <c r="J3176" i="7"/>
  <c r="J3986" i="7"/>
  <c r="J747" i="7"/>
  <c r="J1557" i="7"/>
  <c r="J2367" i="7"/>
  <c r="J3177" i="7"/>
  <c r="J3987" i="7"/>
  <c r="J748" i="7"/>
  <c r="J1558" i="7"/>
  <c r="J2368" i="7"/>
  <c r="J3178" i="7"/>
  <c r="J3988" i="7"/>
  <c r="J749" i="7"/>
  <c r="J1559" i="7"/>
  <c r="J2369" i="7"/>
  <c r="J3179" i="7"/>
  <c r="J3989" i="7"/>
  <c r="J750" i="7"/>
  <c r="J1560" i="7"/>
  <c r="J2370" i="7"/>
  <c r="J3180" i="7"/>
  <c r="J3990" i="7"/>
  <c r="J751" i="7"/>
  <c r="J1561" i="7"/>
  <c r="J2371" i="7"/>
  <c r="J3181" i="7"/>
  <c r="J3991" i="7"/>
  <c r="J752" i="7"/>
  <c r="J1562" i="7"/>
  <c r="J2372" i="7"/>
  <c r="J3182" i="7"/>
  <c r="J3992" i="7"/>
  <c r="J753" i="7"/>
  <c r="J1563" i="7"/>
  <c r="J2373" i="7"/>
  <c r="J3183" i="7"/>
  <c r="J3993" i="7"/>
  <c r="J79" i="7"/>
  <c r="J889" i="7"/>
  <c r="J1699" i="7"/>
  <c r="J2509" i="7"/>
  <c r="J3319" i="7"/>
  <c r="J80" i="7"/>
  <c r="J890" i="7"/>
  <c r="J1700" i="7"/>
  <c r="J2510" i="7"/>
  <c r="J3320" i="7"/>
  <c r="J81" i="7"/>
  <c r="J891" i="7"/>
  <c r="J1701" i="7"/>
  <c r="J2511" i="7"/>
  <c r="J3321" i="7"/>
  <c r="J82" i="7"/>
  <c r="J892" i="7"/>
  <c r="J1702" i="7"/>
  <c r="J2512" i="7"/>
  <c r="J3322" i="7"/>
  <c r="J83" i="7"/>
  <c r="J893" i="7"/>
  <c r="J1703" i="7"/>
  <c r="J2513" i="7"/>
  <c r="J3323" i="7"/>
  <c r="J84" i="7"/>
  <c r="J894" i="7"/>
  <c r="J1704" i="7"/>
  <c r="J2514" i="7"/>
  <c r="J3324" i="7"/>
  <c r="J85" i="7"/>
  <c r="J895" i="7"/>
  <c r="J1705" i="7"/>
  <c r="J2515" i="7"/>
  <c r="J3325" i="7"/>
  <c r="J86" i="7"/>
  <c r="J896" i="7"/>
  <c r="J1706" i="7"/>
  <c r="J2516" i="7"/>
  <c r="J3326" i="7"/>
  <c r="J87" i="7"/>
  <c r="J897" i="7"/>
  <c r="J1707" i="7"/>
  <c r="J2517" i="7"/>
  <c r="J3327" i="7"/>
  <c r="J88" i="7"/>
  <c r="J898" i="7"/>
  <c r="J1708" i="7"/>
  <c r="J2518" i="7"/>
  <c r="J3328" i="7"/>
  <c r="J89" i="7"/>
  <c r="J899" i="7"/>
  <c r="J1709" i="7"/>
  <c r="J2519" i="7"/>
  <c r="J3329" i="7"/>
  <c r="J90" i="7"/>
  <c r="J900" i="7"/>
  <c r="J1710" i="7"/>
  <c r="J2520" i="7"/>
  <c r="J3330" i="7"/>
  <c r="J91" i="7"/>
  <c r="J901" i="7"/>
  <c r="J1711" i="7"/>
  <c r="J2521" i="7"/>
  <c r="J3331" i="7"/>
  <c r="J92" i="7"/>
  <c r="J902" i="7"/>
  <c r="J1712" i="7"/>
  <c r="J2522" i="7"/>
  <c r="J3332" i="7"/>
  <c r="J93" i="7"/>
  <c r="J903" i="7"/>
  <c r="J1713" i="7"/>
  <c r="J2523" i="7"/>
  <c r="J3333" i="7"/>
  <c r="J214" i="7"/>
  <c r="J1024" i="7"/>
  <c r="J1834" i="7"/>
  <c r="J2644" i="7"/>
  <c r="J3454" i="7"/>
  <c r="J215" i="7"/>
  <c r="J1025" i="7"/>
  <c r="J1835" i="7"/>
  <c r="J2645" i="7"/>
  <c r="J3455" i="7"/>
  <c r="J216" i="7"/>
  <c r="J1026" i="7"/>
  <c r="J1836" i="7"/>
  <c r="J2646" i="7"/>
  <c r="J3456" i="7"/>
  <c r="J217" i="7"/>
  <c r="J1027" i="7"/>
  <c r="J1837" i="7"/>
  <c r="J2647" i="7"/>
  <c r="J3457" i="7"/>
  <c r="J218" i="7"/>
  <c r="J1028" i="7"/>
  <c r="J1838" i="7"/>
  <c r="J2648" i="7"/>
  <c r="J3458" i="7"/>
  <c r="J219" i="7"/>
  <c r="J1029" i="7"/>
  <c r="J1839" i="7"/>
  <c r="J2649" i="7"/>
  <c r="J3459" i="7"/>
  <c r="J220" i="7"/>
  <c r="J1030" i="7"/>
  <c r="J1840" i="7"/>
  <c r="J2650" i="7"/>
  <c r="J3460" i="7"/>
  <c r="J221" i="7"/>
  <c r="J1031" i="7"/>
  <c r="J1841" i="7"/>
  <c r="J2651" i="7"/>
  <c r="J3461" i="7"/>
  <c r="J222" i="7"/>
  <c r="J1032" i="7"/>
  <c r="J1842" i="7"/>
  <c r="J2652" i="7"/>
  <c r="J3462" i="7"/>
  <c r="J223" i="7"/>
  <c r="J1033" i="7"/>
  <c r="J1843" i="7"/>
  <c r="J2653" i="7"/>
  <c r="J3463" i="7"/>
  <c r="J224" i="7"/>
  <c r="J1034" i="7"/>
  <c r="J1844" i="7"/>
  <c r="J2654" i="7"/>
  <c r="J3464" i="7"/>
  <c r="J225" i="7"/>
  <c r="J1035" i="7"/>
  <c r="J1845" i="7"/>
  <c r="J2655" i="7"/>
  <c r="J3465" i="7"/>
  <c r="J226" i="7"/>
  <c r="J1036" i="7"/>
  <c r="J1846" i="7"/>
  <c r="J2656" i="7"/>
  <c r="J3466" i="7"/>
  <c r="J227" i="7"/>
  <c r="J1037" i="7"/>
  <c r="J1847" i="7"/>
  <c r="J2657" i="7"/>
  <c r="J3467" i="7"/>
  <c r="J228" i="7"/>
  <c r="J1038" i="7"/>
  <c r="J1848" i="7"/>
  <c r="J2658" i="7"/>
  <c r="J3468" i="7"/>
  <c r="J349" i="7"/>
  <c r="J1159" i="7"/>
  <c r="J1969" i="7"/>
  <c r="J2779" i="7"/>
  <c r="J3589" i="7"/>
  <c r="J350" i="7"/>
  <c r="J1160" i="7"/>
  <c r="J1970" i="7"/>
  <c r="J2780" i="7"/>
  <c r="J3590" i="7"/>
  <c r="J351" i="7"/>
  <c r="J1161" i="7"/>
  <c r="J1971" i="7"/>
  <c r="J2781" i="7"/>
  <c r="J3591" i="7"/>
  <c r="J352" i="7"/>
  <c r="J1162" i="7"/>
  <c r="J1972" i="7"/>
  <c r="J2782" i="7"/>
  <c r="J3592" i="7"/>
  <c r="J353" i="7"/>
  <c r="J1163" i="7"/>
  <c r="J1973" i="7"/>
  <c r="J2783" i="7"/>
  <c r="J3593" i="7"/>
  <c r="J354" i="7"/>
  <c r="J1164" i="7"/>
  <c r="J1974" i="7"/>
  <c r="J2784" i="7"/>
  <c r="J3594" i="7"/>
  <c r="J355" i="7"/>
  <c r="J1165" i="7"/>
  <c r="J1975" i="7"/>
  <c r="J2785" i="7"/>
  <c r="J3595" i="7"/>
  <c r="J356" i="7"/>
  <c r="J1166" i="7"/>
  <c r="J1976" i="7"/>
  <c r="J2786" i="7"/>
  <c r="J3596" i="7"/>
  <c r="J357" i="7"/>
  <c r="J1167" i="7"/>
  <c r="J1977" i="7"/>
  <c r="J2787" i="7"/>
  <c r="J3597" i="7"/>
  <c r="J358" i="7"/>
  <c r="J1168" i="7"/>
  <c r="J1978" i="7"/>
  <c r="J2788" i="7"/>
  <c r="J3598" i="7"/>
  <c r="J359" i="7"/>
  <c r="J1169" i="7"/>
  <c r="J1979" i="7"/>
  <c r="J2789" i="7"/>
  <c r="J3599" i="7"/>
  <c r="J360" i="7"/>
  <c r="J1170" i="7"/>
  <c r="J1980" i="7"/>
  <c r="J2790" i="7"/>
  <c r="J3600" i="7"/>
  <c r="J361" i="7"/>
  <c r="J1171" i="7"/>
  <c r="J1981" i="7"/>
  <c r="J2791" i="7"/>
  <c r="J3601" i="7"/>
  <c r="J362" i="7"/>
  <c r="J1172" i="7"/>
  <c r="J1982" i="7"/>
  <c r="J2792" i="7"/>
  <c r="J3602" i="7"/>
  <c r="J363" i="7"/>
  <c r="J1173" i="7"/>
  <c r="J1983" i="7"/>
  <c r="J2793" i="7"/>
  <c r="J3603" i="7"/>
  <c r="J484" i="7"/>
  <c r="J1294" i="7"/>
  <c r="J2104" i="7"/>
  <c r="J2914" i="7"/>
  <c r="J3724" i="7"/>
  <c r="J485" i="7"/>
  <c r="J1295" i="7"/>
  <c r="J2105" i="7"/>
  <c r="J2915" i="7"/>
  <c r="J3725" i="7"/>
  <c r="J486" i="7"/>
  <c r="J1296" i="7"/>
  <c r="J2106" i="7"/>
  <c r="J2916" i="7"/>
  <c r="J3726" i="7"/>
  <c r="J487" i="7"/>
  <c r="J1297" i="7"/>
  <c r="J2107" i="7"/>
  <c r="J2917" i="7"/>
  <c r="J3727" i="7"/>
  <c r="J488" i="7"/>
  <c r="J1298" i="7"/>
  <c r="J2108" i="7"/>
  <c r="J2918" i="7"/>
  <c r="J3728" i="7"/>
  <c r="J489" i="7"/>
  <c r="J1299" i="7"/>
  <c r="J2109" i="7"/>
  <c r="J2919" i="7"/>
  <c r="J3729" i="7"/>
  <c r="J490" i="7"/>
  <c r="J1300" i="7"/>
  <c r="J2110" i="7"/>
  <c r="J2920" i="7"/>
  <c r="J3730" i="7"/>
  <c r="J491" i="7"/>
  <c r="J1301" i="7"/>
  <c r="J2111" i="7"/>
  <c r="J2921" i="7"/>
  <c r="J3731" i="7"/>
  <c r="J492" i="7"/>
  <c r="J1302" i="7"/>
  <c r="J2112" i="7"/>
  <c r="J2922" i="7"/>
  <c r="J3732" i="7"/>
  <c r="J493" i="7"/>
  <c r="J1303" i="7"/>
  <c r="J2113" i="7"/>
  <c r="J2923" i="7"/>
  <c r="J3733" i="7"/>
  <c r="J494" i="7"/>
  <c r="J1304" i="7"/>
  <c r="J2114" i="7"/>
  <c r="J2924" i="7"/>
  <c r="J3734" i="7"/>
  <c r="J495" i="7"/>
  <c r="J1305" i="7"/>
  <c r="J2115" i="7"/>
  <c r="J2925" i="7"/>
  <c r="J3735" i="7"/>
  <c r="J496" i="7"/>
  <c r="J1306" i="7"/>
  <c r="J2116" i="7"/>
  <c r="J2926" i="7"/>
  <c r="J3736" i="7"/>
  <c r="J497" i="7"/>
  <c r="J1307" i="7"/>
  <c r="J2117" i="7"/>
  <c r="J2927" i="7"/>
  <c r="J3737" i="7"/>
  <c r="J498" i="7"/>
  <c r="J1308" i="7"/>
  <c r="J2118" i="7"/>
  <c r="J2928" i="7"/>
  <c r="J3738" i="7"/>
  <c r="J619" i="7"/>
  <c r="J1429" i="7"/>
  <c r="J2239" i="7"/>
  <c r="J3049" i="7"/>
  <c r="J3859" i="7"/>
  <c r="J620" i="7"/>
  <c r="J1430" i="7"/>
  <c r="J2240" i="7"/>
  <c r="J3050" i="7"/>
  <c r="J3860" i="7"/>
  <c r="J621" i="7"/>
  <c r="J1431" i="7"/>
  <c r="J2241" i="7"/>
  <c r="J3051" i="7"/>
  <c r="J3861" i="7"/>
  <c r="J622" i="7"/>
  <c r="J1432" i="7"/>
  <c r="J2242" i="7"/>
  <c r="J3052" i="7"/>
  <c r="J3862" i="7"/>
  <c r="J623" i="7"/>
  <c r="J1433" i="7"/>
  <c r="J2243" i="7"/>
  <c r="J3053" i="7"/>
  <c r="J3863" i="7"/>
  <c r="J624" i="7"/>
  <c r="J1434" i="7"/>
  <c r="J2244" i="7"/>
  <c r="J3054" i="7"/>
  <c r="J3864" i="7"/>
  <c r="J625" i="7"/>
  <c r="J1435" i="7"/>
  <c r="J2245" i="7"/>
  <c r="J3055" i="7"/>
  <c r="J3865" i="7"/>
  <c r="J626" i="7"/>
  <c r="J1436" i="7"/>
  <c r="J2246" i="7"/>
  <c r="J3056" i="7"/>
  <c r="J3866" i="7"/>
  <c r="J627" i="7"/>
  <c r="J1437" i="7"/>
  <c r="J2247" i="7"/>
  <c r="J3057" i="7"/>
  <c r="J3867" i="7"/>
  <c r="J628" i="7"/>
  <c r="J1438" i="7"/>
  <c r="J2248" i="7"/>
  <c r="J3058" i="7"/>
  <c r="J3868" i="7"/>
  <c r="J629" i="7"/>
  <c r="J1439" i="7"/>
  <c r="J2249" i="7"/>
  <c r="J3059" i="7"/>
  <c r="J3869" i="7"/>
  <c r="J630" i="7"/>
  <c r="J1440" i="7"/>
  <c r="J2250" i="7"/>
  <c r="J3060" i="7"/>
  <c r="J3870" i="7"/>
  <c r="J631" i="7"/>
  <c r="J1441" i="7"/>
  <c r="J2251" i="7"/>
  <c r="J3061" i="7"/>
  <c r="J3871" i="7"/>
  <c r="J632" i="7"/>
  <c r="J1442" i="7"/>
  <c r="J2252" i="7"/>
  <c r="J3062" i="7"/>
  <c r="J3872" i="7"/>
  <c r="J633" i="7"/>
  <c r="J1443" i="7"/>
  <c r="J2253" i="7"/>
  <c r="J3063" i="7"/>
  <c r="J3873" i="7"/>
  <c r="J754" i="7"/>
  <c r="J1564" i="7"/>
  <c r="J2374" i="7"/>
  <c r="J3184" i="7"/>
  <c r="J3994" i="7"/>
  <c r="J755" i="7"/>
  <c r="J1565" i="7"/>
  <c r="J2375" i="7"/>
  <c r="J3185" i="7"/>
  <c r="J3995" i="7"/>
  <c r="J756" i="7"/>
  <c r="J1566" i="7"/>
  <c r="J2376" i="7"/>
  <c r="J3186" i="7"/>
  <c r="J3996" i="7"/>
  <c r="J757" i="7"/>
  <c r="J1567" i="7"/>
  <c r="J2377" i="7"/>
  <c r="J3187" i="7"/>
  <c r="J3997" i="7"/>
  <c r="J758" i="7"/>
  <c r="J1568" i="7"/>
  <c r="J2378" i="7"/>
  <c r="J3188" i="7"/>
  <c r="J3998" i="7"/>
  <c r="J759" i="7"/>
  <c r="J1569" i="7"/>
  <c r="J2379" i="7"/>
  <c r="J3189" i="7"/>
  <c r="J3999" i="7"/>
  <c r="J760" i="7"/>
  <c r="J1570" i="7"/>
  <c r="J2380" i="7"/>
  <c r="J3190" i="7"/>
  <c r="J4000" i="7"/>
  <c r="J761" i="7"/>
  <c r="J1571" i="7"/>
  <c r="J2381" i="7"/>
  <c r="J3191" i="7"/>
  <c r="J4001" i="7"/>
  <c r="J762" i="7"/>
  <c r="J1572" i="7"/>
  <c r="J2382" i="7"/>
  <c r="J3192" i="7"/>
  <c r="J4002" i="7"/>
  <c r="J763" i="7"/>
  <c r="J1573" i="7"/>
  <c r="J2383" i="7"/>
  <c r="J3193" i="7"/>
  <c r="J4003" i="7"/>
  <c r="J764" i="7"/>
  <c r="J1574" i="7"/>
  <c r="J2384" i="7"/>
  <c r="J3194" i="7"/>
  <c r="J4004" i="7"/>
  <c r="J765" i="7"/>
  <c r="J1575" i="7"/>
  <c r="J2385" i="7"/>
  <c r="J3195" i="7"/>
  <c r="J4005" i="7"/>
  <c r="J766" i="7"/>
  <c r="J1576" i="7"/>
  <c r="J2386" i="7"/>
  <c r="J3196" i="7"/>
  <c r="J4006" i="7"/>
  <c r="J767" i="7"/>
  <c r="J1577" i="7"/>
  <c r="J2387" i="7"/>
  <c r="J3197" i="7"/>
  <c r="J4007" i="7"/>
  <c r="J768" i="7"/>
  <c r="J1578" i="7"/>
  <c r="J2388" i="7"/>
  <c r="J3198" i="7"/>
  <c r="J4008" i="7"/>
  <c r="J94" i="7"/>
  <c r="J904" i="7"/>
  <c r="J1714" i="7"/>
  <c r="J2524" i="7"/>
  <c r="J3334" i="7"/>
  <c r="J95" i="7"/>
  <c r="J905" i="7"/>
  <c r="J1715" i="7"/>
  <c r="J2525" i="7"/>
  <c r="J3335" i="7"/>
  <c r="J96" i="7"/>
  <c r="J906" i="7"/>
  <c r="J1716" i="7"/>
  <c r="J2526" i="7"/>
  <c r="J3336" i="7"/>
  <c r="J97" i="7"/>
  <c r="J907" i="7"/>
  <c r="J1717" i="7"/>
  <c r="J2527" i="7"/>
  <c r="J3337" i="7"/>
  <c r="J98" i="7"/>
  <c r="J908" i="7"/>
  <c r="J1718" i="7"/>
  <c r="J2528" i="7"/>
  <c r="J3338" i="7"/>
  <c r="J99" i="7"/>
  <c r="J909" i="7"/>
  <c r="J1719" i="7"/>
  <c r="J2529" i="7"/>
  <c r="J3339" i="7"/>
  <c r="J100" i="7"/>
  <c r="J910" i="7"/>
  <c r="J1720" i="7"/>
  <c r="J2530" i="7"/>
  <c r="J3340" i="7"/>
  <c r="J101" i="7"/>
  <c r="J911" i="7"/>
  <c r="J1721" i="7"/>
  <c r="J2531" i="7"/>
  <c r="J3341" i="7"/>
  <c r="J102" i="7"/>
  <c r="J912" i="7"/>
  <c r="J1722" i="7"/>
  <c r="J2532" i="7"/>
  <c r="J3342" i="7"/>
  <c r="J103" i="7"/>
  <c r="J913" i="7"/>
  <c r="J1723" i="7"/>
  <c r="J2533" i="7"/>
  <c r="J3343" i="7"/>
  <c r="J104" i="7"/>
  <c r="J914" i="7"/>
  <c r="J1724" i="7"/>
  <c r="J2534" i="7"/>
  <c r="J3344" i="7"/>
  <c r="J105" i="7"/>
  <c r="J915" i="7"/>
  <c r="J1725" i="7"/>
  <c r="J2535" i="7"/>
  <c r="J3345" i="7"/>
  <c r="J106" i="7"/>
  <c r="J916" i="7"/>
  <c r="J1726" i="7"/>
  <c r="J2536" i="7"/>
  <c r="J3346" i="7"/>
  <c r="J107" i="7"/>
  <c r="J917" i="7"/>
  <c r="J1727" i="7"/>
  <c r="J2537" i="7"/>
  <c r="J3347" i="7"/>
  <c r="J108" i="7"/>
  <c r="J918" i="7"/>
  <c r="J1728" i="7"/>
  <c r="J2538" i="7"/>
  <c r="J3348" i="7"/>
  <c r="J229" i="7"/>
  <c r="J1039" i="7"/>
  <c r="J1849" i="7"/>
  <c r="J2659" i="7"/>
  <c r="J3469" i="7"/>
  <c r="J230" i="7"/>
  <c r="J1040" i="7"/>
  <c r="J1850" i="7"/>
  <c r="J2660" i="7"/>
  <c r="J3470" i="7"/>
  <c r="J231" i="7"/>
  <c r="J1041" i="7"/>
  <c r="J1851" i="7"/>
  <c r="J2661" i="7"/>
  <c r="J3471" i="7"/>
  <c r="J232" i="7"/>
  <c r="J1042" i="7"/>
  <c r="J1852" i="7"/>
  <c r="J2662" i="7"/>
  <c r="J3472" i="7"/>
  <c r="J233" i="7"/>
  <c r="J1043" i="7"/>
  <c r="J1853" i="7"/>
  <c r="J2663" i="7"/>
  <c r="J3473" i="7"/>
  <c r="J234" i="7"/>
  <c r="J1044" i="7"/>
  <c r="J1854" i="7"/>
  <c r="J2664" i="7"/>
  <c r="J3474" i="7"/>
  <c r="J235" i="7"/>
  <c r="J1045" i="7"/>
  <c r="J1855" i="7"/>
  <c r="J2665" i="7"/>
  <c r="J3475" i="7"/>
  <c r="J236" i="7"/>
  <c r="J1046" i="7"/>
  <c r="J1856" i="7"/>
  <c r="J2666" i="7"/>
  <c r="J3476" i="7"/>
  <c r="J237" i="7"/>
  <c r="J1047" i="7"/>
  <c r="J1857" i="7"/>
  <c r="J2667" i="7"/>
  <c r="J3477" i="7"/>
  <c r="J238" i="7"/>
  <c r="J1048" i="7"/>
  <c r="J1858" i="7"/>
  <c r="J2668" i="7"/>
  <c r="J3478" i="7"/>
  <c r="J239" i="7"/>
  <c r="J1049" i="7"/>
  <c r="J1859" i="7"/>
  <c r="J2669" i="7"/>
  <c r="J3479" i="7"/>
  <c r="J240" i="7"/>
  <c r="J1050" i="7"/>
  <c r="J1860" i="7"/>
  <c r="J2670" i="7"/>
  <c r="J3480" i="7"/>
  <c r="J241" i="7"/>
  <c r="J1051" i="7"/>
  <c r="J1861" i="7"/>
  <c r="J2671" i="7"/>
  <c r="J3481" i="7"/>
  <c r="J242" i="7"/>
  <c r="J1052" i="7"/>
  <c r="J1862" i="7"/>
  <c r="J2672" i="7"/>
  <c r="J3482" i="7"/>
  <c r="J243" i="7"/>
  <c r="J1053" i="7"/>
  <c r="J1863" i="7"/>
  <c r="J2673" i="7"/>
  <c r="J3483" i="7"/>
  <c r="J364" i="7"/>
  <c r="J1174" i="7"/>
  <c r="J1984" i="7"/>
  <c r="J2794" i="7"/>
  <c r="J3604" i="7"/>
  <c r="J365" i="7"/>
  <c r="J1175" i="7"/>
  <c r="J1985" i="7"/>
  <c r="J2795" i="7"/>
  <c r="J3605" i="7"/>
  <c r="J366" i="7"/>
  <c r="J1176" i="7"/>
  <c r="J1986" i="7"/>
  <c r="J2796" i="7"/>
  <c r="J3606" i="7"/>
  <c r="J367" i="7"/>
  <c r="J1177" i="7"/>
  <c r="J1987" i="7"/>
  <c r="J2797" i="7"/>
  <c r="J3607" i="7"/>
  <c r="J368" i="7"/>
  <c r="J1178" i="7"/>
  <c r="J1988" i="7"/>
  <c r="J2798" i="7"/>
  <c r="J3608" i="7"/>
  <c r="J369" i="7"/>
  <c r="J1179" i="7"/>
  <c r="J1989" i="7"/>
  <c r="J2799" i="7"/>
  <c r="J3609" i="7"/>
  <c r="J370" i="7"/>
  <c r="J1180" i="7"/>
  <c r="J1990" i="7"/>
  <c r="J2800" i="7"/>
  <c r="J3610" i="7"/>
  <c r="J371" i="7"/>
  <c r="J1181" i="7"/>
  <c r="J1991" i="7"/>
  <c r="J2801" i="7"/>
  <c r="J3611" i="7"/>
  <c r="J372" i="7"/>
  <c r="J1182" i="7"/>
  <c r="J1992" i="7"/>
  <c r="J2802" i="7"/>
  <c r="J3612" i="7"/>
  <c r="J373" i="7"/>
  <c r="J1183" i="7"/>
  <c r="J1993" i="7"/>
  <c r="J2803" i="7"/>
  <c r="J3613" i="7"/>
  <c r="J374" i="7"/>
  <c r="J1184" i="7"/>
  <c r="J1994" i="7"/>
  <c r="J2804" i="7"/>
  <c r="J3614" i="7"/>
  <c r="J375" i="7"/>
  <c r="J1185" i="7"/>
  <c r="J1995" i="7"/>
  <c r="J2805" i="7"/>
  <c r="J3615" i="7"/>
  <c r="J376" i="7"/>
  <c r="J1186" i="7"/>
  <c r="J1996" i="7"/>
  <c r="J2806" i="7"/>
  <c r="J3616" i="7"/>
  <c r="J377" i="7"/>
  <c r="J1187" i="7"/>
  <c r="J1997" i="7"/>
  <c r="J2807" i="7"/>
  <c r="J3617" i="7"/>
  <c r="J378" i="7"/>
  <c r="J1188" i="7"/>
  <c r="J1998" i="7"/>
  <c r="J2808" i="7"/>
  <c r="J3618" i="7"/>
  <c r="J499" i="7"/>
  <c r="J1309" i="7"/>
  <c r="J2119" i="7"/>
  <c r="J2929" i="7"/>
  <c r="J3739" i="7"/>
  <c r="J500" i="7"/>
  <c r="J1310" i="7"/>
  <c r="J2120" i="7"/>
  <c r="J2930" i="7"/>
  <c r="J3740" i="7"/>
  <c r="J501" i="7"/>
  <c r="J1311" i="7"/>
  <c r="J2121" i="7"/>
  <c r="J2931" i="7"/>
  <c r="J3741" i="7"/>
  <c r="J502" i="7"/>
  <c r="J1312" i="7"/>
  <c r="J2122" i="7"/>
  <c r="J2932" i="7"/>
  <c r="J3742" i="7"/>
  <c r="J503" i="7"/>
  <c r="J1313" i="7"/>
  <c r="J2123" i="7"/>
  <c r="J2933" i="7"/>
  <c r="J3743" i="7"/>
  <c r="J504" i="7"/>
  <c r="J1314" i="7"/>
  <c r="J2124" i="7"/>
  <c r="J2934" i="7"/>
  <c r="J3744" i="7"/>
  <c r="J505" i="7"/>
  <c r="J1315" i="7"/>
  <c r="J2125" i="7"/>
  <c r="J2935" i="7"/>
  <c r="J3745" i="7"/>
  <c r="J506" i="7"/>
  <c r="J1316" i="7"/>
  <c r="J2126" i="7"/>
  <c r="J2936" i="7"/>
  <c r="J3746" i="7"/>
  <c r="J507" i="7"/>
  <c r="J1317" i="7"/>
  <c r="J2127" i="7"/>
  <c r="J2937" i="7"/>
  <c r="J3747" i="7"/>
  <c r="J508" i="7"/>
  <c r="J1318" i="7"/>
  <c r="J2128" i="7"/>
  <c r="J2938" i="7"/>
  <c r="J3748" i="7"/>
  <c r="J509" i="7"/>
  <c r="J1319" i="7"/>
  <c r="J2129" i="7"/>
  <c r="J2939" i="7"/>
  <c r="J3749" i="7"/>
  <c r="J510" i="7"/>
  <c r="J1320" i="7"/>
  <c r="J2130" i="7"/>
  <c r="J2940" i="7"/>
  <c r="J3750" i="7"/>
  <c r="J511" i="7"/>
  <c r="J1321" i="7"/>
  <c r="J2131" i="7"/>
  <c r="J2941" i="7"/>
  <c r="J3751" i="7"/>
  <c r="J512" i="7"/>
  <c r="J1322" i="7"/>
  <c r="J2132" i="7"/>
  <c r="J2942" i="7"/>
  <c r="J3752" i="7"/>
  <c r="J513" i="7"/>
  <c r="J1323" i="7"/>
  <c r="J2133" i="7"/>
  <c r="J2943" i="7"/>
  <c r="J3753" i="7"/>
  <c r="J634" i="7"/>
  <c r="J1444" i="7"/>
  <c r="J2254" i="7"/>
  <c r="J3064" i="7"/>
  <c r="J3874" i="7"/>
  <c r="J635" i="7"/>
  <c r="J1445" i="7"/>
  <c r="J2255" i="7"/>
  <c r="J3065" i="7"/>
  <c r="J3875" i="7"/>
  <c r="J636" i="7"/>
  <c r="J1446" i="7"/>
  <c r="J2256" i="7"/>
  <c r="J3066" i="7"/>
  <c r="J3876" i="7"/>
  <c r="J637" i="7"/>
  <c r="J1447" i="7"/>
  <c r="J2257" i="7"/>
  <c r="J3067" i="7"/>
  <c r="J3877" i="7"/>
  <c r="J638" i="7"/>
  <c r="J1448" i="7"/>
  <c r="J2258" i="7"/>
  <c r="J3068" i="7"/>
  <c r="J3878" i="7"/>
  <c r="J639" i="7"/>
  <c r="J1449" i="7"/>
  <c r="J2259" i="7"/>
  <c r="J3069" i="7"/>
  <c r="J3879" i="7"/>
  <c r="J640" i="7"/>
  <c r="J1450" i="7"/>
  <c r="J2260" i="7"/>
  <c r="J3070" i="7"/>
  <c r="J3880" i="7"/>
  <c r="J641" i="7"/>
  <c r="J1451" i="7"/>
  <c r="J2261" i="7"/>
  <c r="J3071" i="7"/>
  <c r="J3881" i="7"/>
  <c r="J642" i="7"/>
  <c r="J1452" i="7"/>
  <c r="J2262" i="7"/>
  <c r="J3072" i="7"/>
  <c r="J3882" i="7"/>
  <c r="J643" i="7"/>
  <c r="J1453" i="7"/>
  <c r="J2263" i="7"/>
  <c r="J3073" i="7"/>
  <c r="J3883" i="7"/>
  <c r="J644" i="7"/>
  <c r="J1454" i="7"/>
  <c r="J2264" i="7"/>
  <c r="J3074" i="7"/>
  <c r="J3884" i="7"/>
  <c r="J645" i="7"/>
  <c r="J1455" i="7"/>
  <c r="J2265" i="7"/>
  <c r="J3075" i="7"/>
  <c r="J3885" i="7"/>
  <c r="J646" i="7"/>
  <c r="J1456" i="7"/>
  <c r="J2266" i="7"/>
  <c r="J3076" i="7"/>
  <c r="J3886" i="7"/>
  <c r="J647" i="7"/>
  <c r="J1457" i="7"/>
  <c r="J2267" i="7"/>
  <c r="J3077" i="7"/>
  <c r="J3887" i="7"/>
  <c r="J648" i="7"/>
  <c r="J1458" i="7"/>
  <c r="J2268" i="7"/>
  <c r="J3078" i="7"/>
  <c r="J3888" i="7"/>
  <c r="J769" i="7"/>
  <c r="J1579" i="7"/>
  <c r="J2389" i="7"/>
  <c r="J3199" i="7"/>
  <c r="J4009" i="7"/>
  <c r="J770" i="7"/>
  <c r="J1580" i="7"/>
  <c r="J2390" i="7"/>
  <c r="J3200" i="7"/>
  <c r="J4010" i="7"/>
  <c r="J771" i="7"/>
  <c r="J1581" i="7"/>
  <c r="J2391" i="7"/>
  <c r="J3201" i="7"/>
  <c r="J4011" i="7"/>
  <c r="J772" i="7"/>
  <c r="J1582" i="7"/>
  <c r="J2392" i="7"/>
  <c r="J3202" i="7"/>
  <c r="J4012" i="7"/>
  <c r="J773" i="7"/>
  <c r="J1583" i="7"/>
  <c r="J2393" i="7"/>
  <c r="J3203" i="7"/>
  <c r="J4013" i="7"/>
  <c r="J774" i="7"/>
  <c r="J1584" i="7"/>
  <c r="J2394" i="7"/>
  <c r="J3204" i="7"/>
  <c r="J4014" i="7"/>
  <c r="J775" i="7"/>
  <c r="J1585" i="7"/>
  <c r="J2395" i="7"/>
  <c r="J3205" i="7"/>
  <c r="J4015" i="7"/>
  <c r="J776" i="7"/>
  <c r="J1586" i="7"/>
  <c r="J2396" i="7"/>
  <c r="J3206" i="7"/>
  <c r="J4016" i="7"/>
  <c r="J777" i="7"/>
  <c r="J1587" i="7"/>
  <c r="J2397" i="7"/>
  <c r="J3207" i="7"/>
  <c r="J4017" i="7"/>
  <c r="J778" i="7"/>
  <c r="J1588" i="7"/>
  <c r="J2398" i="7"/>
  <c r="J3208" i="7"/>
  <c r="J4018" i="7"/>
  <c r="J779" i="7"/>
  <c r="J1589" i="7"/>
  <c r="J2399" i="7"/>
  <c r="J3209" i="7"/>
  <c r="J4019" i="7"/>
  <c r="J780" i="7"/>
  <c r="J1590" i="7"/>
  <c r="J2400" i="7"/>
  <c r="J3210" i="7"/>
  <c r="J4020" i="7"/>
  <c r="J781" i="7"/>
  <c r="J1591" i="7"/>
  <c r="J2401" i="7"/>
  <c r="J3211" i="7"/>
  <c r="J4021" i="7"/>
  <c r="J782" i="7"/>
  <c r="J1592" i="7"/>
  <c r="J2402" i="7"/>
  <c r="J3212" i="7"/>
  <c r="J4022" i="7"/>
  <c r="J783" i="7"/>
  <c r="J1593" i="7"/>
  <c r="J2403" i="7"/>
  <c r="J3213" i="7"/>
  <c r="J4023" i="7"/>
  <c r="J109" i="7"/>
  <c r="J919" i="7"/>
  <c r="J1729" i="7"/>
  <c r="J2539" i="7"/>
  <c r="J3349" i="7"/>
  <c r="J110" i="7"/>
  <c r="J920" i="7"/>
  <c r="J1730" i="7"/>
  <c r="J2540" i="7"/>
  <c r="J3350" i="7"/>
  <c r="J111" i="7"/>
  <c r="J921" i="7"/>
  <c r="J1731" i="7"/>
  <c r="J2541" i="7"/>
  <c r="J3351" i="7"/>
  <c r="J112" i="7"/>
  <c r="J922" i="7"/>
  <c r="J1732" i="7"/>
  <c r="J2542" i="7"/>
  <c r="J3352" i="7"/>
  <c r="J113" i="7"/>
  <c r="J923" i="7"/>
  <c r="J1733" i="7"/>
  <c r="J2543" i="7"/>
  <c r="J3353" i="7"/>
  <c r="J114" i="7"/>
  <c r="J924" i="7"/>
  <c r="J1734" i="7"/>
  <c r="J2544" i="7"/>
  <c r="J3354" i="7"/>
  <c r="J115" i="7"/>
  <c r="J925" i="7"/>
  <c r="J1735" i="7"/>
  <c r="J2545" i="7"/>
  <c r="J3355" i="7"/>
  <c r="J116" i="7"/>
  <c r="J926" i="7"/>
  <c r="J1736" i="7"/>
  <c r="J2546" i="7"/>
  <c r="J3356" i="7"/>
  <c r="J117" i="7"/>
  <c r="J927" i="7"/>
  <c r="J1737" i="7"/>
  <c r="J2547" i="7"/>
  <c r="J3357" i="7"/>
  <c r="J118" i="7"/>
  <c r="J928" i="7"/>
  <c r="J1738" i="7"/>
  <c r="J2548" i="7"/>
  <c r="J3358" i="7"/>
  <c r="J119" i="7"/>
  <c r="J929" i="7"/>
  <c r="J1739" i="7"/>
  <c r="J2549" i="7"/>
  <c r="J3359" i="7"/>
  <c r="J120" i="7"/>
  <c r="J930" i="7"/>
  <c r="J1740" i="7"/>
  <c r="J2550" i="7"/>
  <c r="J3360" i="7"/>
  <c r="J121" i="7"/>
  <c r="J931" i="7"/>
  <c r="J1741" i="7"/>
  <c r="J2551" i="7"/>
  <c r="J3361" i="7"/>
  <c r="J122" i="7"/>
  <c r="J932" i="7"/>
  <c r="J1742" i="7"/>
  <c r="J2552" i="7"/>
  <c r="J3362" i="7"/>
  <c r="J123" i="7"/>
  <c r="J933" i="7"/>
  <c r="J1743" i="7"/>
  <c r="J2553" i="7"/>
  <c r="J3363" i="7"/>
  <c r="J244" i="7"/>
  <c r="J1054" i="7"/>
  <c r="J1864" i="7"/>
  <c r="J2674" i="7"/>
  <c r="J3484" i="7"/>
  <c r="J245" i="7"/>
  <c r="J1055" i="7"/>
  <c r="J1865" i="7"/>
  <c r="J2675" i="7"/>
  <c r="J3485" i="7"/>
  <c r="J246" i="7"/>
  <c r="J1056" i="7"/>
  <c r="J1866" i="7"/>
  <c r="J2676" i="7"/>
  <c r="J3486" i="7"/>
  <c r="J247" i="7"/>
  <c r="J1057" i="7"/>
  <c r="J1867" i="7"/>
  <c r="J2677" i="7"/>
  <c r="J3487" i="7"/>
  <c r="J248" i="7"/>
  <c r="J1058" i="7"/>
  <c r="J1868" i="7"/>
  <c r="J2678" i="7"/>
  <c r="J3488" i="7"/>
  <c r="J249" i="7"/>
  <c r="J1059" i="7"/>
  <c r="J1869" i="7"/>
  <c r="J2679" i="7"/>
  <c r="J3489" i="7"/>
  <c r="J250" i="7"/>
  <c r="J1060" i="7"/>
  <c r="J1870" i="7"/>
  <c r="J2680" i="7"/>
  <c r="J3490" i="7"/>
  <c r="J251" i="7"/>
  <c r="J1061" i="7"/>
  <c r="J1871" i="7"/>
  <c r="J2681" i="7"/>
  <c r="J3491" i="7"/>
  <c r="J252" i="7"/>
  <c r="J1062" i="7"/>
  <c r="J1872" i="7"/>
  <c r="J2682" i="7"/>
  <c r="J3492" i="7"/>
  <c r="J253" i="7"/>
  <c r="J1063" i="7"/>
  <c r="J1873" i="7"/>
  <c r="J2683" i="7"/>
  <c r="J3493" i="7"/>
  <c r="J254" i="7"/>
  <c r="J1064" i="7"/>
  <c r="J1874" i="7"/>
  <c r="J2684" i="7"/>
  <c r="J3494" i="7"/>
  <c r="J255" i="7"/>
  <c r="J1065" i="7"/>
  <c r="J1875" i="7"/>
  <c r="J2685" i="7"/>
  <c r="J3495" i="7"/>
  <c r="J256" i="7"/>
  <c r="J1066" i="7"/>
  <c r="J1876" i="7"/>
  <c r="J2686" i="7"/>
  <c r="J3496" i="7"/>
  <c r="J257" i="7"/>
  <c r="J1067" i="7"/>
  <c r="J1877" i="7"/>
  <c r="J2687" i="7"/>
  <c r="J3497" i="7"/>
  <c r="J258" i="7"/>
  <c r="J1068" i="7"/>
  <c r="J1878" i="7"/>
  <c r="J2688" i="7"/>
  <c r="J3498" i="7"/>
  <c r="J379" i="7"/>
  <c r="J1189" i="7"/>
  <c r="J1999" i="7"/>
  <c r="J2809" i="7"/>
  <c r="J3619" i="7"/>
  <c r="J380" i="7"/>
  <c r="J1190" i="7"/>
  <c r="J2000" i="7"/>
  <c r="J2810" i="7"/>
  <c r="J3620" i="7"/>
  <c r="J381" i="7"/>
  <c r="J1191" i="7"/>
  <c r="J2001" i="7"/>
  <c r="J2811" i="7"/>
  <c r="J3621" i="7"/>
  <c r="J382" i="7"/>
  <c r="J1192" i="7"/>
  <c r="J2002" i="7"/>
  <c r="J2812" i="7"/>
  <c r="J3622" i="7"/>
  <c r="J383" i="7"/>
  <c r="J1193" i="7"/>
  <c r="J2003" i="7"/>
  <c r="J2813" i="7"/>
  <c r="J3623" i="7"/>
  <c r="J384" i="7"/>
  <c r="J1194" i="7"/>
  <c r="J2004" i="7"/>
  <c r="J2814" i="7"/>
  <c r="J3624" i="7"/>
  <c r="J385" i="7"/>
  <c r="J1195" i="7"/>
  <c r="J2005" i="7"/>
  <c r="J2815" i="7"/>
  <c r="J3625" i="7"/>
  <c r="J386" i="7"/>
  <c r="J1196" i="7"/>
  <c r="J2006" i="7"/>
  <c r="J2816" i="7"/>
  <c r="J3626" i="7"/>
  <c r="J387" i="7"/>
  <c r="J1197" i="7"/>
  <c r="J2007" i="7"/>
  <c r="J2817" i="7"/>
  <c r="J3627" i="7"/>
  <c r="J388" i="7"/>
  <c r="J1198" i="7"/>
  <c r="J2008" i="7"/>
  <c r="J2818" i="7"/>
  <c r="J3628" i="7"/>
  <c r="J389" i="7"/>
  <c r="J1199" i="7"/>
  <c r="J2009" i="7"/>
  <c r="J2819" i="7"/>
  <c r="J3629" i="7"/>
  <c r="J390" i="7"/>
  <c r="J1200" i="7"/>
  <c r="J2010" i="7"/>
  <c r="J2820" i="7"/>
  <c r="J3630" i="7"/>
  <c r="J391" i="7"/>
  <c r="J1201" i="7"/>
  <c r="J2011" i="7"/>
  <c r="J2821" i="7"/>
  <c r="J3631" i="7"/>
  <c r="J392" i="7"/>
  <c r="J1202" i="7"/>
  <c r="J2012" i="7"/>
  <c r="J2822" i="7"/>
  <c r="J3632" i="7"/>
  <c r="J393" i="7"/>
  <c r="J1203" i="7"/>
  <c r="J2013" i="7"/>
  <c r="J2823" i="7"/>
  <c r="J3633" i="7"/>
  <c r="J514" i="7"/>
  <c r="J1324" i="7"/>
  <c r="J2134" i="7"/>
  <c r="J2944" i="7"/>
  <c r="J3754" i="7"/>
  <c r="J515" i="7"/>
  <c r="J1325" i="7"/>
  <c r="J2135" i="7"/>
  <c r="J2945" i="7"/>
  <c r="J3755" i="7"/>
  <c r="J516" i="7"/>
  <c r="J1326" i="7"/>
  <c r="J2136" i="7"/>
  <c r="J2946" i="7"/>
  <c r="J3756" i="7"/>
  <c r="J517" i="7"/>
  <c r="J1327" i="7"/>
  <c r="J2137" i="7"/>
  <c r="J2947" i="7"/>
  <c r="J3757" i="7"/>
  <c r="J518" i="7"/>
  <c r="J1328" i="7"/>
  <c r="J2138" i="7"/>
  <c r="J2948" i="7"/>
  <c r="J3758" i="7"/>
  <c r="J519" i="7"/>
  <c r="J1329" i="7"/>
  <c r="J2139" i="7"/>
  <c r="J2949" i="7"/>
  <c r="J3759" i="7"/>
  <c r="J520" i="7"/>
  <c r="J1330" i="7"/>
  <c r="J2140" i="7"/>
  <c r="J2950" i="7"/>
  <c r="J3760" i="7"/>
  <c r="J521" i="7"/>
  <c r="J1331" i="7"/>
  <c r="J2141" i="7"/>
  <c r="J2951" i="7"/>
  <c r="J3761" i="7"/>
  <c r="J522" i="7"/>
  <c r="J1332" i="7"/>
  <c r="J2142" i="7"/>
  <c r="J2952" i="7"/>
  <c r="J3762" i="7"/>
  <c r="J523" i="7"/>
  <c r="J1333" i="7"/>
  <c r="J2143" i="7"/>
  <c r="J2953" i="7"/>
  <c r="J3763" i="7"/>
  <c r="J524" i="7"/>
  <c r="J1334" i="7"/>
  <c r="J2144" i="7"/>
  <c r="J2954" i="7"/>
  <c r="J3764" i="7"/>
  <c r="J525" i="7"/>
  <c r="J1335" i="7"/>
  <c r="J2145" i="7"/>
  <c r="J2955" i="7"/>
  <c r="J3765" i="7"/>
  <c r="J526" i="7"/>
  <c r="J1336" i="7"/>
  <c r="J2146" i="7"/>
  <c r="J2956" i="7"/>
  <c r="J3766" i="7"/>
  <c r="J527" i="7"/>
  <c r="J1337" i="7"/>
  <c r="J2147" i="7"/>
  <c r="J2957" i="7"/>
  <c r="J3767" i="7"/>
  <c r="J528" i="7"/>
  <c r="J1338" i="7"/>
  <c r="J2148" i="7"/>
  <c r="J2958" i="7"/>
  <c r="J3768" i="7"/>
  <c r="J649" i="7"/>
  <c r="J1459" i="7"/>
  <c r="J2269" i="7"/>
  <c r="J3079" i="7"/>
  <c r="J3889" i="7"/>
  <c r="J650" i="7"/>
  <c r="J1460" i="7"/>
  <c r="J2270" i="7"/>
  <c r="J3080" i="7"/>
  <c r="J3890" i="7"/>
  <c r="J651" i="7"/>
  <c r="J1461" i="7"/>
  <c r="J2271" i="7"/>
  <c r="J3081" i="7"/>
  <c r="J3891" i="7"/>
  <c r="J652" i="7"/>
  <c r="J1462" i="7"/>
  <c r="J2272" i="7"/>
  <c r="J3082" i="7"/>
  <c r="J3892" i="7"/>
  <c r="J653" i="7"/>
  <c r="J1463" i="7"/>
  <c r="J2273" i="7"/>
  <c r="J3083" i="7"/>
  <c r="J3893" i="7"/>
  <c r="J654" i="7"/>
  <c r="J1464" i="7"/>
  <c r="J2274" i="7"/>
  <c r="J3084" i="7"/>
  <c r="J3894" i="7"/>
  <c r="J655" i="7"/>
  <c r="J1465" i="7"/>
  <c r="J2275" i="7"/>
  <c r="J3085" i="7"/>
  <c r="J3895" i="7"/>
  <c r="J656" i="7"/>
  <c r="J1466" i="7"/>
  <c r="J2276" i="7"/>
  <c r="J3086" i="7"/>
  <c r="J3896" i="7"/>
  <c r="J657" i="7"/>
  <c r="J1467" i="7"/>
  <c r="J2277" i="7"/>
  <c r="J3087" i="7"/>
  <c r="J3897" i="7"/>
  <c r="J658" i="7"/>
  <c r="J1468" i="7"/>
  <c r="J2278" i="7"/>
  <c r="J3088" i="7"/>
  <c r="J3898" i="7"/>
  <c r="J659" i="7"/>
  <c r="J1469" i="7"/>
  <c r="J2279" i="7"/>
  <c r="J3089" i="7"/>
  <c r="J3899" i="7"/>
  <c r="J660" i="7"/>
  <c r="J1470" i="7"/>
  <c r="J2280" i="7"/>
  <c r="J3090" i="7"/>
  <c r="J3900" i="7"/>
  <c r="J661" i="7"/>
  <c r="J1471" i="7"/>
  <c r="J2281" i="7"/>
  <c r="J3091" i="7"/>
  <c r="J3901" i="7"/>
  <c r="J662" i="7"/>
  <c r="J1472" i="7"/>
  <c r="J2282" i="7"/>
  <c r="J3092" i="7"/>
  <c r="J3902" i="7"/>
  <c r="J663" i="7"/>
  <c r="J1473" i="7"/>
  <c r="J2283" i="7"/>
  <c r="J3093" i="7"/>
  <c r="J3903" i="7"/>
  <c r="J784" i="7"/>
  <c r="J1594" i="7"/>
  <c r="J2404" i="7"/>
  <c r="J3214" i="7"/>
  <c r="J4024" i="7"/>
  <c r="J785" i="7"/>
  <c r="J1595" i="7"/>
  <c r="J2405" i="7"/>
  <c r="J3215" i="7"/>
  <c r="J4025" i="7"/>
  <c r="J786" i="7"/>
  <c r="J1596" i="7"/>
  <c r="J2406" i="7"/>
  <c r="J3216" i="7"/>
  <c r="J4026" i="7"/>
  <c r="J787" i="7"/>
  <c r="J1597" i="7"/>
  <c r="J2407" i="7"/>
  <c r="J3217" i="7"/>
  <c r="J4027" i="7"/>
  <c r="J788" i="7"/>
  <c r="J1598" i="7"/>
  <c r="J2408" i="7"/>
  <c r="J3218" i="7"/>
  <c r="J4028" i="7"/>
  <c r="J789" i="7"/>
  <c r="J1599" i="7"/>
  <c r="J2409" i="7"/>
  <c r="J3219" i="7"/>
  <c r="J4029" i="7"/>
  <c r="J790" i="7"/>
  <c r="J1600" i="7"/>
  <c r="J2410" i="7"/>
  <c r="J3220" i="7"/>
  <c r="J4030" i="7"/>
  <c r="J791" i="7"/>
  <c r="J1601" i="7"/>
  <c r="J2411" i="7"/>
  <c r="J3221" i="7"/>
  <c r="J4031" i="7"/>
  <c r="J792" i="7"/>
  <c r="J1602" i="7"/>
  <c r="J2412" i="7"/>
  <c r="J3222" i="7"/>
  <c r="J4032" i="7"/>
  <c r="J793" i="7"/>
  <c r="J1603" i="7"/>
  <c r="J2413" i="7"/>
  <c r="J3223" i="7"/>
  <c r="J4033" i="7"/>
  <c r="J794" i="7"/>
  <c r="J1604" i="7"/>
  <c r="J2414" i="7"/>
  <c r="J3224" i="7"/>
  <c r="J4034" i="7"/>
  <c r="J795" i="7"/>
  <c r="J1605" i="7"/>
  <c r="J2415" i="7"/>
  <c r="J3225" i="7"/>
  <c r="J4035" i="7"/>
  <c r="J796" i="7"/>
  <c r="J1606" i="7"/>
  <c r="J2416" i="7"/>
  <c r="J3226" i="7"/>
  <c r="J4036" i="7"/>
  <c r="J797" i="7"/>
  <c r="J1607" i="7"/>
  <c r="J2417" i="7"/>
  <c r="J3227" i="7"/>
  <c r="J4037" i="7"/>
  <c r="J798" i="7"/>
  <c r="J1608" i="7"/>
  <c r="J2418" i="7"/>
  <c r="J3228" i="7"/>
  <c r="J4038" i="7"/>
  <c r="J124" i="7"/>
  <c r="J934" i="7"/>
  <c r="J1744" i="7"/>
  <c r="J2554" i="7"/>
  <c r="J3364" i="7"/>
  <c r="J125" i="7"/>
  <c r="J935" i="7"/>
  <c r="J1745" i="7"/>
  <c r="J2555" i="7"/>
  <c r="J3365" i="7"/>
  <c r="J126" i="7"/>
  <c r="J936" i="7"/>
  <c r="J1746" i="7"/>
  <c r="J2556" i="7"/>
  <c r="J3366" i="7"/>
  <c r="J127" i="7"/>
  <c r="J937" i="7"/>
  <c r="J1747" i="7"/>
  <c r="J2557" i="7"/>
  <c r="J3367" i="7"/>
  <c r="J128" i="7"/>
  <c r="J938" i="7"/>
  <c r="J1748" i="7"/>
  <c r="J2558" i="7"/>
  <c r="J3368" i="7"/>
  <c r="J129" i="7"/>
  <c r="J939" i="7"/>
  <c r="J1749" i="7"/>
  <c r="J2559" i="7"/>
  <c r="J3369" i="7"/>
  <c r="J130" i="7"/>
  <c r="J940" i="7"/>
  <c r="J1750" i="7"/>
  <c r="J2560" i="7"/>
  <c r="J3370" i="7"/>
  <c r="J131" i="7"/>
  <c r="J941" i="7"/>
  <c r="J1751" i="7"/>
  <c r="J2561" i="7"/>
  <c r="J3371" i="7"/>
  <c r="J132" i="7"/>
  <c r="J942" i="7"/>
  <c r="J1752" i="7"/>
  <c r="J2562" i="7"/>
  <c r="J3372" i="7"/>
  <c r="J133" i="7"/>
  <c r="J943" i="7"/>
  <c r="J1753" i="7"/>
  <c r="J2563" i="7"/>
  <c r="J3373" i="7"/>
  <c r="J134" i="7"/>
  <c r="J944" i="7"/>
  <c r="J1754" i="7"/>
  <c r="J2564" i="7"/>
  <c r="J3374" i="7"/>
  <c r="J135" i="7"/>
  <c r="J945" i="7"/>
  <c r="J1755" i="7"/>
  <c r="J2565" i="7"/>
  <c r="J3375" i="7"/>
  <c r="J136" i="7"/>
  <c r="J946" i="7"/>
  <c r="J1756" i="7"/>
  <c r="J2566" i="7"/>
  <c r="J3376" i="7"/>
  <c r="J137" i="7"/>
  <c r="J947" i="7"/>
  <c r="J1757" i="7"/>
  <c r="J2567" i="7"/>
  <c r="J3377" i="7"/>
  <c r="J138" i="7"/>
  <c r="J948" i="7"/>
  <c r="J1758" i="7"/>
  <c r="J2568" i="7"/>
  <c r="J3378" i="7"/>
  <c r="J259" i="7"/>
  <c r="J1069" i="7"/>
  <c r="J1879" i="7"/>
  <c r="J2689" i="7"/>
  <c r="J3499" i="7"/>
  <c r="J260" i="7"/>
  <c r="J1070" i="7"/>
  <c r="J1880" i="7"/>
  <c r="J2690" i="7"/>
  <c r="J3500" i="7"/>
  <c r="J261" i="7"/>
  <c r="J1071" i="7"/>
  <c r="J1881" i="7"/>
  <c r="J2691" i="7"/>
  <c r="J3501" i="7"/>
  <c r="J262" i="7"/>
  <c r="J1072" i="7"/>
  <c r="J1882" i="7"/>
  <c r="J2692" i="7"/>
  <c r="J3502" i="7"/>
  <c r="J263" i="7"/>
  <c r="J1073" i="7"/>
  <c r="J1883" i="7"/>
  <c r="J2693" i="7"/>
  <c r="J3503" i="7"/>
  <c r="J264" i="7"/>
  <c r="J1074" i="7"/>
  <c r="J1884" i="7"/>
  <c r="J2694" i="7"/>
  <c r="J3504" i="7"/>
  <c r="J265" i="7"/>
  <c r="J1075" i="7"/>
  <c r="J1885" i="7"/>
  <c r="J2695" i="7"/>
  <c r="J3505" i="7"/>
  <c r="J266" i="7"/>
  <c r="J1076" i="7"/>
  <c r="J1886" i="7"/>
  <c r="J2696" i="7"/>
  <c r="J3506" i="7"/>
  <c r="J267" i="7"/>
  <c r="J1077" i="7"/>
  <c r="J1887" i="7"/>
  <c r="J2697" i="7"/>
  <c r="J3507" i="7"/>
  <c r="J268" i="7"/>
  <c r="J1078" i="7"/>
  <c r="J1888" i="7"/>
  <c r="J2698" i="7"/>
  <c r="J3508" i="7"/>
  <c r="J269" i="7"/>
  <c r="J1079" i="7"/>
  <c r="J1889" i="7"/>
  <c r="J2699" i="7"/>
  <c r="J3509" i="7"/>
  <c r="J270" i="7"/>
  <c r="J1080" i="7"/>
  <c r="J1890" i="7"/>
  <c r="J2700" i="7"/>
  <c r="J3510" i="7"/>
  <c r="J271" i="7"/>
  <c r="J1081" i="7"/>
  <c r="J1891" i="7"/>
  <c r="J2701" i="7"/>
  <c r="J3511" i="7"/>
  <c r="J272" i="7"/>
  <c r="J1082" i="7"/>
  <c r="J1892" i="7"/>
  <c r="J2702" i="7"/>
  <c r="J3512" i="7"/>
  <c r="J273" i="7"/>
  <c r="J1083" i="7"/>
  <c r="J1893" i="7"/>
  <c r="J2703" i="7"/>
  <c r="J3513" i="7"/>
  <c r="J394" i="7"/>
  <c r="J1204" i="7"/>
  <c r="J2014" i="7"/>
  <c r="J2824" i="7"/>
  <c r="J3634" i="7"/>
  <c r="J395" i="7"/>
  <c r="J1205" i="7"/>
  <c r="J2015" i="7"/>
  <c r="J2825" i="7"/>
  <c r="J3635" i="7"/>
  <c r="J396" i="7"/>
  <c r="J1206" i="7"/>
  <c r="J2016" i="7"/>
  <c r="J2826" i="7"/>
  <c r="J3636" i="7"/>
  <c r="J397" i="7"/>
  <c r="J1207" i="7"/>
  <c r="J2017" i="7"/>
  <c r="J2827" i="7"/>
  <c r="J3637" i="7"/>
  <c r="J398" i="7"/>
  <c r="J1208" i="7"/>
  <c r="J2018" i="7"/>
  <c r="J2828" i="7"/>
  <c r="J3638" i="7"/>
  <c r="J399" i="7"/>
  <c r="J1209" i="7"/>
  <c r="J2019" i="7"/>
  <c r="J2829" i="7"/>
  <c r="J3639" i="7"/>
  <c r="J400" i="7"/>
  <c r="J1210" i="7"/>
  <c r="J2020" i="7"/>
  <c r="J2830" i="7"/>
  <c r="J3640" i="7"/>
  <c r="J401" i="7"/>
  <c r="J1211" i="7"/>
  <c r="J2021" i="7"/>
  <c r="J2831" i="7"/>
  <c r="J3641" i="7"/>
  <c r="J402" i="7"/>
  <c r="J1212" i="7"/>
  <c r="J2022" i="7"/>
  <c r="J2832" i="7"/>
  <c r="J3642" i="7"/>
  <c r="J403" i="7"/>
  <c r="J1213" i="7"/>
  <c r="J2023" i="7"/>
  <c r="J2833" i="7"/>
  <c r="J3643" i="7"/>
  <c r="J404" i="7"/>
  <c r="J1214" i="7"/>
  <c r="J2024" i="7"/>
  <c r="J2834" i="7"/>
  <c r="J3644" i="7"/>
  <c r="J405" i="7"/>
  <c r="J1215" i="7"/>
  <c r="J2025" i="7"/>
  <c r="J2835" i="7"/>
  <c r="J3645" i="7"/>
  <c r="J406" i="7"/>
  <c r="J1216" i="7"/>
  <c r="J2026" i="7"/>
  <c r="J2836" i="7"/>
  <c r="J3646" i="7"/>
  <c r="J407" i="7"/>
  <c r="J1217" i="7"/>
  <c r="J2027" i="7"/>
  <c r="J2837" i="7"/>
  <c r="J3647" i="7"/>
  <c r="J408" i="7"/>
  <c r="J1218" i="7"/>
  <c r="J2028" i="7"/>
  <c r="J2838" i="7"/>
  <c r="J3648" i="7"/>
  <c r="J529" i="7"/>
  <c r="J1339" i="7"/>
  <c r="J2149" i="7"/>
  <c r="J2959" i="7"/>
  <c r="J3769" i="7"/>
  <c r="J530" i="7"/>
  <c r="J1340" i="7"/>
  <c r="J2150" i="7"/>
  <c r="J2960" i="7"/>
  <c r="J3770" i="7"/>
  <c r="J531" i="7"/>
  <c r="J1341" i="7"/>
  <c r="J2151" i="7"/>
  <c r="J2961" i="7"/>
  <c r="J3771" i="7"/>
  <c r="J532" i="7"/>
  <c r="J1342" i="7"/>
  <c r="J2152" i="7"/>
  <c r="J2962" i="7"/>
  <c r="J3772" i="7"/>
  <c r="J533" i="7"/>
  <c r="J1343" i="7"/>
  <c r="J2153" i="7"/>
  <c r="J2963" i="7"/>
  <c r="J3773" i="7"/>
  <c r="J534" i="7"/>
  <c r="J1344" i="7"/>
  <c r="J2154" i="7"/>
  <c r="J2964" i="7"/>
  <c r="J3774" i="7"/>
  <c r="J535" i="7"/>
  <c r="J1345" i="7"/>
  <c r="J2155" i="7"/>
  <c r="J2965" i="7"/>
  <c r="J3775" i="7"/>
  <c r="J536" i="7"/>
  <c r="J1346" i="7"/>
  <c r="J2156" i="7"/>
  <c r="J2966" i="7"/>
  <c r="J3776" i="7"/>
  <c r="J537" i="7"/>
  <c r="J1347" i="7"/>
  <c r="J2157" i="7"/>
  <c r="J2967" i="7"/>
  <c r="J3777" i="7"/>
  <c r="J538" i="7"/>
  <c r="J1348" i="7"/>
  <c r="J2158" i="7"/>
  <c r="J2968" i="7"/>
  <c r="J3778" i="7"/>
  <c r="J539" i="7"/>
  <c r="J1349" i="7"/>
  <c r="J2159" i="7"/>
  <c r="J2969" i="7"/>
  <c r="J3779" i="7"/>
  <c r="J540" i="7"/>
  <c r="J1350" i="7"/>
  <c r="J2160" i="7"/>
  <c r="J2970" i="7"/>
  <c r="J3780" i="7"/>
  <c r="J541" i="7"/>
  <c r="J1351" i="7"/>
  <c r="J2161" i="7"/>
  <c r="J2971" i="7"/>
  <c r="J3781" i="7"/>
  <c r="J542" i="7"/>
  <c r="J1352" i="7"/>
  <c r="J2162" i="7"/>
  <c r="J2972" i="7"/>
  <c r="J3782" i="7"/>
  <c r="J543" i="7"/>
  <c r="J1353" i="7"/>
  <c r="J2163" i="7"/>
  <c r="J2973" i="7"/>
  <c r="J3783" i="7"/>
  <c r="J664" i="7"/>
  <c r="J1474" i="7"/>
  <c r="J2284" i="7"/>
  <c r="J3094" i="7"/>
  <c r="J3904" i="7"/>
  <c r="J665" i="7"/>
  <c r="J1475" i="7"/>
  <c r="J2285" i="7"/>
  <c r="J3095" i="7"/>
  <c r="J3905" i="7"/>
  <c r="J666" i="7"/>
  <c r="J1476" i="7"/>
  <c r="J2286" i="7"/>
  <c r="J3096" i="7"/>
  <c r="J3906" i="7"/>
  <c r="J667" i="7"/>
  <c r="J1477" i="7"/>
  <c r="J2287" i="7"/>
  <c r="J3097" i="7"/>
  <c r="J3907" i="7"/>
  <c r="J668" i="7"/>
  <c r="J1478" i="7"/>
  <c r="J2288" i="7"/>
  <c r="J3098" i="7"/>
  <c r="J3908" i="7"/>
  <c r="J669" i="7"/>
  <c r="J1479" i="7"/>
  <c r="J2289" i="7"/>
  <c r="J3099" i="7"/>
  <c r="J3909" i="7"/>
  <c r="J670" i="7"/>
  <c r="J1480" i="7"/>
  <c r="J2290" i="7"/>
  <c r="J3100" i="7"/>
  <c r="J3910" i="7"/>
  <c r="J671" i="7"/>
  <c r="J1481" i="7"/>
  <c r="J2291" i="7"/>
  <c r="J3101" i="7"/>
  <c r="J3911" i="7"/>
  <c r="J672" i="7"/>
  <c r="J1482" i="7"/>
  <c r="J2292" i="7"/>
  <c r="J3102" i="7"/>
  <c r="J3912" i="7"/>
  <c r="J673" i="7"/>
  <c r="J1483" i="7"/>
  <c r="J2293" i="7"/>
  <c r="J3103" i="7"/>
  <c r="J3913" i="7"/>
  <c r="J674" i="7"/>
  <c r="J1484" i="7"/>
  <c r="J2294" i="7"/>
  <c r="J3104" i="7"/>
  <c r="J3914" i="7"/>
  <c r="J675" i="7"/>
  <c r="J1485" i="7"/>
  <c r="J2295" i="7"/>
  <c r="J3105" i="7"/>
  <c r="J3915" i="7"/>
  <c r="J676" i="7"/>
  <c r="J1486" i="7"/>
  <c r="J2296" i="7"/>
  <c r="J3106" i="7"/>
  <c r="J3916" i="7"/>
  <c r="J677" i="7"/>
  <c r="J1487" i="7"/>
  <c r="J2297" i="7"/>
  <c r="J3107" i="7"/>
  <c r="J3917" i="7"/>
  <c r="J678" i="7"/>
  <c r="J1488" i="7"/>
  <c r="J2298" i="7"/>
  <c r="J3108" i="7"/>
  <c r="J3918" i="7"/>
  <c r="J799" i="7"/>
  <c r="J1609" i="7"/>
  <c r="J2419" i="7"/>
  <c r="J3229" i="7"/>
  <c r="J4039" i="7"/>
  <c r="J800" i="7"/>
  <c r="J1610" i="7"/>
  <c r="J2420" i="7"/>
  <c r="J3230" i="7"/>
  <c r="J4040" i="7"/>
  <c r="J801" i="7"/>
  <c r="J1611" i="7"/>
  <c r="J2421" i="7"/>
  <c r="J3231" i="7"/>
  <c r="J4041" i="7"/>
  <c r="J802" i="7"/>
  <c r="J1612" i="7"/>
  <c r="J2422" i="7"/>
  <c r="J3232" i="7"/>
  <c r="J4042" i="7"/>
  <c r="J803" i="7"/>
  <c r="J1613" i="7"/>
  <c r="J2423" i="7"/>
  <c r="J3233" i="7"/>
  <c r="J4043" i="7"/>
  <c r="J804" i="7"/>
  <c r="J1614" i="7"/>
  <c r="J2424" i="7"/>
  <c r="J3234" i="7"/>
  <c r="J4044" i="7"/>
  <c r="J805" i="7"/>
  <c r="J1615" i="7"/>
  <c r="J2425" i="7"/>
  <c r="J3235" i="7"/>
  <c r="J4045" i="7"/>
  <c r="J806" i="7"/>
  <c r="J1616" i="7"/>
  <c r="J2426" i="7"/>
  <c r="J3236" i="7"/>
  <c r="J4046" i="7"/>
  <c r="J807" i="7"/>
  <c r="J1617" i="7"/>
  <c r="J2427" i="7"/>
  <c r="J3237" i="7"/>
  <c r="J4047" i="7"/>
  <c r="J808" i="7"/>
  <c r="J1618" i="7"/>
  <c r="J2428" i="7"/>
  <c r="J3238" i="7"/>
  <c r="J4048" i="7"/>
  <c r="J809" i="7"/>
  <c r="J1619" i="7"/>
  <c r="J2429" i="7"/>
  <c r="J3239" i="7"/>
  <c r="J4049" i="7"/>
  <c r="J810" i="7"/>
  <c r="J1620" i="7"/>
  <c r="J2430" i="7"/>
  <c r="J3240" i="7"/>
  <c r="J4050" i="7"/>
  <c r="J811" i="7"/>
  <c r="J1621" i="7"/>
  <c r="J2431" i="7"/>
  <c r="J3241" i="7"/>
  <c r="J4051" i="7"/>
  <c r="J812" i="7"/>
  <c r="J1622" i="7"/>
  <c r="J2432" i="7"/>
  <c r="J3242" i="7"/>
  <c r="J4052" i="7"/>
  <c r="J813" i="7"/>
  <c r="J1623" i="7"/>
  <c r="J2433" i="7"/>
  <c r="J3243" i="7"/>
  <c r="J4053" i="7"/>
  <c r="J4" i="7"/>
  <c r="A24" i="7"/>
  <c r="A44" i="7"/>
  <c r="A64" i="7"/>
  <c r="A84" i="7"/>
  <c r="A104" i="7"/>
  <c r="A144" i="7"/>
  <c r="A164" i="7"/>
  <c r="A184" i="7"/>
  <c r="A204" i="7"/>
  <c r="A224" i="7"/>
  <c r="A264" i="7"/>
  <c r="A284" i="7"/>
  <c r="A304" i="7"/>
  <c r="A324" i="7"/>
  <c r="A344" i="7"/>
  <c r="A384" i="7"/>
  <c r="A404" i="7"/>
  <c r="A424" i="7"/>
  <c r="A444" i="7"/>
  <c r="A464" i="7"/>
  <c r="A504" i="7"/>
  <c r="A524" i="7"/>
  <c r="A544" i="7"/>
  <c r="A564" i="7"/>
  <c r="A584" i="7"/>
  <c r="A624" i="7"/>
  <c r="A644" i="7"/>
  <c r="A664" i="7"/>
  <c r="A684" i="7"/>
  <c r="A704" i="7"/>
  <c r="A744" i="7"/>
  <c r="A764" i="7"/>
  <c r="A784" i="7"/>
  <c r="A804" i="7"/>
  <c r="A824" i="7"/>
  <c r="A864" i="7"/>
  <c r="A884" i="7"/>
  <c r="A904" i="7"/>
  <c r="A924" i="7"/>
  <c r="A944" i="7"/>
  <c r="A984" i="7"/>
  <c r="A1004" i="7"/>
  <c r="A1024" i="7"/>
  <c r="A1044" i="7"/>
  <c r="A1064" i="7"/>
  <c r="A25" i="7"/>
  <c r="A45" i="7"/>
  <c r="A65" i="7"/>
  <c r="A85" i="7"/>
  <c r="A105" i="7"/>
  <c r="A145" i="7"/>
  <c r="A165" i="7"/>
  <c r="A185" i="7"/>
  <c r="A205" i="7"/>
  <c r="A225" i="7"/>
  <c r="A265" i="7"/>
  <c r="A285" i="7"/>
  <c r="A305" i="7"/>
  <c r="A325" i="7"/>
  <c r="A345" i="7"/>
  <c r="A385" i="7"/>
  <c r="A405" i="7"/>
  <c r="A425" i="7"/>
  <c r="A445" i="7"/>
  <c r="A465" i="7"/>
  <c r="A505" i="7"/>
  <c r="A525" i="7"/>
  <c r="A545" i="7"/>
  <c r="A565" i="7"/>
  <c r="A585" i="7"/>
  <c r="A625" i="7"/>
  <c r="A645" i="7"/>
  <c r="A665" i="7"/>
  <c r="A685" i="7"/>
  <c r="A705" i="7"/>
  <c r="A745" i="7"/>
  <c r="A765" i="7"/>
  <c r="A785" i="7"/>
  <c r="A805" i="7"/>
  <c r="A825" i="7"/>
  <c r="A865" i="7"/>
  <c r="A885" i="7"/>
  <c r="A905" i="7"/>
  <c r="A925" i="7"/>
  <c r="A945" i="7"/>
  <c r="A985" i="7"/>
  <c r="A1005" i="7"/>
  <c r="A1025" i="7"/>
  <c r="A1045" i="7"/>
  <c r="A1065" i="7"/>
  <c r="A26" i="7"/>
  <c r="A46" i="7"/>
  <c r="A66" i="7"/>
  <c r="A86" i="7"/>
  <c r="A106" i="7"/>
  <c r="A146" i="7"/>
  <c r="A166" i="7"/>
  <c r="A186" i="7"/>
  <c r="A206" i="7"/>
  <c r="A226" i="7"/>
  <c r="A266" i="7"/>
  <c r="A286" i="7"/>
  <c r="A306" i="7"/>
  <c r="A326" i="7"/>
  <c r="A346" i="7"/>
  <c r="A386" i="7"/>
  <c r="A406" i="7"/>
  <c r="A426" i="7"/>
  <c r="A446" i="7"/>
  <c r="A466" i="7"/>
  <c r="A506" i="7"/>
  <c r="A526" i="7"/>
  <c r="A546" i="7"/>
  <c r="A566" i="7"/>
  <c r="A586" i="7"/>
  <c r="A626" i="7"/>
  <c r="A646" i="7"/>
  <c r="A666" i="7"/>
  <c r="A686" i="7"/>
  <c r="A706" i="7"/>
  <c r="A746" i="7"/>
  <c r="A766" i="7"/>
  <c r="A786" i="7"/>
  <c r="A806" i="7"/>
  <c r="A826" i="7"/>
  <c r="A866" i="7"/>
  <c r="A886" i="7"/>
  <c r="A906" i="7"/>
  <c r="A926" i="7"/>
  <c r="A946" i="7"/>
  <c r="A986" i="7"/>
  <c r="A1006" i="7"/>
  <c r="A1026" i="7"/>
  <c r="A1046" i="7"/>
  <c r="A1066" i="7"/>
  <c r="A27" i="7"/>
  <c r="A47" i="7"/>
  <c r="A67" i="7"/>
  <c r="A87" i="7"/>
  <c r="A107" i="7"/>
  <c r="A147" i="7"/>
  <c r="A167" i="7"/>
  <c r="A187" i="7"/>
  <c r="A207" i="7"/>
  <c r="A227" i="7"/>
  <c r="A267" i="7"/>
  <c r="A287" i="7"/>
  <c r="A307" i="7"/>
  <c r="A327" i="7"/>
  <c r="A347" i="7"/>
  <c r="A387" i="7"/>
  <c r="A407" i="7"/>
  <c r="A427" i="7"/>
  <c r="A447" i="7"/>
  <c r="A467" i="7"/>
  <c r="A507" i="7"/>
  <c r="A527" i="7"/>
  <c r="A547" i="7"/>
  <c r="A567" i="7"/>
  <c r="A587" i="7"/>
  <c r="A627" i="7"/>
  <c r="A647" i="7"/>
  <c r="A667" i="7"/>
  <c r="A687" i="7"/>
  <c r="A707" i="7"/>
  <c r="A747" i="7"/>
  <c r="A767" i="7"/>
  <c r="A787" i="7"/>
  <c r="A807" i="7"/>
  <c r="A827" i="7"/>
  <c r="A867" i="7"/>
  <c r="A887" i="7"/>
  <c r="A907" i="7"/>
  <c r="A927" i="7"/>
  <c r="A947" i="7"/>
  <c r="A987" i="7"/>
  <c r="A1007" i="7"/>
  <c r="A1027" i="7"/>
  <c r="A1047" i="7"/>
  <c r="A1067" i="7"/>
  <c r="A28" i="7"/>
  <c r="A48" i="7"/>
  <c r="A68" i="7"/>
  <c r="A88" i="7"/>
  <c r="A108" i="7"/>
  <c r="A148" i="7"/>
  <c r="A168" i="7"/>
  <c r="A188" i="7"/>
  <c r="A208" i="7"/>
  <c r="A228" i="7"/>
  <c r="A268" i="7"/>
  <c r="A288" i="7"/>
  <c r="A308" i="7"/>
  <c r="A328" i="7"/>
  <c r="A348" i="7"/>
  <c r="A388" i="7"/>
  <c r="A408" i="7"/>
  <c r="A428" i="7"/>
  <c r="A448" i="7"/>
  <c r="A468" i="7"/>
  <c r="A508" i="7"/>
  <c r="A528" i="7"/>
  <c r="A548" i="7"/>
  <c r="A568" i="7"/>
  <c r="A588" i="7"/>
  <c r="A628" i="7"/>
  <c r="A648" i="7"/>
  <c r="A668" i="7"/>
  <c r="A688" i="7"/>
  <c r="A708" i="7"/>
  <c r="A748" i="7"/>
  <c r="A768" i="7"/>
  <c r="A788" i="7"/>
  <c r="A808" i="7"/>
  <c r="A828" i="7"/>
  <c r="A868" i="7"/>
  <c r="A888" i="7"/>
  <c r="A908" i="7"/>
  <c r="A928" i="7"/>
  <c r="A948" i="7"/>
  <c r="A988" i="7"/>
  <c r="A1008" i="7"/>
  <c r="A1028" i="7"/>
  <c r="A1048" i="7"/>
  <c r="A1068" i="7"/>
  <c r="A29" i="7"/>
  <c r="A49" i="7"/>
  <c r="A69" i="7"/>
  <c r="A89" i="7"/>
  <c r="A109" i="7"/>
  <c r="A149" i="7"/>
  <c r="A169" i="7"/>
  <c r="A189" i="7"/>
  <c r="A209" i="7"/>
  <c r="A229" i="7"/>
  <c r="A269" i="7"/>
  <c r="A289" i="7"/>
  <c r="A309" i="7"/>
  <c r="A329" i="7"/>
  <c r="A349" i="7"/>
  <c r="A389" i="7"/>
  <c r="A409" i="7"/>
  <c r="A429" i="7"/>
  <c r="A449" i="7"/>
  <c r="A469" i="7"/>
  <c r="A509" i="7"/>
  <c r="A529" i="7"/>
  <c r="A549" i="7"/>
  <c r="A569" i="7"/>
  <c r="A589" i="7"/>
  <c r="A629" i="7"/>
  <c r="A649" i="7"/>
  <c r="A669" i="7"/>
  <c r="A689" i="7"/>
  <c r="A709" i="7"/>
  <c r="A749" i="7"/>
  <c r="A769" i="7"/>
  <c r="A789" i="7"/>
  <c r="A809" i="7"/>
  <c r="A829" i="7"/>
  <c r="A869" i="7"/>
  <c r="A889" i="7"/>
  <c r="A909" i="7"/>
  <c r="A929" i="7"/>
  <c r="A949" i="7"/>
  <c r="A989" i="7"/>
  <c r="A1009" i="7"/>
  <c r="A1029" i="7"/>
  <c r="A1049" i="7"/>
  <c r="A1069" i="7"/>
  <c r="A30" i="7"/>
  <c r="A50" i="7"/>
  <c r="A70" i="7"/>
  <c r="A90" i="7"/>
  <c r="A110" i="7"/>
  <c r="A150" i="7"/>
  <c r="A170" i="7"/>
  <c r="A190" i="7"/>
  <c r="A210" i="7"/>
  <c r="A230" i="7"/>
  <c r="A270" i="7"/>
  <c r="A290" i="7"/>
  <c r="A310" i="7"/>
  <c r="A330" i="7"/>
  <c r="A350" i="7"/>
  <c r="A390" i="7"/>
  <c r="A410" i="7"/>
  <c r="A430" i="7"/>
  <c r="A450" i="7"/>
  <c r="A470" i="7"/>
  <c r="A510" i="7"/>
  <c r="A530" i="7"/>
  <c r="A550" i="7"/>
  <c r="A570" i="7"/>
  <c r="A590" i="7"/>
  <c r="A630" i="7"/>
  <c r="A650" i="7"/>
  <c r="A670" i="7"/>
  <c r="A690" i="7"/>
  <c r="A710" i="7"/>
  <c r="A750" i="7"/>
  <c r="A770" i="7"/>
  <c r="A790" i="7"/>
  <c r="A810" i="7"/>
  <c r="A830" i="7"/>
  <c r="A870" i="7"/>
  <c r="A890" i="7"/>
  <c r="A910" i="7"/>
  <c r="A930" i="7"/>
  <c r="A950" i="7"/>
  <c r="A990" i="7"/>
  <c r="A1010" i="7"/>
  <c r="A1030" i="7"/>
  <c r="A1050" i="7"/>
  <c r="A1070" i="7"/>
  <c r="A31" i="7"/>
  <c r="A51" i="7"/>
  <c r="A71" i="7"/>
  <c r="A91" i="7"/>
  <c r="A111" i="7"/>
  <c r="A151" i="7"/>
  <c r="A171" i="7"/>
  <c r="A191" i="7"/>
  <c r="A211" i="7"/>
  <c r="A231" i="7"/>
  <c r="A271" i="7"/>
  <c r="A291" i="7"/>
  <c r="A311" i="7"/>
  <c r="A331" i="7"/>
  <c r="A351" i="7"/>
  <c r="A391" i="7"/>
  <c r="A411" i="7"/>
  <c r="A431" i="7"/>
  <c r="A451" i="7"/>
  <c r="A471" i="7"/>
  <c r="A511" i="7"/>
  <c r="A531" i="7"/>
  <c r="A551" i="7"/>
  <c r="A571" i="7"/>
  <c r="A591" i="7"/>
  <c r="A631" i="7"/>
  <c r="A651" i="7"/>
  <c r="A671" i="7"/>
  <c r="A691" i="7"/>
  <c r="A711" i="7"/>
  <c r="A751" i="7"/>
  <c r="A771" i="7"/>
  <c r="A791" i="7"/>
  <c r="A811" i="7"/>
  <c r="A831" i="7"/>
  <c r="A871" i="7"/>
  <c r="A891" i="7"/>
  <c r="A911" i="7"/>
  <c r="A931" i="7"/>
  <c r="A951" i="7"/>
  <c r="A991" i="7"/>
  <c r="A1011" i="7"/>
  <c r="A1031" i="7"/>
  <c r="A1051" i="7"/>
  <c r="A1071" i="7"/>
  <c r="A32" i="7"/>
  <c r="A52" i="7"/>
  <c r="A72" i="7"/>
  <c r="A92" i="7"/>
  <c r="A112" i="7"/>
  <c r="A152" i="7"/>
  <c r="A172" i="7"/>
  <c r="A192" i="7"/>
  <c r="A212" i="7"/>
  <c r="A232" i="7"/>
  <c r="A272" i="7"/>
  <c r="A292" i="7"/>
  <c r="A312" i="7"/>
  <c r="A332" i="7"/>
  <c r="A352" i="7"/>
  <c r="A392" i="7"/>
  <c r="A412" i="7"/>
  <c r="A432" i="7"/>
  <c r="A452" i="7"/>
  <c r="A472" i="7"/>
  <c r="A512" i="7"/>
  <c r="A532" i="7"/>
  <c r="A552" i="7"/>
  <c r="A572" i="7"/>
  <c r="A592" i="7"/>
  <c r="A632" i="7"/>
  <c r="A652" i="7"/>
  <c r="A672" i="7"/>
  <c r="A692" i="7"/>
  <c r="A712" i="7"/>
  <c r="A752" i="7"/>
  <c r="A772" i="7"/>
  <c r="A792" i="7"/>
  <c r="A812" i="7"/>
  <c r="A832" i="7"/>
  <c r="A872" i="7"/>
  <c r="A892" i="7"/>
  <c r="A912" i="7"/>
  <c r="A932" i="7"/>
  <c r="A952" i="7"/>
  <c r="A992" i="7"/>
  <c r="A1012" i="7"/>
  <c r="A1032" i="7"/>
  <c r="A1052" i="7"/>
  <c r="A1072" i="7"/>
  <c r="A33" i="7"/>
  <c r="A53" i="7"/>
  <c r="A73" i="7"/>
  <c r="A93" i="7"/>
  <c r="A113" i="7"/>
  <c r="A153" i="7"/>
  <c r="A173" i="7"/>
  <c r="A193" i="7"/>
  <c r="A213" i="7"/>
  <c r="A233" i="7"/>
  <c r="A273" i="7"/>
  <c r="A293" i="7"/>
  <c r="A313" i="7"/>
  <c r="A333" i="7"/>
  <c r="A353" i="7"/>
  <c r="A393" i="7"/>
  <c r="A413" i="7"/>
  <c r="A433" i="7"/>
  <c r="A453" i="7"/>
  <c r="A473" i="7"/>
  <c r="A513" i="7"/>
  <c r="A533" i="7"/>
  <c r="A553" i="7"/>
  <c r="A573" i="7"/>
  <c r="A593" i="7"/>
  <c r="A633" i="7"/>
  <c r="A653" i="7"/>
  <c r="A673" i="7"/>
  <c r="A693" i="7"/>
  <c r="A713" i="7"/>
  <c r="A753" i="7"/>
  <c r="A773" i="7"/>
  <c r="A793" i="7"/>
  <c r="A813" i="7"/>
  <c r="A833" i="7"/>
  <c r="A873" i="7"/>
  <c r="A893" i="7"/>
  <c r="A913" i="7"/>
  <c r="A933" i="7"/>
  <c r="A953" i="7"/>
  <c r="A993" i="7"/>
  <c r="A1013" i="7"/>
  <c r="A1033" i="7"/>
  <c r="A1053" i="7"/>
  <c r="A1073" i="7"/>
  <c r="A34" i="7"/>
  <c r="A54" i="7"/>
  <c r="A74" i="7"/>
  <c r="A94" i="7"/>
  <c r="A114" i="7"/>
  <c r="A154" i="7"/>
  <c r="A174" i="7"/>
  <c r="A194" i="7"/>
  <c r="A214" i="7"/>
  <c r="A234" i="7"/>
  <c r="A274" i="7"/>
  <c r="A294" i="7"/>
  <c r="A314" i="7"/>
  <c r="A334" i="7"/>
  <c r="A354" i="7"/>
  <c r="A394" i="7"/>
  <c r="A414" i="7"/>
  <c r="A434" i="7"/>
  <c r="A454" i="7"/>
  <c r="A474" i="7"/>
  <c r="A514" i="7"/>
  <c r="A534" i="7"/>
  <c r="A554" i="7"/>
  <c r="A574" i="7"/>
  <c r="A594" i="7"/>
  <c r="A634" i="7"/>
  <c r="A654" i="7"/>
  <c r="A674" i="7"/>
  <c r="A694" i="7"/>
  <c r="A714" i="7"/>
  <c r="A754" i="7"/>
  <c r="A774" i="7"/>
  <c r="A794" i="7"/>
  <c r="A814" i="7"/>
  <c r="A834" i="7"/>
  <c r="A874" i="7"/>
  <c r="A894" i="7"/>
  <c r="A914" i="7"/>
  <c r="A934" i="7"/>
  <c r="A954" i="7"/>
  <c r="A994" i="7"/>
  <c r="A1014" i="7"/>
  <c r="A1034" i="7"/>
  <c r="A1054" i="7"/>
  <c r="A1074" i="7"/>
  <c r="A35" i="7"/>
  <c r="A55" i="7"/>
  <c r="A75" i="7"/>
  <c r="A95" i="7"/>
  <c r="A115" i="7"/>
  <c r="A155" i="7"/>
  <c r="A175" i="7"/>
  <c r="A195" i="7"/>
  <c r="A215" i="7"/>
  <c r="A235" i="7"/>
  <c r="A275" i="7"/>
  <c r="A295" i="7"/>
  <c r="A315" i="7"/>
  <c r="A335" i="7"/>
  <c r="A355" i="7"/>
  <c r="A395" i="7"/>
  <c r="A415" i="7"/>
  <c r="A435" i="7"/>
  <c r="A455" i="7"/>
  <c r="A475" i="7"/>
  <c r="A515" i="7"/>
  <c r="A535" i="7"/>
  <c r="A555" i="7"/>
  <c r="A575" i="7"/>
  <c r="A595" i="7"/>
  <c r="A635" i="7"/>
  <c r="A655" i="7"/>
  <c r="A675" i="7"/>
  <c r="A695" i="7"/>
  <c r="A715" i="7"/>
  <c r="A755" i="7"/>
  <c r="A775" i="7"/>
  <c r="A795" i="7"/>
  <c r="A815" i="7"/>
  <c r="A835" i="7"/>
  <c r="A875" i="7"/>
  <c r="A895" i="7"/>
  <c r="A915" i="7"/>
  <c r="A935" i="7"/>
  <c r="A955" i="7"/>
  <c r="A995" i="7"/>
  <c r="A1015" i="7"/>
  <c r="A1035" i="7"/>
  <c r="A1055" i="7"/>
  <c r="A1075" i="7"/>
  <c r="A36" i="7"/>
  <c r="A56" i="7"/>
  <c r="A76" i="7"/>
  <c r="A96" i="7"/>
  <c r="A116" i="7"/>
  <c r="A156" i="7"/>
  <c r="A176" i="7"/>
  <c r="A196" i="7"/>
  <c r="A216" i="7"/>
  <c r="A236" i="7"/>
  <c r="A276" i="7"/>
  <c r="A296" i="7"/>
  <c r="A316" i="7"/>
  <c r="A336" i="7"/>
  <c r="A356" i="7"/>
  <c r="A396" i="7"/>
  <c r="A416" i="7"/>
  <c r="A436" i="7"/>
  <c r="A456" i="7"/>
  <c r="A476" i="7"/>
  <c r="A516" i="7"/>
  <c r="A536" i="7"/>
  <c r="A556" i="7"/>
  <c r="A576" i="7"/>
  <c r="A596" i="7"/>
  <c r="A636" i="7"/>
  <c r="A656" i="7"/>
  <c r="A676" i="7"/>
  <c r="A696" i="7"/>
  <c r="A716" i="7"/>
  <c r="A756" i="7"/>
  <c r="A776" i="7"/>
  <c r="A796" i="7"/>
  <c r="A816" i="7"/>
  <c r="A836" i="7"/>
  <c r="A876" i="7"/>
  <c r="A896" i="7"/>
  <c r="A916" i="7"/>
  <c r="A936" i="7"/>
  <c r="A956" i="7"/>
  <c r="A996" i="7"/>
  <c r="A1016" i="7"/>
  <c r="A1036" i="7"/>
  <c r="A1056" i="7"/>
  <c r="A1076" i="7"/>
  <c r="A37" i="7"/>
  <c r="A57" i="7"/>
  <c r="A77" i="7"/>
  <c r="A97" i="7"/>
  <c r="A117" i="7"/>
  <c r="A157" i="7"/>
  <c r="A177" i="7"/>
  <c r="A197" i="7"/>
  <c r="A217" i="7"/>
  <c r="A237" i="7"/>
  <c r="A277" i="7"/>
  <c r="A297" i="7"/>
  <c r="A317" i="7"/>
  <c r="A337" i="7"/>
  <c r="A357" i="7"/>
  <c r="A397" i="7"/>
  <c r="A417" i="7"/>
  <c r="A437" i="7"/>
  <c r="A457" i="7"/>
  <c r="A477" i="7"/>
  <c r="A517" i="7"/>
  <c r="A537" i="7"/>
  <c r="A557" i="7"/>
  <c r="A577" i="7"/>
  <c r="A597" i="7"/>
  <c r="A637" i="7"/>
  <c r="A657" i="7"/>
  <c r="A677" i="7"/>
  <c r="A697" i="7"/>
  <c r="A717" i="7"/>
  <c r="A757" i="7"/>
  <c r="A777" i="7"/>
  <c r="A797" i="7"/>
  <c r="A817" i="7"/>
  <c r="A837" i="7"/>
  <c r="A877" i="7"/>
  <c r="A897" i="7"/>
  <c r="A917" i="7"/>
  <c r="A937" i="7"/>
  <c r="A957" i="7"/>
  <c r="A997" i="7"/>
  <c r="A1017" i="7"/>
  <c r="A1037" i="7"/>
  <c r="A1057" i="7"/>
  <c r="A1077" i="7"/>
  <c r="A38" i="7"/>
  <c r="A58" i="7"/>
  <c r="A78" i="7"/>
  <c r="A98" i="7"/>
  <c r="A118" i="7"/>
  <c r="A158" i="7"/>
  <c r="A178" i="7"/>
  <c r="A198" i="7"/>
  <c r="A218" i="7"/>
  <c r="A238" i="7"/>
  <c r="A278" i="7"/>
  <c r="A298" i="7"/>
  <c r="A318" i="7"/>
  <c r="A338" i="7"/>
  <c r="A358" i="7"/>
  <c r="A398" i="7"/>
  <c r="A418" i="7"/>
  <c r="A438" i="7"/>
  <c r="A458" i="7"/>
  <c r="A478" i="7"/>
  <c r="A518" i="7"/>
  <c r="A538" i="7"/>
  <c r="A558" i="7"/>
  <c r="A578" i="7"/>
  <c r="A598" i="7"/>
  <c r="A638" i="7"/>
  <c r="A658" i="7"/>
  <c r="A678" i="7"/>
  <c r="A698" i="7"/>
  <c r="A718" i="7"/>
  <c r="A758" i="7"/>
  <c r="A778" i="7"/>
  <c r="A798" i="7"/>
  <c r="A818" i="7"/>
  <c r="A838" i="7"/>
  <c r="A878" i="7"/>
  <c r="A898" i="7"/>
  <c r="A918" i="7"/>
  <c r="A938" i="7"/>
  <c r="A958" i="7"/>
  <c r="A998" i="7"/>
  <c r="A1018" i="7"/>
  <c r="A1038" i="7"/>
  <c r="A1058" i="7"/>
  <c r="A1078" i="7"/>
  <c r="A39" i="7"/>
  <c r="A59" i="7"/>
  <c r="A79" i="7"/>
  <c r="A99" i="7"/>
  <c r="A119" i="7"/>
  <c r="A159" i="7"/>
  <c r="A179" i="7"/>
  <c r="A199" i="7"/>
  <c r="A219" i="7"/>
  <c r="A239" i="7"/>
  <c r="A279" i="7"/>
  <c r="A299" i="7"/>
  <c r="A319" i="7"/>
  <c r="A339" i="7"/>
  <c r="A359" i="7"/>
  <c r="A399" i="7"/>
  <c r="A419" i="7"/>
  <c r="A439" i="7"/>
  <c r="A459" i="7"/>
  <c r="A479" i="7"/>
  <c r="A519" i="7"/>
  <c r="A539" i="7"/>
  <c r="A559" i="7"/>
  <c r="A579" i="7"/>
  <c r="A599" i="7"/>
  <c r="A639" i="7"/>
  <c r="A659" i="7"/>
  <c r="A679" i="7"/>
  <c r="A699" i="7"/>
  <c r="A719" i="7"/>
  <c r="A759" i="7"/>
  <c r="A779" i="7"/>
  <c r="A799" i="7"/>
  <c r="A819" i="7"/>
  <c r="A839" i="7"/>
  <c r="A879" i="7"/>
  <c r="A899" i="7"/>
  <c r="A919" i="7"/>
  <c r="A939" i="7"/>
  <c r="A959" i="7"/>
  <c r="A999" i="7"/>
  <c r="A1019" i="7"/>
  <c r="A1039" i="7"/>
  <c r="A1059" i="7"/>
  <c r="A1079" i="7"/>
  <c r="A40" i="7"/>
  <c r="A60" i="7"/>
  <c r="A80" i="7"/>
  <c r="A100" i="7"/>
  <c r="A120" i="7"/>
  <c r="A160" i="7"/>
  <c r="A180" i="7"/>
  <c r="A200" i="7"/>
  <c r="A220" i="7"/>
  <c r="A240" i="7"/>
  <c r="A280" i="7"/>
  <c r="A300" i="7"/>
  <c r="A320" i="7"/>
  <c r="A340" i="7"/>
  <c r="A360" i="7"/>
  <c r="A400" i="7"/>
  <c r="A420" i="7"/>
  <c r="A440" i="7"/>
  <c r="A460" i="7"/>
  <c r="A480" i="7"/>
  <c r="A520" i="7"/>
  <c r="A540" i="7"/>
  <c r="A560" i="7"/>
  <c r="A580" i="7"/>
  <c r="A600" i="7"/>
  <c r="A640" i="7"/>
  <c r="A660" i="7"/>
  <c r="A680" i="7"/>
  <c r="A700" i="7"/>
  <c r="A720" i="7"/>
  <c r="A760" i="7"/>
  <c r="A780" i="7"/>
  <c r="A800" i="7"/>
  <c r="A820" i="7"/>
  <c r="A840" i="7"/>
  <c r="A880" i="7"/>
  <c r="A900" i="7"/>
  <c r="A920" i="7"/>
  <c r="A940" i="7"/>
  <c r="A960" i="7"/>
  <c r="A1000" i="7"/>
  <c r="A1020" i="7"/>
  <c r="A1040" i="7"/>
  <c r="A1060" i="7"/>
  <c r="A1080" i="7"/>
  <c r="A41" i="7"/>
  <c r="A61" i="7"/>
  <c r="A81" i="7"/>
  <c r="A101" i="7"/>
  <c r="A121" i="7"/>
  <c r="A161" i="7"/>
  <c r="A181" i="7"/>
  <c r="A201" i="7"/>
  <c r="A221" i="7"/>
  <c r="A241" i="7"/>
  <c r="A281" i="7"/>
  <c r="A301" i="7"/>
  <c r="A321" i="7"/>
  <c r="A341" i="7"/>
  <c r="A361" i="7"/>
  <c r="A401" i="7"/>
  <c r="A421" i="7"/>
  <c r="A441" i="7"/>
  <c r="A461" i="7"/>
  <c r="A481" i="7"/>
  <c r="A521" i="7"/>
  <c r="A541" i="7"/>
  <c r="A561" i="7"/>
  <c r="A581" i="7"/>
  <c r="A601" i="7"/>
  <c r="A641" i="7"/>
  <c r="A661" i="7"/>
  <c r="A681" i="7"/>
  <c r="A701" i="7"/>
  <c r="A721" i="7"/>
  <c r="A761" i="7"/>
  <c r="A781" i="7"/>
  <c r="A801" i="7"/>
  <c r="A821" i="7"/>
  <c r="A841" i="7"/>
  <c r="A881" i="7"/>
  <c r="A901" i="7"/>
  <c r="A921" i="7"/>
  <c r="A941" i="7"/>
  <c r="A961" i="7"/>
  <c r="A1001" i="7"/>
  <c r="A1021" i="7"/>
  <c r="A1041" i="7"/>
  <c r="A1061" i="7"/>
  <c r="A1081" i="7"/>
  <c r="A42" i="7"/>
  <c r="A62" i="7"/>
  <c r="A82" i="7"/>
  <c r="A102" i="7"/>
  <c r="A122" i="7"/>
  <c r="A162" i="7"/>
  <c r="A182" i="7"/>
  <c r="A202" i="7"/>
  <c r="A222" i="7"/>
  <c r="A242" i="7"/>
  <c r="A282" i="7"/>
  <c r="A302" i="7"/>
  <c r="A322" i="7"/>
  <c r="A342" i="7"/>
  <c r="A362" i="7"/>
  <c r="A402" i="7"/>
  <c r="A422" i="7"/>
  <c r="A442" i="7"/>
  <c r="A462" i="7"/>
  <c r="A482" i="7"/>
  <c r="A522" i="7"/>
  <c r="A542" i="7"/>
  <c r="A562" i="7"/>
  <c r="A582" i="7"/>
  <c r="A602" i="7"/>
  <c r="A642" i="7"/>
  <c r="A662" i="7"/>
  <c r="A682" i="7"/>
  <c r="A702" i="7"/>
  <c r="A722" i="7"/>
  <c r="A762" i="7"/>
  <c r="A782" i="7"/>
  <c r="A802" i="7"/>
  <c r="A822" i="7"/>
  <c r="A842" i="7"/>
  <c r="A882" i="7"/>
  <c r="A902" i="7"/>
  <c r="A922" i="7"/>
  <c r="A942" i="7"/>
  <c r="A962" i="7"/>
  <c r="A1002" i="7"/>
  <c r="A1022" i="7"/>
  <c r="A1042" i="7"/>
  <c r="A1062" i="7"/>
  <c r="A1082" i="7"/>
  <c r="A43" i="7"/>
  <c r="A63" i="7"/>
  <c r="A83" i="7"/>
  <c r="A103" i="7"/>
  <c r="A123" i="7"/>
  <c r="A163" i="7"/>
  <c r="A183" i="7"/>
  <c r="A203" i="7"/>
  <c r="A223" i="7"/>
  <c r="A243" i="7"/>
  <c r="A283" i="7"/>
  <c r="A303" i="7"/>
  <c r="A323" i="7"/>
  <c r="A343" i="7"/>
  <c r="A363" i="7"/>
  <c r="A403" i="7"/>
  <c r="A423" i="7"/>
  <c r="A443" i="7"/>
  <c r="A463" i="7"/>
  <c r="A483" i="7"/>
  <c r="A523" i="7"/>
  <c r="A543" i="7"/>
  <c r="A563" i="7"/>
  <c r="A583" i="7"/>
  <c r="A603" i="7"/>
  <c r="A643" i="7"/>
  <c r="A663" i="7"/>
  <c r="A683" i="7"/>
  <c r="A703" i="7"/>
  <c r="A723" i="7"/>
  <c r="A763" i="7"/>
  <c r="A783" i="7"/>
  <c r="A803" i="7"/>
  <c r="A823" i="7"/>
  <c r="A843" i="7"/>
  <c r="A883" i="7"/>
  <c r="A903" i="7"/>
  <c r="A923" i="7"/>
  <c r="A943" i="7"/>
  <c r="A963" i="7"/>
  <c r="A1003" i="7"/>
  <c r="A1023" i="7"/>
  <c r="A1043" i="7"/>
  <c r="A1063" i="7"/>
  <c r="A1083" i="7"/>
  <c r="A5" i="7"/>
  <c r="A6" i="7"/>
  <c r="A7" i="7"/>
  <c r="A8" i="7"/>
  <c r="A9" i="7"/>
  <c r="A10" i="7"/>
  <c r="A11" i="7"/>
  <c r="A12" i="7"/>
  <c r="A13" i="7"/>
  <c r="A14" i="7"/>
  <c r="A15" i="7"/>
  <c r="A16" i="7"/>
  <c r="A17" i="7"/>
  <c r="A18" i="7"/>
  <c r="A19" i="7"/>
  <c r="A20" i="7"/>
  <c r="A21" i="7"/>
  <c r="A22" i="7"/>
  <c r="A23" i="7"/>
  <c r="A124" i="7"/>
  <c r="A125" i="7"/>
  <c r="A126" i="7"/>
  <c r="A127" i="7"/>
  <c r="A128" i="7"/>
  <c r="A129" i="7"/>
  <c r="A130" i="7"/>
  <c r="A131" i="7"/>
  <c r="A132" i="7"/>
  <c r="A133" i="7"/>
  <c r="A134" i="7"/>
  <c r="A135" i="7"/>
  <c r="A136" i="7"/>
  <c r="A137" i="7"/>
  <c r="A138" i="7"/>
  <c r="A139" i="7"/>
  <c r="A140" i="7"/>
  <c r="A141" i="7"/>
  <c r="A142" i="7"/>
  <c r="A143" i="7"/>
  <c r="A244" i="7"/>
  <c r="A245" i="7"/>
  <c r="A246" i="7"/>
  <c r="A247" i="7"/>
  <c r="A248" i="7"/>
  <c r="A249" i="7"/>
  <c r="A250" i="7"/>
  <c r="A251" i="7"/>
  <c r="A252" i="7"/>
  <c r="A253" i="7"/>
  <c r="A254" i="7"/>
  <c r="A255" i="7"/>
  <c r="A256" i="7"/>
  <c r="A257" i="7"/>
  <c r="A258" i="7"/>
  <c r="A259" i="7"/>
  <c r="A260" i="7"/>
  <c r="A261" i="7"/>
  <c r="A262" i="7"/>
  <c r="A263" i="7"/>
  <c r="A364" i="7"/>
  <c r="A365" i="7"/>
  <c r="A366" i="7"/>
  <c r="A367" i="7"/>
  <c r="A368" i="7"/>
  <c r="A369" i="7"/>
  <c r="A370" i="7"/>
  <c r="A371" i="7"/>
  <c r="A372" i="7"/>
  <c r="A373" i="7"/>
  <c r="A374" i="7"/>
  <c r="A375" i="7"/>
  <c r="A376" i="7"/>
  <c r="A377" i="7"/>
  <c r="A378" i="7"/>
  <c r="A379" i="7"/>
  <c r="A380" i="7"/>
  <c r="A381" i="7"/>
  <c r="A382" i="7"/>
  <c r="A383" i="7"/>
  <c r="A484" i="7"/>
  <c r="A485" i="7"/>
  <c r="A486" i="7"/>
  <c r="A487" i="7"/>
  <c r="A488" i="7"/>
  <c r="A489" i="7"/>
  <c r="A490" i="7"/>
  <c r="A491" i="7"/>
  <c r="A492" i="7"/>
  <c r="A493" i="7"/>
  <c r="A494" i="7"/>
  <c r="A495" i="7"/>
  <c r="A496" i="7"/>
  <c r="A497" i="7"/>
  <c r="A498" i="7"/>
  <c r="A499" i="7"/>
  <c r="A500" i="7"/>
  <c r="A501" i="7"/>
  <c r="A502" i="7"/>
  <c r="A503" i="7"/>
  <c r="A604" i="7"/>
  <c r="A605" i="7"/>
  <c r="A606" i="7"/>
  <c r="A607" i="7"/>
  <c r="A608" i="7"/>
  <c r="A609" i="7"/>
  <c r="A610" i="7"/>
  <c r="A611" i="7"/>
  <c r="A612" i="7"/>
  <c r="A613" i="7"/>
  <c r="A614" i="7"/>
  <c r="A615" i="7"/>
  <c r="A616" i="7"/>
  <c r="A617" i="7"/>
  <c r="A618" i="7"/>
  <c r="A619" i="7"/>
  <c r="A620" i="7"/>
  <c r="A621" i="7"/>
  <c r="A622" i="7"/>
  <c r="A623" i="7"/>
  <c r="A724" i="7"/>
  <c r="A725" i="7"/>
  <c r="A726" i="7"/>
  <c r="A727" i="7"/>
  <c r="A728" i="7"/>
  <c r="A729" i="7"/>
  <c r="A730" i="7"/>
  <c r="A731" i="7"/>
  <c r="A732" i="7"/>
  <c r="A733" i="7"/>
  <c r="A734" i="7"/>
  <c r="A735" i="7"/>
  <c r="A736" i="7"/>
  <c r="A737" i="7"/>
  <c r="A738" i="7"/>
  <c r="A739" i="7"/>
  <c r="A740" i="7"/>
  <c r="A741" i="7"/>
  <c r="A742" i="7"/>
  <c r="A743" i="7"/>
  <c r="A844" i="7"/>
  <c r="A845" i="7"/>
  <c r="A846" i="7"/>
  <c r="A847" i="7"/>
  <c r="A848" i="7"/>
  <c r="A849" i="7"/>
  <c r="A850" i="7"/>
  <c r="A851" i="7"/>
  <c r="A852" i="7"/>
  <c r="A853" i="7"/>
  <c r="A854" i="7"/>
  <c r="A855" i="7"/>
  <c r="A856" i="7"/>
  <c r="A857" i="7"/>
  <c r="A858" i="7"/>
  <c r="A859" i="7"/>
  <c r="A860" i="7"/>
  <c r="A861" i="7"/>
  <c r="A862" i="7"/>
  <c r="A863" i="7"/>
  <c r="A964" i="7"/>
  <c r="A965" i="7"/>
  <c r="A966" i="7"/>
  <c r="A967" i="7"/>
  <c r="A968" i="7"/>
  <c r="A969" i="7"/>
  <c r="A970" i="7"/>
  <c r="A971" i="7"/>
  <c r="A972" i="7"/>
  <c r="A973" i="7"/>
  <c r="A974" i="7"/>
  <c r="A975" i="7"/>
  <c r="A976" i="7"/>
  <c r="A977" i="7"/>
  <c r="A978" i="7"/>
  <c r="A979" i="7"/>
  <c r="A980" i="7"/>
  <c r="A981" i="7"/>
  <c r="A982" i="7"/>
  <c r="A983" i="7"/>
  <c r="A4" i="7"/>
  <c r="X140" i="2" l="1"/>
  <c r="AL251" i="2"/>
  <c r="AH251" i="2"/>
  <c r="AD251" i="2"/>
  <c r="Z251" i="2"/>
  <c r="V251" i="2"/>
  <c r="AM250" i="2"/>
  <c r="AI250" i="2"/>
  <c r="AE250" i="2"/>
  <c r="AA250" i="2"/>
  <c r="W250" i="2"/>
  <c r="AN249" i="2"/>
  <c r="AJ249" i="2"/>
  <c r="AF249" i="2"/>
  <c r="AB249" i="2"/>
  <c r="X249" i="2"/>
  <c r="T249" i="2"/>
  <c r="AK248" i="2"/>
  <c r="AG248" i="2"/>
  <c r="AC248" i="2"/>
  <c r="Y248" i="2"/>
  <c r="U248" i="2"/>
  <c r="AL247" i="2"/>
  <c r="AH247" i="2"/>
  <c r="AD247" i="2"/>
  <c r="Z247" i="2"/>
  <c r="V247" i="2"/>
  <c r="AM246" i="2"/>
  <c r="AI246" i="2"/>
  <c r="AE246" i="2"/>
  <c r="AA246" i="2"/>
  <c r="W246" i="2"/>
  <c r="AN245" i="2"/>
  <c r="AJ245" i="2"/>
  <c r="AF245" i="2"/>
  <c r="AB245" i="2"/>
  <c r="X245" i="2"/>
  <c r="T245" i="2"/>
  <c r="AK244" i="2"/>
  <c r="AG244" i="2"/>
  <c r="AC244" i="2"/>
  <c r="Y244" i="2"/>
  <c r="U244" i="2"/>
  <c r="AL242" i="2"/>
  <c r="AH242" i="2"/>
  <c r="AD242" i="2"/>
  <c r="Z242" i="2"/>
  <c r="V242" i="2"/>
  <c r="AM241" i="2"/>
  <c r="AI241" i="2"/>
  <c r="AE241" i="2"/>
  <c r="AA241" i="2"/>
  <c r="W241" i="2"/>
  <c r="AN240" i="2"/>
  <c r="AJ240" i="2"/>
  <c r="AF240" i="2"/>
  <c r="AB240" i="2"/>
  <c r="X240" i="2"/>
  <c r="T240" i="2"/>
  <c r="AK239" i="2"/>
  <c r="AG239" i="2"/>
  <c r="AC239" i="2"/>
  <c r="Y239" i="2"/>
  <c r="U239" i="2"/>
  <c r="AL238" i="2"/>
  <c r="AH238" i="2"/>
  <c r="AD238" i="2"/>
  <c r="Z238" i="2"/>
  <c r="V238" i="2"/>
  <c r="AM237" i="2"/>
  <c r="AI237" i="2"/>
  <c r="AE237" i="2"/>
  <c r="AA237" i="2"/>
  <c r="AK251" i="2"/>
  <c r="AG251" i="2"/>
  <c r="AC251" i="2"/>
  <c r="Y251" i="2"/>
  <c r="U251" i="2"/>
  <c r="AL250" i="2"/>
  <c r="AH250" i="2"/>
  <c r="AD250" i="2"/>
  <c r="Z250" i="2"/>
  <c r="V250" i="2"/>
  <c r="AM249" i="2"/>
  <c r="AI249" i="2"/>
  <c r="AE249" i="2"/>
  <c r="AA249" i="2"/>
  <c r="W249" i="2"/>
  <c r="AN248" i="2"/>
  <c r="AJ248" i="2"/>
  <c r="AF248" i="2"/>
  <c r="AB248" i="2"/>
  <c r="X248" i="2"/>
  <c r="T248" i="2"/>
  <c r="AK247" i="2"/>
  <c r="AG247" i="2"/>
  <c r="AC247" i="2"/>
  <c r="Y247" i="2"/>
  <c r="U247" i="2"/>
  <c r="AL246" i="2"/>
  <c r="AH246" i="2"/>
  <c r="AD246" i="2"/>
  <c r="Z246" i="2"/>
  <c r="V246" i="2"/>
  <c r="AM245" i="2"/>
  <c r="AI245" i="2"/>
  <c r="AE245" i="2"/>
  <c r="AA245" i="2"/>
  <c r="W245" i="2"/>
  <c r="AN244" i="2"/>
  <c r="AJ244" i="2"/>
  <c r="AF244" i="2"/>
  <c r="AB244" i="2"/>
  <c r="X244" i="2"/>
  <c r="T244" i="2"/>
  <c r="AK242" i="2"/>
  <c r="AG242" i="2"/>
  <c r="AC242" i="2"/>
  <c r="Y242" i="2"/>
  <c r="U242" i="2"/>
  <c r="AL241" i="2"/>
  <c r="AH241" i="2"/>
  <c r="AD241" i="2"/>
  <c r="Z241" i="2"/>
  <c r="V241" i="2"/>
  <c r="AM240" i="2"/>
  <c r="AI240" i="2"/>
  <c r="AE240" i="2"/>
  <c r="AA240" i="2"/>
  <c r="W240" i="2"/>
  <c r="AN239" i="2"/>
  <c r="AJ239" i="2"/>
  <c r="AF239" i="2"/>
  <c r="AB239" i="2"/>
  <c r="X239" i="2"/>
  <c r="T239" i="2"/>
  <c r="AK238" i="2"/>
  <c r="AG238" i="2"/>
  <c r="AC238" i="2"/>
  <c r="Y238" i="2"/>
  <c r="U238" i="2"/>
  <c r="AL237" i="2"/>
  <c r="AH237" i="2"/>
  <c r="AD237" i="2"/>
  <c r="Z237" i="2"/>
  <c r="AN251" i="2"/>
  <c r="AJ251" i="2"/>
  <c r="AF251" i="2"/>
  <c r="AB251" i="2"/>
  <c r="X251" i="2"/>
  <c r="T251" i="2"/>
  <c r="AK250" i="2"/>
  <c r="AG250" i="2"/>
  <c r="AC250" i="2"/>
  <c r="Y250" i="2"/>
  <c r="U250" i="2"/>
  <c r="AL249" i="2"/>
  <c r="AH249" i="2"/>
  <c r="AD249" i="2"/>
  <c r="Z249" i="2"/>
  <c r="V249" i="2"/>
  <c r="AM248" i="2"/>
  <c r="AI248" i="2"/>
  <c r="AE248" i="2"/>
  <c r="AA248" i="2"/>
  <c r="W248" i="2"/>
  <c r="AN247" i="2"/>
  <c r="AJ247" i="2"/>
  <c r="AF247" i="2"/>
  <c r="AB247" i="2"/>
  <c r="X247" i="2"/>
  <c r="T247" i="2"/>
  <c r="AK246" i="2"/>
  <c r="AG246" i="2"/>
  <c r="AC246" i="2"/>
  <c r="Y246" i="2"/>
  <c r="U246" i="2"/>
  <c r="AL245" i="2"/>
  <c r="AH245" i="2"/>
  <c r="AD245" i="2"/>
  <c r="Z245" i="2"/>
  <c r="V245" i="2"/>
  <c r="AM244" i="2"/>
  <c r="AI244" i="2"/>
  <c r="AE244" i="2"/>
  <c r="AA244" i="2"/>
  <c r="W244" i="2"/>
  <c r="AN242" i="2"/>
  <c r="AJ242" i="2"/>
  <c r="AF242" i="2"/>
  <c r="AB242" i="2"/>
  <c r="X242" i="2"/>
  <c r="T242" i="2"/>
  <c r="AK241" i="2"/>
  <c r="AG241" i="2"/>
  <c r="AC241" i="2"/>
  <c r="Y241" i="2"/>
  <c r="U241" i="2"/>
  <c r="AL240" i="2"/>
  <c r="AH240" i="2"/>
  <c r="AD240" i="2"/>
  <c r="Z240" i="2"/>
  <c r="V240" i="2"/>
  <c r="AM239" i="2"/>
  <c r="AI239" i="2"/>
  <c r="AE239" i="2"/>
  <c r="AA239" i="2"/>
  <c r="W239" i="2"/>
  <c r="AN238" i="2"/>
  <c r="AJ238" i="2"/>
  <c r="AF238" i="2"/>
  <c r="AB238" i="2"/>
  <c r="X238" i="2"/>
  <c r="T238" i="2"/>
  <c r="AK237" i="2"/>
  <c r="AG237" i="2"/>
  <c r="AC237" i="2"/>
  <c r="Y237" i="2"/>
  <c r="AM251" i="2"/>
  <c r="W251" i="2"/>
  <c r="AB250" i="2"/>
  <c r="AG249" i="2"/>
  <c r="AL248" i="2"/>
  <c r="V248" i="2"/>
  <c r="AA247" i="2"/>
  <c r="AF246" i="2"/>
  <c r="AK245" i="2"/>
  <c r="U245" i="2"/>
  <c r="Z244" i="2"/>
  <c r="AE242" i="2"/>
  <c r="AJ241" i="2"/>
  <c r="T241" i="2"/>
  <c r="Y240" i="2"/>
  <c r="AD239" i="2"/>
  <c r="AI238" i="2"/>
  <c r="AN237" i="2"/>
  <c r="X237" i="2"/>
  <c r="T237" i="2"/>
  <c r="AK236" i="2"/>
  <c r="AG236" i="2"/>
  <c r="AC236" i="2"/>
  <c r="Y236" i="2"/>
  <c r="U236" i="2"/>
  <c r="AL235" i="2"/>
  <c r="AH235" i="2"/>
  <c r="AD235" i="2"/>
  <c r="Z235" i="2"/>
  <c r="V235" i="2"/>
  <c r="AM233" i="2"/>
  <c r="AI233" i="2"/>
  <c r="AE233" i="2"/>
  <c r="AA233" i="2"/>
  <c r="W233" i="2"/>
  <c r="AN232" i="2"/>
  <c r="AJ232" i="2"/>
  <c r="AF232" i="2"/>
  <c r="AB232" i="2"/>
  <c r="X232" i="2"/>
  <c r="T232" i="2"/>
  <c r="AK231" i="2"/>
  <c r="AG231" i="2"/>
  <c r="AC231" i="2"/>
  <c r="Y231" i="2"/>
  <c r="U231" i="2"/>
  <c r="AL230" i="2"/>
  <c r="AH230" i="2"/>
  <c r="AD230" i="2"/>
  <c r="Z230" i="2"/>
  <c r="V230" i="2"/>
  <c r="AM229" i="2"/>
  <c r="AI229" i="2"/>
  <c r="AE229" i="2"/>
  <c r="AA229" i="2"/>
  <c r="W229" i="2"/>
  <c r="AN228" i="2"/>
  <c r="AJ228" i="2"/>
  <c r="AF228" i="2"/>
  <c r="AB228" i="2"/>
  <c r="X228" i="2"/>
  <c r="T228" i="2"/>
  <c r="AK227" i="2"/>
  <c r="AG227" i="2"/>
  <c r="AC227" i="2"/>
  <c r="Y227" i="2"/>
  <c r="U227" i="2"/>
  <c r="AL226" i="2"/>
  <c r="AH226" i="2"/>
  <c r="AD226" i="2"/>
  <c r="Z226" i="2"/>
  <c r="V226" i="2"/>
  <c r="AI251" i="2"/>
  <c r="AN250" i="2"/>
  <c r="X250" i="2"/>
  <c r="AC249" i="2"/>
  <c r="AH248" i="2"/>
  <c r="AM247" i="2"/>
  <c r="W247" i="2"/>
  <c r="AB246" i="2"/>
  <c r="AG245" i="2"/>
  <c r="AL244" i="2"/>
  <c r="V244" i="2"/>
  <c r="AA242" i="2"/>
  <c r="AF241" i="2"/>
  <c r="AK240" i="2"/>
  <c r="U240" i="2"/>
  <c r="Z239" i="2"/>
  <c r="AE238" i="2"/>
  <c r="AJ237" i="2"/>
  <c r="W237" i="2"/>
  <c r="AN236" i="2"/>
  <c r="AJ236" i="2"/>
  <c r="AF236" i="2"/>
  <c r="AB236" i="2"/>
  <c r="X236" i="2"/>
  <c r="T236" i="2"/>
  <c r="AK235" i="2"/>
  <c r="AG235" i="2"/>
  <c r="AC235" i="2"/>
  <c r="Y235" i="2"/>
  <c r="U235" i="2"/>
  <c r="AL233" i="2"/>
  <c r="AH233" i="2"/>
  <c r="AD233" i="2"/>
  <c r="Z233" i="2"/>
  <c r="V233" i="2"/>
  <c r="AM232" i="2"/>
  <c r="AI232" i="2"/>
  <c r="AE232" i="2"/>
  <c r="AA232" i="2"/>
  <c r="W232" i="2"/>
  <c r="AN231" i="2"/>
  <c r="AJ231" i="2"/>
  <c r="AF231" i="2"/>
  <c r="AB231" i="2"/>
  <c r="X231" i="2"/>
  <c r="T231" i="2"/>
  <c r="AK230" i="2"/>
  <c r="AG230" i="2"/>
  <c r="AC230" i="2"/>
  <c r="Y230" i="2"/>
  <c r="U230" i="2"/>
  <c r="AL229" i="2"/>
  <c r="AH229" i="2"/>
  <c r="AD229" i="2"/>
  <c r="Z229" i="2"/>
  <c r="V229" i="2"/>
  <c r="AM228" i="2"/>
  <c r="AI228" i="2"/>
  <c r="AE228" i="2"/>
  <c r="AA228" i="2"/>
  <c r="W228" i="2"/>
  <c r="AN227" i="2"/>
  <c r="AJ227" i="2"/>
  <c r="AF227" i="2"/>
  <c r="AB227" i="2"/>
  <c r="X227" i="2"/>
  <c r="T227" i="2"/>
  <c r="AK226" i="2"/>
  <c r="AG226" i="2"/>
  <c r="AC226" i="2"/>
  <c r="Y226" i="2"/>
  <c r="U226" i="2"/>
  <c r="AE251" i="2"/>
  <c r="AJ250" i="2"/>
  <c r="T250" i="2"/>
  <c r="Y249" i="2"/>
  <c r="AD248" i="2"/>
  <c r="AI247" i="2"/>
  <c r="AN246" i="2"/>
  <c r="X246" i="2"/>
  <c r="AC245" i="2"/>
  <c r="AH244" i="2"/>
  <c r="AM242" i="2"/>
  <c r="W242" i="2"/>
  <c r="AB241" i="2"/>
  <c r="AG240" i="2"/>
  <c r="AL239" i="2"/>
  <c r="V239" i="2"/>
  <c r="AA238" i="2"/>
  <c r="AF237" i="2"/>
  <c r="V237" i="2"/>
  <c r="AM236" i="2"/>
  <c r="AI236" i="2"/>
  <c r="AE236" i="2"/>
  <c r="AA236" i="2"/>
  <c r="W236" i="2"/>
  <c r="AN235" i="2"/>
  <c r="AJ235" i="2"/>
  <c r="AF235" i="2"/>
  <c r="AB235" i="2"/>
  <c r="X235" i="2"/>
  <c r="T235" i="2"/>
  <c r="AK233" i="2"/>
  <c r="AG233" i="2"/>
  <c r="AC233" i="2"/>
  <c r="Y233" i="2"/>
  <c r="U233" i="2"/>
  <c r="AL232" i="2"/>
  <c r="AH232" i="2"/>
  <c r="AD232" i="2"/>
  <c r="Z232" i="2"/>
  <c r="V232" i="2"/>
  <c r="AM231" i="2"/>
  <c r="AI231" i="2"/>
  <c r="AE231" i="2"/>
  <c r="AA231" i="2"/>
  <c r="W231" i="2"/>
  <c r="AN230" i="2"/>
  <c r="AJ230" i="2"/>
  <c r="AF230" i="2"/>
  <c r="AB230" i="2"/>
  <c r="X230" i="2"/>
  <c r="T230" i="2"/>
  <c r="AK229" i="2"/>
  <c r="AG229" i="2"/>
  <c r="AC229" i="2"/>
  <c r="Y229" i="2"/>
  <c r="U229" i="2"/>
  <c r="AL228" i="2"/>
  <c r="AH228" i="2"/>
  <c r="AD228" i="2"/>
  <c r="Z228" i="2"/>
  <c r="V228" i="2"/>
  <c r="AM227" i="2"/>
  <c r="AI227" i="2"/>
  <c r="AE227" i="2"/>
  <c r="AA227" i="2"/>
  <c r="W227" i="2"/>
  <c r="AN226" i="2"/>
  <c r="AJ226" i="2"/>
  <c r="AF226" i="2"/>
  <c r="AB226" i="2"/>
  <c r="X226" i="2"/>
  <c r="T226" i="2"/>
  <c r="AF250" i="2"/>
  <c r="AE247" i="2"/>
  <c r="AD244" i="2"/>
  <c r="AC240" i="2"/>
  <c r="AB237" i="2"/>
  <c r="AD236" i="2"/>
  <c r="AI235" i="2"/>
  <c r="AN233" i="2"/>
  <c r="X233" i="2"/>
  <c r="AC232" i="2"/>
  <c r="AH231" i="2"/>
  <c r="AM230" i="2"/>
  <c r="W230" i="2"/>
  <c r="AB229" i="2"/>
  <c r="AG228" i="2"/>
  <c r="AL227" i="2"/>
  <c r="V227" i="2"/>
  <c r="AA226" i="2"/>
  <c r="AK249" i="2"/>
  <c r="AJ246" i="2"/>
  <c r="AI242" i="2"/>
  <c r="AH239" i="2"/>
  <c r="U237" i="2"/>
  <c r="Z236" i="2"/>
  <c r="AE235" i="2"/>
  <c r="AJ233" i="2"/>
  <c r="T233" i="2"/>
  <c r="Y232" i="2"/>
  <c r="AD231" i="2"/>
  <c r="AI230" i="2"/>
  <c r="AN229" i="2"/>
  <c r="X229" i="2"/>
  <c r="AC228" i="2"/>
  <c r="AH227" i="2"/>
  <c r="AM226" i="2"/>
  <c r="W226" i="2"/>
  <c r="U249" i="2"/>
  <c r="T246" i="2"/>
  <c r="AN241" i="2"/>
  <c r="AM238" i="2"/>
  <c r="AL236" i="2"/>
  <c r="V236" i="2"/>
  <c r="AA235" i="2"/>
  <c r="AF233" i="2"/>
  <c r="AK232" i="2"/>
  <c r="U232" i="2"/>
  <c r="Z231" i="2"/>
  <c r="AE230" i="2"/>
  <c r="AJ229" i="2"/>
  <c r="T229" i="2"/>
  <c r="Y228" i="2"/>
  <c r="AD227" i="2"/>
  <c r="AI226" i="2"/>
  <c r="AA251" i="2"/>
  <c r="W238" i="2"/>
  <c r="AB233" i="2"/>
  <c r="AA230" i="2"/>
  <c r="Z227" i="2"/>
  <c r="X241" i="2"/>
  <c r="Z248" i="2"/>
  <c r="AH236" i="2"/>
  <c r="AG232" i="2"/>
  <c r="AF229" i="2"/>
  <c r="AE226" i="2"/>
  <c r="V231" i="2"/>
  <c r="Y245" i="2"/>
  <c r="AM235" i="2"/>
  <c r="AL231" i="2"/>
  <c r="AK228" i="2"/>
  <c r="W235" i="2"/>
  <c r="U228" i="2"/>
  <c r="AA163" i="2"/>
  <c r="W163" i="2"/>
  <c r="S163" i="2"/>
  <c r="Y162" i="2"/>
  <c r="U162" i="2"/>
  <c r="AA161" i="2"/>
  <c r="W161" i="2"/>
  <c r="S161" i="2"/>
  <c r="Y160" i="2"/>
  <c r="U160" i="2"/>
  <c r="AA159" i="2"/>
  <c r="Z163" i="2"/>
  <c r="V163" i="2"/>
  <c r="AB162" i="2"/>
  <c r="X162" i="2"/>
  <c r="T162" i="2"/>
  <c r="Z161" i="2"/>
  <c r="V161" i="2"/>
  <c r="AB160" i="2"/>
  <c r="X160" i="2"/>
  <c r="Y163" i="2"/>
  <c r="U163" i="2"/>
  <c r="AA162" i="2"/>
  <c r="W162" i="2"/>
  <c r="S162" i="2"/>
  <c r="Y161" i="2"/>
  <c r="U161" i="2"/>
  <c r="AA160" i="2"/>
  <c r="W160" i="2"/>
  <c r="S160" i="2"/>
  <c r="T163" i="2"/>
  <c r="X161" i="2"/>
  <c r="T160" i="2"/>
  <c r="X159" i="2"/>
  <c r="T159" i="2"/>
  <c r="AB156" i="2"/>
  <c r="X156" i="2"/>
  <c r="T156" i="2"/>
  <c r="Z155" i="2"/>
  <c r="V155" i="2"/>
  <c r="AB154" i="2"/>
  <c r="X154" i="2"/>
  <c r="T154" i="2"/>
  <c r="Z153" i="2"/>
  <c r="V153" i="2"/>
  <c r="AB152" i="2"/>
  <c r="X152" i="2"/>
  <c r="T152" i="2"/>
  <c r="Z162" i="2"/>
  <c r="T161" i="2"/>
  <c r="AB159" i="2"/>
  <c r="W159" i="2"/>
  <c r="S159" i="2"/>
  <c r="AA156" i="2"/>
  <c r="W156" i="2"/>
  <c r="S156" i="2"/>
  <c r="Y155" i="2"/>
  <c r="U155" i="2"/>
  <c r="AA154" i="2"/>
  <c r="W154" i="2"/>
  <c r="S154" i="2"/>
  <c r="Y153" i="2"/>
  <c r="U153" i="2"/>
  <c r="AA152" i="2"/>
  <c r="W152" i="2"/>
  <c r="S152" i="2"/>
  <c r="AB163" i="2"/>
  <c r="V162" i="2"/>
  <c r="Z160" i="2"/>
  <c r="Z159" i="2"/>
  <c r="V159" i="2"/>
  <c r="Z156" i="2"/>
  <c r="V156" i="2"/>
  <c r="AB155" i="2"/>
  <c r="X155" i="2"/>
  <c r="T155" i="2"/>
  <c r="Z154" i="2"/>
  <c r="V154" i="2"/>
  <c r="AB153" i="2"/>
  <c r="X153" i="2"/>
  <c r="T153" i="2"/>
  <c r="Z152" i="2"/>
  <c r="V152" i="2"/>
  <c r="V160" i="2"/>
  <c r="AA155" i="2"/>
  <c r="U154" i="2"/>
  <c r="Y152" i="2"/>
  <c r="S153" i="2"/>
  <c r="Y159" i="2"/>
  <c r="W155" i="2"/>
  <c r="AA153" i="2"/>
  <c r="U152" i="2"/>
  <c r="AB161" i="2"/>
  <c r="U156" i="2"/>
  <c r="X163" i="2"/>
  <c r="U159" i="2"/>
  <c r="Y156" i="2"/>
  <c r="S155" i="2"/>
  <c r="W153" i="2"/>
  <c r="Y154" i="2"/>
  <c r="X37" i="16"/>
  <c r="AK112" i="2"/>
  <c r="AG112" i="2"/>
  <c r="AC112" i="2"/>
  <c r="Y112" i="2"/>
  <c r="U112" i="2"/>
  <c r="AL111" i="2"/>
  <c r="AH111" i="2"/>
  <c r="AD111" i="2"/>
  <c r="Z111" i="2"/>
  <c r="V111" i="2"/>
  <c r="AM110" i="2"/>
  <c r="AI110" i="2"/>
  <c r="AE110" i="2"/>
  <c r="AA110" i="2"/>
  <c r="W110" i="2"/>
  <c r="S110" i="2"/>
  <c r="AJ109" i="2"/>
  <c r="AF109" i="2"/>
  <c r="AB109" i="2"/>
  <c r="X109" i="2"/>
  <c r="T109" i="2"/>
  <c r="AK107" i="2"/>
  <c r="AG107" i="2"/>
  <c r="AC107" i="2"/>
  <c r="Y107" i="2"/>
  <c r="U107" i="2"/>
  <c r="AL106" i="2"/>
  <c r="AH106" i="2"/>
  <c r="AD106" i="2"/>
  <c r="Z106" i="2"/>
  <c r="V106" i="2"/>
  <c r="AM105" i="2"/>
  <c r="AI105" i="2"/>
  <c r="AE105" i="2"/>
  <c r="AA105" i="2"/>
  <c r="W105" i="2"/>
  <c r="S105" i="2"/>
  <c r="AJ104" i="2"/>
  <c r="AF104" i="2"/>
  <c r="AB104" i="2"/>
  <c r="X104" i="2"/>
  <c r="T104" i="2"/>
  <c r="AK102" i="2"/>
  <c r="AG102" i="2"/>
  <c r="AC102" i="2"/>
  <c r="Y102" i="2"/>
  <c r="U102" i="2"/>
  <c r="AJ112" i="2"/>
  <c r="AF112" i="2"/>
  <c r="AB112" i="2"/>
  <c r="X112" i="2"/>
  <c r="T112" i="2"/>
  <c r="AK111" i="2"/>
  <c r="AG111" i="2"/>
  <c r="AC111" i="2"/>
  <c r="Y111" i="2"/>
  <c r="U111" i="2"/>
  <c r="AL110" i="2"/>
  <c r="AH110" i="2"/>
  <c r="AD110" i="2"/>
  <c r="Z110" i="2"/>
  <c r="V110" i="2"/>
  <c r="AM109" i="2"/>
  <c r="AI109" i="2"/>
  <c r="AE109" i="2"/>
  <c r="AA109" i="2"/>
  <c r="W109" i="2"/>
  <c r="S109" i="2"/>
  <c r="AJ107" i="2"/>
  <c r="AF107" i="2"/>
  <c r="AB107" i="2"/>
  <c r="X107" i="2"/>
  <c r="T107" i="2"/>
  <c r="AK106" i="2"/>
  <c r="AG106" i="2"/>
  <c r="AC106" i="2"/>
  <c r="Y106" i="2"/>
  <c r="U106" i="2"/>
  <c r="AL105" i="2"/>
  <c r="AH105" i="2"/>
  <c r="AD105" i="2"/>
  <c r="Z105" i="2"/>
  <c r="V105" i="2"/>
  <c r="AM104" i="2"/>
  <c r="AI104" i="2"/>
  <c r="AE104" i="2"/>
  <c r="AA104" i="2"/>
  <c r="W104" i="2"/>
  <c r="S104" i="2"/>
  <c r="AJ102" i="2"/>
  <c r="AF102" i="2"/>
  <c r="AB102" i="2"/>
  <c r="X102" i="2"/>
  <c r="AM112" i="2"/>
  <c r="AI112" i="2"/>
  <c r="AE112" i="2"/>
  <c r="AA112" i="2"/>
  <c r="W112" i="2"/>
  <c r="S112" i="2"/>
  <c r="AJ111" i="2"/>
  <c r="AF111" i="2"/>
  <c r="AB111" i="2"/>
  <c r="X111" i="2"/>
  <c r="T111" i="2"/>
  <c r="AK110" i="2"/>
  <c r="AG110" i="2"/>
  <c r="AC110" i="2"/>
  <c r="Y110" i="2"/>
  <c r="U110" i="2"/>
  <c r="AL109" i="2"/>
  <c r="AH109" i="2"/>
  <c r="AD109" i="2"/>
  <c r="Z109" i="2"/>
  <c r="V109" i="2"/>
  <c r="AM107" i="2"/>
  <c r="AI107" i="2"/>
  <c r="AE107" i="2"/>
  <c r="AA107" i="2"/>
  <c r="W107" i="2"/>
  <c r="S107" i="2"/>
  <c r="AJ106" i="2"/>
  <c r="AF106" i="2"/>
  <c r="AB106" i="2"/>
  <c r="X106" i="2"/>
  <c r="T106" i="2"/>
  <c r="AK105" i="2"/>
  <c r="AG105" i="2"/>
  <c r="AC105" i="2"/>
  <c r="Y105" i="2"/>
  <c r="U105" i="2"/>
  <c r="AL104" i="2"/>
  <c r="AH104" i="2"/>
  <c r="AD104" i="2"/>
  <c r="Z104" i="2"/>
  <c r="V104" i="2"/>
  <c r="AM102" i="2"/>
  <c r="AI102" i="2"/>
  <c r="AE102" i="2"/>
  <c r="AA102" i="2"/>
  <c r="W102" i="2"/>
  <c r="AD112" i="2"/>
  <c r="AI111" i="2"/>
  <c r="S111" i="2"/>
  <c r="X110" i="2"/>
  <c r="AC109" i="2"/>
  <c r="AH107" i="2"/>
  <c r="AM106" i="2"/>
  <c r="W106" i="2"/>
  <c r="AB105" i="2"/>
  <c r="AG104" i="2"/>
  <c r="AL102" i="2"/>
  <c r="V102" i="2"/>
  <c r="AL101" i="2"/>
  <c r="AH101" i="2"/>
  <c r="AD101" i="2"/>
  <c r="Z101" i="2"/>
  <c r="V101" i="2"/>
  <c r="AM100" i="2"/>
  <c r="AI100" i="2"/>
  <c r="AE100" i="2"/>
  <c r="AA100" i="2"/>
  <c r="W100" i="2"/>
  <c r="S100" i="2"/>
  <c r="AJ99" i="2"/>
  <c r="AF99" i="2"/>
  <c r="AB99" i="2"/>
  <c r="X99" i="2"/>
  <c r="T99" i="2"/>
  <c r="AK97" i="2"/>
  <c r="AG97" i="2"/>
  <c r="AC97" i="2"/>
  <c r="Y97" i="2"/>
  <c r="U97" i="2"/>
  <c r="AL96" i="2"/>
  <c r="AH96" i="2"/>
  <c r="AD96" i="2"/>
  <c r="Z96" i="2"/>
  <c r="V96" i="2"/>
  <c r="AM95" i="2"/>
  <c r="AI95" i="2"/>
  <c r="AE95" i="2"/>
  <c r="AA95" i="2"/>
  <c r="W95" i="2"/>
  <c r="S95" i="2"/>
  <c r="AJ94" i="2"/>
  <c r="AF94" i="2"/>
  <c r="AB94" i="2"/>
  <c r="X94" i="2"/>
  <c r="T94" i="2"/>
  <c r="AK92" i="2"/>
  <c r="AG92" i="2"/>
  <c r="AC92" i="2"/>
  <c r="Y92" i="2"/>
  <c r="U92" i="2"/>
  <c r="AL91" i="2"/>
  <c r="AH91" i="2"/>
  <c r="AD91" i="2"/>
  <c r="Z91" i="2"/>
  <c r="V91" i="2"/>
  <c r="AM90" i="2"/>
  <c r="AI90" i="2"/>
  <c r="AE90" i="2"/>
  <c r="AA90" i="2"/>
  <c r="W90" i="2"/>
  <c r="S90" i="2"/>
  <c r="AJ89" i="2"/>
  <c r="AF89" i="2"/>
  <c r="AB89" i="2"/>
  <c r="X89" i="2"/>
  <c r="T89" i="2"/>
  <c r="AK87" i="2"/>
  <c r="AG87" i="2"/>
  <c r="AC87" i="2"/>
  <c r="Y87" i="2"/>
  <c r="U87" i="2"/>
  <c r="AL86" i="2"/>
  <c r="AH86" i="2"/>
  <c r="AD86" i="2"/>
  <c r="Z86" i="2"/>
  <c r="V86" i="2"/>
  <c r="AM85" i="2"/>
  <c r="AI85" i="2"/>
  <c r="AE85" i="2"/>
  <c r="AA85" i="2"/>
  <c r="W85" i="2"/>
  <c r="S85" i="2"/>
  <c r="AJ84" i="2"/>
  <c r="AF84" i="2"/>
  <c r="AB84" i="2"/>
  <c r="X84" i="2"/>
  <c r="T84" i="2"/>
  <c r="AK29" i="2"/>
  <c r="AG29" i="2"/>
  <c r="AC29" i="2"/>
  <c r="Y29" i="2"/>
  <c r="U29" i="2"/>
  <c r="AL28" i="2"/>
  <c r="AH28" i="2"/>
  <c r="AD28" i="2"/>
  <c r="Z28" i="2"/>
  <c r="V28" i="2"/>
  <c r="AM26" i="2"/>
  <c r="AI26" i="2"/>
  <c r="AE26" i="2"/>
  <c r="AA26" i="2"/>
  <c r="W26" i="2"/>
  <c r="S26" i="2"/>
  <c r="AJ25" i="2"/>
  <c r="AF25" i="2"/>
  <c r="AB25" i="2"/>
  <c r="X25" i="2"/>
  <c r="T25" i="2"/>
  <c r="AK23" i="2"/>
  <c r="AG23" i="2"/>
  <c r="AC23" i="2"/>
  <c r="Y23" i="2"/>
  <c r="U23" i="2"/>
  <c r="AL22" i="2"/>
  <c r="AH22" i="2"/>
  <c r="AD22" i="2"/>
  <c r="Z22" i="2"/>
  <c r="V22" i="2"/>
  <c r="CF17" i="2"/>
  <c r="CB17" i="2"/>
  <c r="BX17" i="2"/>
  <c r="BT17" i="2"/>
  <c r="BP17" i="2"/>
  <c r="BL17" i="2"/>
  <c r="CC16" i="2"/>
  <c r="BY16" i="2"/>
  <c r="BU16" i="2"/>
  <c r="BQ16" i="2"/>
  <c r="BM16" i="2"/>
  <c r="BT16" i="2"/>
  <c r="BL16" i="2"/>
  <c r="W111" i="2"/>
  <c r="AL107" i="2"/>
  <c r="AF105" i="2"/>
  <c r="Z102" i="2"/>
  <c r="AE101" i="2"/>
  <c r="S101" i="2"/>
  <c r="AB100" i="2"/>
  <c r="AK99" i="2"/>
  <c r="Y99" i="2"/>
  <c r="AH97" i="2"/>
  <c r="V97" i="2"/>
  <c r="AE96" i="2"/>
  <c r="S96" i="2"/>
  <c r="AB95" i="2"/>
  <c r="AK94" i="2"/>
  <c r="Y94" i="2"/>
  <c r="U94" i="2"/>
  <c r="AD92" i="2"/>
  <c r="AM91" i="2"/>
  <c r="AA91" i="2"/>
  <c r="AJ90" i="2"/>
  <c r="X90" i="2"/>
  <c r="Z112" i="2"/>
  <c r="AE111" i="2"/>
  <c r="AJ110" i="2"/>
  <c r="T110" i="2"/>
  <c r="Y109" i="2"/>
  <c r="AD107" i="2"/>
  <c r="AI106" i="2"/>
  <c r="S106" i="2"/>
  <c r="X105" i="2"/>
  <c r="AC104" i="2"/>
  <c r="AH102" i="2"/>
  <c r="T102" i="2"/>
  <c r="AK101" i="2"/>
  <c r="AG101" i="2"/>
  <c r="AC101" i="2"/>
  <c r="Y101" i="2"/>
  <c r="U101" i="2"/>
  <c r="AL100" i="2"/>
  <c r="AH100" i="2"/>
  <c r="AD100" i="2"/>
  <c r="Z100" i="2"/>
  <c r="V100" i="2"/>
  <c r="AM99" i="2"/>
  <c r="AI99" i="2"/>
  <c r="AE99" i="2"/>
  <c r="AA99" i="2"/>
  <c r="W99" i="2"/>
  <c r="S99" i="2"/>
  <c r="AJ97" i="2"/>
  <c r="AF97" i="2"/>
  <c r="AB97" i="2"/>
  <c r="X97" i="2"/>
  <c r="T97" i="2"/>
  <c r="AK96" i="2"/>
  <c r="AG96" i="2"/>
  <c r="AC96" i="2"/>
  <c r="Y96" i="2"/>
  <c r="U96" i="2"/>
  <c r="AL95" i="2"/>
  <c r="AH95" i="2"/>
  <c r="AD95" i="2"/>
  <c r="Z95" i="2"/>
  <c r="V95" i="2"/>
  <c r="AM94" i="2"/>
  <c r="AI94" i="2"/>
  <c r="AE94" i="2"/>
  <c r="AA94" i="2"/>
  <c r="W94" i="2"/>
  <c r="S94" i="2"/>
  <c r="AJ92" i="2"/>
  <c r="AF92" i="2"/>
  <c r="AB92" i="2"/>
  <c r="X92" i="2"/>
  <c r="T92" i="2"/>
  <c r="AK91" i="2"/>
  <c r="AG91" i="2"/>
  <c r="AC91" i="2"/>
  <c r="Y91" i="2"/>
  <c r="U91" i="2"/>
  <c r="AL90" i="2"/>
  <c r="AH90" i="2"/>
  <c r="AD90" i="2"/>
  <c r="Z90" i="2"/>
  <c r="V90" i="2"/>
  <c r="AM89" i="2"/>
  <c r="AI89" i="2"/>
  <c r="AE89" i="2"/>
  <c r="AA89" i="2"/>
  <c r="W89" i="2"/>
  <c r="S89" i="2"/>
  <c r="AJ87" i="2"/>
  <c r="AF87" i="2"/>
  <c r="AB87" i="2"/>
  <c r="X87" i="2"/>
  <c r="T87" i="2"/>
  <c r="AK86" i="2"/>
  <c r="AG86" i="2"/>
  <c r="AC86" i="2"/>
  <c r="Y86" i="2"/>
  <c r="U86" i="2"/>
  <c r="AL85" i="2"/>
  <c r="AH85" i="2"/>
  <c r="AD85" i="2"/>
  <c r="Z85" i="2"/>
  <c r="V85" i="2"/>
  <c r="AM84" i="2"/>
  <c r="AI84" i="2"/>
  <c r="AE84" i="2"/>
  <c r="AA84" i="2"/>
  <c r="W84" i="2"/>
  <c r="S84" i="2"/>
  <c r="AJ29" i="2"/>
  <c r="AF29" i="2"/>
  <c r="AB29" i="2"/>
  <c r="X29" i="2"/>
  <c r="T29" i="2"/>
  <c r="AK28" i="2"/>
  <c r="AG28" i="2"/>
  <c r="AC28" i="2"/>
  <c r="Y28" i="2"/>
  <c r="U28" i="2"/>
  <c r="AL26" i="2"/>
  <c r="AH26" i="2"/>
  <c r="AD26" i="2"/>
  <c r="Z26" i="2"/>
  <c r="V26" i="2"/>
  <c r="AM25" i="2"/>
  <c r="AI25" i="2"/>
  <c r="AE25" i="2"/>
  <c r="AA25" i="2"/>
  <c r="W25" i="2"/>
  <c r="S25" i="2"/>
  <c r="AJ23" i="2"/>
  <c r="AF23" i="2"/>
  <c r="AB23" i="2"/>
  <c r="X23" i="2"/>
  <c r="T23" i="2"/>
  <c r="AK22" i="2"/>
  <c r="AG22" i="2"/>
  <c r="AC22" i="2"/>
  <c r="Y22" i="2"/>
  <c r="U22" i="2"/>
  <c r="CE17" i="2"/>
  <c r="CA17" i="2"/>
  <c r="BW17" i="2"/>
  <c r="BS17" i="2"/>
  <c r="BO17" i="2"/>
  <c r="CF16" i="2"/>
  <c r="CB16" i="2"/>
  <c r="BX16" i="2"/>
  <c r="BP16" i="2"/>
  <c r="AM111" i="2"/>
  <c r="AG109" i="2"/>
  <c r="AA106" i="2"/>
  <c r="U104" i="2"/>
  <c r="AI101" i="2"/>
  <c r="W101" i="2"/>
  <c r="AF100" i="2"/>
  <c r="T100" i="2"/>
  <c r="AC99" i="2"/>
  <c r="U99" i="2"/>
  <c r="AD97" i="2"/>
  <c r="AM96" i="2"/>
  <c r="AA96" i="2"/>
  <c r="AF95" i="2"/>
  <c r="T95" i="2"/>
  <c r="AG94" i="2"/>
  <c r="AL92" i="2"/>
  <c r="Z92" i="2"/>
  <c r="AI91" i="2"/>
  <c r="W91" i="2"/>
  <c r="AB90" i="2"/>
  <c r="AK89" i="2"/>
  <c r="AL112" i="2"/>
  <c r="V112" i="2"/>
  <c r="AA111" i="2"/>
  <c r="AF110" i="2"/>
  <c r="AK109" i="2"/>
  <c r="U109" i="2"/>
  <c r="Z107" i="2"/>
  <c r="AE106" i="2"/>
  <c r="AJ105" i="2"/>
  <c r="T105" i="2"/>
  <c r="Y104" i="2"/>
  <c r="AD102" i="2"/>
  <c r="S102" i="2"/>
  <c r="AJ101" i="2"/>
  <c r="AF101" i="2"/>
  <c r="AB101" i="2"/>
  <c r="X101" i="2"/>
  <c r="T101" i="2"/>
  <c r="AK100" i="2"/>
  <c r="AG100" i="2"/>
  <c r="AC100" i="2"/>
  <c r="Y100" i="2"/>
  <c r="U100" i="2"/>
  <c r="AL99" i="2"/>
  <c r="AH99" i="2"/>
  <c r="AD99" i="2"/>
  <c r="Z99" i="2"/>
  <c r="V99" i="2"/>
  <c r="AM97" i="2"/>
  <c r="AI97" i="2"/>
  <c r="AE97" i="2"/>
  <c r="AA97" i="2"/>
  <c r="W97" i="2"/>
  <c r="S97" i="2"/>
  <c r="AJ96" i="2"/>
  <c r="AF96" i="2"/>
  <c r="AB96" i="2"/>
  <c r="X96" i="2"/>
  <c r="T96" i="2"/>
  <c r="AK95" i="2"/>
  <c r="AG95" i="2"/>
  <c r="AC95" i="2"/>
  <c r="Y95" i="2"/>
  <c r="U95" i="2"/>
  <c r="AL94" i="2"/>
  <c r="AH94" i="2"/>
  <c r="AD94" i="2"/>
  <c r="Z94" i="2"/>
  <c r="V94" i="2"/>
  <c r="AM92" i="2"/>
  <c r="AI92" i="2"/>
  <c r="AE92" i="2"/>
  <c r="AA92" i="2"/>
  <c r="W92" i="2"/>
  <c r="S92" i="2"/>
  <c r="AJ91" i="2"/>
  <c r="AF91" i="2"/>
  <c r="AB91" i="2"/>
  <c r="X91" i="2"/>
  <c r="T91" i="2"/>
  <c r="AK90" i="2"/>
  <c r="AG90" i="2"/>
  <c r="AC90" i="2"/>
  <c r="Y90" i="2"/>
  <c r="U90" i="2"/>
  <c r="AL89" i="2"/>
  <c r="AH89" i="2"/>
  <c r="AD89" i="2"/>
  <c r="Z89" i="2"/>
  <c r="V89" i="2"/>
  <c r="AM87" i="2"/>
  <c r="AI87" i="2"/>
  <c r="AE87" i="2"/>
  <c r="AA87" i="2"/>
  <c r="W87" i="2"/>
  <c r="S87" i="2"/>
  <c r="AJ86" i="2"/>
  <c r="AF86" i="2"/>
  <c r="AB86" i="2"/>
  <c r="X86" i="2"/>
  <c r="T86" i="2"/>
  <c r="AK85" i="2"/>
  <c r="AG85" i="2"/>
  <c r="AC85" i="2"/>
  <c r="Y85" i="2"/>
  <c r="U85" i="2"/>
  <c r="AL84" i="2"/>
  <c r="AH84" i="2"/>
  <c r="AD84" i="2"/>
  <c r="Z84" i="2"/>
  <c r="V84" i="2"/>
  <c r="AM29" i="2"/>
  <c r="AI29" i="2"/>
  <c r="AE29" i="2"/>
  <c r="AA29" i="2"/>
  <c r="W29" i="2"/>
  <c r="S29" i="2"/>
  <c r="AJ28" i="2"/>
  <c r="AF28" i="2"/>
  <c r="AB28" i="2"/>
  <c r="X28" i="2"/>
  <c r="T28" i="2"/>
  <c r="AK26" i="2"/>
  <c r="AG26" i="2"/>
  <c r="AC26" i="2"/>
  <c r="Y26" i="2"/>
  <c r="U26" i="2"/>
  <c r="AL25" i="2"/>
  <c r="AH25" i="2"/>
  <c r="AD25" i="2"/>
  <c r="Z25" i="2"/>
  <c r="V25" i="2"/>
  <c r="AM23" i="2"/>
  <c r="AI23" i="2"/>
  <c r="AE23" i="2"/>
  <c r="AA23" i="2"/>
  <c r="W23" i="2"/>
  <c r="S23" i="2"/>
  <c r="AJ22" i="2"/>
  <c r="AF22" i="2"/>
  <c r="AB22" i="2"/>
  <c r="X22" i="2"/>
  <c r="T22" i="2"/>
  <c r="CD17" i="2"/>
  <c r="BZ17" i="2"/>
  <c r="BV17" i="2"/>
  <c r="BR17" i="2"/>
  <c r="BN17" i="2"/>
  <c r="CE16" i="2"/>
  <c r="CA16" i="2"/>
  <c r="BW16" i="2"/>
  <c r="BS16" i="2"/>
  <c r="BO16" i="2"/>
  <c r="AH112" i="2"/>
  <c r="AB110" i="2"/>
  <c r="V107" i="2"/>
  <c r="AK104" i="2"/>
  <c r="AM101" i="2"/>
  <c r="AA101" i="2"/>
  <c r="AJ100" i="2"/>
  <c r="X100" i="2"/>
  <c r="AG99" i="2"/>
  <c r="AL97" i="2"/>
  <c r="Z97" i="2"/>
  <c r="AI96" i="2"/>
  <c r="W96" i="2"/>
  <c r="AJ95" i="2"/>
  <c r="X95" i="2"/>
  <c r="AC94" i="2"/>
  <c r="AH92" i="2"/>
  <c r="V92" i="2"/>
  <c r="AE91" i="2"/>
  <c r="S91" i="2"/>
  <c r="AF90" i="2"/>
  <c r="T90" i="2"/>
  <c r="AG89" i="2"/>
  <c r="AL87" i="2"/>
  <c r="V87" i="2"/>
  <c r="AA86" i="2"/>
  <c r="AF85" i="2"/>
  <c r="AK84" i="2"/>
  <c r="U84" i="2"/>
  <c r="Z29" i="2"/>
  <c r="AE28" i="2"/>
  <c r="AJ26" i="2"/>
  <c r="T26" i="2"/>
  <c r="Y25" i="2"/>
  <c r="AD23" i="2"/>
  <c r="AI22" i="2"/>
  <c r="S22" i="2"/>
  <c r="BQ17" i="2"/>
  <c r="BV16" i="2"/>
  <c r="BR16" i="2"/>
  <c r="AE86" i="2"/>
  <c r="T85" i="2"/>
  <c r="AI28" i="2"/>
  <c r="AC25" i="2"/>
  <c r="W22" i="2"/>
  <c r="AC89" i="2"/>
  <c r="AH87" i="2"/>
  <c r="AM86" i="2"/>
  <c r="W86" i="2"/>
  <c r="AB85" i="2"/>
  <c r="AG84" i="2"/>
  <c r="AL29" i="2"/>
  <c r="V29" i="2"/>
  <c r="AA28" i="2"/>
  <c r="AF26" i="2"/>
  <c r="AK25" i="2"/>
  <c r="U25" i="2"/>
  <c r="Z23" i="2"/>
  <c r="AE22" i="2"/>
  <c r="CC17" i="2"/>
  <c r="BM17" i="2"/>
  <c r="U89" i="2"/>
  <c r="AJ85" i="2"/>
  <c r="AD29" i="2"/>
  <c r="X26" i="2"/>
  <c r="AM22" i="2"/>
  <c r="BZ16" i="2"/>
  <c r="Y89" i="2"/>
  <c r="AD87" i="2"/>
  <c r="AI86" i="2"/>
  <c r="S86" i="2"/>
  <c r="X85" i="2"/>
  <c r="AC84" i="2"/>
  <c r="AH29" i="2"/>
  <c r="AM28" i="2"/>
  <c r="W28" i="2"/>
  <c r="AB26" i="2"/>
  <c r="AG25" i="2"/>
  <c r="AL23" i="2"/>
  <c r="V23" i="2"/>
  <c r="AA22" i="2"/>
  <c r="BY17" i="2"/>
  <c r="CD16" i="2"/>
  <c r="BN16" i="2"/>
  <c r="Z87" i="2"/>
  <c r="Y84" i="2"/>
  <c r="S28" i="2"/>
  <c r="AH23" i="2"/>
  <c r="BU17" i="2"/>
  <c r="Z157" i="2"/>
  <c r="V157" i="2"/>
  <c r="Y157" i="2"/>
  <c r="U157" i="2"/>
  <c r="AB157" i="2"/>
  <c r="X157" i="2"/>
  <c r="T157" i="2"/>
  <c r="W157" i="2"/>
  <c r="AA157" i="2"/>
  <c r="S157" i="2"/>
  <c r="Y94" i="8"/>
  <c r="U71" i="10"/>
  <c r="BR52" i="10"/>
  <c r="U26" i="10"/>
  <c r="BT43" i="10"/>
  <c r="AE22" i="10"/>
  <c r="AG69" i="10"/>
  <c r="X78" i="10"/>
  <c r="CB34" i="10"/>
  <c r="BS95" i="10"/>
  <c r="V16" i="10"/>
  <c r="AB73" i="10"/>
  <c r="CG26" i="10"/>
  <c r="CC42" i="10"/>
  <c r="AJ28" i="10"/>
  <c r="AE70" i="10"/>
  <c r="BV25" i="10"/>
  <c r="BQ52" i="10"/>
  <c r="AC16" i="10"/>
  <c r="T25" i="10"/>
  <c r="Z25" i="10"/>
  <c r="U30" i="10"/>
  <c r="T53" i="10"/>
  <c r="AI85" i="10"/>
  <c r="AI74" i="10"/>
  <c r="Y82" i="10"/>
  <c r="W87" i="10"/>
  <c r="BO23" i="10"/>
  <c r="CB23" i="10"/>
  <c r="BU33" i="10"/>
  <c r="CA53" i="10"/>
  <c r="CG98" i="10"/>
  <c r="AI21" i="10"/>
  <c r="AA24" i="10"/>
  <c r="Z29" i="10"/>
  <c r="T58" i="10"/>
  <c r="Y73" i="10"/>
  <c r="AE81" i="10"/>
  <c r="AE83" i="10"/>
  <c r="AL78" i="10"/>
  <c r="V96" i="10"/>
  <c r="BT26" i="10"/>
  <c r="BP26" i="10"/>
  <c r="BR61" i="10"/>
  <c r="BV35" i="10"/>
  <c r="CD42" i="10"/>
  <c r="CE87" i="10"/>
  <c r="AE16" i="10"/>
  <c r="AB17" i="10"/>
  <c r="AA28" i="10"/>
  <c r="AB31" i="10"/>
  <c r="T91" i="10"/>
  <c r="T62" i="10"/>
  <c r="AG102" i="10"/>
  <c r="X79" i="10"/>
  <c r="AK87" i="10"/>
  <c r="AJ103" i="10"/>
  <c r="BO25" i="10"/>
  <c r="BY25" i="10"/>
  <c r="BT32" i="10"/>
  <c r="BT35" i="10"/>
  <c r="CA61" i="10"/>
  <c r="BX91" i="10"/>
  <c r="BP100" i="10"/>
  <c r="BO100" i="10"/>
  <c r="BZ64" i="10"/>
  <c r="CD100" i="10"/>
  <c r="AD38" i="10"/>
  <c r="CA54" i="10"/>
  <c r="BQ81" i="10"/>
  <c r="BR99" i="10"/>
  <c r="CB90" i="10"/>
  <c r="BO81" i="10"/>
  <c r="BO63" i="10"/>
  <c r="BO54" i="10"/>
  <c r="BT36" i="10"/>
  <c r="BU81" i="10"/>
  <c r="BQ36" i="10"/>
  <c r="CD81" i="10"/>
  <c r="BR81" i="10"/>
  <c r="CH45" i="10"/>
  <c r="BR72" i="10"/>
  <c r="CD45" i="10"/>
  <c r="CA27" i="10"/>
  <c r="BX27" i="10"/>
  <c r="BU27" i="10"/>
  <c r="BO27" i="10"/>
  <c r="CD27" i="10"/>
  <c r="BX95" i="10"/>
  <c r="BU96" i="10"/>
  <c r="BR97" i="10"/>
  <c r="CH97" i="10"/>
  <c r="CE98" i="10"/>
  <c r="BX86" i="10"/>
  <c r="BU87" i="10"/>
  <c r="BR88" i="10"/>
  <c r="CH88" i="10"/>
  <c r="CE89" i="10"/>
  <c r="BX77" i="10"/>
  <c r="BU78" i="10"/>
  <c r="BR79" i="10"/>
  <c r="CH79" i="10"/>
  <c r="CE80" i="10"/>
  <c r="BX68" i="10"/>
  <c r="BU69" i="10"/>
  <c r="BR70" i="10"/>
  <c r="CC95" i="10"/>
  <c r="BZ96" i="10"/>
  <c r="BW97" i="10"/>
  <c r="BT98" i="10"/>
  <c r="BO97" i="10"/>
  <c r="CC86" i="10"/>
  <c r="BZ87" i="10"/>
  <c r="BW88" i="10"/>
  <c r="BT89" i="10"/>
  <c r="BO88" i="10"/>
  <c r="CC77" i="10"/>
  <c r="BZ78" i="10"/>
  <c r="BW79" i="10"/>
  <c r="BT80" i="10"/>
  <c r="BO79" i="10"/>
  <c r="CC68" i="10"/>
  <c r="BZ69" i="10"/>
  <c r="BW70" i="10"/>
  <c r="BT71" i="10"/>
  <c r="BO70" i="10"/>
  <c r="BW95" i="10"/>
  <c r="BT96" i="10"/>
  <c r="BQ97" i="10"/>
  <c r="BO64" i="10"/>
  <c r="CB91" i="10"/>
  <c r="CA64" i="10"/>
  <c r="BU46" i="10"/>
  <c r="BV46" i="10"/>
  <c r="CA90" i="10"/>
  <c r="CE54" i="10"/>
  <c r="BY81" i="10"/>
  <c r="CH72" i="10"/>
  <c r="BP81" i="10"/>
  <c r="BT72" i="10"/>
  <c r="CB63" i="10"/>
  <c r="BP45" i="10"/>
  <c r="CB36" i="10"/>
  <c r="CC72" i="10"/>
  <c r="CC36" i="10"/>
  <c r="CD63" i="10"/>
  <c r="BV63" i="10"/>
  <c r="CD36" i="10"/>
  <c r="BZ63" i="10"/>
  <c r="BZ36" i="10"/>
  <c r="CE27" i="10"/>
  <c r="CB27" i="10"/>
  <c r="BY27" i="10"/>
  <c r="BR27" i="10"/>
  <c r="CH27" i="10"/>
  <c r="CB95" i="10"/>
  <c r="BY96" i="10"/>
  <c r="BV97" i="10"/>
  <c r="BS98" i="10"/>
  <c r="BO96" i="10"/>
  <c r="CB86" i="10"/>
  <c r="BY87" i="10"/>
  <c r="BV88" i="10"/>
  <c r="BS89" i="10"/>
  <c r="BO87" i="10"/>
  <c r="CB77" i="10"/>
  <c r="BY78" i="10"/>
  <c r="BV79" i="10"/>
  <c r="BS80" i="10"/>
  <c r="BO78" i="10"/>
  <c r="CB68" i="10"/>
  <c r="BY69" i="10"/>
  <c r="BQ95" i="10"/>
  <c r="CG95" i="10"/>
  <c r="CD96" i="10"/>
  <c r="CA97" i="10"/>
  <c r="BX98" i="10"/>
  <c r="BQ86" i="10"/>
  <c r="CG86" i="10"/>
  <c r="CD87" i="10"/>
  <c r="CA88" i="10"/>
  <c r="BX89" i="10"/>
  <c r="BQ77" i="10"/>
  <c r="CG77" i="10"/>
  <c r="CD78" i="10"/>
  <c r="CA79" i="10"/>
  <c r="BX80" i="10"/>
  <c r="BQ68" i="10"/>
  <c r="CG68" i="10"/>
  <c r="CD69" i="10"/>
  <c r="CA70" i="10"/>
  <c r="BX71" i="10"/>
  <c r="BO60" i="10"/>
  <c r="CA95" i="10"/>
  <c r="BX96" i="10"/>
  <c r="BU97" i="10"/>
  <c r="BR98" i="10"/>
  <c r="CH98" i="10"/>
  <c r="CA86" i="10"/>
  <c r="BX87" i="10"/>
  <c r="BU88" i="10"/>
  <c r="BR89" i="10"/>
  <c r="CH89" i="10"/>
  <c r="CA77" i="10"/>
  <c r="BX78" i="10"/>
  <c r="BU79" i="10"/>
  <c r="BR80" i="10"/>
  <c r="CH80" i="10"/>
  <c r="CA68" i="10"/>
  <c r="BX69" i="10"/>
  <c r="BU70" i="10"/>
  <c r="BR71" i="10"/>
  <c r="CH71" i="10"/>
  <c r="BW59" i="10"/>
  <c r="BX55" i="10"/>
  <c r="BP55" i="10"/>
  <c r="BY100" i="10"/>
  <c r="BR91" i="10"/>
  <c r="AD45" i="10"/>
  <c r="CE90" i="10"/>
  <c r="CA45" i="10"/>
  <c r="BY54" i="10"/>
  <c r="BZ54" i="10"/>
  <c r="BT81" i="10"/>
  <c r="CB72" i="10"/>
  <c r="BT54" i="10"/>
  <c r="BT45" i="10"/>
  <c r="CG99" i="10"/>
  <c r="BU54" i="10"/>
  <c r="BV99" i="10"/>
  <c r="BZ45" i="10"/>
  <c r="BR54" i="10"/>
  <c r="BZ90" i="10"/>
  <c r="BV54" i="10"/>
  <c r="BS27" i="10"/>
  <c r="BP27" i="10"/>
  <c r="CF27" i="10"/>
  <c r="CC27" i="10"/>
  <c r="BV27" i="10"/>
  <c r="BP95" i="10"/>
  <c r="CF95" i="10"/>
  <c r="CC96" i="10"/>
  <c r="BZ97" i="10"/>
  <c r="BW98" i="10"/>
  <c r="BP86" i="10"/>
  <c r="CF86" i="10"/>
  <c r="CC87" i="10"/>
  <c r="BZ88" i="10"/>
  <c r="BW89" i="10"/>
  <c r="BP77" i="10"/>
  <c r="CF77" i="10"/>
  <c r="CC78" i="10"/>
  <c r="BZ79" i="10"/>
  <c r="BW80" i="10"/>
  <c r="BP68" i="10"/>
  <c r="CF68" i="10"/>
  <c r="CC69" i="10"/>
  <c r="BU95" i="10"/>
  <c r="BR96" i="10"/>
  <c r="CH96" i="10"/>
  <c r="CE97" i="10"/>
  <c r="CB98" i="10"/>
  <c r="BU86" i="10"/>
  <c r="BR87" i="10"/>
  <c r="CH87" i="10"/>
  <c r="CE88" i="10"/>
  <c r="CB89" i="10"/>
  <c r="BU77" i="10"/>
  <c r="BR78" i="10"/>
  <c r="CH78" i="10"/>
  <c r="CE79" i="10"/>
  <c r="CB80" i="10"/>
  <c r="BU68" i="10"/>
  <c r="BR69" i="10"/>
  <c r="CH69" i="10"/>
  <c r="CE70" i="10"/>
  <c r="CB71" i="10"/>
  <c r="BQ59" i="10"/>
  <c r="CE95" i="10"/>
  <c r="CB96" i="10"/>
  <c r="BY97" i="10"/>
  <c r="BV98" i="10"/>
  <c r="BR100" i="10"/>
  <c r="AB46" i="10"/>
  <c r="BV45" i="10"/>
  <c r="BO45" i="10"/>
  <c r="BR36" i="10"/>
  <c r="BW27" i="10"/>
  <c r="BZ27" i="10"/>
  <c r="CD97" i="10"/>
  <c r="CG87" i="10"/>
  <c r="BQ78" i="10"/>
  <c r="BT68" i="10"/>
  <c r="BV96" i="10"/>
  <c r="BY86" i="10"/>
  <c r="CF89" i="10"/>
  <c r="BP80" i="10"/>
  <c r="BS70" i="10"/>
  <c r="BP96" i="10"/>
  <c r="BZ98" i="10"/>
  <c r="BW86" i="10"/>
  <c r="CB87" i="10"/>
  <c r="CC88" i="10"/>
  <c r="CD89" i="10"/>
  <c r="CE77" i="10"/>
  <c r="CF78" i="10"/>
  <c r="CG79" i="10"/>
  <c r="BO77" i="10"/>
  <c r="BP69" i="10"/>
  <c r="BQ70" i="10"/>
  <c r="BV71" i="10"/>
  <c r="BO62" i="10"/>
  <c r="BR95" i="10"/>
  <c r="BY98" i="10"/>
  <c r="CB88" i="10"/>
  <c r="CE78" i="10"/>
  <c r="CH68" i="10"/>
  <c r="BU71" i="10"/>
  <c r="BX59" i="10"/>
  <c r="BW60" i="10"/>
  <c r="BT61" i="10"/>
  <c r="BQ62" i="10"/>
  <c r="CG62" i="10"/>
  <c r="CD50" i="10"/>
  <c r="CA51" i="10"/>
  <c r="BX52" i="10"/>
  <c r="BU53" i="10"/>
  <c r="BO53" i="10"/>
  <c r="CD41" i="10"/>
  <c r="CA42" i="10"/>
  <c r="BX43" i="10"/>
  <c r="BU44" i="10"/>
  <c r="BO44" i="10"/>
  <c r="CD32" i="10"/>
  <c r="CF97" i="10"/>
  <c r="BP88" i="10"/>
  <c r="BS78" i="10"/>
  <c r="BV68" i="10"/>
  <c r="CH70" i="10"/>
  <c r="BT59" i="10"/>
  <c r="BT60" i="10"/>
  <c r="BQ61" i="10"/>
  <c r="CG61" i="10"/>
  <c r="CD62" i="10"/>
  <c r="CA50" i="10"/>
  <c r="BX51" i="10"/>
  <c r="BU52" i="10"/>
  <c r="BR53" i="10"/>
  <c r="CH53" i="10"/>
  <c r="CA41" i="10"/>
  <c r="BX42" i="10"/>
  <c r="BU43" i="10"/>
  <c r="BR44" i="10"/>
  <c r="CH44" i="10"/>
  <c r="BX97" i="10"/>
  <c r="CA87" i="10"/>
  <c r="CD77" i="10"/>
  <c r="BO80" i="10"/>
  <c r="CD70" i="10"/>
  <c r="BP59" i="10"/>
  <c r="BR60" i="10"/>
  <c r="CH60" i="10"/>
  <c r="CE61" i="10"/>
  <c r="CB62" i="10"/>
  <c r="BY50" i="10"/>
  <c r="BV51" i="10"/>
  <c r="BS52" i="10"/>
  <c r="BP37" i="10"/>
  <c r="CA81" i="10"/>
  <c r="CF81" i="10"/>
  <c r="BU90" i="10"/>
  <c r="BR45" i="10"/>
  <c r="BT27" i="10"/>
  <c r="BT95" i="10"/>
  <c r="CA98" i="10"/>
  <c r="CD88" i="10"/>
  <c r="CG78" i="10"/>
  <c r="BQ69" i="10"/>
  <c r="BS97" i="10"/>
  <c r="BV87" i="10"/>
  <c r="BY77" i="10"/>
  <c r="CF80" i="10"/>
  <c r="BP71" i="10"/>
  <c r="CF96" i="10"/>
  <c r="CD98" i="10"/>
  <c r="CE86" i="10"/>
  <c r="CF87" i="10"/>
  <c r="CG88" i="10"/>
  <c r="BO86" i="10"/>
  <c r="BP78" i="10"/>
  <c r="BQ79" i="10"/>
  <c r="BV80" i="10"/>
  <c r="BS68" i="10"/>
  <c r="BT69" i="10"/>
  <c r="BY70" i="10"/>
  <c r="BZ71" i="10"/>
  <c r="BS59" i="10"/>
  <c r="CH95" i="10"/>
  <c r="BR86" i="10"/>
  <c r="BY89" i="10"/>
  <c r="CB79" i="10"/>
  <c r="CE69" i="10"/>
  <c r="CC71" i="10"/>
  <c r="CC59" i="10"/>
  <c r="CA60" i="10"/>
  <c r="BX61" i="10"/>
  <c r="BU62" i="10"/>
  <c r="BR50" i="10"/>
  <c r="CH50" i="10"/>
  <c r="CE51" i="10"/>
  <c r="CB52" i="10"/>
  <c r="BY53" i="10"/>
  <c r="BR41" i="10"/>
  <c r="CH41" i="10"/>
  <c r="CE42" i="10"/>
  <c r="CB43" i="10"/>
  <c r="BY44" i="10"/>
  <c r="BR32" i="10"/>
  <c r="BV95" i="10"/>
  <c r="CC98" i="10"/>
  <c r="CF88" i="10"/>
  <c r="BP79" i="10"/>
  <c r="BS69" i="10"/>
  <c r="BW71" i="10"/>
  <c r="BY59" i="10"/>
  <c r="BX60" i="10"/>
  <c r="BU61" i="10"/>
  <c r="BR62" i="10"/>
  <c r="CH62" i="10"/>
  <c r="CE50" i="10"/>
  <c r="CB51" i="10"/>
  <c r="BY52" i="10"/>
  <c r="BV53" i="10"/>
  <c r="BO50" i="10"/>
  <c r="CE41" i="10"/>
  <c r="CB42" i="10"/>
  <c r="BY43" i="10"/>
  <c r="BV44" i="10"/>
  <c r="BO41" i="10"/>
  <c r="BU98" i="10"/>
  <c r="BX88" i="10"/>
  <c r="CA78" i="10"/>
  <c r="CD68" i="10"/>
  <c r="BS71" i="10"/>
  <c r="BV59" i="10"/>
  <c r="BV60" i="10"/>
  <c r="BS61" i="10"/>
  <c r="BP62" i="10"/>
  <c r="CF62" i="10"/>
  <c r="CC50" i="10"/>
  <c r="BZ51" i="10"/>
  <c r="BW52" i="10"/>
  <c r="BT53" i="10"/>
  <c r="BO52" i="10"/>
  <c r="CC41" i="10"/>
  <c r="BZ42" i="10"/>
  <c r="BW43" i="10"/>
  <c r="BT44" i="10"/>
  <c r="CC100" i="10"/>
  <c r="CE36" i="10"/>
  <c r="BO72" i="10"/>
  <c r="CC54" i="10"/>
  <c r="BV81" i="10"/>
  <c r="BQ27" i="10"/>
  <c r="BQ96" i="10"/>
  <c r="BT86" i="10"/>
  <c r="CA89" i="10"/>
  <c r="CD79" i="10"/>
  <c r="CG69" i="10"/>
  <c r="BP98" i="10"/>
  <c r="BS88" i="10"/>
  <c r="BV78" i="10"/>
  <c r="BY68" i="10"/>
  <c r="CF71" i="10"/>
  <c r="CC97" i="10"/>
  <c r="BO95" i="10"/>
  <c r="BP87" i="10"/>
  <c r="BQ88" i="10"/>
  <c r="BV89" i="10"/>
  <c r="BS77" i="10"/>
  <c r="BT78" i="10"/>
  <c r="BY79" i="10"/>
  <c r="BZ80" i="10"/>
  <c r="BW68" i="10"/>
  <c r="CB69" i="10"/>
  <c r="CC70" i="10"/>
  <c r="CD71" i="10"/>
  <c r="CA59" i="10"/>
  <c r="CE96" i="10"/>
  <c r="CH86" i="10"/>
  <c r="BR77" i="10"/>
  <c r="BY80" i="10"/>
  <c r="BX70" i="10"/>
  <c r="BO71" i="10"/>
  <c r="CH59" i="10"/>
  <c r="CE60" i="10"/>
  <c r="CB61" i="10"/>
  <c r="BY62" i="10"/>
  <c r="BV50" i="10"/>
  <c r="BS51" i="10"/>
  <c r="BP52" i="10"/>
  <c r="CF52" i="10"/>
  <c r="CC53" i="10"/>
  <c r="BV41" i="10"/>
  <c r="BS42" i="10"/>
  <c r="BP43" i="10"/>
  <c r="CF43" i="10"/>
  <c r="CC44" i="10"/>
  <c r="BV32" i="10"/>
  <c r="BS96" i="10"/>
  <c r="BV86" i="10"/>
  <c r="CC89" i="10"/>
  <c r="CF79" i="10"/>
  <c r="BP70" i="10"/>
  <c r="CE71" i="10"/>
  <c r="CD59" i="10"/>
  <c r="CB60" i="10"/>
  <c r="BY61" i="10"/>
  <c r="BV62" i="10"/>
  <c r="BS50" i="10"/>
  <c r="BP51" i="10"/>
  <c r="CF51" i="10"/>
  <c r="CC52" i="10"/>
  <c r="BZ53" i="10"/>
  <c r="BS41" i="10"/>
  <c r="BP42" i="10"/>
  <c r="CF42" i="10"/>
  <c r="CC43" i="10"/>
  <c r="BZ44" i="10"/>
  <c r="CD95" i="10"/>
  <c r="BO98" i="10"/>
  <c r="BU89" i="10"/>
  <c r="BX79" i="10"/>
  <c r="CA69" i="10"/>
  <c r="CA71" i="10"/>
  <c r="CB59" i="10"/>
  <c r="BZ60" i="10"/>
  <c r="BW61" i="10"/>
  <c r="BT62" i="10"/>
  <c r="BQ50" i="10"/>
  <c r="CG50" i="10"/>
  <c r="CD51" i="10"/>
  <c r="CA52" i="10"/>
  <c r="BW64" i="10"/>
  <c r="CH54" i="10"/>
  <c r="BT77" i="10"/>
  <c r="BP89" i="10"/>
  <c r="CG97" i="10"/>
  <c r="BZ89" i="10"/>
  <c r="CD80" i="10"/>
  <c r="BO68" i="10"/>
  <c r="CH77" i="10"/>
  <c r="BS60" i="10"/>
  <c r="BZ50" i="10"/>
  <c r="CG53" i="10"/>
  <c r="BQ44" i="10"/>
  <c r="BS87" i="10"/>
  <c r="BO59" i="10"/>
  <c r="BZ62" i="10"/>
  <c r="CG52" i="10"/>
  <c r="BQ43" i="10"/>
  <c r="CD86" i="10"/>
  <c r="BO69" i="10"/>
  <c r="BX62" i="10"/>
  <c r="CE52" i="10"/>
  <c r="CF53" i="10"/>
  <c r="CG41" i="10"/>
  <c r="CH42" i="10"/>
  <c r="BP44" i="10"/>
  <c r="BO43" i="10"/>
  <c r="CC32" i="10"/>
  <c r="BQ89" i="10"/>
  <c r="BZ59" i="10"/>
  <c r="BP50" i="10"/>
  <c r="BW53" i="10"/>
  <c r="BZ43" i="10"/>
  <c r="CF32" i="10"/>
  <c r="CD33" i="10"/>
  <c r="CA34" i="10"/>
  <c r="BX35" i="10"/>
  <c r="BZ77" i="10"/>
  <c r="CH52" i="10"/>
  <c r="BX33" i="10"/>
  <c r="CD35" i="10"/>
  <c r="BQ80" i="10"/>
  <c r="CC60" i="10"/>
  <c r="BQ51" i="10"/>
  <c r="BT41" i="10"/>
  <c r="CA44" i="10"/>
  <c r="BS33" i="10"/>
  <c r="BP34" i="10"/>
  <c r="CF34" i="10"/>
  <c r="CC35" i="10"/>
  <c r="BW87" i="10"/>
  <c r="BU51" i="10"/>
  <c r="BT33" i="10"/>
  <c r="BR35" i="10"/>
  <c r="BQ98" i="10"/>
  <c r="BQ71" i="10"/>
  <c r="CH61" i="10"/>
  <c r="BV52" i="10"/>
  <c r="BY42" i="10"/>
  <c r="BW32" i="10"/>
  <c r="BY33" i="10"/>
  <c r="BV34" i="10"/>
  <c r="BS35" i="10"/>
  <c r="BO35" i="10"/>
  <c r="BX41" i="10"/>
  <c r="BS23" i="10"/>
  <c r="BP24" i="10"/>
  <c r="CF24" i="10"/>
  <c r="CC25" i="10"/>
  <c r="BZ26" i="10"/>
  <c r="BQ23" i="10"/>
  <c r="CD24" i="10"/>
  <c r="BX26" i="10"/>
  <c r="CA24" i="10"/>
  <c r="BY45" i="10"/>
  <c r="CG27" i="10"/>
  <c r="CA80" i="10"/>
  <c r="BS79" i="10"/>
  <c r="BS86" i="10"/>
  <c r="BW77" i="10"/>
  <c r="CE68" i="10"/>
  <c r="CE59" i="10"/>
  <c r="BR68" i="10"/>
  <c r="BP61" i="10"/>
  <c r="BW51" i="10"/>
  <c r="BZ41" i="10"/>
  <c r="CG44" i="10"/>
  <c r="BV77" i="10"/>
  <c r="BP60" i="10"/>
  <c r="BW50" i="10"/>
  <c r="CD53" i="10"/>
  <c r="CG43" i="10"/>
  <c r="BO89" i="10"/>
  <c r="CG59" i="10"/>
  <c r="BU50" i="10"/>
  <c r="BP53" i="10"/>
  <c r="BQ41" i="10"/>
  <c r="BR42" i="10"/>
  <c r="BS43" i="10"/>
  <c r="BX44" i="10"/>
  <c r="BQ32" i="10"/>
  <c r="CG32" i="10"/>
  <c r="BT79" i="10"/>
  <c r="BY60" i="10"/>
  <c r="CF50" i="10"/>
  <c r="BP41" i="10"/>
  <c r="BW44" i="10"/>
  <c r="BR33" i="10"/>
  <c r="CH33" i="10"/>
  <c r="CE34" i="10"/>
  <c r="CB35" i="10"/>
  <c r="CB70" i="10"/>
  <c r="BU42" i="10"/>
  <c r="BQ34" i="10"/>
  <c r="BW96" i="10"/>
  <c r="BT70" i="10"/>
  <c r="BZ61" i="10"/>
  <c r="CG51" i="10"/>
  <c r="BQ42" i="10"/>
  <c r="BS32" i="10"/>
  <c r="BW33" i="10"/>
  <c r="BT34" i="10"/>
  <c r="BQ35" i="10"/>
  <c r="CG35" i="10"/>
  <c r="CG80" i="10"/>
  <c r="CE53" i="10"/>
  <c r="CF33" i="10"/>
  <c r="BZ35" i="10"/>
  <c r="BT88" i="10"/>
  <c r="BU59" i="10"/>
  <c r="CE62" i="10"/>
  <c r="BS53" i="10"/>
  <c r="BV43" i="10"/>
  <c r="CE32" i="10"/>
  <c r="CC33" i="10"/>
  <c r="BZ34" i="10"/>
  <c r="BW35" i="10"/>
  <c r="BO61" i="10"/>
  <c r="CH43" i="10"/>
  <c r="BW23" i="10"/>
  <c r="BT24" i="10"/>
  <c r="BQ25" i="10"/>
  <c r="CG25" i="10"/>
  <c r="CD26" i="10"/>
  <c r="BY23" i="10"/>
  <c r="BS25" i="10"/>
  <c r="CF26" i="10"/>
  <c r="BT25" i="10"/>
  <c r="BT23" i="10"/>
  <c r="BQ24" i="10"/>
  <c r="CG24" i="10"/>
  <c r="CD25" i="10"/>
  <c r="CA26" i="10"/>
  <c r="CC23" i="10"/>
  <c r="BW25" i="10"/>
  <c r="BO24" i="10"/>
  <c r="BQ26" i="10"/>
  <c r="BZ23" i="10"/>
  <c r="CB25" i="10"/>
  <c r="AI98" i="10"/>
  <c r="W88" i="10"/>
  <c r="AK94" i="10"/>
  <c r="W101" i="10"/>
  <c r="AD90" i="10"/>
  <c r="AJ96" i="10"/>
  <c r="AE103" i="10"/>
  <c r="AL92" i="10"/>
  <c r="U88" i="10"/>
  <c r="AL83" i="10"/>
  <c r="AH72" i="10"/>
  <c r="AL103" i="10"/>
  <c r="U81" i="10"/>
  <c r="AB84" i="10"/>
  <c r="AF75" i="10"/>
  <c r="Y72" i="10"/>
  <c r="T72" i="10"/>
  <c r="AG88" i="10"/>
  <c r="AH80" i="10"/>
  <c r="V84" i="10"/>
  <c r="AL75" i="10"/>
  <c r="AE72" i="10"/>
  <c r="X69" i="10"/>
  <c r="AB83" i="10"/>
  <c r="T46" i="10"/>
  <c r="T99" i="10"/>
  <c r="U73" i="10"/>
  <c r="AD74" i="10"/>
  <c r="AH85" i="10"/>
  <c r="T35" i="10"/>
  <c r="Y31" i="10"/>
  <c r="AC28" i="10"/>
  <c r="AG25" i="10"/>
  <c r="T29" i="10"/>
  <c r="AD30" i="10"/>
  <c r="AH27" i="10"/>
  <c r="AL24" i="10"/>
  <c r="T26" i="10"/>
  <c r="AE29" i="10"/>
  <c r="AI26" i="10"/>
  <c r="AM15" i="10"/>
  <c r="AB15" i="10"/>
  <c r="Z21" i="10"/>
  <c r="AF21" i="10"/>
  <c r="X22" i="10"/>
  <c r="AC22" i="10"/>
  <c r="AG17" i="10"/>
  <c r="AM19" i="10"/>
  <c r="AM20" i="10"/>
  <c r="Z16" i="10"/>
  <c r="BX54" i="10"/>
  <c r="CG96" i="10"/>
  <c r="BY95" i="10"/>
  <c r="BV69" i="10"/>
  <c r="BT87" i="10"/>
  <c r="CB78" i="10"/>
  <c r="CF69" i="10"/>
  <c r="CB97" i="10"/>
  <c r="CF70" i="10"/>
  <c r="CF61" i="10"/>
  <c r="BT52" i="10"/>
  <c r="BW42" i="10"/>
  <c r="BZ32" i="10"/>
  <c r="CC80" i="10"/>
  <c r="CF60" i="10"/>
  <c r="BT51" i="10"/>
  <c r="BW41" i="10"/>
  <c r="CD44" i="10"/>
  <c r="BU80" i="10"/>
  <c r="CD60" i="10"/>
  <c r="BR51" i="10"/>
  <c r="BX53" i="10"/>
  <c r="BU41" i="10"/>
  <c r="BV42" i="10"/>
  <c r="CA43" i="10"/>
  <c r="CB44" i="10"/>
  <c r="BU32" i="10"/>
  <c r="BZ95" i="10"/>
  <c r="BW69" i="10"/>
  <c r="BV61" i="10"/>
  <c r="CC51" i="10"/>
  <c r="CF41" i="10"/>
  <c r="BP32" i="10"/>
  <c r="BV33" i="10"/>
  <c r="BS34" i="10"/>
  <c r="BP35" i="10"/>
  <c r="CF35" i="10"/>
  <c r="CG60" i="10"/>
  <c r="CE44" i="10"/>
  <c r="BY34" i="10"/>
  <c r="BZ86" i="10"/>
  <c r="CG71" i="10"/>
  <c r="BW62" i="10"/>
  <c r="CD52" i="10"/>
  <c r="CG42" i="10"/>
  <c r="CA32" i="10"/>
  <c r="CA33" i="10"/>
  <c r="BX34" i="10"/>
  <c r="BU35" i="10"/>
  <c r="BO33" i="10"/>
  <c r="BQ60" i="10"/>
  <c r="BR43" i="10"/>
  <c r="BU34" i="10"/>
  <c r="CH35" i="10"/>
  <c r="BW78" i="10"/>
  <c r="BU60" i="10"/>
  <c r="CB50" i="10"/>
  <c r="BO51" i="10"/>
  <c r="BS44" i="10"/>
  <c r="BQ33" i="10"/>
  <c r="CG33" i="10"/>
  <c r="CD34" i="10"/>
  <c r="CA35" i="10"/>
  <c r="CA62" i="10"/>
  <c r="CB32" i="10"/>
  <c r="CA23" i="10"/>
  <c r="BX24" i="10"/>
  <c r="BU25" i="10"/>
  <c r="BR26" i="10"/>
  <c r="CH26" i="10"/>
  <c r="CG23" i="10"/>
  <c r="CA25" i="10"/>
  <c r="BV23" i="10"/>
  <c r="CF25" i="10"/>
  <c r="BX23" i="10"/>
  <c r="BU24" i="10"/>
  <c r="BR25" i="10"/>
  <c r="CH25" i="10"/>
  <c r="CE26" i="10"/>
  <c r="BR24" i="10"/>
  <c r="CE25" i="10"/>
  <c r="CD23" i="10"/>
  <c r="CC26" i="10"/>
  <c r="BS24" i="10"/>
  <c r="BU26" i="10"/>
  <c r="AB21" i="10"/>
  <c r="AI17" i="10"/>
  <c r="AG21" i="10"/>
  <c r="AG18" i="10"/>
  <c r="AK19" i="10"/>
  <c r="AJ16" i="10"/>
  <c r="T22" i="10"/>
  <c r="AF27" i="10"/>
  <c r="AE25" i="10"/>
  <c r="AI30" i="10"/>
  <c r="AB30" i="10"/>
  <c r="AD26" i="10"/>
  <c r="AH31" i="10"/>
  <c r="Y15" i="10"/>
  <c r="Y27" i="10"/>
  <c r="T57" i="10"/>
  <c r="AL70" i="10"/>
  <c r="V99" i="10"/>
  <c r="AB76" i="10"/>
  <c r="X76" i="10"/>
  <c r="AF76" i="10"/>
  <c r="U70" i="10"/>
  <c r="Y74" i="10"/>
  <c r="AL84" i="10"/>
  <c r="AK79" i="10"/>
  <c r="Z99" i="10"/>
  <c r="AB71" i="10"/>
  <c r="AC76" i="10"/>
  <c r="AH82" i="10"/>
  <c r="Z93" i="10"/>
  <c r="AB74" i="10"/>
  <c r="AE80" i="10"/>
  <c r="AF94" i="10"/>
  <c r="AK101" i="10"/>
  <c r="AK93" i="10"/>
  <c r="AJ102" i="10"/>
  <c r="X93" i="10"/>
  <c r="W102" i="10"/>
  <c r="BP25" i="10"/>
  <c r="BX25" i="10"/>
  <c r="CH24" i="10"/>
  <c r="BW26" i="10"/>
  <c r="CC24" i="10"/>
  <c r="BP23" i="10"/>
  <c r="BV24" i="10"/>
  <c r="CB24" i="10"/>
  <c r="CE35" i="10"/>
  <c r="BO42" i="10"/>
  <c r="BZ68" i="10"/>
  <c r="CD61" i="10"/>
  <c r="CE33" i="10"/>
  <c r="BT50" i="10"/>
  <c r="BP33" i="10"/>
  <c r="BW34" i="10"/>
  <c r="BZ52" i="10"/>
  <c r="BY32" i="10"/>
  <c r="BY41" i="10"/>
  <c r="BV70" i="10"/>
  <c r="CC61" i="10"/>
  <c r="BQ53" i="10"/>
  <c r="CG70" i="10"/>
  <c r="CF98" i="10"/>
  <c r="AL22" i="10"/>
  <c r="AI18" i="10"/>
  <c r="W19" i="10"/>
  <c r="AK20" i="10"/>
  <c r="U19" i="10"/>
  <c r="V20" i="10"/>
  <c r="X18" i="10"/>
  <c r="X29" i="10"/>
  <c r="AM27" i="10"/>
  <c r="AM31" i="10"/>
  <c r="AH15" i="10"/>
  <c r="AL28" i="10"/>
  <c r="T24" i="10"/>
  <c r="AC24" i="10"/>
  <c r="AG29" i="10"/>
  <c r="AA75" i="10"/>
  <c r="Z74" i="10"/>
  <c r="AM90" i="10"/>
  <c r="AF83" i="10"/>
  <c r="AF101" i="10"/>
  <c r="U80" i="10"/>
  <c r="AK70" i="10"/>
  <c r="V75" i="10"/>
  <c r="Y83" i="10"/>
  <c r="U78" i="10"/>
  <c r="T60" i="10"/>
  <c r="V73" i="10"/>
  <c r="T80" i="10"/>
  <c r="AK81" i="10"/>
  <c r="X97" i="10"/>
  <c r="V76" i="10"/>
  <c r="AI94" i="10"/>
  <c r="Y91" i="10"/>
  <c r="X100" i="10"/>
  <c r="X92" i="10"/>
  <c r="AC99" i="10"/>
  <c r="AD91" i="10"/>
  <c r="AC100" i="10"/>
  <c r="BW24" i="10"/>
  <c r="CE24" i="10"/>
  <c r="BZ24" i="10"/>
  <c r="BS26" i="10"/>
  <c r="BY24" i="10"/>
  <c r="BY26" i="10"/>
  <c r="BO26" i="10"/>
  <c r="CE23" i="10"/>
  <c r="CH34" i="10"/>
  <c r="CB41" i="10"/>
  <c r="BO32" i="10"/>
  <c r="BT97" i="10"/>
  <c r="CH32" i="10"/>
  <c r="CF59" i="10"/>
  <c r="BX50" i="10"/>
  <c r="BZ33" i="10"/>
  <c r="BS62" i="10"/>
  <c r="CF44" i="10"/>
  <c r="CB53" i="10"/>
  <c r="CA96" i="10"/>
  <c r="BZ70" i="10"/>
  <c r="CC62" i="10"/>
  <c r="CC79" i="10"/>
  <c r="BQ87" i="10"/>
  <c r="Z18" i="10"/>
  <c r="W20" i="10"/>
  <c r="AD19" i="10"/>
  <c r="U20" i="10"/>
  <c r="AJ20" i="10"/>
  <c r="AD18" i="10"/>
  <c r="X16" i="10"/>
  <c r="W15" i="10"/>
  <c r="W27" i="10"/>
  <c r="W31" i="10"/>
  <c r="V24" i="10"/>
  <c r="V28" i="10"/>
  <c r="AF26" i="10"/>
  <c r="AK26" i="10"/>
  <c r="AK30" i="10"/>
  <c r="AA94" i="10"/>
  <c r="AA82" i="10"/>
  <c r="T56" i="10"/>
  <c r="Y80" i="10"/>
  <c r="AK69" i="10"/>
  <c r="Z103" i="10"/>
  <c r="AH71" i="10"/>
  <c r="AI76" i="10"/>
  <c r="AB82" i="10"/>
  <c r="U92" i="10"/>
  <c r="AH69" i="10"/>
  <c r="AL73" i="10"/>
  <c r="Y85" i="10"/>
  <c r="X80" i="10"/>
  <c r="AA69" i="10"/>
  <c r="AF85" i="10"/>
  <c r="AG98" i="10"/>
  <c r="AE89" i="10"/>
  <c r="AD98" i="10"/>
  <c r="AJ88" i="10"/>
  <c r="AI97" i="10"/>
  <c r="AJ89" i="10"/>
  <c r="V97" i="10"/>
  <c r="BR23" i="10"/>
  <c r="CB26" i="10"/>
  <c r="BU23" i="10"/>
  <c r="BZ25" i="10"/>
  <c r="CF23" i="10"/>
  <c r="CH23" i="10"/>
  <c r="BV26" i="10"/>
  <c r="CB33" i="10"/>
  <c r="BR34" i="10"/>
  <c r="BY51" i="10"/>
  <c r="CC34" i="10"/>
  <c r="BY35" i="10"/>
  <c r="CD43" i="10"/>
  <c r="CG89" i="10"/>
  <c r="BO34" i="10"/>
  <c r="BX32" i="10"/>
  <c r="BY71" i="10"/>
  <c r="CE43" i="10"/>
  <c r="CH51" i="10"/>
  <c r="BT42" i="10"/>
  <c r="BP97" i="10"/>
  <c r="BR59" i="10"/>
  <c r="BY88" i="10"/>
  <c r="CH90" i="10"/>
  <c r="BS46" i="10"/>
  <c r="CD72" i="10"/>
  <c r="Z57" i="10"/>
  <c r="CD54" i="10"/>
  <c r="BV90" i="10"/>
  <c r="BQ45" i="10"/>
  <c r="CC81" i="10"/>
  <c r="BY99" i="10"/>
  <c r="CB45" i="10"/>
  <c r="CB54" i="10"/>
  <c r="BX63" i="10"/>
  <c r="BX72" i="10"/>
  <c r="CB81" i="10"/>
  <c r="BT99" i="10"/>
  <c r="BV72" i="10"/>
  <c r="BQ54" i="10"/>
  <c r="CA36" i="10"/>
  <c r="CE72" i="10"/>
  <c r="V49" i="10"/>
  <c r="U67" i="10"/>
  <c r="BR82" i="10"/>
  <c r="BQ82" i="10"/>
  <c r="BU55" i="10"/>
  <c r="BP82" i="10"/>
  <c r="BQ46" i="10"/>
  <c r="AC16" i="1"/>
  <c r="AJ38" i="10"/>
  <c r="BP28" i="10"/>
  <c r="BR37" i="10"/>
  <c r="CE64" i="10"/>
  <c r="BO37" i="10"/>
  <c r="CF99" i="10"/>
  <c r="BR90" i="10"/>
  <c r="BY72" i="10"/>
  <c r="BQ63" i="10"/>
  <c r="BU99" i="10"/>
  <c r="CA73" i="10"/>
  <c r="BU28" i="10"/>
  <c r="CC46" i="10"/>
  <c r="V40" i="1"/>
  <c r="CB55" i="10"/>
  <c r="BY63" i="10"/>
  <c r="BP63" i="10"/>
  <c r="BX90" i="10"/>
  <c r="BP99" i="10"/>
  <c r="CG36" i="10"/>
  <c r="CA72" i="10"/>
  <c r="BQ28" i="10"/>
  <c r="BO28" i="10"/>
  <c r="BZ37" i="10"/>
  <c r="BO73" i="10"/>
  <c r="CH73" i="10"/>
  <c r="CD64" i="10"/>
  <c r="CF37" i="10"/>
  <c r="CH91" i="10"/>
  <c r="BW100" i="10"/>
  <c r="Z123" i="16"/>
  <c r="BZ72" i="10"/>
  <c r="CD99" i="10"/>
  <c r="CG90" i="10"/>
  <c r="CF36" i="10"/>
  <c r="CF45" i="10"/>
  <c r="CF63" i="10"/>
  <c r="BO99" i="10"/>
  <c r="CD90" i="10"/>
  <c r="CG45" i="10"/>
  <c r="CG72" i="10"/>
  <c r="CC99" i="10"/>
  <c r="CE45" i="10"/>
  <c r="CE63" i="10"/>
  <c r="CE81" i="10"/>
  <c r="CE99" i="10"/>
  <c r="AI56" i="10"/>
  <c r="BZ28" i="10"/>
  <c r="CF28" i="10"/>
  <c r="CA28" i="10"/>
  <c r="CD73" i="10"/>
  <c r="BR55" i="10"/>
  <c r="CG46" i="10"/>
  <c r="CC82" i="10"/>
  <c r="CD37" i="10"/>
  <c r="CC37" i="10"/>
  <c r="BU73" i="10"/>
  <c r="BT37" i="10"/>
  <c r="BQ64" i="10"/>
  <c r="BX100" i="10"/>
  <c r="BV91" i="10"/>
  <c r="BU82" i="10"/>
  <c r="CF82" i="10"/>
  <c r="CB64" i="10"/>
  <c r="CD55" i="10"/>
  <c r="BV100" i="10"/>
  <c r="BV64" i="10"/>
  <c r="BS37" i="10"/>
  <c r="BW82" i="10"/>
  <c r="CA63" i="10"/>
  <c r="CA99" i="10"/>
  <c r="AI48" i="10"/>
  <c r="CG28" i="10"/>
  <c r="CB28" i="10"/>
  <c r="BW28" i="10"/>
  <c r="CD82" i="10"/>
  <c r="CH46" i="10"/>
  <c r="BQ37" i="10"/>
  <c r="BY82" i="10"/>
  <c r="CB73" i="10"/>
  <c r="CF46" i="10"/>
  <c r="P16" i="8"/>
  <c r="AI11" i="1"/>
  <c r="AI52" i="1"/>
  <c r="BW91" i="10"/>
  <c r="CA82" i="10"/>
  <c r="CE73" i="10"/>
  <c r="BS55" i="10"/>
  <c r="BW46" i="10"/>
  <c r="BW37" i="10"/>
  <c r="BT100" i="10"/>
  <c r="CF91" i="10"/>
  <c r="BT73" i="10"/>
  <c r="BU64" i="10"/>
  <c r="CF55" i="10"/>
  <c r="CG100" i="10"/>
  <c r="CG82" i="10"/>
  <c r="CH64" i="10"/>
  <c r="BX99" i="10"/>
  <c r="BP90" i="10"/>
  <c r="CF90" i="10"/>
  <c r="BX81" i="10"/>
  <c r="BP72" i="10"/>
  <c r="CF72" i="10"/>
  <c r="BT63" i="10"/>
  <c r="BP54" i="10"/>
  <c r="CF54" i="10"/>
  <c r="BX45" i="10"/>
  <c r="BP36" i="10"/>
  <c r="BQ99" i="10"/>
  <c r="BY90" i="10"/>
  <c r="BQ72" i="10"/>
  <c r="CG63" i="10"/>
  <c r="CC45" i="10"/>
  <c r="BW63" i="10"/>
  <c r="BW54" i="10"/>
  <c r="BW45" i="10"/>
  <c r="BW36" i="10"/>
  <c r="BX36" i="10"/>
  <c r="CC90" i="10"/>
  <c r="BU72" i="10"/>
  <c r="CC63" i="10"/>
  <c r="BU45" i="10"/>
  <c r="BY36" i="10"/>
  <c r="CH99" i="10"/>
  <c r="CH81" i="10"/>
  <c r="CH63" i="10"/>
  <c r="CH36" i="10"/>
  <c r="CB99" i="10"/>
  <c r="BT90" i="10"/>
  <c r="BO90" i="10"/>
  <c r="U14" i="1"/>
  <c r="Y46" i="1"/>
  <c r="BW72" i="10"/>
  <c r="BW81" i="10"/>
  <c r="BW90" i="10"/>
  <c r="BW99" i="10"/>
  <c r="Z40" i="10"/>
  <c r="AE55" i="10"/>
  <c r="Y45" i="10"/>
  <c r="AC42" i="10"/>
  <c r="CC28" i="10"/>
  <c r="CH28" i="10"/>
  <c r="BX28" i="10"/>
  <c r="BR28" i="10"/>
  <c r="BS28" i="10"/>
  <c r="BZ55" i="10"/>
  <c r="CD91" i="10"/>
  <c r="CD46" i="10"/>
  <c r="BV73" i="10"/>
  <c r="CG37" i="10"/>
  <c r="CC55" i="10"/>
  <c r="CC73" i="10"/>
  <c r="CG91" i="10"/>
  <c r="BU100" i="10"/>
  <c r="BZ46" i="10"/>
  <c r="BR73" i="10"/>
  <c r="BY46" i="10"/>
  <c r="BR64" i="10"/>
  <c r="BO91" i="10"/>
  <c r="CB37" i="10"/>
  <c r="CB46" i="10"/>
  <c r="CG64" i="10"/>
  <c r="BP73" i="10"/>
  <c r="BT91" i="10"/>
  <c r="BV37" i="10"/>
  <c r="BZ73" i="10"/>
  <c r="CH100" i="10"/>
  <c r="BY37" i="10"/>
  <c r="CG55" i="10"/>
  <c r="CG73" i="10"/>
  <c r="BY91" i="10"/>
  <c r="BX46" i="10"/>
  <c r="BT55" i="10"/>
  <c r="CF73" i="10"/>
  <c r="BX82" i="10"/>
  <c r="BP91" i="10"/>
  <c r="CE37" i="10"/>
  <c r="CE46" i="10"/>
  <c r="CA55" i="10"/>
  <c r="BX64" i="10"/>
  <c r="BW73" i="10"/>
  <c r="CE91" i="10"/>
  <c r="CA100" i="10"/>
  <c r="BV36" i="10"/>
  <c r="BR63" i="10"/>
  <c r="BZ81" i="10"/>
  <c r="BZ99" i="10"/>
  <c r="BU36" i="10"/>
  <c r="CG54" i="10"/>
  <c r="BU63" i="10"/>
  <c r="CG81" i="10"/>
  <c r="BQ90" i="10"/>
  <c r="BO36" i="10"/>
  <c r="BS36" i="10"/>
  <c r="BS45" i="10"/>
  <c r="BS54" i="10"/>
  <c r="BS63" i="10"/>
  <c r="BS72" i="10"/>
  <c r="BS81" i="10"/>
  <c r="BS90" i="10"/>
  <c r="BS99" i="10"/>
  <c r="W38" i="10"/>
  <c r="W36" i="10"/>
  <c r="AI64" i="10"/>
  <c r="AB67" i="10"/>
  <c r="CD28" i="10"/>
  <c r="BY28" i="10"/>
  <c r="BV28" i="10"/>
  <c r="BT28" i="10"/>
  <c r="CE28" i="10"/>
  <c r="CH37" i="10"/>
  <c r="BS64" i="10"/>
  <c r="BZ91" i="10"/>
  <c r="CH55" i="10"/>
  <c r="CH82" i="10"/>
  <c r="BU37" i="10"/>
  <c r="BQ55" i="10"/>
  <c r="BO82" i="10"/>
  <c r="BU91" i="10"/>
  <c r="BQ100" i="10"/>
  <c r="BV55" i="10"/>
  <c r="BV82" i="10"/>
  <c r="BO55" i="10"/>
  <c r="BY73" i="10"/>
  <c r="CC91" i="10"/>
  <c r="BX37" i="10"/>
  <c r="BT46" i="10"/>
  <c r="BY64" i="10"/>
  <c r="CB82" i="10"/>
  <c r="CB100" i="10"/>
  <c r="BR46" i="10"/>
  <c r="BZ82" i="10"/>
  <c r="BZ100" i="10"/>
  <c r="BO46" i="10"/>
  <c r="BY55" i="10"/>
  <c r="BQ73" i="10"/>
  <c r="BQ91" i="10"/>
  <c r="BP46" i="10"/>
  <c r="CC64" i="10"/>
  <c r="BX73" i="10"/>
  <c r="BT82" i="10"/>
  <c r="CF100" i="10"/>
  <c r="CA37" i="10"/>
  <c r="CA46" i="10"/>
  <c r="BW55" i="10"/>
  <c r="BT64" i="10"/>
  <c r="CE82" i="10"/>
  <c r="CA91" i="10"/>
  <c r="T25" i="24"/>
  <c r="T50" i="24" s="1"/>
  <c r="V162" i="24"/>
  <c r="BS100" i="10"/>
  <c r="AT11" i="24"/>
  <c r="AH11" i="1"/>
  <c r="AE40" i="1"/>
  <c r="AG32" i="1"/>
  <c r="S14" i="2"/>
  <c r="CE55" i="10"/>
  <c r="CF64" i="10"/>
  <c r="BP64" i="10"/>
  <c r="BS73" i="10"/>
  <c r="BS82" i="10"/>
  <c r="BS91" i="10"/>
  <c r="V104" i="14"/>
  <c r="BB76" i="26"/>
  <c r="BB92" i="26"/>
  <c r="Z111" i="26"/>
  <c r="Z82" i="26"/>
  <c r="AA82" i="26" s="1"/>
  <c r="BD33" i="26"/>
  <c r="BD49" i="26"/>
  <c r="BC45" i="26"/>
  <c r="BB41" i="26"/>
  <c r="AB19" i="26"/>
  <c r="AB43" i="26" s="1"/>
  <c r="AA14" i="26"/>
  <c r="AA38" i="26" s="1"/>
  <c r="AA30" i="26"/>
  <c r="AA54" i="26" s="1"/>
  <c r="Z32" i="26"/>
  <c r="Z56" i="26" s="1"/>
  <c r="BC43" i="26"/>
  <c r="AB21" i="26"/>
  <c r="AB45" i="26" s="1"/>
  <c r="BB77" i="26"/>
  <c r="BB93" i="26"/>
  <c r="Z112" i="26"/>
  <c r="Z87" i="26"/>
  <c r="AA87" i="26" s="1"/>
  <c r="BD38" i="26"/>
  <c r="BC34" i="26"/>
  <c r="BC50" i="26"/>
  <c r="BB46" i="26"/>
  <c r="AB24" i="26"/>
  <c r="AB48" i="26" s="1"/>
  <c r="AA19" i="26"/>
  <c r="AA43" i="26" s="1"/>
  <c r="Z21" i="26"/>
  <c r="Z45" i="26" s="1"/>
  <c r="Z17" i="26"/>
  <c r="Z41" i="26" s="1"/>
  <c r="BB35" i="26"/>
  <c r="AB25" i="26"/>
  <c r="AB49" i="26" s="1"/>
  <c r="BB78" i="26"/>
  <c r="BB94" i="26"/>
  <c r="Z113" i="26"/>
  <c r="Z84" i="26"/>
  <c r="AA84" i="26" s="1"/>
  <c r="BD35" i="26"/>
  <c r="BB79" i="26"/>
  <c r="Z114" i="26"/>
  <c r="Z85" i="26"/>
  <c r="AA85" i="26" s="1"/>
  <c r="BD36" i="26"/>
  <c r="BC32" i="26"/>
  <c r="BC48" i="26"/>
  <c r="BB44" i="26"/>
  <c r="AB22" i="26"/>
  <c r="AB46" i="26" s="1"/>
  <c r="AA17" i="26"/>
  <c r="AA41" i="26" s="1"/>
  <c r="Z30" i="26"/>
  <c r="Z54" i="26" s="1"/>
  <c r="Z31" i="26"/>
  <c r="Z55" i="26" s="1"/>
  <c r="Z14" i="26"/>
  <c r="Z38" i="26" s="1"/>
  <c r="BB32" i="26"/>
  <c r="AA21" i="26"/>
  <c r="AA45" i="26" s="1"/>
  <c r="Z19" i="26"/>
  <c r="Z43" i="26" s="1"/>
  <c r="Z22" i="26"/>
  <c r="Z46" i="26" s="1"/>
  <c r="Z26" i="26"/>
  <c r="Z50" i="26" s="1"/>
  <c r="Z15" i="26"/>
  <c r="Z39" i="26" s="1"/>
  <c r="BB80" i="26"/>
  <c r="Z99" i="26"/>
  <c r="Z115" i="26"/>
  <c r="Z86" i="26"/>
  <c r="AA86" i="26" s="1"/>
  <c r="BD37" i="26"/>
  <c r="BC33" i="26"/>
  <c r="BC49" i="26"/>
  <c r="BB45" i="26"/>
  <c r="AB23" i="26"/>
  <c r="AB47" i="26" s="1"/>
  <c r="AA18" i="26"/>
  <c r="AA42" i="26" s="1"/>
  <c r="AA13" i="26"/>
  <c r="Z16" i="26"/>
  <c r="Z40" i="26" s="1"/>
  <c r="BC31" i="26"/>
  <c r="AB29" i="26"/>
  <c r="AB53" i="26" s="1"/>
  <c r="BB81" i="26"/>
  <c r="Z100" i="26"/>
  <c r="Z116" i="26"/>
  <c r="Z91" i="26"/>
  <c r="AA91" i="26" s="1"/>
  <c r="BD42" i="26"/>
  <c r="BC38" i="26"/>
  <c r="BB34" i="26"/>
  <c r="BB50" i="26"/>
  <c r="AB28" i="26"/>
  <c r="AB52" i="26" s="1"/>
  <c r="AA23" i="26"/>
  <c r="AA47" i="26" s="1"/>
  <c r="Z25" i="26"/>
  <c r="Z49" i="26" s="1"/>
  <c r="BB43" i="26"/>
  <c r="AB33" i="26"/>
  <c r="BB82" i="26"/>
  <c r="Z101" i="26"/>
  <c r="Z117" i="26"/>
  <c r="Z88" i="26"/>
  <c r="AA88" i="26" s="1"/>
  <c r="BD39" i="26"/>
  <c r="BB83" i="26"/>
  <c r="Z102" i="26"/>
  <c r="Z118" i="26"/>
  <c r="Z89" i="26"/>
  <c r="AA89" i="26" s="1"/>
  <c r="BD40" i="26"/>
  <c r="BC36" i="26"/>
  <c r="BB48" i="26"/>
  <c r="AB26" i="26"/>
  <c r="AB50" i="26" s="1"/>
  <c r="Z18" i="26"/>
  <c r="Z42" i="26" s="1"/>
  <c r="AA33" i="26"/>
  <c r="Z23" i="26"/>
  <c r="Z47" i="26" s="1"/>
  <c r="BB84" i="26"/>
  <c r="Z103" i="26"/>
  <c r="Z98" i="26"/>
  <c r="Z90" i="26"/>
  <c r="AA90" i="26" s="1"/>
  <c r="BD41" i="26"/>
  <c r="BC37" i="26"/>
  <c r="BB33" i="26"/>
  <c r="BB49" i="26"/>
  <c r="AB27" i="26"/>
  <c r="AB51" i="26" s="1"/>
  <c r="AA22" i="26"/>
  <c r="AA46" i="26" s="1"/>
  <c r="Z24" i="26"/>
  <c r="Z48" i="26" s="1"/>
  <c r="Z20" i="26"/>
  <c r="Z44" i="26" s="1"/>
  <c r="BB39" i="26"/>
  <c r="AA16" i="26"/>
  <c r="AA40" i="26" s="1"/>
  <c r="BB85" i="26"/>
  <c r="Z104" i="26"/>
  <c r="Z79" i="26"/>
  <c r="AA79" i="26" s="1"/>
  <c r="Z95" i="26"/>
  <c r="BD46" i="26"/>
  <c r="BC42" i="26"/>
  <c r="BB38" i="26"/>
  <c r="AB16" i="26"/>
  <c r="AB40" i="26" s="1"/>
  <c r="AB32" i="26"/>
  <c r="AB56" i="26" s="1"/>
  <c r="AA27" i="26"/>
  <c r="AA51" i="26" s="1"/>
  <c r="Z29" i="26"/>
  <c r="Z53" i="26" s="1"/>
  <c r="BC39" i="26"/>
  <c r="BB31" i="26"/>
  <c r="AA20" i="26"/>
  <c r="AA44" i="26" s="1"/>
  <c r="BB86" i="26"/>
  <c r="Z105" i="26"/>
  <c r="Z76" i="26"/>
  <c r="AA76" i="26" s="1"/>
  <c r="Z92" i="26"/>
  <c r="AA92" i="26" s="1"/>
  <c r="BD43" i="26"/>
  <c r="BB87" i="26"/>
  <c r="Z106" i="26"/>
  <c r="Z77" i="26"/>
  <c r="AA77" i="26" s="1"/>
  <c r="Z93" i="26"/>
  <c r="AA93" i="26" s="1"/>
  <c r="BD44" i="26"/>
  <c r="BC40" i="26"/>
  <c r="BB36" i="26"/>
  <c r="AB14" i="26"/>
  <c r="AB30" i="26"/>
  <c r="AB54" i="26" s="1"/>
  <c r="AA25" i="26"/>
  <c r="AA49" i="26" s="1"/>
  <c r="AA29" i="26"/>
  <c r="AA53" i="26" s="1"/>
  <c r="AA32" i="26"/>
  <c r="AA56" i="26" s="1"/>
  <c r="Z27" i="26"/>
  <c r="Z51" i="26" s="1"/>
  <c r="BD47" i="26"/>
  <c r="BB91" i="26"/>
  <c r="Z110" i="26"/>
  <c r="Z81" i="26"/>
  <c r="AA81" i="26" s="1"/>
  <c r="BD32" i="26"/>
  <c r="BD48" i="26"/>
  <c r="BC44" i="26"/>
  <c r="BB40" i="26"/>
  <c r="AB18" i="26"/>
  <c r="AB42" i="26" s="1"/>
  <c r="BB88" i="26"/>
  <c r="Z107" i="26"/>
  <c r="Z78" i="26"/>
  <c r="AA78" i="26" s="1"/>
  <c r="Z94" i="26"/>
  <c r="AA94" i="26" s="1"/>
  <c r="BD45" i="26"/>
  <c r="BC41" i="26"/>
  <c r="BB37" i="26"/>
  <c r="AB15" i="26"/>
  <c r="AB39" i="26" s="1"/>
  <c r="AB31" i="26"/>
  <c r="AB55" i="26" s="1"/>
  <c r="AA26" i="26"/>
  <c r="AA50" i="26" s="1"/>
  <c r="Z28" i="26"/>
  <c r="Z52" i="26" s="1"/>
  <c r="BC35" i="26"/>
  <c r="BB47" i="26"/>
  <c r="AA24" i="26"/>
  <c r="AA48" i="26" s="1"/>
  <c r="BB89" i="26"/>
  <c r="Z108" i="26"/>
  <c r="Z83" i="26"/>
  <c r="AA83" i="26" s="1"/>
  <c r="BD34" i="26"/>
  <c r="BD50" i="26"/>
  <c r="BC46" i="26"/>
  <c r="BB42" i="26"/>
  <c r="AB20" i="26"/>
  <c r="AB44" i="26" s="1"/>
  <c r="AA15" i="26"/>
  <c r="AA39" i="26" s="1"/>
  <c r="AA31" i="26"/>
  <c r="AA55" i="26" s="1"/>
  <c r="Z33" i="26"/>
  <c r="BC47" i="26"/>
  <c r="AB17" i="26"/>
  <c r="AB41" i="26" s="1"/>
  <c r="AA28" i="26"/>
  <c r="AA52" i="26" s="1"/>
  <c r="BB90" i="26"/>
  <c r="Z109" i="26"/>
  <c r="Z80" i="26"/>
  <c r="AA80" i="26" s="1"/>
  <c r="AE10" i="1"/>
  <c r="AH56" i="1"/>
  <c r="AJ50" i="1"/>
  <c r="CF9" i="2"/>
  <c r="CF10" i="2"/>
  <c r="AR67" i="16"/>
  <c r="AR53" i="16"/>
  <c r="AR59" i="16"/>
  <c r="AR33" i="16"/>
  <c r="AR63" i="16"/>
  <c r="AR69" i="16"/>
  <c r="AR55" i="16"/>
  <c r="AR37" i="16"/>
  <c r="AR34" i="16"/>
  <c r="AR64" i="16"/>
  <c r="AR70" i="16"/>
  <c r="AR56" i="16"/>
  <c r="AR38" i="16"/>
  <c r="AR35" i="16"/>
  <c r="AR66" i="16"/>
  <c r="AR52" i="16"/>
  <c r="AR58" i="16"/>
  <c r="AR39" i="16"/>
  <c r="R10" i="1"/>
  <c r="AI16" i="1"/>
  <c r="R44" i="1"/>
  <c r="W35" i="1"/>
  <c r="AA32" i="1"/>
  <c r="AG40" i="1"/>
  <c r="CG34" i="10"/>
  <c r="CI28" i="10"/>
  <c r="CI46" i="10"/>
  <c r="CI64" i="10"/>
  <c r="CI82" i="10"/>
  <c r="CI100" i="10"/>
  <c r="CI37" i="10"/>
  <c r="CI55" i="10"/>
  <c r="CI73" i="10"/>
  <c r="CI91" i="10"/>
  <c r="AD16" i="1"/>
  <c r="T14" i="1"/>
  <c r="Z51" i="1"/>
  <c r="AH30" i="1"/>
  <c r="X29" i="1"/>
  <c r="AJ59" i="2"/>
  <c r="AJ74" i="2" s="1"/>
  <c r="AA59" i="2"/>
  <c r="AA74" i="2" s="1"/>
  <c r="V11" i="24"/>
  <c r="V36" i="24" s="1"/>
  <c r="Y12" i="1"/>
  <c r="Z12" i="1"/>
  <c r="T16" i="1"/>
  <c r="AJ21" i="10"/>
  <c r="T21" i="10"/>
  <c r="AH18" i="10"/>
  <c r="AH16" i="10"/>
  <c r="AA16" i="10"/>
  <c r="AE17" i="10"/>
  <c r="AE18" i="10"/>
  <c r="AI20" i="10"/>
  <c r="AL18" i="10"/>
  <c r="AA22" i="10"/>
  <c r="AC21" i="10"/>
  <c r="AI19" i="10"/>
  <c r="V19" i="10"/>
  <c r="Z19" i="10"/>
  <c r="Y16" i="10"/>
  <c r="AC17" i="10"/>
  <c r="AC18" i="10"/>
  <c r="AG20" i="10"/>
  <c r="AJ18" i="10"/>
  <c r="Y22" i="10"/>
  <c r="AE21" i="10"/>
  <c r="AG19" i="10"/>
  <c r="V21" i="10"/>
  <c r="AF22" i="10"/>
  <c r="T20" i="10"/>
  <c r="AJ17" i="10"/>
  <c r="T16" i="10"/>
  <c r="Z22" i="10"/>
  <c r="AD20" i="10"/>
  <c r="V17" i="10"/>
  <c r="AD16" i="10"/>
  <c r="AH21" i="10"/>
  <c r="AM18" i="10"/>
  <c r="AF18" i="10"/>
  <c r="AF16" i="10"/>
  <c r="AJ15" i="10"/>
  <c r="AB25" i="10"/>
  <c r="T28" i="10"/>
  <c r="AF30" i="10"/>
  <c r="AI15" i="10"/>
  <c r="AM24" i="10"/>
  <c r="W24" i="10"/>
  <c r="AA25" i="10"/>
  <c r="AE26" i="10"/>
  <c r="AI27" i="10"/>
  <c r="AM28" i="10"/>
  <c r="W28" i="10"/>
  <c r="AA29" i="10"/>
  <c r="AE30" i="10"/>
  <c r="AI31" i="10"/>
  <c r="AJ24" i="10"/>
  <c r="AB26" i="10"/>
  <c r="X28" i="10"/>
  <c r="AJ31" i="10"/>
  <c r="AD15" i="10"/>
  <c r="AH24" i="10"/>
  <c r="AL25" i="10"/>
  <c r="V25" i="10"/>
  <c r="Z26" i="10"/>
  <c r="AD27" i="10"/>
  <c r="AH28" i="10"/>
  <c r="AL29" i="10"/>
  <c r="V29" i="10"/>
  <c r="Z30" i="10"/>
  <c r="AD31" i="10"/>
  <c r="AB24" i="10"/>
  <c r="AJ27" i="10"/>
  <c r="AB29" i="10"/>
  <c r="AK15" i="10"/>
  <c r="U15" i="10"/>
  <c r="Y24" i="10"/>
  <c r="AC25" i="10"/>
  <c r="AG26" i="10"/>
  <c r="AK27" i="10"/>
  <c r="U27" i="10"/>
  <c r="Y28" i="10"/>
  <c r="AC29" i="10"/>
  <c r="AG30" i="10"/>
  <c r="AK31" i="10"/>
  <c r="U31" i="10"/>
  <c r="T96" i="10"/>
  <c r="AD85" i="10"/>
  <c r="AF87" i="10"/>
  <c r="T38" i="10"/>
  <c r="T54" i="10"/>
  <c r="AI71" i="10"/>
  <c r="W75" i="10"/>
  <c r="AK84" i="10"/>
  <c r="AD81" i="10"/>
  <c r="AJ91" i="10"/>
  <c r="T34" i="10"/>
  <c r="T85" i="10"/>
  <c r="Y98" i="10"/>
  <c r="T52" i="10"/>
  <c r="AD70" i="10"/>
  <c r="AK73" i="10"/>
  <c r="T81" i="10"/>
  <c r="AI82" i="10"/>
  <c r="Y79" i="10"/>
  <c r="AI100" i="10"/>
  <c r="T65" i="10"/>
  <c r="AG84" i="10"/>
  <c r="T36" i="10"/>
  <c r="T51" i="10"/>
  <c r="AH70" i="10"/>
  <c r="V74" i="10"/>
  <c r="AL85" i="10"/>
  <c r="AE82" i="10"/>
  <c r="AG78" i="10"/>
  <c r="AL99" i="10"/>
  <c r="T87" i="10"/>
  <c r="AB69" i="10"/>
  <c r="Y70" i="10"/>
  <c r="V71" i="10"/>
  <c r="AL71" i="10"/>
  <c r="AI72" i="10"/>
  <c r="AF73" i="10"/>
  <c r="AC74" i="10"/>
  <c r="Z75" i="10"/>
  <c r="W76" i="10"/>
  <c r="AM76" i="10"/>
  <c r="AE85" i="10"/>
  <c r="AH84" i="10"/>
  <c r="AK83" i="10"/>
  <c r="U83" i="10"/>
  <c r="X82" i="10"/>
  <c r="AA81" i="10"/>
  <c r="AD80" i="10"/>
  <c r="AF79" i="10"/>
  <c r="AE94" i="10"/>
  <c r="X91" i="10"/>
  <c r="AJ87" i="10"/>
  <c r="AJ101" i="10"/>
  <c r="AC98" i="10"/>
  <c r="T64" i="10"/>
  <c r="V69" i="10"/>
  <c r="AL69" i="10"/>
  <c r="AI70" i="10"/>
  <c r="AF71" i="10"/>
  <c r="AC72" i="10"/>
  <c r="Z73" i="10"/>
  <c r="W74" i="10"/>
  <c r="AM74" i="10"/>
  <c r="AJ75" i="10"/>
  <c r="AG76" i="10"/>
  <c r="AK85" i="10"/>
  <c r="U85" i="10"/>
  <c r="X84" i="10"/>
  <c r="AA83" i="10"/>
  <c r="AD82" i="10"/>
  <c r="AG81" i="10"/>
  <c r="AJ80" i="10"/>
  <c r="AM79" i="10"/>
  <c r="AC78" i="10"/>
  <c r="AF91" i="10"/>
  <c r="Y102" i="10"/>
  <c r="T67" i="10"/>
  <c r="AI69" i="10"/>
  <c r="AC71" i="10"/>
  <c r="W73" i="10"/>
  <c r="AJ74" i="10"/>
  <c r="AD76" i="10"/>
  <c r="X85" i="10"/>
  <c r="AD83" i="10"/>
  <c r="AJ81" i="10"/>
  <c r="W80" i="10"/>
  <c r="V93" i="10"/>
  <c r="AH103" i="10"/>
  <c r="AM96" i="10"/>
  <c r="AD78" i="10"/>
  <c r="X94" i="10"/>
  <c r="AD92" i="10"/>
  <c r="AJ90" i="10"/>
  <c r="W89" i="10"/>
  <c r="AC87" i="10"/>
  <c r="W103" i="10"/>
  <c r="AC101" i="10"/>
  <c r="AI99" i="10"/>
  <c r="V98" i="10"/>
  <c r="AB96" i="10"/>
  <c r="T90" i="10"/>
  <c r="AC93" i="10"/>
  <c r="AI91" i="10"/>
  <c r="V90" i="10"/>
  <c r="AB88" i="10"/>
  <c r="T98" i="10"/>
  <c r="AB102" i="10"/>
  <c r="AH100" i="10"/>
  <c r="U99" i="10"/>
  <c r="AA97" i="10"/>
  <c r="AI78" i="10"/>
  <c r="AC94" i="10"/>
  <c r="AI92" i="10"/>
  <c r="V91" i="10"/>
  <c r="AB89" i="10"/>
  <c r="AH87" i="10"/>
  <c r="AB103" i="10"/>
  <c r="AH101" i="10"/>
  <c r="U100" i="10"/>
  <c r="AA98" i="10"/>
  <c r="AG96" i="10"/>
  <c r="W37" i="10"/>
  <c r="AF39" i="10"/>
  <c r="AL36" i="10"/>
  <c r="AI34" i="10"/>
  <c r="AJ36" i="10"/>
  <c r="V47" i="10"/>
  <c r="AD46" i="10"/>
  <c r="AC34" i="10"/>
  <c r="AH44" i="10"/>
  <c r="AI43" i="10"/>
  <c r="X43" i="10"/>
  <c r="V63" i="10"/>
  <c r="V55" i="10"/>
  <c r="AA65" i="10"/>
  <c r="W57" i="10"/>
  <c r="V65" i="10"/>
  <c r="AG52" i="10"/>
  <c r="AE205" i="2"/>
  <c r="AJ16" i="1"/>
  <c r="AF12" i="1"/>
  <c r="AJ14" i="1"/>
  <c r="Z31" i="1"/>
  <c r="AG44" i="1"/>
  <c r="AD46" i="1"/>
  <c r="R36" i="1"/>
  <c r="AE46" i="1"/>
  <c r="X34" i="1"/>
  <c r="AC49" i="1"/>
  <c r="S51" i="2"/>
  <c r="S66" i="2" s="1"/>
  <c r="AH60" i="2"/>
  <c r="AH75" i="2" s="1"/>
  <c r="AM49" i="2"/>
  <c r="AM64" i="2" s="1"/>
  <c r="AM54" i="2"/>
  <c r="AM69" i="2" s="1"/>
  <c r="AM59" i="2"/>
  <c r="AM74" i="2" s="1"/>
  <c r="AM15" i="2"/>
  <c r="AM51" i="2"/>
  <c r="AM66" i="2" s="1"/>
  <c r="AM61" i="2"/>
  <c r="AM76" i="2" s="1"/>
  <c r="AM18" i="2"/>
  <c r="AM52" i="2"/>
  <c r="AM67" i="2" s="1"/>
  <c r="AM62" i="2"/>
  <c r="AM77" i="2" s="1"/>
  <c r="AM14" i="2"/>
  <c r="AM50" i="2"/>
  <c r="AM65" i="2" s="1"/>
  <c r="AM55" i="2"/>
  <c r="AM70" i="2" s="1"/>
  <c r="AM60" i="2"/>
  <c r="AM75" i="2" s="1"/>
  <c r="AM11" i="2"/>
  <c r="AM17" i="2"/>
  <c r="AM56" i="2"/>
  <c r="AM71" i="2" s="1"/>
  <c r="AM12" i="2"/>
  <c r="AM57" i="2"/>
  <c r="AM72" i="2" s="1"/>
  <c r="CC10" i="1"/>
  <c r="AL30" i="1"/>
  <c r="AL35" i="1"/>
  <c r="AL40" i="1"/>
  <c r="AL45" i="1"/>
  <c r="AL50" i="1"/>
  <c r="AL55" i="1"/>
  <c r="AL14" i="1"/>
  <c r="AL34" i="1"/>
  <c r="AL54" i="1"/>
  <c r="CC11" i="1"/>
  <c r="AL31" i="1"/>
  <c r="AL36" i="1"/>
  <c r="AL41" i="1"/>
  <c r="AL46" i="1"/>
  <c r="AL51" i="1"/>
  <c r="AL56" i="1"/>
  <c r="AL10" i="1"/>
  <c r="AL15" i="1"/>
  <c r="AL29" i="1"/>
  <c r="AL44" i="1"/>
  <c r="CC12" i="1"/>
  <c r="AL32" i="1"/>
  <c r="AL37" i="1"/>
  <c r="AL42" i="1"/>
  <c r="AL47" i="1"/>
  <c r="AL52" i="1"/>
  <c r="AL57" i="1"/>
  <c r="AL11" i="1"/>
  <c r="AL16" i="1"/>
  <c r="CC9" i="1"/>
  <c r="AL39" i="1"/>
  <c r="AL49" i="1"/>
  <c r="AL12" i="1"/>
  <c r="AB136" i="2"/>
  <c r="AB143" i="2" s="1"/>
  <c r="AB139" i="2"/>
  <c r="AB146" i="2" s="1"/>
  <c r="AB137" i="2"/>
  <c r="AB144" i="2" s="1"/>
  <c r="AB138" i="2"/>
  <c r="AB145" i="2" s="1"/>
  <c r="AB135" i="2"/>
  <c r="AB142" i="2" s="1"/>
  <c r="U15" i="1"/>
  <c r="R14" i="1"/>
  <c r="U11" i="1"/>
  <c r="V15" i="1"/>
  <c r="AE14" i="1"/>
  <c r="AG11" i="1"/>
  <c r="AA15" i="1"/>
  <c r="AF10" i="1"/>
  <c r="S54" i="1"/>
  <c r="W47" i="1"/>
  <c r="V29" i="1"/>
  <c r="R39" i="1"/>
  <c r="U32" i="1"/>
  <c r="AE42" i="1"/>
  <c r="R45" i="1"/>
  <c r="AD52" i="1"/>
  <c r="AK46" i="1"/>
  <c r="AA29" i="1"/>
  <c r="AD39" i="1"/>
  <c r="T47" i="1"/>
  <c r="AB37" i="1"/>
  <c r="Y47" i="1"/>
  <c r="AK55" i="1"/>
  <c r="U18" i="2"/>
  <c r="V22" i="10"/>
  <c r="Z20" i="10"/>
  <c r="Z17" i="10"/>
  <c r="AM16" i="10"/>
  <c r="W16" i="10"/>
  <c r="AA17" i="10"/>
  <c r="AA18" i="10"/>
  <c r="AE20" i="10"/>
  <c r="AM22" i="10"/>
  <c r="W22" i="10"/>
  <c r="Y21" i="10"/>
  <c r="AE19" i="10"/>
  <c r="AL19" i="10"/>
  <c r="AK16" i="10"/>
  <c r="U16" i="10"/>
  <c r="Y17" i="10"/>
  <c r="Y18" i="10"/>
  <c r="AC20" i="10"/>
  <c r="AK22" i="10"/>
  <c r="U22" i="10"/>
  <c r="AA21" i="10"/>
  <c r="AC19" i="10"/>
  <c r="AD21" i="10"/>
  <c r="T19" i="10"/>
  <c r="AB18" i="10"/>
  <c r="T17" i="10"/>
  <c r="AF19" i="10"/>
  <c r="AH22" i="10"/>
  <c r="AL20" i="10"/>
  <c r="AD17" i="10"/>
  <c r="AL16" i="10"/>
  <c r="AB22" i="10"/>
  <c r="X20" i="10"/>
  <c r="X17" i="10"/>
  <c r="AB19" i="10"/>
  <c r="AF15" i="10"/>
  <c r="AJ26" i="10"/>
  <c r="AB28" i="10"/>
  <c r="T31" i="10"/>
  <c r="AE15" i="10"/>
  <c r="AI24" i="10"/>
  <c r="AM25" i="10"/>
  <c r="W25" i="10"/>
  <c r="AA26" i="10"/>
  <c r="AE27" i="10"/>
  <c r="AI28" i="10"/>
  <c r="AM29" i="10"/>
  <c r="W29" i="10"/>
  <c r="AA30" i="10"/>
  <c r="AE31" i="10"/>
  <c r="X24" i="10"/>
  <c r="T27" i="10"/>
  <c r="AF29" i="10"/>
  <c r="AF31" i="10"/>
  <c r="Z15" i="10"/>
  <c r="AD24" i="10"/>
  <c r="AH25" i="10"/>
  <c r="AL26" i="10"/>
  <c r="V26" i="10"/>
  <c r="Z27" i="10"/>
  <c r="AD28" i="10"/>
  <c r="AH29" i="10"/>
  <c r="AL30" i="10"/>
  <c r="V30" i="10"/>
  <c r="Z31" i="10"/>
  <c r="AJ25" i="10"/>
  <c r="X27" i="10"/>
  <c r="AJ30" i="10"/>
  <c r="AG15" i="10"/>
  <c r="AK24" i="10"/>
  <c r="U24" i="10"/>
  <c r="Y25" i="10"/>
  <c r="AC26" i="10"/>
  <c r="AG27" i="10"/>
  <c r="AK28" i="10"/>
  <c r="U28" i="10"/>
  <c r="Y29" i="10"/>
  <c r="AC30" i="10"/>
  <c r="AG31" i="10"/>
  <c r="T37" i="10"/>
  <c r="Z70" i="10"/>
  <c r="AJ83" i="10"/>
  <c r="T40" i="10"/>
  <c r="T49" i="10"/>
  <c r="Y69" i="10"/>
  <c r="AF72" i="10"/>
  <c r="AM75" i="10"/>
  <c r="U84" i="10"/>
  <c r="AG80" i="10"/>
  <c r="AC88" i="10"/>
  <c r="AC69" i="10"/>
  <c r="AM82" i="10"/>
  <c r="T47" i="10"/>
  <c r="T61" i="10"/>
  <c r="AA71" i="10"/>
  <c r="AH74" i="10"/>
  <c r="Z85" i="10"/>
  <c r="AL81" i="10"/>
  <c r="AD93" i="10"/>
  <c r="AB97" i="10"/>
  <c r="W71" i="10"/>
  <c r="W82" i="10"/>
  <c r="T33" i="10"/>
  <c r="T55" i="10"/>
  <c r="AE71" i="10"/>
  <c r="AL74" i="10"/>
  <c r="V85" i="10"/>
  <c r="AH81" i="10"/>
  <c r="AG92" i="10"/>
  <c r="AE96" i="10"/>
  <c r="T74" i="10"/>
  <c r="AF69" i="10"/>
  <c r="AC70" i="10"/>
  <c r="Z71" i="10"/>
  <c r="W72" i="10"/>
  <c r="AM72" i="10"/>
  <c r="AJ73" i="10"/>
  <c r="AG74" i="10"/>
  <c r="AD75" i="10"/>
  <c r="AA76" i="10"/>
  <c r="T82" i="10"/>
  <c r="AA85" i="10"/>
  <c r="AD84" i="10"/>
  <c r="AG83" i="10"/>
  <c r="AJ82" i="10"/>
  <c r="AM81" i="10"/>
  <c r="W81" i="10"/>
  <c r="Z80" i="10"/>
  <c r="Z79" i="10"/>
  <c r="AH93" i="10"/>
  <c r="AA90" i="10"/>
  <c r="T103" i="10"/>
  <c r="AM100" i="10"/>
  <c r="AF97" i="10"/>
  <c r="T69" i="10"/>
  <c r="Z69" i="10"/>
  <c r="W70" i="10"/>
  <c r="AM70" i="10"/>
  <c r="AJ71" i="10"/>
  <c r="AG72" i="10"/>
  <c r="AD73" i="10"/>
  <c r="AA74" i="10"/>
  <c r="X75" i="10"/>
  <c r="U76" i="10"/>
  <c r="AK76" i="10"/>
  <c r="AG85" i="10"/>
  <c r="AJ84" i="10"/>
  <c r="AM83" i="10"/>
  <c r="W83" i="10"/>
  <c r="Z82" i="10"/>
  <c r="AC81" i="10"/>
  <c r="AF80" i="10"/>
  <c r="AH79" i="10"/>
  <c r="AM94" i="10"/>
  <c r="AL89" i="10"/>
  <c r="AE100" i="10"/>
  <c r="T78" i="10"/>
  <c r="X70" i="10"/>
  <c r="AK71" i="10"/>
  <c r="AE73" i="10"/>
  <c r="Y75" i="10"/>
  <c r="AL76" i="10"/>
  <c r="AI84" i="10"/>
  <c r="V83" i="10"/>
  <c r="AB81" i="10"/>
  <c r="AG79" i="10"/>
  <c r="AB91" i="10"/>
  <c r="U102" i="10"/>
  <c r="AI79" i="10"/>
  <c r="V78" i="10"/>
  <c r="AI93" i="10"/>
  <c r="V92" i="10"/>
  <c r="AB90" i="10"/>
  <c r="AH88" i="10"/>
  <c r="U87" i="10"/>
  <c r="AH102" i="10"/>
  <c r="U101" i="10"/>
  <c r="AA99" i="10"/>
  <c r="AG97" i="10"/>
  <c r="U79" i="10"/>
  <c r="AH94" i="10"/>
  <c r="U93" i="10"/>
  <c r="AA91" i="10"/>
  <c r="AG89" i="10"/>
  <c r="AM87" i="10"/>
  <c r="AG103" i="10"/>
  <c r="AM101" i="10"/>
  <c r="Z100" i="10"/>
  <c r="AF98" i="10"/>
  <c r="AL96" i="10"/>
  <c r="AA78" i="10"/>
  <c r="U94" i="10"/>
  <c r="AA92" i="10"/>
  <c r="AG90" i="10"/>
  <c r="AM88" i="10"/>
  <c r="Z87" i="10"/>
  <c r="AM102" i="10"/>
  <c r="Z101" i="10"/>
  <c r="AF99" i="10"/>
  <c r="AL97" i="10"/>
  <c r="Y96" i="10"/>
  <c r="AC35" i="10"/>
  <c r="Y36" i="10"/>
  <c r="AE33" i="10"/>
  <c r="AB48" i="10"/>
  <c r="W35" i="10"/>
  <c r="AB45" i="10"/>
  <c r="AD39" i="10"/>
  <c r="AI49" i="10"/>
  <c r="W42" i="10"/>
  <c r="AM55" i="10"/>
  <c r="AL54" i="10"/>
  <c r="AB61" i="10"/>
  <c r="AB53" i="10"/>
  <c r="U63" i="10"/>
  <c r="AJ54" i="10"/>
  <c r="AM62" i="10"/>
  <c r="Y65" i="10"/>
  <c r="AD216" i="2"/>
  <c r="AD14" i="1"/>
  <c r="S14" i="1"/>
  <c r="AE12" i="1"/>
  <c r="AA36" i="1"/>
  <c r="V42" i="1"/>
  <c r="AI51" i="1"/>
  <c r="AH29" i="1"/>
  <c r="U31" i="1"/>
  <c r="AJ32" i="1"/>
  <c r="T55" i="1"/>
  <c r="AA11" i="2"/>
  <c r="AK15" i="1"/>
  <c r="Z10" i="1"/>
  <c r="AC10" i="1"/>
  <c r="S11" i="1"/>
  <c r="S10" i="1"/>
  <c r="S16" i="1"/>
  <c r="X11" i="1"/>
  <c r="X12" i="1"/>
  <c r="AI49" i="1"/>
  <c r="AD45" i="1"/>
  <c r="AD55" i="1"/>
  <c r="AH34" i="1"/>
  <c r="AC30" i="1"/>
  <c r="AA39" i="1"/>
  <c r="Z32" i="1"/>
  <c r="Z49" i="1"/>
  <c r="Y45" i="1"/>
  <c r="AG29" i="1"/>
  <c r="R52" i="1"/>
  <c r="AA40" i="1"/>
  <c r="AF41" i="1"/>
  <c r="AC36" i="1"/>
  <c r="W10" i="1"/>
  <c r="AA56" i="2"/>
  <c r="AA71" i="2" s="1"/>
  <c r="AF57" i="2"/>
  <c r="AF72" i="2" s="1"/>
  <c r="T17" i="2"/>
  <c r="X33" i="16"/>
  <c r="AO66" i="16"/>
  <c r="X19" i="10"/>
  <c r="AD22" i="10"/>
  <c r="AH20" i="10"/>
  <c r="AH17" i="10"/>
  <c r="AI16" i="10"/>
  <c r="AM17" i="10"/>
  <c r="W17" i="10"/>
  <c r="W18" i="10"/>
  <c r="AA20" i="10"/>
  <c r="AI22" i="10"/>
  <c r="AK21" i="10"/>
  <c r="U21" i="10"/>
  <c r="AA19" i="10"/>
  <c r="AH19" i="10"/>
  <c r="AG16" i="10"/>
  <c r="AK17" i="10"/>
  <c r="U17" i="10"/>
  <c r="U18" i="10"/>
  <c r="Y20" i="10"/>
  <c r="AG22" i="10"/>
  <c r="AM21" i="10"/>
  <c r="W21" i="10"/>
  <c r="Y19" i="10"/>
  <c r="AL21" i="10"/>
  <c r="AB20" i="10"/>
  <c r="T18" i="10"/>
  <c r="AB16" i="10"/>
  <c r="X21" i="10"/>
  <c r="AK18" i="10"/>
  <c r="V18" i="10"/>
  <c r="AL17" i="10"/>
  <c r="AJ19" i="10"/>
  <c r="AJ22" i="10"/>
  <c r="AF20" i="10"/>
  <c r="AF17" i="10"/>
  <c r="X15" i="10"/>
  <c r="AF24" i="10"/>
  <c r="X26" i="10"/>
  <c r="AJ29" i="10"/>
  <c r="X31" i="10"/>
  <c r="AA15" i="10"/>
  <c r="AE24" i="10"/>
  <c r="AI25" i="10"/>
  <c r="AM26" i="10"/>
  <c r="W26" i="10"/>
  <c r="AA27" i="10"/>
  <c r="AE28" i="10"/>
  <c r="AI29" i="10"/>
  <c r="AM30" i="10"/>
  <c r="W30" i="10"/>
  <c r="AA31" i="10"/>
  <c r="AF25" i="10"/>
  <c r="AB27" i="10"/>
  <c r="T30" i="10"/>
  <c r="AL15" i="10"/>
  <c r="V15" i="10"/>
  <c r="Z24" i="10"/>
  <c r="AD25" i="10"/>
  <c r="AH26" i="10"/>
  <c r="AL27" i="10"/>
  <c r="V27" i="10"/>
  <c r="Z28" i="10"/>
  <c r="AD29" i="10"/>
  <c r="AH30" i="10"/>
  <c r="AL31" i="10"/>
  <c r="V31" i="10"/>
  <c r="X25" i="10"/>
  <c r="AF28" i="10"/>
  <c r="X30" i="10"/>
  <c r="AC15" i="10"/>
  <c r="AG24" i="10"/>
  <c r="AK25" i="10"/>
  <c r="U25" i="10"/>
  <c r="Y26" i="10"/>
  <c r="AC27" i="10"/>
  <c r="AG28" i="10"/>
  <c r="AK29" i="10"/>
  <c r="U29" i="10"/>
  <c r="Y30" i="10"/>
  <c r="AC31" i="10"/>
  <c r="T48" i="10"/>
  <c r="AJ72" i="10"/>
  <c r="Z81" i="10"/>
  <c r="T39" i="10"/>
  <c r="T45" i="10"/>
  <c r="V70" i="10"/>
  <c r="AC73" i="10"/>
  <c r="AJ76" i="10"/>
  <c r="X83" i="10"/>
  <c r="AJ79" i="10"/>
  <c r="AC102" i="10"/>
  <c r="AM71" i="10"/>
  <c r="AC80" i="10"/>
  <c r="T43" i="10"/>
  <c r="T73" i="10"/>
  <c r="X72" i="10"/>
  <c r="AE75" i="10"/>
  <c r="AC84" i="10"/>
  <c r="V81" i="10"/>
  <c r="W90" i="10"/>
  <c r="T44" i="10"/>
  <c r="AG73" i="10"/>
  <c r="AD79" i="10"/>
  <c r="T42" i="10"/>
  <c r="U69" i="10"/>
  <c r="AB72" i="10"/>
  <c r="AI75" i="10"/>
  <c r="Y84" i="10"/>
  <c r="AK80" i="10"/>
  <c r="Z89" i="10"/>
  <c r="T66" i="10"/>
  <c r="T70" i="10"/>
  <c r="AJ69" i="10"/>
  <c r="AG70" i="10"/>
  <c r="AD71" i="10"/>
  <c r="AA72" i="10"/>
  <c r="X73" i="10"/>
  <c r="U74" i="10"/>
  <c r="AK74" i="10"/>
  <c r="AH75" i="10"/>
  <c r="AE76" i="10"/>
  <c r="AM85" i="10"/>
  <c r="W85" i="10"/>
  <c r="Z84" i="10"/>
  <c r="AC83" i="10"/>
  <c r="AF82" i="10"/>
  <c r="AI81" i="10"/>
  <c r="AL80" i="10"/>
  <c r="V80" i="10"/>
  <c r="AK78" i="10"/>
  <c r="AK92" i="10"/>
  <c r="AD89" i="10"/>
  <c r="AD103" i="10"/>
  <c r="W100" i="10"/>
  <c r="AI96" i="10"/>
  <c r="T76" i="10"/>
  <c r="AD69" i="10"/>
  <c r="AA70" i="10"/>
  <c r="X71" i="10"/>
  <c r="U72" i="10"/>
  <c r="AK72" i="10"/>
  <c r="AH73" i="10"/>
  <c r="AE74" i="10"/>
  <c r="AB75" i="10"/>
  <c r="Y76" i="10"/>
  <c r="T84" i="10"/>
  <c r="AC85" i="10"/>
  <c r="AF84" i="10"/>
  <c r="AI83" i="10"/>
  <c r="AL82" i="10"/>
  <c r="V82" i="10"/>
  <c r="Y81" i="10"/>
  <c r="AB80" i="10"/>
  <c r="AC79" i="10"/>
  <c r="W94" i="10"/>
  <c r="Y88" i="10"/>
  <c r="AK98" i="10"/>
  <c r="T71" i="10"/>
  <c r="AF70" i="10"/>
  <c r="Z72" i="10"/>
  <c r="AM73" i="10"/>
  <c r="AG75" i="10"/>
  <c r="T79" i="10"/>
  <c r="AA84" i="10"/>
  <c r="AG82" i="10"/>
  <c r="AM80" i="10"/>
  <c r="V79" i="10"/>
  <c r="AH89" i="10"/>
  <c r="AA100" i="10"/>
  <c r="AA79" i="10"/>
  <c r="T88" i="10"/>
  <c r="AA93" i="10"/>
  <c r="AG91" i="10"/>
  <c r="AM89" i="10"/>
  <c r="Z88" i="10"/>
  <c r="AM103" i="10"/>
  <c r="Z102" i="10"/>
  <c r="AF100" i="10"/>
  <c r="AL98" i="10"/>
  <c r="Y97" i="10"/>
  <c r="AF78" i="10"/>
  <c r="Z94" i="10"/>
  <c r="AF92" i="10"/>
  <c r="AL90" i="10"/>
  <c r="Y89" i="10"/>
  <c r="AE87" i="10"/>
  <c r="Y103" i="10"/>
  <c r="AE101" i="10"/>
  <c r="AK99" i="10"/>
  <c r="X98" i="10"/>
  <c r="AD96" i="10"/>
  <c r="T93" i="10"/>
  <c r="AF93" i="10"/>
  <c r="AL91" i="10"/>
  <c r="Y90" i="10"/>
  <c r="AE88" i="10"/>
  <c r="T101" i="10"/>
  <c r="AE102" i="10"/>
  <c r="AK100" i="10"/>
  <c r="X99" i="10"/>
  <c r="AD97" i="10"/>
  <c r="AD40" i="10"/>
  <c r="AI33" i="10"/>
  <c r="AK49" i="10"/>
  <c r="AE46" i="10"/>
  <c r="X40" i="10"/>
  <c r="AC33" i="10"/>
  <c r="AE43" i="10"/>
  <c r="AJ37" i="10"/>
  <c r="V48" i="10"/>
  <c r="AJ52" i="10"/>
  <c r="AI47" i="10"/>
  <c r="AC66" i="10"/>
  <c r="AC58" i="10"/>
  <c r="AH51" i="10"/>
  <c r="AH60" i="10"/>
  <c r="AH52" i="10"/>
  <c r="AG60" i="10"/>
  <c r="X60" i="10"/>
  <c r="AN195" i="2"/>
  <c r="AN196" i="2"/>
  <c r="AN200" i="2"/>
  <c r="AN205" i="2"/>
  <c r="AN209" i="2"/>
  <c r="AN214" i="2"/>
  <c r="AN218" i="2"/>
  <c r="AN202" i="2"/>
  <c r="AN207" i="2"/>
  <c r="AN216" i="2"/>
  <c r="AN199" i="2"/>
  <c r="AN208" i="2"/>
  <c r="AN217" i="2"/>
  <c r="AN197" i="2"/>
  <c r="AN201" i="2"/>
  <c r="AN206" i="2"/>
  <c r="AN210" i="2"/>
  <c r="AN215" i="2"/>
  <c r="AN219" i="2"/>
  <c r="AN198" i="2"/>
  <c r="AN211" i="2"/>
  <c r="AN220" i="2"/>
  <c r="AN204" i="2"/>
  <c r="AN213" i="2"/>
  <c r="AB195" i="2"/>
  <c r="T197" i="2"/>
  <c r="AB198" i="2"/>
  <c r="AF199" i="2"/>
  <c r="T201" i="2"/>
  <c r="T202" i="2"/>
  <c r="X204" i="2"/>
  <c r="X205" i="2"/>
  <c r="X206" i="2"/>
  <c r="AB207" i="2"/>
  <c r="AB208" i="2"/>
  <c r="AB209" i="2"/>
  <c r="AF210" i="2"/>
  <c r="AF211" i="2"/>
  <c r="AF213" i="2"/>
  <c r="AK195" i="2"/>
  <c r="AK196" i="2"/>
  <c r="AK197" i="2"/>
  <c r="U199" i="2"/>
  <c r="U200" i="2"/>
  <c r="U201" i="2"/>
  <c r="Y202" i="2"/>
  <c r="Y204" i="2"/>
  <c r="Y205" i="2"/>
  <c r="Y206" i="2"/>
  <c r="U207" i="2"/>
  <c r="AK207" i="2"/>
  <c r="AG208" i="2"/>
  <c r="AC209" i="2"/>
  <c r="Y210" i="2"/>
  <c r="U211" i="2"/>
  <c r="AK211" i="2"/>
  <c r="AG213" i="2"/>
  <c r="AD195" i="2"/>
  <c r="Z196" i="2"/>
  <c r="V197" i="2"/>
  <c r="AL197" i="2"/>
  <c r="AH198" i="2"/>
  <c r="AD199" i="2"/>
  <c r="Z200" i="2"/>
  <c r="V201" i="2"/>
  <c r="AL201" i="2"/>
  <c r="AH202" i="2"/>
  <c r="AD204" i="2"/>
  <c r="Z205" i="2"/>
  <c r="V206" i="2"/>
  <c r="AL206" i="2"/>
  <c r="AH207" i="2"/>
  <c r="AD208" i="2"/>
  <c r="Z209" i="2"/>
  <c r="V210" i="2"/>
  <c r="AL210" i="2"/>
  <c r="AH211" i="2"/>
  <c r="AD213" i="2"/>
  <c r="AM195" i="2"/>
  <c r="W199" i="2"/>
  <c r="AA202" i="2"/>
  <c r="AE206" i="2"/>
  <c r="AI209" i="2"/>
  <c r="AM213" i="2"/>
  <c r="AI214" i="2"/>
  <c r="AE215" i="2"/>
  <c r="AA216" i="2"/>
  <c r="W217" i="2"/>
  <c r="AM217" i="2"/>
  <c r="AI218" i="2"/>
  <c r="AE219" i="2"/>
  <c r="AA220" i="2"/>
  <c r="AA195" i="2"/>
  <c r="AE198" i="2"/>
  <c r="AI201" i="2"/>
  <c r="AM205" i="2"/>
  <c r="T15" i="10"/>
  <c r="AB196" i="2"/>
  <c r="AF198" i="2"/>
  <c r="AB200" i="2"/>
  <c r="AJ201" i="2"/>
  <c r="AB204" i="2"/>
  <c r="AJ205" i="2"/>
  <c r="T207" i="2"/>
  <c r="AF208" i="2"/>
  <c r="T210" i="2"/>
  <c r="AB211" i="2"/>
  <c r="U195" i="2"/>
  <c r="Y196" i="2"/>
  <c r="AG197" i="2"/>
  <c r="Y199" i="2"/>
  <c r="AG200" i="2"/>
  <c r="AK201" i="2"/>
  <c r="AC204" i="2"/>
  <c r="AK205" i="2"/>
  <c r="AK206" i="2"/>
  <c r="U208" i="2"/>
  <c r="U209" i="2"/>
  <c r="U210" i="2"/>
  <c r="Y211" i="2"/>
  <c r="Y213" i="2"/>
  <c r="Z195" i="2"/>
  <c r="AD196" i="2"/>
  <c r="AD197" i="2"/>
  <c r="AD198" i="2"/>
  <c r="AH199" i="2"/>
  <c r="AH200" i="2"/>
  <c r="AH201" i="2"/>
  <c r="X195" i="2"/>
  <c r="X197" i="2"/>
  <c r="X199" i="2"/>
  <c r="AJ200" i="2"/>
  <c r="AB202" i="2"/>
  <c r="AF204" i="2"/>
  <c r="T206" i="2"/>
  <c r="AF207" i="2"/>
  <c r="T209" i="2"/>
  <c r="X210" i="2"/>
  <c r="AJ211" i="2"/>
  <c r="Y195" i="2"/>
  <c r="AG196" i="2"/>
  <c r="Y198" i="2"/>
  <c r="AC199" i="2"/>
  <c r="AK200" i="2"/>
  <c r="AC202" i="2"/>
  <c r="AK204" i="2"/>
  <c r="U206" i="2"/>
  <c r="Y207" i="2"/>
  <c r="Y208" i="2"/>
  <c r="Y209" i="2"/>
  <c r="AC210" i="2"/>
  <c r="AC211" i="2"/>
  <c r="AC213" i="2"/>
  <c r="AH195" i="2"/>
  <c r="AH196" i="2"/>
  <c r="AH197" i="2"/>
  <c r="AL198" i="2"/>
  <c r="AL199" i="2"/>
  <c r="AL200" i="2"/>
  <c r="V202" i="2"/>
  <c r="V204" i="2"/>
  <c r="V205" i="2"/>
  <c r="Z206" i="2"/>
  <c r="Z207" i="2"/>
  <c r="Z208" i="2"/>
  <c r="AD209" i="2"/>
  <c r="AD210" i="2"/>
  <c r="AD211" i="2"/>
  <c r="T196" i="2"/>
  <c r="AF197" i="2"/>
  <c r="AB199" i="2"/>
  <c r="X201" i="2"/>
  <c r="AF202" i="2"/>
  <c r="T205" i="2"/>
  <c r="AF206" i="2"/>
  <c r="AJ207" i="2"/>
  <c r="X209" i="2"/>
  <c r="AJ210" i="2"/>
  <c r="X213" i="2"/>
  <c r="AC195" i="2"/>
  <c r="U197" i="2"/>
  <c r="AC198" i="2"/>
  <c r="AK199" i="2"/>
  <c r="AC201" i="2"/>
  <c r="AG202" i="2"/>
  <c r="U205" i="2"/>
  <c r="AC206" i="2"/>
  <c r="AC207" i="2"/>
  <c r="AC208" i="2"/>
  <c r="AG209" i="2"/>
  <c r="AG210" i="2"/>
  <c r="AG211" i="2"/>
  <c r="AK213" i="2"/>
  <c r="AL195" i="2"/>
  <c r="AL196" i="2"/>
  <c r="V198" i="2"/>
  <c r="V199" i="2"/>
  <c r="V200" i="2"/>
  <c r="Z201" i="2"/>
  <c r="Z202" i="2"/>
  <c r="Z204" i="2"/>
  <c r="AD205" i="2"/>
  <c r="AD206" i="2"/>
  <c r="AD207" i="2"/>
  <c r="AH208" i="2"/>
  <c r="AH209" i="2"/>
  <c r="AH210" i="2"/>
  <c r="AL211" i="2"/>
  <c r="AL213" i="2"/>
  <c r="AA198" i="2"/>
  <c r="W204" i="2"/>
  <c r="W208" i="2"/>
  <c r="W213" i="2"/>
  <c r="AM214" i="2"/>
  <c r="AM215" i="2"/>
  <c r="AM216" i="2"/>
  <c r="W218" i="2"/>
  <c r="W219" i="2"/>
  <c r="W220" i="2"/>
  <c r="AA199" i="2"/>
  <c r="AA204" i="2"/>
  <c r="AA208" i="2"/>
  <c r="AE211" i="2"/>
  <c r="AB214" i="2"/>
  <c r="X215" i="2"/>
  <c r="T216" i="2"/>
  <c r="AJ216" i="2"/>
  <c r="AF217" i="2"/>
  <c r="AB218" i="2"/>
  <c r="X219" i="2"/>
  <c r="T220" i="2"/>
  <c r="AJ220" i="2"/>
  <c r="W197" i="2"/>
  <c r="AA200" i="2"/>
  <c r="AE204" i="2"/>
  <c r="AI207" i="2"/>
  <c r="AM210" i="2"/>
  <c r="Y214" i="2"/>
  <c r="U215" i="2"/>
  <c r="AK215" i="2"/>
  <c r="X196" i="2"/>
  <c r="AJ202" i="2"/>
  <c r="AJ209" i="2"/>
  <c r="AC197" i="2"/>
  <c r="U204" i="2"/>
  <c r="AK208" i="2"/>
  <c r="V195" i="2"/>
  <c r="Z199" i="2"/>
  <c r="AL202" i="2"/>
  <c r="AL205" i="2"/>
  <c r="V208" i="2"/>
  <c r="Z210" i="2"/>
  <c r="Z213" i="2"/>
  <c r="AE197" i="2"/>
  <c r="AM204" i="2"/>
  <c r="AE210" i="2"/>
  <c r="AE214" i="2"/>
  <c r="W216" i="2"/>
  <c r="AE217" i="2"/>
  <c r="AM218" i="2"/>
  <c r="AE220" i="2"/>
  <c r="AI197" i="2"/>
  <c r="W205" i="2"/>
  <c r="AM209" i="2"/>
  <c r="X214" i="2"/>
  <c r="AB215" i="2"/>
  <c r="AB216" i="2"/>
  <c r="AB217" i="2"/>
  <c r="AF218" i="2"/>
  <c r="AF219" i="2"/>
  <c r="AF220" i="2"/>
  <c r="AA196" i="2"/>
  <c r="W201" i="2"/>
  <c r="W206" i="2"/>
  <c r="W210" i="2"/>
  <c r="AC214" i="2"/>
  <c r="AC215" i="2"/>
  <c r="AC216" i="2"/>
  <c r="Y217" i="2"/>
  <c r="U218" i="2"/>
  <c r="AK218" i="2"/>
  <c r="AG219" i="2"/>
  <c r="AC220" i="2"/>
  <c r="AI195" i="2"/>
  <c r="AE209" i="2"/>
  <c r="Z216" i="2"/>
  <c r="AD219" i="2"/>
  <c r="AI199" i="2"/>
  <c r="V214" i="2"/>
  <c r="Z217" i="2"/>
  <c r="AD220" i="2"/>
  <c r="T198" i="2"/>
  <c r="AB205" i="2"/>
  <c r="T211" i="2"/>
  <c r="AG198" i="2"/>
  <c r="AG205" i="2"/>
  <c r="AK209" i="2"/>
  <c r="V196" i="2"/>
  <c r="AD200" i="2"/>
  <c r="AH204" i="2"/>
  <c r="AH206" i="2"/>
  <c r="AL208" i="2"/>
  <c r="V211" i="2"/>
  <c r="AH213" i="2"/>
  <c r="AM199" i="2"/>
  <c r="AI205" i="2"/>
  <c r="AA211" i="2"/>
  <c r="W215" i="2"/>
  <c r="AE216" i="2"/>
  <c r="AI217" i="2"/>
  <c r="AA219" i="2"/>
  <c r="AI220" i="2"/>
  <c r="W200" i="2"/>
  <c r="AI206" i="2"/>
  <c r="AI210" i="2"/>
  <c r="AF214" i="2"/>
  <c r="AF215" i="2"/>
  <c r="AF216" i="2"/>
  <c r="AJ217" i="2"/>
  <c r="AJ218" i="2"/>
  <c r="AJ219" i="2"/>
  <c r="AM197" i="2"/>
  <c r="AM201" i="2"/>
  <c r="AM206" i="2"/>
  <c r="AI211" i="2"/>
  <c r="X200" i="2"/>
  <c r="AJ206" i="2"/>
  <c r="AB213" i="2"/>
  <c r="Y200" i="2"/>
  <c r="AG206" i="2"/>
  <c r="AK210" i="2"/>
  <c r="Z197" i="2"/>
  <c r="AD201" i="2"/>
  <c r="AL204" i="2"/>
  <c r="V207" i="2"/>
  <c r="V209" i="2"/>
  <c r="Z211" i="2"/>
  <c r="W195" i="2"/>
  <c r="AI200" i="2"/>
  <c r="AA207" i="2"/>
  <c r="W214" i="2"/>
  <c r="AA215" i="2"/>
  <c r="AI216" i="2"/>
  <c r="AA218" i="2"/>
  <c r="AI219" i="2"/>
  <c r="AM220" i="2"/>
  <c r="W196" i="2"/>
  <c r="AM200" i="2"/>
  <c r="AE207" i="2"/>
  <c r="AA213" i="2"/>
  <c r="AJ214" i="2"/>
  <c r="AJ215" i="2"/>
  <c r="T217" i="2"/>
  <c r="T218" i="2"/>
  <c r="T219" i="2"/>
  <c r="X220" i="2"/>
  <c r="AI198" i="2"/>
  <c r="AI202" i="2"/>
  <c r="AE208" i="2"/>
  <c r="AE213" i="2"/>
  <c r="AK214" i="2"/>
  <c r="U216" i="2"/>
  <c r="AK216" i="2"/>
  <c r="AG217" i="2"/>
  <c r="AC218" i="2"/>
  <c r="Y219" i="2"/>
  <c r="U220" i="2"/>
  <c r="AK220" i="2"/>
  <c r="W202" i="2"/>
  <c r="AH214" i="2"/>
  <c r="AL217" i="2"/>
  <c r="AF201" i="2"/>
  <c r="AG207" i="2"/>
  <c r="AH205" i="2"/>
  <c r="AI196" i="2"/>
  <c r="AI215" i="2"/>
  <c r="AM196" i="2"/>
  <c r="T215" i="2"/>
  <c r="AB219" i="2"/>
  <c r="AE199" i="2"/>
  <c r="AG214" i="2"/>
  <c r="AG216" i="2"/>
  <c r="Y218" i="2"/>
  <c r="AK219" i="2"/>
  <c r="AI213" i="2"/>
  <c r="Z220" i="2"/>
  <c r="AA210" i="2"/>
  <c r="V218" i="2"/>
  <c r="AA197" i="2"/>
  <c r="W211" i="2"/>
  <c r="AH216" i="2"/>
  <c r="AL219" i="2"/>
  <c r="V220" i="2"/>
  <c r="AL220" i="2"/>
  <c r="Z215" i="2"/>
  <c r="AB60" i="10"/>
  <c r="Y61" i="10"/>
  <c r="X208" i="2"/>
  <c r="U213" i="2"/>
  <c r="AL207" i="2"/>
  <c r="AE201" i="2"/>
  <c r="AA217" i="2"/>
  <c r="AE202" i="2"/>
  <c r="X216" i="2"/>
  <c r="AB220" i="2"/>
  <c r="AA205" i="2"/>
  <c r="Y215" i="2"/>
  <c r="U217" i="2"/>
  <c r="AG218" i="2"/>
  <c r="Y220" i="2"/>
  <c r="AD215" i="2"/>
  <c r="AE196" i="2"/>
  <c r="AL214" i="2"/>
  <c r="AL218" i="2"/>
  <c r="AE200" i="2"/>
  <c r="Z214" i="2"/>
  <c r="AD217" i="2"/>
  <c r="AH220" i="2"/>
  <c r="W198" i="2"/>
  <c r="AA201" i="2"/>
  <c r="AD218" i="2"/>
  <c r="AF60" i="10"/>
  <c r="AC61" i="10"/>
  <c r="Z62" i="10"/>
  <c r="W63" i="10"/>
  <c r="AM63" i="10"/>
  <c r="AJ64" i="10"/>
  <c r="AG65" i="10"/>
  <c r="AD66" i="10"/>
  <c r="AA67" i="10"/>
  <c r="X51" i="10"/>
  <c r="U52" i="10"/>
  <c r="AK52" i="10"/>
  <c r="AH53" i="10"/>
  <c r="AE54" i="10"/>
  <c r="AB55" i="10"/>
  <c r="Y56" i="10"/>
  <c r="V57" i="10"/>
  <c r="AL57" i="10"/>
  <c r="AI58" i="10"/>
  <c r="AF42" i="10"/>
  <c r="AC43" i="10"/>
  <c r="Y60" i="10"/>
  <c r="V61" i="10"/>
  <c r="AL61" i="10"/>
  <c r="AI62" i="10"/>
  <c r="AF63" i="10"/>
  <c r="AC64" i="10"/>
  <c r="Z65" i="10"/>
  <c r="W66" i="10"/>
  <c r="AM66" i="10"/>
  <c r="AJ67" i="10"/>
  <c r="AG51" i="10"/>
  <c r="AD52" i="10"/>
  <c r="AA53" i="10"/>
  <c r="X54" i="10"/>
  <c r="U55" i="10"/>
  <c r="AK55" i="10"/>
  <c r="AH56" i="10"/>
  <c r="AE57" i="10"/>
  <c r="AB58" i="10"/>
  <c r="Y42" i="10"/>
  <c r="V43" i="10"/>
  <c r="V60" i="10"/>
  <c r="AL60" i="10"/>
  <c r="AI61" i="10"/>
  <c r="AF62" i="10"/>
  <c r="AC63" i="10"/>
  <c r="Z64" i="10"/>
  <c r="W65" i="10"/>
  <c r="U196" i="2"/>
  <c r="Z198" i="2"/>
  <c r="AL209" i="2"/>
  <c r="AM208" i="2"/>
  <c r="AE218" i="2"/>
  <c r="W209" i="2"/>
  <c r="X217" i="2"/>
  <c r="AA209" i="2"/>
  <c r="AG215" i="2"/>
  <c r="AC217" i="2"/>
  <c r="U219" i="2"/>
  <c r="AG220" i="2"/>
  <c r="AM198" i="2"/>
  <c r="V217" i="2"/>
  <c r="AM202" i="2"/>
  <c r="AH215" i="2"/>
  <c r="AH219" i="2"/>
  <c r="AI204" i="2"/>
  <c r="V215" i="2"/>
  <c r="Z218" i="2"/>
  <c r="AM211" i="2"/>
  <c r="Z219" i="2"/>
  <c r="AD214" i="2"/>
  <c r="AG201" i="2"/>
  <c r="AM219" i="2"/>
  <c r="AK217" i="2"/>
  <c r="AL215" i="2"/>
  <c r="AL216" i="2"/>
  <c r="AH217" i="2"/>
  <c r="AJ60" i="10"/>
  <c r="V62" i="10"/>
  <c r="AA63" i="10"/>
  <c r="AB64" i="10"/>
  <c r="AC65" i="10"/>
  <c r="AH66" i="10"/>
  <c r="AI67" i="10"/>
  <c r="AJ51" i="10"/>
  <c r="V53" i="10"/>
  <c r="W54" i="10"/>
  <c r="X55" i="10"/>
  <c r="AC56" i="10"/>
  <c r="AD57" i="10"/>
  <c r="AE58" i="10"/>
  <c r="AJ42" i="10"/>
  <c r="AK43" i="10"/>
  <c r="AK60" i="10"/>
  <c r="W62" i="10"/>
  <c r="X63" i="10"/>
  <c r="Y64" i="10"/>
  <c r="AD65" i="10"/>
  <c r="AE66" i="10"/>
  <c r="AF67" i="10"/>
  <c r="AK51" i="10"/>
  <c r="AL52" i="10"/>
  <c r="AM53" i="10"/>
  <c r="Y55" i="10"/>
  <c r="Z56" i="10"/>
  <c r="AA57" i="10"/>
  <c r="AF58" i="10"/>
  <c r="AG42" i="10"/>
  <c r="AH43" i="10"/>
  <c r="W61" i="10"/>
  <c r="X62" i="10"/>
  <c r="Y63" i="10"/>
  <c r="AD64" i="10"/>
  <c r="AE65" i="10"/>
  <c r="AB66" i="10"/>
  <c r="Y67" i="10"/>
  <c r="V51" i="10"/>
  <c r="AL51" i="10"/>
  <c r="AI52" i="10"/>
  <c r="AF53" i="10"/>
  <c r="AC54" i="10"/>
  <c r="Z55" i="10"/>
  <c r="W56" i="10"/>
  <c r="AM56" i="10"/>
  <c r="AJ57" i="10"/>
  <c r="AG58" i="10"/>
  <c r="AI60" i="10"/>
  <c r="AF61" i="10"/>
  <c r="AC62" i="10"/>
  <c r="Z63" i="10"/>
  <c r="W64" i="10"/>
  <c r="AM64" i="10"/>
  <c r="AJ65" i="10"/>
  <c r="AG66" i="10"/>
  <c r="AB52" i="10"/>
  <c r="AI55" i="10"/>
  <c r="AL58" i="10"/>
  <c r="AF43" i="10"/>
  <c r="AF44" i="10"/>
  <c r="AC45" i="10"/>
  <c r="Z46" i="10"/>
  <c r="V67" i="10"/>
  <c r="AC53" i="10"/>
  <c r="AJ56" i="10"/>
  <c r="AD42" i="10"/>
  <c r="U44" i="10"/>
  <c r="AK44" i="10"/>
  <c r="AH45" i="10"/>
  <c r="Z67" i="10"/>
  <c r="AG53" i="10"/>
  <c r="U57" i="10"/>
  <c r="AE42" i="10"/>
  <c r="V44" i="10"/>
  <c r="AL44" i="10"/>
  <c r="AI45" i="10"/>
  <c r="AF46" i="10"/>
  <c r="AC47" i="10"/>
  <c r="Z48" i="10"/>
  <c r="W49" i="10"/>
  <c r="AM49" i="10"/>
  <c r="AJ33" i="10"/>
  <c r="AG34" i="10"/>
  <c r="AD35" i="10"/>
  <c r="AA36" i="10"/>
  <c r="X37" i="10"/>
  <c r="U38" i="10"/>
  <c r="AK38" i="10"/>
  <c r="AH39" i="10"/>
  <c r="AE40" i="10"/>
  <c r="AA47" i="10"/>
  <c r="U53" i="10"/>
  <c r="AB56" i="10"/>
  <c r="Z42" i="10"/>
  <c r="AL43" i="10"/>
  <c r="AI44" i="10"/>
  <c r="AF45" i="10"/>
  <c r="AC46" i="10"/>
  <c r="Z47" i="10"/>
  <c r="W48" i="10"/>
  <c r="AM48" i="10"/>
  <c r="AJ49" i="10"/>
  <c r="AG33" i="10"/>
  <c r="AD34" i="10"/>
  <c r="AA35" i="10"/>
  <c r="X36" i="10"/>
  <c r="U37" i="10"/>
  <c r="AK37" i="10"/>
  <c r="AH38" i="10"/>
  <c r="AE39" i="10"/>
  <c r="AB40" i="10"/>
  <c r="AE47" i="10"/>
  <c r="AJ48" i="10"/>
  <c r="AD33" i="10"/>
  <c r="X35" i="10"/>
  <c r="AK36" i="10"/>
  <c r="AE38" i="10"/>
  <c r="Y40" i="10"/>
  <c r="AB47" i="10"/>
  <c r="Z49" i="10"/>
  <c r="AM33" i="10"/>
  <c r="AG35" i="10"/>
  <c r="AA37" i="10"/>
  <c r="U39" i="10"/>
  <c r="AK40" i="10"/>
  <c r="AF48" i="10"/>
  <c r="Z33" i="10"/>
  <c r="AM34" i="10"/>
  <c r="AG36" i="10"/>
  <c r="AA38" i="10"/>
  <c r="U40" i="10"/>
  <c r="AJ47" i="10"/>
  <c r="AD202" i="2"/>
  <c r="AE195" i="2"/>
  <c r="AC219" i="2"/>
  <c r="V219" i="2"/>
  <c r="U61" i="10"/>
  <c r="AD62" i="10"/>
  <c r="AE63" i="10"/>
  <c r="AF64" i="10"/>
  <c r="AK65" i="10"/>
  <c r="AL66" i="10"/>
  <c r="AM67" i="10"/>
  <c r="Y52" i="10"/>
  <c r="Z53" i="10"/>
  <c r="AA54" i="10"/>
  <c r="AF55" i="10"/>
  <c r="AG56" i="10"/>
  <c r="AH57" i="10"/>
  <c r="AM58" i="10"/>
  <c r="U43" i="10"/>
  <c r="U60" i="10"/>
  <c r="V213" i="2"/>
  <c r="T214" i="2"/>
  <c r="U214" i="2"/>
  <c r="AA206" i="2"/>
  <c r="W207" i="2"/>
  <c r="AI208" i="2"/>
  <c r="AG61" i="10"/>
  <c r="AH62" i="10"/>
  <c r="AI63" i="10"/>
  <c r="U65" i="10"/>
  <c r="V66" i="10"/>
  <c r="W67" i="10"/>
  <c r="AB51" i="10"/>
  <c r="AC52" i="10"/>
  <c r="AD53" i="10"/>
  <c r="AI54" i="10"/>
  <c r="AJ55" i="10"/>
  <c r="AK56" i="10"/>
  <c r="W58" i="10"/>
  <c r="X42" i="10"/>
  <c r="Y43" i="10"/>
  <c r="AC60" i="10"/>
  <c r="AD61" i="10"/>
  <c r="AE62" i="10"/>
  <c r="AJ63" i="10"/>
  <c r="AK64" i="10"/>
  <c r="AL65" i="10"/>
  <c r="X67" i="10"/>
  <c r="Y51" i="10"/>
  <c r="Z52" i="10"/>
  <c r="AE53" i="10"/>
  <c r="AF54" i="10"/>
  <c r="AG55" i="10"/>
  <c r="AL56" i="10"/>
  <c r="AM57" i="10"/>
  <c r="U42" i="10"/>
  <c r="Z43" i="10"/>
  <c r="AD60" i="10"/>
  <c r="AE61" i="10"/>
  <c r="AJ62" i="10"/>
  <c r="AK63" i="10"/>
  <c r="AL64" i="10"/>
  <c r="AM65" i="10"/>
  <c r="AJ66" i="10"/>
  <c r="AG67" i="10"/>
  <c r="AD51" i="10"/>
  <c r="AA52" i="10"/>
  <c r="X53" i="10"/>
  <c r="U54" i="10"/>
  <c r="AK54" i="10"/>
  <c r="AH55" i="10"/>
  <c r="AE56" i="10"/>
  <c r="AB57" i="10"/>
  <c r="Y58" i="10"/>
  <c r="AA60" i="10"/>
  <c r="X61" i="10"/>
  <c r="U62" i="10"/>
  <c r="AK62" i="10"/>
  <c r="AH63" i="10"/>
  <c r="AE64" i="10"/>
  <c r="AB65" i="10"/>
  <c r="Y66" i="10"/>
  <c r="AH67" i="10"/>
  <c r="V54" i="10"/>
  <c r="AC57" i="10"/>
  <c r="AI42" i="10"/>
  <c r="X44" i="10"/>
  <c r="U45" i="10"/>
  <c r="AK45" i="10"/>
  <c r="W47" i="10"/>
  <c r="AI51" i="10"/>
  <c r="W55" i="10"/>
  <c r="AD58" i="10"/>
  <c r="AA43" i="10"/>
  <c r="AC44" i="10"/>
  <c r="Z45" i="10"/>
  <c r="W46" i="10"/>
  <c r="AM51" i="10"/>
  <c r="AA55" i="10"/>
  <c r="AH58" i="10"/>
  <c r="AB43" i="10"/>
  <c r="AD44" i="10"/>
  <c r="AA45" i="10"/>
  <c r="X46" i="10"/>
  <c r="U47" i="10"/>
  <c r="AK47" i="10"/>
  <c r="AH48" i="10"/>
  <c r="AE49" i="10"/>
  <c r="AB33" i="10"/>
  <c r="Y34" i="10"/>
  <c r="V35" i="10"/>
  <c r="AL35" i="10"/>
  <c r="AI36" i="10"/>
  <c r="AF37" i="10"/>
  <c r="AC38" i="10"/>
  <c r="Z39" i="10"/>
  <c r="W40" i="10"/>
  <c r="AM40" i="10"/>
  <c r="AA51" i="10"/>
  <c r="AH54" i="10"/>
  <c r="V58" i="10"/>
  <c r="W43" i="10"/>
  <c r="AA44" i="10"/>
  <c r="X45" i="10"/>
  <c r="U46" i="10"/>
  <c r="AK46" i="10"/>
  <c r="AH47" i="10"/>
  <c r="AE48" i="10"/>
  <c r="AB49" i="10"/>
  <c r="Y33" i="10"/>
  <c r="V34" i="10"/>
  <c r="AL34" i="10"/>
  <c r="AI35" i="10"/>
  <c r="AF36" i="10"/>
  <c r="AC37" i="10"/>
  <c r="Z38" i="10"/>
  <c r="W39" i="10"/>
  <c r="AM39" i="10"/>
  <c r="AJ40" i="10"/>
  <c r="AM47" i="10"/>
  <c r="AG49" i="10"/>
  <c r="AA34" i="10"/>
  <c r="U36" i="10"/>
  <c r="AH37" i="10"/>
  <c r="AB39" i="10"/>
  <c r="AH40" i="10"/>
  <c r="AC48" i="10"/>
  <c r="W33" i="10"/>
  <c r="AJ34" i="10"/>
  <c r="AD36" i="10"/>
  <c r="X38" i="10"/>
  <c r="AK39" i="10"/>
  <c r="AF47" i="10"/>
  <c r="AC49" i="10"/>
  <c r="W34" i="10"/>
  <c r="AJ35" i="10"/>
  <c r="AD37" i="10"/>
  <c r="X39" i="10"/>
  <c r="AL40" i="10"/>
  <c r="AG48" i="10"/>
  <c r="AA214" i="2"/>
  <c r="AH218" i="2"/>
  <c r="AM207" i="2"/>
  <c r="AK61" i="10"/>
  <c r="Z66" i="10"/>
  <c r="AL53" i="10"/>
  <c r="AA58" i="10"/>
  <c r="Z61" i="10"/>
  <c r="AB63" i="10"/>
  <c r="AH65" i="10"/>
  <c r="U51" i="10"/>
  <c r="W53" i="10"/>
  <c r="AC55" i="10"/>
  <c r="AI57" i="10"/>
  <c r="AK42" i="10"/>
  <c r="AA61" i="10"/>
  <c r="AG63" i="10"/>
  <c r="AI65" i="10"/>
  <c r="AC67" i="10"/>
  <c r="W52" i="10"/>
  <c r="AJ53" i="10"/>
  <c r="AD55" i="10"/>
  <c r="X57" i="10"/>
  <c r="W60" i="10"/>
  <c r="AJ61" i="10"/>
  <c r="AD63" i="10"/>
  <c r="X65" i="10"/>
  <c r="AK66" i="10"/>
  <c r="AF56" i="10"/>
  <c r="AM43" i="10"/>
  <c r="AG45" i="10"/>
  <c r="AL67" i="10"/>
  <c r="AG57" i="10"/>
  <c r="Y44" i="10"/>
  <c r="AL45" i="10"/>
  <c r="AD54" i="10"/>
  <c r="AM42" i="10"/>
  <c r="W45" i="10"/>
  <c r="AJ46" i="10"/>
  <c r="AD48" i="10"/>
  <c r="X33" i="10"/>
  <c r="AK34" i="10"/>
  <c r="AE36" i="10"/>
  <c r="Y38" i="10"/>
  <c r="AL39" i="10"/>
  <c r="AD67" i="10"/>
  <c r="Y57" i="10"/>
  <c r="W44" i="10"/>
  <c r="AJ45" i="10"/>
  <c r="AD47" i="10"/>
  <c r="X49" i="10"/>
  <c r="AK33" i="10"/>
  <c r="AE35" i="10"/>
  <c r="Y37" i="10"/>
  <c r="AL38" i="10"/>
  <c r="AF40" i="10"/>
  <c r="Y49" i="10"/>
  <c r="AF35" i="10"/>
  <c r="AM38" i="10"/>
  <c r="U48" i="10"/>
  <c r="AB34" i="10"/>
  <c r="AI37" i="10"/>
  <c r="AI46" i="10"/>
  <c r="AH33" i="10"/>
  <c r="V37" i="10"/>
  <c r="AC40" i="10"/>
  <c r="AD49" i="10"/>
  <c r="X34" i="10"/>
  <c r="AK35" i="10"/>
  <c r="AE37" i="10"/>
  <c r="Y39" i="10"/>
  <c r="U96" i="10"/>
  <c r="AK96" i="10"/>
  <c r="AH97" i="10"/>
  <c r="AE98" i="10"/>
  <c r="AB99" i="10"/>
  <c r="Y100" i="10"/>
  <c r="V101" i="10"/>
  <c r="AL101" i="10"/>
  <c r="AI102" i="10"/>
  <c r="AF103" i="10"/>
  <c r="V87" i="10"/>
  <c r="AL87" i="10"/>
  <c r="AI88" i="10"/>
  <c r="AF89" i="10"/>
  <c r="AC90" i="10"/>
  <c r="Z91" i="10"/>
  <c r="W92" i="10"/>
  <c r="AM92" i="10"/>
  <c r="AJ93" i="10"/>
  <c r="AG94" i="10"/>
  <c r="W78" i="10"/>
  <c r="AM78" i="10"/>
  <c r="AH96" i="10"/>
  <c r="AE97" i="10"/>
  <c r="AB98" i="10"/>
  <c r="Y99" i="10"/>
  <c r="V100" i="10"/>
  <c r="AL100" i="10"/>
  <c r="AI101" i="10"/>
  <c r="AF102" i="10"/>
  <c r="AC103" i="10"/>
  <c r="T102" i="10"/>
  <c r="AI87" i="10"/>
  <c r="AF88" i="10"/>
  <c r="AC89" i="10"/>
  <c r="Z90" i="10"/>
  <c r="W91" i="10"/>
  <c r="AM91" i="10"/>
  <c r="AJ92" i="10"/>
  <c r="AG93" i="10"/>
  <c r="AD94" i="10"/>
  <c r="T94" i="10"/>
  <c r="AJ78" i="10"/>
  <c r="AF96" i="10"/>
  <c r="AC97" i="10"/>
  <c r="Z98" i="10"/>
  <c r="W99" i="10"/>
  <c r="AM99" i="10"/>
  <c r="AJ100" i="10"/>
  <c r="AG101" i="10"/>
  <c r="AD102" i="10"/>
  <c r="AA103" i="10"/>
  <c r="T100" i="10"/>
  <c r="AG87" i="10"/>
  <c r="AD88" i="10"/>
  <c r="AA89" i="10"/>
  <c r="X90" i="10"/>
  <c r="U91" i="10"/>
  <c r="AK91" i="10"/>
  <c r="AH92" i="10"/>
  <c r="AE93" i="10"/>
  <c r="AB94" i="10"/>
  <c r="T92" i="10"/>
  <c r="AH78" i="10"/>
  <c r="AE79" i="10"/>
  <c r="AJ97" i="10"/>
  <c r="X101" i="10"/>
  <c r="X87" i="10"/>
  <c r="AE90" i="10"/>
  <c r="AL93" i="10"/>
  <c r="AB79" i="10"/>
  <c r="AA80" i="10"/>
  <c r="X81" i="10"/>
  <c r="U82" i="10"/>
  <c r="AK82" i="10"/>
  <c r="AH83" i="10"/>
  <c r="AE84" i="10"/>
  <c r="AB85" i="10"/>
  <c r="T83" i="10"/>
  <c r="Z76" i="10"/>
  <c r="AC75" i="10"/>
  <c r="AF74" i="10"/>
  <c r="AI73" i="10"/>
  <c r="AL72" i="10"/>
  <c r="V72" i="10"/>
  <c r="Y71" i="10"/>
  <c r="AB70" i="10"/>
  <c r="AE69" i="10"/>
  <c r="T75" i="10"/>
  <c r="AA96" i="10"/>
  <c r="AH99" i="10"/>
  <c r="V103" i="10"/>
  <c r="V89" i="10"/>
  <c r="AC92" i="10"/>
  <c r="X218" i="2"/>
  <c r="V216" i="2"/>
  <c r="AL62" i="10"/>
  <c r="AE67" i="10"/>
  <c r="AM54" i="10"/>
  <c r="AB42" i="10"/>
  <c r="AH61" i="10"/>
  <c r="U64" i="10"/>
  <c r="AA66" i="10"/>
  <c r="AC51" i="10"/>
  <c r="AI53" i="10"/>
  <c r="V56" i="10"/>
  <c r="X58" i="10"/>
  <c r="AD43" i="10"/>
  <c r="AM61" i="10"/>
  <c r="V64" i="10"/>
  <c r="X66" i="10"/>
  <c r="AK67" i="10"/>
  <c r="AE52" i="10"/>
  <c r="Y54" i="10"/>
  <c r="AL55" i="10"/>
  <c r="AF57" i="10"/>
  <c r="AE60" i="10"/>
  <c r="Y62" i="10"/>
  <c r="AL63" i="10"/>
  <c r="AF65" i="10"/>
  <c r="AE51" i="10"/>
  <c r="Z58" i="10"/>
  <c r="AB44" i="10"/>
  <c r="V46" i="10"/>
  <c r="AF52" i="10"/>
  <c r="V42" i="10"/>
  <c r="AG44" i="10"/>
  <c r="AA46" i="10"/>
  <c r="X56" i="10"/>
  <c r="AJ43" i="10"/>
  <c r="AE45" i="10"/>
  <c r="Y47" i="10"/>
  <c r="AL48" i="10"/>
  <c r="AF33" i="10"/>
  <c r="Z35" i="10"/>
  <c r="AM36" i="10"/>
  <c r="AG38" i="10"/>
  <c r="AA40" i="10"/>
  <c r="X52" i="10"/>
  <c r="AK58" i="10"/>
  <c r="AE44" i="10"/>
  <c r="Y46" i="10"/>
  <c r="AL47" i="10"/>
  <c r="AF49" i="10"/>
  <c r="Z34" i="10"/>
  <c r="AM35" i="10"/>
  <c r="AG37" i="10"/>
  <c r="AA39" i="10"/>
  <c r="AL46" i="10"/>
  <c r="V33" i="10"/>
  <c r="AC36" i="10"/>
  <c r="AJ39" i="10"/>
  <c r="AK48" i="10"/>
  <c r="Y35" i="10"/>
  <c r="AF38" i="10"/>
  <c r="X48" i="10"/>
  <c r="AE34" i="10"/>
  <c r="AL37" i="10"/>
  <c r="AM46" i="10"/>
  <c r="AL49" i="10"/>
  <c r="AF34" i="10"/>
  <c r="Z36" i="10"/>
  <c r="AM37" i="10"/>
  <c r="AG39" i="10"/>
  <c r="Y216" i="2"/>
  <c r="X64" i="10"/>
  <c r="AF51" i="10"/>
  <c r="U56" i="10"/>
  <c r="AG43" i="10"/>
  <c r="AA62" i="10"/>
  <c r="AG64" i="10"/>
  <c r="AI66" i="10"/>
  <c r="V52" i="10"/>
  <c r="AB54" i="10"/>
  <c r="AD56" i="10"/>
  <c r="AJ58" i="10"/>
  <c r="Z60" i="10"/>
  <c r="AB62" i="10"/>
  <c r="AH64" i="10"/>
  <c r="AF66" i="10"/>
  <c r="Z51" i="10"/>
  <c r="AM52" i="10"/>
  <c r="AG54" i="10"/>
  <c r="AA56" i="10"/>
  <c r="U58" i="10"/>
  <c r="AM60" i="10"/>
  <c r="AG62" i="10"/>
  <c r="AA64" i="10"/>
  <c r="U66" i="10"/>
  <c r="Y53" i="10"/>
  <c r="AA42" i="10"/>
  <c r="AJ44" i="10"/>
  <c r="AH46" i="10"/>
  <c r="Z54" i="10"/>
  <c r="AL42" i="10"/>
  <c r="V45" i="10"/>
  <c r="W51" i="10"/>
  <c r="AK57" i="10"/>
  <c r="Z44" i="10"/>
  <c r="AM45" i="10"/>
  <c r="AG47" i="10"/>
  <c r="AA49" i="10"/>
  <c r="U34" i="10"/>
  <c r="AH35" i="10"/>
  <c r="AB37" i="10"/>
  <c r="V39" i="10"/>
  <c r="AI40" i="10"/>
  <c r="AK53" i="10"/>
  <c r="AH42" i="10"/>
  <c r="AM44" i="10"/>
  <c r="AG46" i="10"/>
  <c r="AA48" i="10"/>
  <c r="U33" i="10"/>
  <c r="AH34" i="10"/>
  <c r="AB36" i="10"/>
  <c r="V38" i="10"/>
  <c r="AI39" i="10"/>
  <c r="X47" i="10"/>
  <c r="AL33" i="10"/>
  <c r="Z37" i="10"/>
  <c r="AG40" i="10"/>
  <c r="AH49" i="10"/>
  <c r="V36" i="10"/>
  <c r="AC39" i="10"/>
  <c r="U49" i="10"/>
  <c r="AB35" i="10"/>
  <c r="AI38" i="10"/>
  <c r="Y48" i="10"/>
  <c r="AA33" i="10"/>
  <c r="U35" i="10"/>
  <c r="AH36" i="10"/>
  <c r="AB38" i="10"/>
  <c r="V40" i="10"/>
  <c r="AC96" i="10"/>
  <c r="Z97" i="10"/>
  <c r="W98" i="10"/>
  <c r="AM98" i="10"/>
  <c r="AJ99" i="10"/>
  <c r="AG100" i="10"/>
  <c r="AD101" i="10"/>
  <c r="AA102" i="10"/>
  <c r="X103" i="10"/>
  <c r="T97" i="10"/>
  <c r="AD87" i="10"/>
  <c r="AA88" i="10"/>
  <c r="X89" i="10"/>
  <c r="U90" i="10"/>
  <c r="AK90" i="10"/>
  <c r="AH91" i="10"/>
  <c r="AE92" i="10"/>
  <c r="AB93" i="10"/>
  <c r="Y94" i="10"/>
  <c r="T89" i="10"/>
  <c r="AE78" i="10"/>
  <c r="Z96" i="10"/>
  <c r="W97" i="10"/>
  <c r="AM97" i="10"/>
  <c r="AJ98" i="10"/>
  <c r="AG99" i="10"/>
  <c r="AD100" i="10"/>
  <c r="AA101" i="10"/>
  <c r="X102" i="10"/>
  <c r="U103" i="10"/>
  <c r="AK103" i="10"/>
  <c r="AA87" i="10"/>
  <c r="X88" i="10"/>
  <c r="U89" i="10"/>
  <c r="AK89" i="10"/>
  <c r="AH90" i="10"/>
  <c r="AE91" i="10"/>
  <c r="AB92" i="10"/>
  <c r="Y93" i="10"/>
  <c r="V94" i="10"/>
  <c r="AL94" i="10"/>
  <c r="AB78" i="10"/>
  <c r="X96" i="10"/>
  <c r="U97" i="10"/>
  <c r="AK97" i="10"/>
  <c r="AH98" i="10"/>
  <c r="AE99" i="10"/>
  <c r="AB100" i="10"/>
  <c r="Y101" i="10"/>
  <c r="V102" i="10"/>
  <c r="AL102" i="10"/>
  <c r="AI103" i="10"/>
  <c r="Y87" i="10"/>
  <c r="V88" i="10"/>
  <c r="AL88" i="10"/>
  <c r="AI89" i="10"/>
  <c r="AF90" i="10"/>
  <c r="AC91" i="10"/>
  <c r="Z92" i="10"/>
  <c r="W93" i="10"/>
  <c r="AM93" i="10"/>
  <c r="AJ94" i="10"/>
  <c r="Z78" i="10"/>
  <c r="W79" i="10"/>
  <c r="W96" i="10"/>
  <c r="AD99" i="10"/>
  <c r="AK102" i="10"/>
  <c r="AK88" i="10"/>
  <c r="Y92" i="10"/>
  <c r="Y78" i="10"/>
  <c r="AL79" i="10"/>
  <c r="AI80" i="10"/>
  <c r="AF81" i="10"/>
  <c r="AC82" i="10"/>
  <c r="Z83" i="10"/>
  <c r="W84" i="10"/>
  <c r="AM84" i="10"/>
  <c r="AJ85" i="10"/>
  <c r="AH76" i="10"/>
  <c r="AK75" i="10"/>
  <c r="U75" i="10"/>
  <c r="X74" i="10"/>
  <c r="AA73" i="10"/>
  <c r="AD72" i="10"/>
  <c r="AG71" i="10"/>
  <c r="AJ70" i="10"/>
  <c r="AM69" i="10"/>
  <c r="W69" i="10"/>
  <c r="T63" i="10"/>
  <c r="U98" i="10"/>
  <c r="AB101" i="10"/>
  <c r="AB87" i="10"/>
  <c r="AI90" i="10"/>
  <c r="S140" i="2"/>
  <c r="U78" i="24"/>
  <c r="U102" i="24" s="1"/>
  <c r="U73" i="24"/>
  <c r="U97" i="24" s="1"/>
  <c r="X126" i="16"/>
  <c r="V31" i="24"/>
  <c r="V56" i="24" s="1"/>
  <c r="AS12" i="24"/>
  <c r="W30" i="8"/>
  <c r="V30" i="8"/>
  <c r="T200" i="2"/>
  <c r="AJ198" i="2"/>
  <c r="AJ197" i="2"/>
  <c r="AJ196" i="2"/>
  <c r="AF195" i="2"/>
  <c r="X128" i="16"/>
  <c r="V136" i="24"/>
  <c r="U18" i="24"/>
  <c r="U43" i="24" s="1"/>
  <c r="AB96" i="14"/>
  <c r="AB101" i="14"/>
  <c r="AB106" i="14"/>
  <c r="AB111" i="14"/>
  <c r="AB116" i="14"/>
  <c r="AB121" i="14"/>
  <c r="AB62" i="14"/>
  <c r="AB77" i="14" s="1"/>
  <c r="AB67" i="14"/>
  <c r="AB78" i="14" s="1"/>
  <c r="AB72" i="14"/>
  <c r="AB87" i="14" s="1"/>
  <c r="AB82" i="14"/>
  <c r="AB27" i="14"/>
  <c r="AB19" i="14"/>
  <c r="AB16" i="14"/>
  <c r="AB109" i="14"/>
  <c r="AB124" i="14"/>
  <c r="AB70" i="14"/>
  <c r="AB85" i="14" s="1"/>
  <c r="AB26" i="14"/>
  <c r="AB97" i="14"/>
  <c r="AB102" i="14"/>
  <c r="AB107" i="14"/>
  <c r="AB112" i="14"/>
  <c r="AB117" i="14"/>
  <c r="AB122" i="14"/>
  <c r="AB63" i="14"/>
  <c r="AB68" i="14"/>
  <c r="AB83" i="14" s="1"/>
  <c r="AB73" i="14"/>
  <c r="AB88" i="14" s="1"/>
  <c r="AB29" i="14"/>
  <c r="AB20" i="14"/>
  <c r="AB17" i="14"/>
  <c r="AB99" i="14"/>
  <c r="AB114" i="14"/>
  <c r="AB119" i="14"/>
  <c r="AB75" i="14"/>
  <c r="AB90" i="14" s="1"/>
  <c r="AB31" i="14"/>
  <c r="AB98" i="14"/>
  <c r="AB103" i="14"/>
  <c r="AB108" i="14"/>
  <c r="AB113" i="14"/>
  <c r="AB118" i="14"/>
  <c r="AB123" i="14"/>
  <c r="AB64" i="14"/>
  <c r="AB79" i="14" s="1"/>
  <c r="AB69" i="14"/>
  <c r="AB84" i="14" s="1"/>
  <c r="AB74" i="14"/>
  <c r="AB89" i="14" s="1"/>
  <c r="AB25" i="14"/>
  <c r="AB30" i="14"/>
  <c r="AB21" i="14"/>
  <c r="AB104" i="14"/>
  <c r="AB65" i="14"/>
  <c r="AB80" i="14" s="1"/>
  <c r="AB15" i="14"/>
  <c r="BK101" i="16"/>
  <c r="V156" i="24"/>
  <c r="U16" i="8"/>
  <c r="R16" i="8"/>
  <c r="V140" i="2"/>
  <c r="T30" i="8"/>
  <c r="S16" i="8"/>
  <c r="V23" i="8"/>
  <c r="P30" i="8"/>
  <c r="S23" i="8"/>
  <c r="S30" i="8"/>
  <c r="W23" i="8"/>
  <c r="X23" i="8"/>
  <c r="R30" i="8"/>
  <c r="T140" i="2"/>
  <c r="Y140" i="2"/>
  <c r="Q16" i="8"/>
  <c r="X16" i="8"/>
  <c r="R23" i="8"/>
  <c r="Q30" i="8"/>
  <c r="U23" i="8"/>
  <c r="U30" i="8"/>
  <c r="T23" i="8"/>
  <c r="AA140" i="2"/>
  <c r="Z140" i="2"/>
  <c r="U140" i="2"/>
  <c r="T16" i="8"/>
  <c r="X30" i="8"/>
  <c r="W16" i="8"/>
  <c r="Q23" i="8"/>
  <c r="V16" i="8"/>
  <c r="P23" i="8"/>
  <c r="W140" i="2"/>
  <c r="AB140" i="2"/>
  <c r="Y16" i="8"/>
  <c r="Y23" i="8"/>
  <c r="Y30" i="8"/>
  <c r="V141" i="24"/>
  <c r="V154" i="24"/>
  <c r="V166" i="24"/>
  <c r="V159" i="24"/>
  <c r="V157" i="24"/>
  <c r="V134" i="24"/>
  <c r="V144" i="24"/>
  <c r="V138" i="24"/>
  <c r="V137" i="24"/>
  <c r="V155" i="24"/>
  <c r="V152" i="24"/>
  <c r="V149" i="24"/>
  <c r="V167" i="24"/>
  <c r="V139" i="24"/>
  <c r="V147" i="24"/>
  <c r="V150" i="24"/>
  <c r="V168" i="24"/>
  <c r="V161" i="24"/>
  <c r="V145" i="24"/>
  <c r="V163" i="24"/>
  <c r="V135" i="24"/>
  <c r="V153" i="24"/>
  <c r="V165" i="24"/>
  <c r="V146" i="24"/>
  <c r="V164" i="24"/>
  <c r="V140" i="24"/>
  <c r="V158" i="24"/>
  <c r="V143" i="24"/>
  <c r="V148" i="24"/>
  <c r="V76" i="24"/>
  <c r="V100" i="24" s="1"/>
  <c r="U71" i="24"/>
  <c r="U95" i="24" s="1"/>
  <c r="T79" i="24"/>
  <c r="AX83" i="24" s="1"/>
  <c r="U89" i="24"/>
  <c r="U113" i="24" s="1"/>
  <c r="U83" i="24"/>
  <c r="U107" i="24" s="1"/>
  <c r="V78" i="24"/>
  <c r="V102" i="24" s="1"/>
  <c r="T88" i="24"/>
  <c r="AX92" i="24" s="1"/>
  <c r="V71" i="24"/>
  <c r="V95" i="24" s="1"/>
  <c r="T72" i="24"/>
  <c r="T96" i="24" s="1"/>
  <c r="U86" i="24"/>
  <c r="U110" i="24" s="1"/>
  <c r="U92" i="24"/>
  <c r="U116" i="24" s="1"/>
  <c r="V92" i="24"/>
  <c r="V116" i="24" s="1"/>
  <c r="V73" i="24"/>
  <c r="V97" i="24" s="1"/>
  <c r="T92" i="24"/>
  <c r="T116" i="24" s="1"/>
  <c r="V74" i="24"/>
  <c r="V98" i="24" s="1"/>
  <c r="V89" i="24"/>
  <c r="V113" i="24" s="1"/>
  <c r="T71" i="24"/>
  <c r="T74" i="24"/>
  <c r="U74" i="24"/>
  <c r="U98" i="24" s="1"/>
  <c r="U85" i="24"/>
  <c r="U109" i="24" s="1"/>
  <c r="T89" i="24"/>
  <c r="V91" i="24"/>
  <c r="V115" i="24" s="1"/>
  <c r="T90" i="24"/>
  <c r="T78" i="24"/>
  <c r="V80" i="24"/>
  <c r="V104" i="24" s="1"/>
  <c r="U84" i="24"/>
  <c r="U108" i="24" s="1"/>
  <c r="V82" i="24"/>
  <c r="V106" i="24" s="1"/>
  <c r="T76" i="24"/>
  <c r="U82" i="24"/>
  <c r="U106" i="24" s="1"/>
  <c r="V84" i="24"/>
  <c r="V108" i="24" s="1"/>
  <c r="T80" i="24"/>
  <c r="V83" i="24"/>
  <c r="V107" i="24" s="1"/>
  <c r="U80" i="24"/>
  <c r="U104" i="24" s="1"/>
  <c r="V77" i="24"/>
  <c r="V101" i="24" s="1"/>
  <c r="T70" i="24"/>
  <c r="U77" i="24"/>
  <c r="U101" i="24" s="1"/>
  <c r="T73" i="24"/>
  <c r="V70" i="24"/>
  <c r="V94" i="24" s="1"/>
  <c r="T82" i="24"/>
  <c r="U88" i="24"/>
  <c r="U112" i="24" s="1"/>
  <c r="V90" i="24"/>
  <c r="V114" i="24" s="1"/>
  <c r="U76" i="24"/>
  <c r="U100" i="24" s="1"/>
  <c r="U72" i="24"/>
  <c r="U96" i="24" s="1"/>
  <c r="T77" i="24"/>
  <c r="V79" i="24"/>
  <c r="V103" i="24" s="1"/>
  <c r="T91" i="24"/>
  <c r="V88" i="24"/>
  <c r="V112" i="24" s="1"/>
  <c r="U70" i="24"/>
  <c r="U94" i="24" s="1"/>
  <c r="V72" i="24"/>
  <c r="V96" i="24" s="1"/>
  <c r="T84" i="24"/>
  <c r="V86" i="24"/>
  <c r="V110" i="24" s="1"/>
  <c r="U90" i="24"/>
  <c r="U114" i="24" s="1"/>
  <c r="U79" i="24"/>
  <c r="U103" i="24" s="1"/>
  <c r="T83" i="24"/>
  <c r="V85" i="24"/>
  <c r="V109" i="24" s="1"/>
  <c r="T85" i="24"/>
  <c r="U91" i="24"/>
  <c r="U115" i="24" s="1"/>
  <c r="T86" i="24"/>
  <c r="U24" i="24"/>
  <c r="U49" i="24" s="1"/>
  <c r="Y131" i="16"/>
  <c r="T28" i="24"/>
  <c r="T53" i="24" s="1"/>
  <c r="V30" i="24"/>
  <c r="V55" i="24" s="1"/>
  <c r="X129" i="16"/>
  <c r="U9" i="24"/>
  <c r="U34" i="24" s="1"/>
  <c r="AU11" i="24"/>
  <c r="U29" i="24"/>
  <c r="U54" i="24" s="1"/>
  <c r="V13" i="24"/>
  <c r="V38" i="24" s="1"/>
  <c r="T16" i="24"/>
  <c r="T41" i="24" s="1"/>
  <c r="T11" i="24"/>
  <c r="T36" i="24" s="1"/>
  <c r="U11" i="24"/>
  <c r="U36" i="24" s="1"/>
  <c r="AU14" i="24"/>
  <c r="AS13" i="24"/>
  <c r="V19" i="24"/>
  <c r="V44" i="24" s="1"/>
  <c r="U13" i="24"/>
  <c r="U38" i="24" s="1"/>
  <c r="Z125" i="16"/>
  <c r="T21" i="24"/>
  <c r="T46" i="24" s="1"/>
  <c r="U10" i="24"/>
  <c r="U35" i="24" s="1"/>
  <c r="U8" i="24"/>
  <c r="U33" i="24" s="1"/>
  <c r="T15" i="24"/>
  <c r="T40" i="24" s="1"/>
  <c r="T30" i="24"/>
  <c r="T55" i="24" s="1"/>
  <c r="Y128" i="16"/>
  <c r="U14" i="24"/>
  <c r="U39" i="24" s="1"/>
  <c r="U19" i="24"/>
  <c r="U44" i="24" s="1"/>
  <c r="V24" i="24"/>
  <c r="V49" i="24" s="1"/>
  <c r="Y126" i="16"/>
  <c r="Z131" i="16"/>
  <c r="U30" i="24"/>
  <c r="U55" i="24" s="1"/>
  <c r="T23" i="24"/>
  <c r="T48" i="24" s="1"/>
  <c r="V28" i="24"/>
  <c r="V53" i="24" s="1"/>
  <c r="X130" i="16"/>
  <c r="U15" i="24"/>
  <c r="U40" i="24" s="1"/>
  <c r="Y123" i="16"/>
  <c r="U26" i="24"/>
  <c r="U51" i="24" s="1"/>
  <c r="U31" i="24"/>
  <c r="U56" i="24" s="1"/>
  <c r="V21" i="24"/>
  <c r="V46" i="24" s="1"/>
  <c r="X124" i="16"/>
  <c r="Y129" i="16"/>
  <c r="AS14" i="24"/>
  <c r="AU13" i="24"/>
  <c r="AT13" i="24"/>
  <c r="T24" i="24"/>
  <c r="T49" i="24" s="1"/>
  <c r="T29" i="24"/>
  <c r="T54" i="24" s="1"/>
  <c r="V14" i="24"/>
  <c r="V39" i="24" s="1"/>
  <c r="Z126" i="16"/>
  <c r="V25" i="24"/>
  <c r="V50" i="24" s="1"/>
  <c r="T13" i="24"/>
  <c r="T38" i="24" s="1"/>
  <c r="T18" i="24"/>
  <c r="T43" i="24" s="1"/>
  <c r="U23" i="24"/>
  <c r="U48" i="24" s="1"/>
  <c r="U28" i="24"/>
  <c r="U53" i="24" s="1"/>
  <c r="V18" i="24"/>
  <c r="V43" i="24" s="1"/>
  <c r="X125" i="16"/>
  <c r="Y130" i="16"/>
  <c r="V20" i="24"/>
  <c r="V45" i="24" s="1"/>
  <c r="Z128" i="16"/>
  <c r="U16" i="24"/>
  <c r="U41" i="24" s="1"/>
  <c r="U21" i="24"/>
  <c r="U46" i="24" s="1"/>
  <c r="V26" i="24"/>
  <c r="V51" i="24" s="1"/>
  <c r="Y124" i="16"/>
  <c r="Z129" i="16"/>
  <c r="T10" i="24"/>
  <c r="T35" i="24" s="1"/>
  <c r="V10" i="24"/>
  <c r="V35" i="24" s="1"/>
  <c r="T9" i="24"/>
  <c r="T34" i="24" s="1"/>
  <c r="V9" i="24"/>
  <c r="V34" i="24" s="1"/>
  <c r="T8" i="24"/>
  <c r="T33" i="24" s="1"/>
  <c r="V8" i="24"/>
  <c r="V33" i="24" s="1"/>
  <c r="AU12" i="24"/>
  <c r="AT12" i="24"/>
  <c r="U25" i="24"/>
  <c r="U50" i="24" s="1"/>
  <c r="V15" i="24"/>
  <c r="V40" i="24" s="1"/>
  <c r="T14" i="24"/>
  <c r="T39" i="24" s="1"/>
  <c r="T19" i="24"/>
  <c r="T44" i="24" s="1"/>
  <c r="V29" i="24"/>
  <c r="V54" i="24" s="1"/>
  <c r="X131" i="16"/>
  <c r="T20" i="24"/>
  <c r="T45" i="24" s="1"/>
  <c r="X123" i="16"/>
  <c r="V23" i="24"/>
  <c r="V48" i="24" s="1"/>
  <c r="Y125" i="16"/>
  <c r="Z130" i="16"/>
  <c r="U20" i="24"/>
  <c r="U45" i="24" s="1"/>
  <c r="T26" i="24"/>
  <c r="T51" i="24" s="1"/>
  <c r="T31" i="24"/>
  <c r="T56" i="24" s="1"/>
  <c r="V16" i="24"/>
  <c r="V41" i="24" s="1"/>
  <c r="Z124" i="16"/>
  <c r="AT14" i="24"/>
  <c r="AS11" i="24"/>
  <c r="AJ81" i="16"/>
  <c r="AB82" i="16"/>
  <c r="AC87" i="16"/>
  <c r="AF81" i="16"/>
  <c r="AA82" i="16"/>
  <c r="AA86" i="16"/>
  <c r="AB85" i="16"/>
  <c r="Y81" i="16"/>
  <c r="Y85" i="16"/>
  <c r="AF103" i="16"/>
  <c r="AF107" i="16" s="1"/>
  <c r="AM103" i="16"/>
  <c r="AM107" i="16" s="1"/>
  <c r="X101" i="16"/>
  <c r="X105" i="16" s="1"/>
  <c r="Z101" i="16"/>
  <c r="Z105" i="16" s="1"/>
  <c r="BO100" i="16"/>
  <c r="BL99" i="16"/>
  <c r="BJ100" i="16"/>
  <c r="BR101" i="16"/>
  <c r="BX101" i="16"/>
  <c r="BN102" i="16"/>
  <c r="AD83" i="16"/>
  <c r="Z87" i="16"/>
  <c r="AK83" i="16"/>
  <c r="AJ82" i="16"/>
  <c r="AI81" i="16"/>
  <c r="AK87" i="16"/>
  <c r="AJ86" i="16"/>
  <c r="AI85" i="16"/>
  <c r="Z83" i="16"/>
  <c r="AD87" i="16"/>
  <c r="AJ83" i="16"/>
  <c r="AI82" i="16"/>
  <c r="AH81" i="16"/>
  <c r="AJ87" i="16"/>
  <c r="AI86" i="16"/>
  <c r="AH85" i="16"/>
  <c r="AK82" i="16"/>
  <c r="AK86" i="16"/>
  <c r="AI83" i="16"/>
  <c r="AH82" i="16"/>
  <c r="AG81" i="16"/>
  <c r="AI87" i="16"/>
  <c r="AH86" i="16"/>
  <c r="AG85" i="16"/>
  <c r="Y102" i="16"/>
  <c r="Y106" i="16" s="1"/>
  <c r="AC101" i="16"/>
  <c r="AC105" i="16" s="1"/>
  <c r="AB103" i="16"/>
  <c r="AB107" i="16" s="1"/>
  <c r="AD102" i="16"/>
  <c r="AD106" i="16" s="1"/>
  <c r="AK103" i="16"/>
  <c r="AK107" i="16" s="1"/>
  <c r="AG101" i="16"/>
  <c r="AG105" i="16" s="1"/>
  <c r="AK102" i="16"/>
  <c r="AK106" i="16" s="1"/>
  <c r="AM101" i="16"/>
  <c r="AM105" i="16" s="1"/>
  <c r="AG103" i="16"/>
  <c r="AG107" i="16" s="1"/>
  <c r="X103" i="16"/>
  <c r="AH103" i="16"/>
  <c r="AH107" i="16" s="1"/>
  <c r="AB102" i="16"/>
  <c r="AB106" i="16" s="1"/>
  <c r="AD101" i="16"/>
  <c r="AD105" i="16" s="1"/>
  <c r="BI106" i="16"/>
  <c r="BL100" i="16"/>
  <c r="BW100" i="16"/>
  <c r="BI107" i="16"/>
  <c r="BI104" i="16"/>
  <c r="BX99" i="16"/>
  <c r="BK99" i="16"/>
  <c r="BN99" i="16"/>
  <c r="BO99" i="16"/>
  <c r="BM99" i="16"/>
  <c r="BW101" i="16"/>
  <c r="BY102" i="16"/>
  <c r="BU101" i="16"/>
  <c r="BP101" i="16"/>
  <c r="BO102" i="16"/>
  <c r="BP102" i="16"/>
  <c r="BV102" i="16"/>
  <c r="AC83" i="16"/>
  <c r="AB86" i="16"/>
  <c r="AJ85" i="16"/>
  <c r="Z81" i="16"/>
  <c r="Z85" i="16"/>
  <c r="AA83" i="16"/>
  <c r="AA87" i="16"/>
  <c r="X102" i="16"/>
  <c r="X106" i="16" s="1"/>
  <c r="AB101" i="16"/>
  <c r="AB105" i="16" s="1"/>
  <c r="AI101" i="16"/>
  <c r="AI105" i="16" s="1"/>
  <c r="AF102" i="16"/>
  <c r="AF106" i="16" s="1"/>
  <c r="BT100" i="16"/>
  <c r="BM100" i="16"/>
  <c r="BV99" i="16"/>
  <c r="BX102" i="16"/>
  <c r="BW102" i="16"/>
  <c r="BO101" i="16"/>
  <c r="AG82" i="16"/>
  <c r="AC86" i="16"/>
  <c r="AG83" i="16"/>
  <c r="AF82" i="16"/>
  <c r="AE81" i="16"/>
  <c r="AG87" i="16"/>
  <c r="AF86" i="16"/>
  <c r="AE85" i="16"/>
  <c r="AC82" i="16"/>
  <c r="AG86" i="16"/>
  <c r="AF83" i="16"/>
  <c r="AE82" i="16"/>
  <c r="AD81" i="16"/>
  <c r="AF87" i="16"/>
  <c r="AE86" i="16"/>
  <c r="AD85" i="16"/>
  <c r="Y82" i="16"/>
  <c r="Y86" i="16"/>
  <c r="AE83" i="16"/>
  <c r="AD82" i="16"/>
  <c r="AC81" i="16"/>
  <c r="AE87" i="16"/>
  <c r="AD86" i="16"/>
  <c r="AC85" i="16"/>
  <c r="AC103" i="16"/>
  <c r="AC107" i="16" s="1"/>
  <c r="AJ103" i="16"/>
  <c r="AJ107" i="16" s="1"/>
  <c r="AL102" i="16"/>
  <c r="AL106" i="16" s="1"/>
  <c r="AF101" i="16"/>
  <c r="AF105" i="16" s="1"/>
  <c r="AM102" i="16"/>
  <c r="AM106" i="16" s="1"/>
  <c r="AE103" i="16"/>
  <c r="AE107" i="16" s="1"/>
  <c r="AG102" i="16"/>
  <c r="AG106" i="16" s="1"/>
  <c r="AA101" i="16"/>
  <c r="AA105" i="16" s="1"/>
  <c r="AI102" i="16"/>
  <c r="AI106" i="16" s="1"/>
  <c r="Y103" i="16"/>
  <c r="Y107" i="16" s="1"/>
  <c r="AJ102" i="16"/>
  <c r="AJ106" i="16" s="1"/>
  <c r="AL101" i="16"/>
  <c r="AL105" i="16" s="1"/>
  <c r="BX100" i="16"/>
  <c r="BI103" i="16"/>
  <c r="BS100" i="16"/>
  <c r="BY100" i="16"/>
  <c r="BV100" i="16"/>
  <c r="BP99" i="16"/>
  <c r="BJ99" i="16"/>
  <c r="BT99" i="16"/>
  <c r="BY99" i="16"/>
  <c r="BQ101" i="16"/>
  <c r="BV101" i="16"/>
  <c r="BU102" i="16"/>
  <c r="BT102" i="16"/>
  <c r="BL101" i="16"/>
  <c r="BK102" i="16"/>
  <c r="BS101" i="16"/>
  <c r="BR102" i="16"/>
  <c r="AF85" i="16"/>
  <c r="AA81" i="16"/>
  <c r="AA85" i="16"/>
  <c r="AB83" i="16"/>
  <c r="AB87" i="16"/>
  <c r="AB81" i="16"/>
  <c r="Z82" i="16"/>
  <c r="Z86" i="16"/>
  <c r="Z102" i="16"/>
  <c r="Z106" i="16" s="1"/>
  <c r="AA103" i="16"/>
  <c r="AA107" i="16" s="1"/>
  <c r="AD103" i="16"/>
  <c r="AD107" i="16" s="1"/>
  <c r="BU100" i="16"/>
  <c r="BR100" i="16"/>
  <c r="BU99" i="16"/>
  <c r="BQ102" i="16"/>
  <c r="BY101" i="16"/>
  <c r="AL83" i="16"/>
  <c r="X85" i="16"/>
  <c r="X82" i="16"/>
  <c r="Y83" i="16"/>
  <c r="AM81" i="16"/>
  <c r="X87" i="16"/>
  <c r="Y87" i="16"/>
  <c r="AM85" i="16"/>
  <c r="X81" i="16"/>
  <c r="AL87" i="16"/>
  <c r="X83" i="16"/>
  <c r="AM82" i="16"/>
  <c r="AL81" i="16"/>
  <c r="X86" i="16"/>
  <c r="AM86" i="16"/>
  <c r="AL85" i="16"/>
  <c r="AH83" i="16"/>
  <c r="AH87" i="16"/>
  <c r="AM83" i="16"/>
  <c r="AL82" i="16"/>
  <c r="AK81" i="16"/>
  <c r="AM87" i="16"/>
  <c r="AL86" i="16"/>
  <c r="AK85" i="16"/>
  <c r="AE102" i="16"/>
  <c r="AE106" i="16" s="1"/>
  <c r="Y101" i="16"/>
  <c r="Y105" i="16" s="1"/>
  <c r="AH102" i="16"/>
  <c r="AH106" i="16" s="1"/>
  <c r="AJ101" i="16"/>
  <c r="AJ105" i="16" s="1"/>
  <c r="AA102" i="16"/>
  <c r="AA106" i="16" s="1"/>
  <c r="AI103" i="16"/>
  <c r="AI107" i="16" s="1"/>
  <c r="AC102" i="16"/>
  <c r="AC106" i="16" s="1"/>
  <c r="AE101" i="16"/>
  <c r="AE105" i="16" s="1"/>
  <c r="AK101" i="16"/>
  <c r="AK105" i="16" s="1"/>
  <c r="AL103" i="16"/>
  <c r="AL107" i="16" s="1"/>
  <c r="Z103" i="16"/>
  <c r="Z107" i="16" s="1"/>
  <c r="AH101" i="16"/>
  <c r="AH105" i="16" s="1"/>
  <c r="BQ100" i="16"/>
  <c r="BP100" i="16"/>
  <c r="BI105" i="16"/>
  <c r="BK100" i="16"/>
  <c r="BI108" i="16"/>
  <c r="BN100" i="16"/>
  <c r="BW99" i="16"/>
  <c r="BR99" i="16"/>
  <c r="BS99" i="16"/>
  <c r="BQ99" i="16"/>
  <c r="BL102" i="16"/>
  <c r="BN101" i="16"/>
  <c r="BM102" i="16"/>
  <c r="BT101" i="16"/>
  <c r="BS102" i="16"/>
  <c r="BM101" i="16"/>
  <c r="S101" i="14"/>
  <c r="X20" i="14"/>
  <c r="T69" i="14"/>
  <c r="T84" i="14" s="1"/>
  <c r="S119" i="14"/>
  <c r="S68" i="14"/>
  <c r="S83" i="14" s="1"/>
  <c r="V98" i="14"/>
  <c r="T75" i="14"/>
  <c r="T90" i="14" s="1"/>
  <c r="T111" i="14"/>
  <c r="U69" i="14"/>
  <c r="U84" i="14" s="1"/>
  <c r="U101" i="14"/>
  <c r="V107" i="14"/>
  <c r="V75" i="14"/>
  <c r="V90" i="14" s="1"/>
  <c r="V106" i="14"/>
  <c r="T119" i="14"/>
  <c r="S82" i="14"/>
  <c r="X19" i="14"/>
  <c r="V73" i="14"/>
  <c r="V88" i="14" s="1"/>
  <c r="V101" i="14"/>
  <c r="U122" i="14"/>
  <c r="Y113" i="14"/>
  <c r="W82" i="14"/>
  <c r="U82" i="14"/>
  <c r="V74" i="14"/>
  <c r="V89" i="14" s="1"/>
  <c r="Z27" i="14"/>
  <c r="S64" i="14"/>
  <c r="S79" i="14" s="1"/>
  <c r="U73" i="14"/>
  <c r="U88" i="14" s="1"/>
  <c r="T64" i="14"/>
  <c r="T79" i="14" s="1"/>
  <c r="U67" i="14"/>
  <c r="U78" i="14" s="1"/>
  <c r="U102" i="14"/>
  <c r="T123" i="14"/>
  <c r="T104" i="14"/>
  <c r="S116" i="14"/>
  <c r="V103" i="14"/>
  <c r="T116" i="14"/>
  <c r="U116" i="14"/>
  <c r="X82" i="14"/>
  <c r="T72" i="14"/>
  <c r="T87" i="14" s="1"/>
  <c r="T74" i="14"/>
  <c r="T89" i="14" s="1"/>
  <c r="U106" i="14"/>
  <c r="S109" i="14"/>
  <c r="U103" i="14"/>
  <c r="W121" i="14"/>
  <c r="V69" i="14"/>
  <c r="V84" i="14" s="1"/>
  <c r="X30" i="14"/>
  <c r="S72" i="14"/>
  <c r="S87" i="14" s="1"/>
  <c r="AA27" i="14"/>
  <c r="S70" i="14"/>
  <c r="S85" i="14" s="1"/>
  <c r="V70" i="14"/>
  <c r="V85" i="14" s="1"/>
  <c r="T68" i="14"/>
  <c r="T83" i="14" s="1"/>
  <c r="T107" i="14"/>
  <c r="T118" i="14"/>
  <c r="X99" i="14"/>
  <c r="U118" i="14"/>
  <c r="T124" i="14"/>
  <c r="S107" i="14"/>
  <c r="V118" i="14"/>
  <c r="V124" i="14"/>
  <c r="U119" i="14"/>
  <c r="V123" i="14"/>
  <c r="S103" i="14"/>
  <c r="V109" i="14"/>
  <c r="S123" i="14"/>
  <c r="V82" i="14"/>
  <c r="X16" i="14"/>
  <c r="AA64" i="14"/>
  <c r="AA79" i="14" s="1"/>
  <c r="V19" i="14"/>
  <c r="Y30" i="14"/>
  <c r="U75" i="14"/>
  <c r="U90" i="14" s="1"/>
  <c r="T67" i="14"/>
  <c r="T78" i="14" s="1"/>
  <c r="V65" i="14"/>
  <c r="V80" i="14" s="1"/>
  <c r="U15" i="14"/>
  <c r="W19" i="14"/>
  <c r="U74" i="14"/>
  <c r="U89" i="14" s="1"/>
  <c r="W72" i="14"/>
  <c r="W87" i="14" s="1"/>
  <c r="T70" i="14"/>
  <c r="T85" i="14" s="1"/>
  <c r="V68" i="14"/>
  <c r="V83" i="14" s="1"/>
  <c r="S67" i="14"/>
  <c r="S78" i="14" s="1"/>
  <c r="W65" i="14"/>
  <c r="W80" i="14" s="1"/>
  <c r="W75" i="14"/>
  <c r="W90" i="14" s="1"/>
  <c r="V72" i="14"/>
  <c r="V87" i="14" s="1"/>
  <c r="U68" i="14"/>
  <c r="U83" i="14" s="1"/>
  <c r="Z16" i="14"/>
  <c r="S69" i="14"/>
  <c r="S84" i="14" s="1"/>
  <c r="V119" i="14"/>
  <c r="U121" i="14"/>
  <c r="T103" i="14"/>
  <c r="U107" i="14"/>
  <c r="V116" i="14"/>
  <c r="X123" i="14"/>
  <c r="S106" i="14"/>
  <c r="U108" i="14"/>
  <c r="X119" i="14"/>
  <c r="V122" i="14"/>
  <c r="T101" i="14"/>
  <c r="U104" i="14"/>
  <c r="V108" i="14"/>
  <c r="S117" i="14"/>
  <c r="T121" i="14"/>
  <c r="U124" i="14"/>
  <c r="T122" i="14"/>
  <c r="S108" i="14"/>
  <c r="W118" i="14"/>
  <c r="T82" i="14"/>
  <c r="W31" i="14"/>
  <c r="Z64" i="14"/>
  <c r="Z79" i="14" s="1"/>
  <c r="Z29" i="14"/>
  <c r="Y16" i="14"/>
  <c r="S73" i="14"/>
  <c r="S88" i="14" s="1"/>
  <c r="U70" i="14"/>
  <c r="U85" i="14" s="1"/>
  <c r="V17" i="14"/>
  <c r="S63" i="14"/>
  <c r="W17" i="14"/>
  <c r="Z21" i="14"/>
  <c r="S75" i="14"/>
  <c r="S90" i="14" s="1"/>
  <c r="V67" i="14"/>
  <c r="V78" i="14" s="1"/>
  <c r="U72" i="14"/>
  <c r="U87" i="14" s="1"/>
  <c r="T73" i="14"/>
  <c r="T88" i="14" s="1"/>
  <c r="S118" i="14"/>
  <c r="S104" i="14"/>
  <c r="T108" i="14"/>
  <c r="U117" i="14"/>
  <c r="V121" i="14"/>
  <c r="S124" i="14"/>
  <c r="V102" i="14"/>
  <c r="W106" i="14"/>
  <c r="T109" i="14"/>
  <c r="V117" i="14"/>
  <c r="S121" i="14"/>
  <c r="U123" i="14"/>
  <c r="S102" i="14"/>
  <c r="T106" i="14"/>
  <c r="U109" i="14"/>
  <c r="S122" i="14"/>
  <c r="S74" i="14"/>
  <c r="S89" i="14" s="1"/>
  <c r="X117" i="14"/>
  <c r="T102" i="14"/>
  <c r="T117" i="14"/>
  <c r="AA29" i="14"/>
  <c r="V63" i="14"/>
  <c r="AA72" i="14"/>
  <c r="AA87" i="14" s="1"/>
  <c r="AA67" i="14"/>
  <c r="AA78" i="14" s="1"/>
  <c r="W62" i="14"/>
  <c r="W77" i="14" s="1"/>
  <c r="W63" i="14"/>
  <c r="AA17" i="14"/>
  <c r="U26" i="14"/>
  <c r="S25" i="14"/>
  <c r="V15" i="14"/>
  <c r="T20" i="14"/>
  <c r="Z72" i="14"/>
  <c r="Z87" i="14" s="1"/>
  <c r="AA70" i="14"/>
  <c r="AA85" i="14" s="1"/>
  <c r="T65" i="14"/>
  <c r="T80" i="14" s="1"/>
  <c r="W15" i="14"/>
  <c r="U21" i="14"/>
  <c r="X15" i="14"/>
  <c r="S98" i="14"/>
  <c r="V114" i="14"/>
  <c r="X103" i="14"/>
  <c r="W109" i="14"/>
  <c r="Z121" i="14"/>
  <c r="Y103" i="14"/>
  <c r="Z117" i="14"/>
  <c r="AA112" i="14"/>
  <c r="X96" i="14"/>
  <c r="AA82" i="14"/>
  <c r="Y82" i="14"/>
  <c r="U96" i="14"/>
  <c r="U111" i="14"/>
  <c r="Z119" i="14"/>
  <c r="S97" i="14"/>
  <c r="W103" i="14"/>
  <c r="Y111" i="14"/>
  <c r="AA118" i="14"/>
  <c r="Z123" i="14"/>
  <c r="W122" i="14"/>
  <c r="Y119" i="14"/>
  <c r="X116" i="14"/>
  <c r="Z113" i="14"/>
  <c r="W112" i="14"/>
  <c r="Y109" i="14"/>
  <c r="X106" i="14"/>
  <c r="Z103" i="14"/>
  <c r="W102" i="14"/>
  <c r="Y99" i="14"/>
  <c r="AA121" i="14"/>
  <c r="U113" i="14"/>
  <c r="AA111" i="14"/>
  <c r="AA101" i="14"/>
  <c r="T99" i="14"/>
  <c r="V97" i="14"/>
  <c r="AA124" i="14"/>
  <c r="AA114" i="14"/>
  <c r="T113" i="14"/>
  <c r="V111" i="14"/>
  <c r="AA104" i="14"/>
  <c r="S99" i="14"/>
  <c r="U97" i="14"/>
  <c r="S96" i="14"/>
  <c r="W108" i="14"/>
  <c r="Y116" i="14"/>
  <c r="AA123" i="14"/>
  <c r="V99" i="14"/>
  <c r="X107" i="14"/>
  <c r="Z114" i="14"/>
  <c r="S16" i="14"/>
  <c r="W69" i="14"/>
  <c r="W84" i="14" s="1"/>
  <c r="AA69" i="14"/>
  <c r="AA84" i="14" s="1"/>
  <c r="T15" i="14"/>
  <c r="AA16" i="14"/>
  <c r="U62" i="14"/>
  <c r="U77" i="14" s="1"/>
  <c r="X73" i="14"/>
  <c r="X88" i="14" s="1"/>
  <c r="V30" i="14"/>
  <c r="W20" i="14"/>
  <c r="AA20" i="14"/>
  <c r="Y25" i="14"/>
  <c r="S15" i="14"/>
  <c r="V16" i="14"/>
  <c r="T17" i="14"/>
  <c r="X97" i="14"/>
  <c r="X112" i="14"/>
  <c r="AA97" i="14"/>
  <c r="Z104" i="14"/>
  <c r="Y106" i="14"/>
  <c r="AA117" i="14"/>
  <c r="V113" i="14"/>
  <c r="S112" i="14"/>
  <c r="AA107" i="14"/>
  <c r="U99" i="14"/>
  <c r="X124" i="14"/>
  <c r="Z122" i="14"/>
  <c r="Y118" i="14"/>
  <c r="X114" i="14"/>
  <c r="Z112" i="14"/>
  <c r="W111" i="14"/>
  <c r="Y108" i="14"/>
  <c r="X104" i="14"/>
  <c r="Z102" i="14"/>
  <c r="W101" i="14"/>
  <c r="Y98" i="14"/>
  <c r="W124" i="14"/>
  <c r="Y122" i="14"/>
  <c r="X118" i="14"/>
  <c r="Z116" i="14"/>
  <c r="W114" i="14"/>
  <c r="Y112" i="14"/>
  <c r="X108" i="14"/>
  <c r="Z106" i="14"/>
  <c r="W104" i="14"/>
  <c r="Y102" i="14"/>
  <c r="X98" i="14"/>
  <c r="Z96" i="14"/>
  <c r="Y96" i="14"/>
  <c r="X102" i="14"/>
  <c r="Z109" i="14"/>
  <c r="T96" i="14"/>
  <c r="Y101" i="14"/>
  <c r="AA108" i="14"/>
  <c r="U25" i="14"/>
  <c r="Y62" i="14"/>
  <c r="Y77" i="14" s="1"/>
  <c r="AA74" i="14"/>
  <c r="AA89" i="14" s="1"/>
  <c r="Y17" i="14"/>
  <c r="AA26" i="14"/>
  <c r="Z70" i="14"/>
  <c r="Z85" i="14" s="1"/>
  <c r="W26" i="14"/>
  <c r="S20" i="14"/>
  <c r="X29" i="14"/>
  <c r="T31" i="14"/>
  <c r="U19" i="14"/>
  <c r="W16" i="14"/>
  <c r="U63" i="14"/>
  <c r="X25" i="14"/>
  <c r="X27" i="14"/>
  <c r="X65" i="14"/>
  <c r="X80" i="14" s="1"/>
  <c r="X64" i="14"/>
  <c r="X79" i="14" s="1"/>
  <c r="X63" i="14"/>
  <c r="T62" i="14"/>
  <c r="T77" i="14" s="1"/>
  <c r="U29" i="14"/>
  <c r="S30" i="14"/>
  <c r="V21" i="14"/>
  <c r="Z15" i="14"/>
  <c r="Z82" i="14"/>
  <c r="Z99" i="14"/>
  <c r="AA98" i="14"/>
  <c r="W123" i="14"/>
  <c r="Y124" i="14"/>
  <c r="X121" i="14"/>
  <c r="Z118" i="14"/>
  <c r="W117" i="14"/>
  <c r="Y114" i="14"/>
  <c r="X111" i="14"/>
  <c r="Z108" i="14"/>
  <c r="W107" i="14"/>
  <c r="Y104" i="14"/>
  <c r="X101" i="14"/>
  <c r="Z98" i="14"/>
  <c r="AA116" i="14"/>
  <c r="T114" i="14"/>
  <c r="V112" i="14"/>
  <c r="S111" i="14"/>
  <c r="AA106" i="14"/>
  <c r="U98" i="14"/>
  <c r="AA96" i="14"/>
  <c r="AA119" i="14"/>
  <c r="S114" i="14"/>
  <c r="U112" i="14"/>
  <c r="AA109" i="14"/>
  <c r="AA99" i="14"/>
  <c r="T98" i="14"/>
  <c r="V96" i="14"/>
  <c r="T97" i="14"/>
  <c r="AA103" i="14"/>
  <c r="S113" i="14"/>
  <c r="W97" i="14"/>
  <c r="T112" i="14"/>
  <c r="Y65" i="14"/>
  <c r="Y80" i="14" s="1"/>
  <c r="Y27" i="14"/>
  <c r="U64" i="14"/>
  <c r="U79" i="14" s="1"/>
  <c r="W74" i="14"/>
  <c r="W89" i="14" s="1"/>
  <c r="U17" i="14"/>
  <c r="U27" i="14"/>
  <c r="Y67" i="14"/>
  <c r="Y78" i="14" s="1"/>
  <c r="X31" i="14"/>
  <c r="T29" i="14"/>
  <c r="Y19" i="14"/>
  <c r="Y21" i="14"/>
  <c r="S26" i="14"/>
  <c r="Y72" i="14"/>
  <c r="Y87" i="14" s="1"/>
  <c r="AA15" i="14"/>
  <c r="T25" i="14"/>
  <c r="Z26" i="14"/>
  <c r="T27" i="14"/>
  <c r="T63" i="14"/>
  <c r="Z67" i="14"/>
  <c r="Z78" i="14" s="1"/>
  <c r="Y68" i="14"/>
  <c r="Y83" i="14" s="1"/>
  <c r="X69" i="14"/>
  <c r="X84" i="14" s="1"/>
  <c r="W70" i="14"/>
  <c r="W85" i="14" s="1"/>
  <c r="U30" i="14"/>
  <c r="AA73" i="14"/>
  <c r="AA88" i="14" s="1"/>
  <c r="V62" i="14"/>
  <c r="V77" i="14" s="1"/>
  <c r="Z17" i="14"/>
  <c r="T26" i="14"/>
  <c r="Y15" i="14"/>
  <c r="AA21" i="14"/>
  <c r="T30" i="14"/>
  <c r="V29" i="14"/>
  <c r="X21" i="14"/>
  <c r="Z20" i="14"/>
  <c r="W29" i="14"/>
  <c r="Z63" i="14"/>
  <c r="V64" i="14"/>
  <c r="V79" i="14" s="1"/>
  <c r="Z65" i="14"/>
  <c r="Z80" i="14" s="1"/>
  <c r="X26" i="14"/>
  <c r="V25" i="14"/>
  <c r="Z31" i="14"/>
  <c r="W21" i="14"/>
  <c r="Y20" i="14"/>
  <c r="AA63" i="14"/>
  <c r="W64" i="14"/>
  <c r="W79" i="14" s="1"/>
  <c r="S65" i="14"/>
  <c r="S80" i="14" s="1"/>
  <c r="AA65" i="14"/>
  <c r="AA80" i="14" s="1"/>
  <c r="S27" i="14"/>
  <c r="Y26" i="14"/>
  <c r="W25" i="14"/>
  <c r="Y31" i="14"/>
  <c r="AA30" i="14"/>
  <c r="Y29" i="14"/>
  <c r="AA75" i="14"/>
  <c r="AA90" i="14" s="1"/>
  <c r="Y73" i="14"/>
  <c r="Y88" i="14" s="1"/>
  <c r="X17" i="14"/>
  <c r="Z30" i="14"/>
  <c r="Y63" i="14"/>
  <c r="X68" i="14"/>
  <c r="X83" i="14" s="1"/>
  <c r="W113" i="14"/>
  <c r="X122" i="14"/>
  <c r="Y97" i="14"/>
  <c r="Z101" i="14"/>
  <c r="Y107" i="14"/>
  <c r="Z111" i="14"/>
  <c r="W119" i="14"/>
  <c r="W96" i="14"/>
  <c r="X109" i="14"/>
  <c r="W116" i="14"/>
  <c r="Y123" i="14"/>
  <c r="U114" i="14"/>
  <c r="AA122" i="14"/>
  <c r="W98" i="14"/>
  <c r="S31" i="14"/>
  <c r="T19" i="14"/>
  <c r="AA68" i="14"/>
  <c r="AA83" i="14" s="1"/>
  <c r="S19" i="14"/>
  <c r="T21" i="14"/>
  <c r="V20" i="14"/>
  <c r="S29" i="14"/>
  <c r="Y75" i="14"/>
  <c r="Y90" i="14" s="1"/>
  <c r="Z74" i="14"/>
  <c r="Z89" i="14" s="1"/>
  <c r="W73" i="14"/>
  <c r="W88" i="14" s="1"/>
  <c r="X72" i="14"/>
  <c r="X87" i="14" s="1"/>
  <c r="Y70" i="14"/>
  <c r="Y85" i="14" s="1"/>
  <c r="Z69" i="14"/>
  <c r="Z84" i="14" s="1"/>
  <c r="W68" i="14"/>
  <c r="W83" i="14" s="1"/>
  <c r="X67" i="14"/>
  <c r="X78" i="14" s="1"/>
  <c r="Z62" i="14"/>
  <c r="Z77" i="14" s="1"/>
  <c r="V27" i="14"/>
  <c r="T16" i="14"/>
  <c r="Z25" i="14"/>
  <c r="V31" i="14"/>
  <c r="S21" i="14"/>
  <c r="U20" i="14"/>
  <c r="AA19" i="14"/>
  <c r="X75" i="14"/>
  <c r="X90" i="14" s="1"/>
  <c r="Y74" i="14"/>
  <c r="Y89" i="14" s="1"/>
  <c r="Z73" i="14"/>
  <c r="Z88" i="14" s="1"/>
  <c r="X70" i="14"/>
  <c r="X85" i="14" s="1"/>
  <c r="Y69" i="14"/>
  <c r="Y84" i="14" s="1"/>
  <c r="Z68" i="14"/>
  <c r="Z83" i="14" s="1"/>
  <c r="W67" i="14"/>
  <c r="W78" i="14" s="1"/>
  <c r="S62" i="14"/>
  <c r="S77" i="14" s="1"/>
  <c r="AA62" i="14"/>
  <c r="AA77" i="14" s="1"/>
  <c r="S17" i="14"/>
  <c r="W27" i="14"/>
  <c r="U16" i="14"/>
  <c r="AA25" i="14"/>
  <c r="U31" i="14"/>
  <c r="W30" i="14"/>
  <c r="Z19" i="14"/>
  <c r="X74" i="14"/>
  <c r="X89" i="14" s="1"/>
  <c r="X62" i="14"/>
  <c r="X77" i="14" s="1"/>
  <c r="V26" i="14"/>
  <c r="Y64" i="14"/>
  <c r="Y79" i="14" s="1"/>
  <c r="Z75" i="14"/>
  <c r="Z90" i="14" s="1"/>
  <c r="AA31" i="14"/>
  <c r="U65" i="14"/>
  <c r="U80" i="14" s="1"/>
  <c r="Y121" i="14"/>
  <c r="W99" i="14"/>
  <c r="X113" i="14"/>
  <c r="Y117" i="14"/>
  <c r="Z97" i="14"/>
  <c r="Z107" i="14"/>
  <c r="AA102" i="14"/>
  <c r="AA113" i="14"/>
  <c r="Z124" i="14"/>
  <c r="BG41" i="26"/>
  <c r="CI23" i="10"/>
  <c r="CI27" i="10"/>
  <c r="CI32" i="10"/>
  <c r="CI36" i="10"/>
  <c r="CI41" i="10"/>
  <c r="CI45" i="10"/>
  <c r="CI50" i="10"/>
  <c r="CI54" i="10"/>
  <c r="CI59" i="10"/>
  <c r="CI63" i="10"/>
  <c r="CI68" i="10"/>
  <c r="CI72" i="10"/>
  <c r="CI77" i="10"/>
  <c r="CI81" i="10"/>
  <c r="CI86" i="10"/>
  <c r="CI90" i="10"/>
  <c r="CI95" i="10"/>
  <c r="CI99" i="10"/>
  <c r="AN15" i="10"/>
  <c r="AN19" i="10"/>
  <c r="AN24" i="10"/>
  <c r="AN28" i="10"/>
  <c r="AN33" i="10"/>
  <c r="AN37" i="10"/>
  <c r="AN42" i="10"/>
  <c r="AN46" i="10"/>
  <c r="AN51" i="10"/>
  <c r="AN55" i="10"/>
  <c r="AN60" i="10"/>
  <c r="AN64" i="10"/>
  <c r="AN69" i="10"/>
  <c r="AN73" i="10"/>
  <c r="AN78" i="10"/>
  <c r="AN82" i="10"/>
  <c r="AN87" i="10"/>
  <c r="AN91" i="10"/>
  <c r="AN96" i="10"/>
  <c r="AN100" i="10"/>
  <c r="CI34" i="10"/>
  <c r="CI43" i="10"/>
  <c r="CI52" i="10"/>
  <c r="CI79" i="10"/>
  <c r="AN17" i="10"/>
  <c r="AN30" i="10"/>
  <c r="AN35" i="10"/>
  <c r="AN48" i="10"/>
  <c r="AN57" i="10"/>
  <c r="AN62" i="10"/>
  <c r="AN75" i="10"/>
  <c r="AN84" i="10"/>
  <c r="AN89" i="10"/>
  <c r="AN98" i="10"/>
  <c r="CI26" i="10"/>
  <c r="CI39" i="10"/>
  <c r="CI44" i="10"/>
  <c r="CI53" i="10"/>
  <c r="CI62" i="10"/>
  <c r="CI71" i="10"/>
  <c r="CI80" i="10"/>
  <c r="CI89" i="10"/>
  <c r="CI98" i="10"/>
  <c r="AN18" i="10"/>
  <c r="AN27" i="10"/>
  <c r="AN36" i="10"/>
  <c r="AN45" i="10"/>
  <c r="AN58" i="10"/>
  <c r="AN63" i="10"/>
  <c r="AN76" i="10"/>
  <c r="AN85" i="10"/>
  <c r="AN94" i="10"/>
  <c r="AN99" i="10"/>
  <c r="CI24" i="10"/>
  <c r="CI33" i="10"/>
  <c r="CI42" i="10"/>
  <c r="CI51" i="10"/>
  <c r="CI60" i="10"/>
  <c r="CI69" i="10"/>
  <c r="CI78" i="10"/>
  <c r="CI87" i="10"/>
  <c r="CI96" i="10"/>
  <c r="AN16" i="10"/>
  <c r="AN20" i="10"/>
  <c r="AN25" i="10"/>
  <c r="AN29" i="10"/>
  <c r="AN34" i="10"/>
  <c r="AN38" i="10"/>
  <c r="AN43" i="10"/>
  <c r="AN47" i="10"/>
  <c r="AN52" i="10"/>
  <c r="AN56" i="10"/>
  <c r="AN61" i="10"/>
  <c r="AN65" i="10"/>
  <c r="AN70" i="10"/>
  <c r="AN74" i="10"/>
  <c r="AN79" i="10"/>
  <c r="AN83" i="10"/>
  <c r="AN88" i="10"/>
  <c r="AN92" i="10"/>
  <c r="AN97" i="10"/>
  <c r="AN101" i="10"/>
  <c r="CI25" i="10"/>
  <c r="CI61" i="10"/>
  <c r="CI70" i="10"/>
  <c r="CI88" i="10"/>
  <c r="CI97" i="10"/>
  <c r="AN21" i="10"/>
  <c r="AN26" i="10"/>
  <c r="AN39" i="10"/>
  <c r="AN44" i="10"/>
  <c r="AN53" i="10"/>
  <c r="AN66" i="10"/>
  <c r="AN71" i="10"/>
  <c r="AN80" i="10"/>
  <c r="AN93" i="10"/>
  <c r="AN102" i="10"/>
  <c r="CI30" i="10"/>
  <c r="CI35" i="10"/>
  <c r="CI48" i="10"/>
  <c r="CI57" i="10"/>
  <c r="CI66" i="10"/>
  <c r="CI75" i="10"/>
  <c r="CI84" i="10"/>
  <c r="CI93" i="10"/>
  <c r="CI102" i="10"/>
  <c r="AN22" i="10"/>
  <c r="AN31" i="10"/>
  <c r="AN40" i="10"/>
  <c r="AN49" i="10"/>
  <c r="AN54" i="10"/>
  <c r="AN67" i="10"/>
  <c r="AN72" i="10"/>
  <c r="AN81" i="10"/>
  <c r="AN90" i="10"/>
  <c r="AN103" i="10"/>
  <c r="BS102" i="10"/>
  <c r="BW102" i="10"/>
  <c r="CA102" i="10"/>
  <c r="CE102" i="10"/>
  <c r="BS93" i="10"/>
  <c r="BW93" i="10"/>
  <c r="CA93" i="10"/>
  <c r="CE93" i="10"/>
  <c r="BS84" i="10"/>
  <c r="BW84" i="10"/>
  <c r="CA84" i="10"/>
  <c r="CE84" i="10"/>
  <c r="BS75" i="10"/>
  <c r="BW75" i="10"/>
  <c r="CA75" i="10"/>
  <c r="CE75" i="10"/>
  <c r="BQ66" i="10"/>
  <c r="BU66" i="10"/>
  <c r="BY66" i="10"/>
  <c r="CC66" i="10"/>
  <c r="CG66" i="10"/>
  <c r="BS57" i="10"/>
  <c r="BW57" i="10"/>
  <c r="CA57" i="10"/>
  <c r="CE57" i="10"/>
  <c r="BS48" i="10"/>
  <c r="BW48" i="10"/>
  <c r="CA48" i="10"/>
  <c r="CE48" i="10"/>
  <c r="BS39" i="10"/>
  <c r="BW39" i="10"/>
  <c r="CA39" i="10"/>
  <c r="CE39" i="10"/>
  <c r="BO39" i="10"/>
  <c r="BP30" i="10"/>
  <c r="BT30" i="10"/>
  <c r="BX30" i="10"/>
  <c r="CB30" i="10"/>
  <c r="CF30" i="10"/>
  <c r="BP102" i="10"/>
  <c r="BT102" i="10"/>
  <c r="BX102" i="10"/>
  <c r="CB102" i="10"/>
  <c r="CF102" i="10"/>
  <c r="BO102" i="10"/>
  <c r="BP93" i="10"/>
  <c r="BT93" i="10"/>
  <c r="BX93" i="10"/>
  <c r="CB93" i="10"/>
  <c r="CF93" i="10"/>
  <c r="BO93" i="10"/>
  <c r="BP84" i="10"/>
  <c r="BT84" i="10"/>
  <c r="BX84" i="10"/>
  <c r="CB84" i="10"/>
  <c r="CF84" i="10"/>
  <c r="BO84" i="10"/>
  <c r="BP75" i="10"/>
  <c r="BT75" i="10"/>
  <c r="BX75" i="10"/>
  <c r="CB75" i="10"/>
  <c r="CF75" i="10"/>
  <c r="BO75" i="10"/>
  <c r="BR66" i="10"/>
  <c r="BV66" i="10"/>
  <c r="BZ66" i="10"/>
  <c r="CD66" i="10"/>
  <c r="CH66" i="10"/>
  <c r="BP57" i="10"/>
  <c r="BT57" i="10"/>
  <c r="BX57" i="10"/>
  <c r="CB57" i="10"/>
  <c r="CF57" i="10"/>
  <c r="BO57" i="10"/>
  <c r="BP48" i="10"/>
  <c r="BT48" i="10"/>
  <c r="BX48" i="10"/>
  <c r="CB48" i="10"/>
  <c r="CF48" i="10"/>
  <c r="BO48" i="10"/>
  <c r="BP39" i="10"/>
  <c r="BT39" i="10"/>
  <c r="BX39" i="10"/>
  <c r="CB39" i="10"/>
  <c r="CF39" i="10"/>
  <c r="BQ30" i="10"/>
  <c r="BU30" i="10"/>
  <c r="BY30" i="10"/>
  <c r="CC30" i="10"/>
  <c r="CG30" i="10"/>
  <c r="T195" i="2"/>
  <c r="AJ195" i="2"/>
  <c r="AF196" i="2"/>
  <c r="AB197" i="2"/>
  <c r="X198" i="2"/>
  <c r="T199" i="2"/>
  <c r="AJ199" i="2"/>
  <c r="AF200" i="2"/>
  <c r="AB201" i="2"/>
  <c r="X202" i="2"/>
  <c r="T204" i="2"/>
  <c r="AJ204" i="2"/>
  <c r="AF205" i="2"/>
  <c r="AB206" i="2"/>
  <c r="X207" i="2"/>
  <c r="T208" i="2"/>
  <c r="AJ208" i="2"/>
  <c r="AF209" i="2"/>
  <c r="AB210" i="2"/>
  <c r="X211" i="2"/>
  <c r="T213" i="2"/>
  <c r="AJ213" i="2"/>
  <c r="AG195" i="2"/>
  <c r="AC196" i="2"/>
  <c r="Y197" i="2"/>
  <c r="U198" i="2"/>
  <c r="AK198" i="2"/>
  <c r="AG199" i="2"/>
  <c r="AC200" i="2"/>
  <c r="Y201" i="2"/>
  <c r="U202" i="2"/>
  <c r="AK202" i="2"/>
  <c r="AG204" i="2"/>
  <c r="AC205" i="2"/>
  <c r="BQ102" i="10"/>
  <c r="BU102" i="10"/>
  <c r="BY102" i="10"/>
  <c r="CC102" i="10"/>
  <c r="CG102" i="10"/>
  <c r="BQ93" i="10"/>
  <c r="BU93" i="10"/>
  <c r="BY93" i="10"/>
  <c r="CC93" i="10"/>
  <c r="CG93" i="10"/>
  <c r="BQ84" i="10"/>
  <c r="BU84" i="10"/>
  <c r="BY84" i="10"/>
  <c r="CC84" i="10"/>
  <c r="CG84" i="10"/>
  <c r="BQ75" i="10"/>
  <c r="BU75" i="10"/>
  <c r="BY75" i="10"/>
  <c r="CC75" i="10"/>
  <c r="CG75" i="10"/>
  <c r="BS66" i="10"/>
  <c r="BW66" i="10"/>
  <c r="CA66" i="10"/>
  <c r="CE66" i="10"/>
  <c r="BQ57" i="10"/>
  <c r="BU57" i="10"/>
  <c r="BY57" i="10"/>
  <c r="CC57" i="10"/>
  <c r="CG57" i="10"/>
  <c r="BQ48" i="10"/>
  <c r="BU48" i="10"/>
  <c r="BY48" i="10"/>
  <c r="CC48" i="10"/>
  <c r="CG48" i="10"/>
  <c r="BQ39" i="10"/>
  <c r="BU39" i="10"/>
  <c r="BY39" i="10"/>
  <c r="CC39" i="10"/>
  <c r="CG39" i="10"/>
  <c r="BR30" i="10"/>
  <c r="BV30" i="10"/>
  <c r="BZ30" i="10"/>
  <c r="CD30" i="10"/>
  <c r="CH30" i="10"/>
  <c r="BR102" i="10"/>
  <c r="BV102" i="10"/>
  <c r="BZ102" i="10"/>
  <c r="CD102" i="10"/>
  <c r="CH102" i="10"/>
  <c r="BR93" i="10"/>
  <c r="BV93" i="10"/>
  <c r="BZ93" i="10"/>
  <c r="CD93" i="10"/>
  <c r="CH93" i="10"/>
  <c r="BR84" i="10"/>
  <c r="BV84" i="10"/>
  <c r="BZ84" i="10"/>
  <c r="CD84" i="10"/>
  <c r="CH84" i="10"/>
  <c r="BR75" i="10"/>
  <c r="BV75" i="10"/>
  <c r="BZ75" i="10"/>
  <c r="CD75" i="10"/>
  <c r="CH75" i="10"/>
  <c r="BO66" i="10"/>
  <c r="BP66" i="10"/>
  <c r="BT66" i="10"/>
  <c r="BX66" i="10"/>
  <c r="CB66" i="10"/>
  <c r="CF66" i="10"/>
  <c r="BR57" i="10"/>
  <c r="BV57" i="10"/>
  <c r="BZ57" i="10"/>
  <c r="CD57" i="10"/>
  <c r="CH57" i="10"/>
  <c r="BR48" i="10"/>
  <c r="BV48" i="10"/>
  <c r="BZ48" i="10"/>
  <c r="CD48" i="10"/>
  <c r="CH48" i="10"/>
  <c r="BR39" i="10"/>
  <c r="BV39" i="10"/>
  <c r="BZ39" i="10"/>
  <c r="CD39" i="10"/>
  <c r="CH39" i="10"/>
  <c r="BS30" i="10"/>
  <c r="BW30" i="10"/>
  <c r="CA30" i="10"/>
  <c r="CE30" i="10"/>
  <c r="BO30" i="10"/>
  <c r="U42" i="8"/>
  <c r="Y67" i="8"/>
  <c r="Y71" i="8"/>
  <c r="Y76" i="8"/>
  <c r="Y81" i="8"/>
  <c r="Y86" i="8"/>
  <c r="Y91" i="8"/>
  <c r="Y95" i="8"/>
  <c r="Y100" i="8"/>
  <c r="Y105" i="8"/>
  <c r="Y110" i="8"/>
  <c r="Y11" i="8"/>
  <c r="Y15" i="8"/>
  <c r="Y20" i="8"/>
  <c r="Y25" i="8"/>
  <c r="Y29" i="8"/>
  <c r="Y34" i="8"/>
  <c r="Y39" i="8"/>
  <c r="Y44" i="8"/>
  <c r="Y48" i="8"/>
  <c r="Y74" i="8"/>
  <c r="Y83" i="8"/>
  <c r="Y93" i="8"/>
  <c r="Y103" i="8"/>
  <c r="Y112" i="8"/>
  <c r="Y18" i="8"/>
  <c r="Y32" i="8"/>
  <c r="Y41" i="8"/>
  <c r="Y68" i="8"/>
  <c r="Y73" i="8"/>
  <c r="Y77" i="8"/>
  <c r="Y82" i="8"/>
  <c r="Y87" i="8"/>
  <c r="Y92" i="8"/>
  <c r="Y97" i="8"/>
  <c r="Y101" i="8"/>
  <c r="Y106" i="8"/>
  <c r="Y111" i="8"/>
  <c r="Y12" i="8"/>
  <c r="Y21" i="8"/>
  <c r="Y26" i="8"/>
  <c r="Y35" i="8"/>
  <c r="Y40" i="8"/>
  <c r="Y45" i="8"/>
  <c r="Y79" i="8"/>
  <c r="Y88" i="8"/>
  <c r="Y98" i="8"/>
  <c r="Y107" i="8"/>
  <c r="Y13" i="8"/>
  <c r="Y22" i="8"/>
  <c r="Y27" i="8"/>
  <c r="Y36" i="8"/>
  <c r="Y46" i="8"/>
  <c r="Y69" i="8"/>
  <c r="Y70" i="8"/>
  <c r="Y75" i="8"/>
  <c r="Y80" i="8"/>
  <c r="Y85" i="8"/>
  <c r="Y89" i="8"/>
  <c r="Y99" i="8"/>
  <c r="Y104" i="8"/>
  <c r="Y109" i="8"/>
  <c r="Y113" i="8"/>
  <c r="Y14" i="8"/>
  <c r="Y19" i="8"/>
  <c r="Y28" i="8"/>
  <c r="Y33" i="8"/>
  <c r="Y38" i="8"/>
  <c r="Y42" i="8"/>
  <c r="Y47" i="8"/>
  <c r="Q40" i="8"/>
  <c r="V22" i="8"/>
  <c r="S39" i="8"/>
  <c r="T27" i="8"/>
  <c r="S80" i="8"/>
  <c r="Q26" i="8"/>
  <c r="X68" i="8"/>
  <c r="R25" i="8"/>
  <c r="P39" i="8"/>
  <c r="V25" i="8"/>
  <c r="S22" i="8"/>
  <c r="P42" i="8"/>
  <c r="R12" i="8"/>
  <c r="V99" i="8"/>
  <c r="T99" i="8"/>
  <c r="Q13" i="8"/>
  <c r="R111" i="8"/>
  <c r="T85" i="8"/>
  <c r="P38" i="8"/>
  <c r="S12" i="8"/>
  <c r="Q15" i="8"/>
  <c r="V18" i="8"/>
  <c r="R13" i="8"/>
  <c r="V28" i="8"/>
  <c r="V42" i="8"/>
  <c r="V27" i="8"/>
  <c r="X45" i="8"/>
  <c r="T18" i="8"/>
  <c r="Q29" i="8"/>
  <c r="V41" i="8"/>
  <c r="R47" i="8"/>
  <c r="R94" i="8"/>
  <c r="S75" i="8"/>
  <c r="R79" i="8"/>
  <c r="U113" i="8"/>
  <c r="Q33" i="8"/>
  <c r="Q14" i="8"/>
  <c r="T40" i="8"/>
  <c r="S14" i="8"/>
  <c r="S18" i="8"/>
  <c r="R33" i="8"/>
  <c r="U11" i="8"/>
  <c r="S32" i="8"/>
  <c r="T47" i="8"/>
  <c r="W33" i="8"/>
  <c r="U45" i="8"/>
  <c r="Q82" i="8"/>
  <c r="P111" i="8"/>
  <c r="V98" i="8"/>
  <c r="P103" i="8"/>
  <c r="BC32" i="8"/>
  <c r="W68" i="8"/>
  <c r="R34" i="8"/>
  <c r="S26" i="8"/>
  <c r="U38" i="8"/>
  <c r="T32" i="8"/>
  <c r="Q39" i="8"/>
  <c r="Q21" i="8"/>
  <c r="U36" i="8"/>
  <c r="V19" i="8"/>
  <c r="P35" i="8"/>
  <c r="R14" i="8"/>
  <c r="X22" i="8"/>
  <c r="U35" i="8"/>
  <c r="U39" i="8"/>
  <c r="X48" i="8"/>
  <c r="P25" i="8"/>
  <c r="W76" i="8"/>
  <c r="S99" i="8"/>
  <c r="P13" i="8"/>
  <c r="V14" i="8"/>
  <c r="R48" i="8"/>
  <c r="Q47" i="8"/>
  <c r="Q42" i="8"/>
  <c r="X38" i="8"/>
  <c r="V35" i="8"/>
  <c r="T33" i="8"/>
  <c r="S29" i="8"/>
  <c r="Q27" i="8"/>
  <c r="W20" i="8"/>
  <c r="U18" i="8"/>
  <c r="R44" i="8"/>
  <c r="P41" i="8"/>
  <c r="R39" i="8"/>
  <c r="P36" i="8"/>
  <c r="X33" i="8"/>
  <c r="W29" i="8"/>
  <c r="U27" i="8"/>
  <c r="X25" i="8"/>
  <c r="V21" i="8"/>
  <c r="T19" i="8"/>
  <c r="V11" i="8"/>
  <c r="U12" i="8"/>
  <c r="P21" i="8"/>
  <c r="V33" i="8"/>
  <c r="U15" i="8"/>
  <c r="V13" i="8"/>
  <c r="S11" i="8"/>
  <c r="T21" i="8"/>
  <c r="X27" i="8"/>
  <c r="P33" i="8"/>
  <c r="V39" i="8"/>
  <c r="V44" i="8"/>
  <c r="W13" i="8"/>
  <c r="X26" i="8"/>
  <c r="S15" i="8"/>
  <c r="P67" i="8"/>
  <c r="U14" i="8"/>
  <c r="R45" i="8"/>
  <c r="S83" i="8"/>
  <c r="W88" i="8"/>
  <c r="W99" i="8"/>
  <c r="R73" i="8"/>
  <c r="P101" i="8"/>
  <c r="Q73" i="8"/>
  <c r="S67" i="8"/>
  <c r="T67" i="8"/>
  <c r="S20" i="8"/>
  <c r="U89" i="8"/>
  <c r="S88" i="8"/>
  <c r="W70" i="8"/>
  <c r="Q87" i="8"/>
  <c r="U69" i="8"/>
  <c r="S68" i="8"/>
  <c r="W79" i="8"/>
  <c r="T48" i="8"/>
  <c r="Q45" i="8"/>
  <c r="W42" i="8"/>
  <c r="W46" i="8"/>
  <c r="U44" i="8"/>
  <c r="W41" i="8"/>
  <c r="X18" i="8"/>
  <c r="U25" i="8"/>
  <c r="V32" i="8"/>
  <c r="Q109" i="8"/>
  <c r="X86" i="8"/>
  <c r="U79" i="8"/>
  <c r="T36" i="8"/>
  <c r="S19" i="8"/>
  <c r="Q34" i="8"/>
  <c r="S36" i="8"/>
  <c r="X19" i="8"/>
  <c r="R22" i="8"/>
  <c r="S34" i="8"/>
  <c r="T45" i="8"/>
  <c r="T25" i="8"/>
  <c r="Q36" i="8"/>
  <c r="X15" i="8"/>
  <c r="Q19" i="8"/>
  <c r="W27" i="8"/>
  <c r="V36" i="8"/>
  <c r="R40" i="8"/>
  <c r="S48" i="8"/>
  <c r="V46" i="8"/>
  <c r="S79" i="8"/>
  <c r="U80" i="8"/>
  <c r="W81" i="8"/>
  <c r="X67" i="8"/>
  <c r="W110" i="8"/>
  <c r="Q111" i="8"/>
  <c r="V76" i="8"/>
  <c r="U93" i="8"/>
  <c r="Q107" i="8"/>
  <c r="R104" i="8"/>
  <c r="V75" i="8"/>
  <c r="Q106" i="8"/>
  <c r="W103" i="8"/>
  <c r="V91" i="8"/>
  <c r="S106" i="8"/>
  <c r="P81" i="8"/>
  <c r="W82" i="8"/>
  <c r="AY30" i="8"/>
  <c r="U32" i="8"/>
  <c r="X12" i="8"/>
  <c r="T20" i="8"/>
  <c r="X14" i="8"/>
  <c r="T26" i="8"/>
  <c r="Q38" i="8"/>
  <c r="R28" i="8"/>
  <c r="S40" i="8"/>
  <c r="X11" i="8"/>
  <c r="Q25" i="8"/>
  <c r="P34" i="8"/>
  <c r="R42" i="8"/>
  <c r="W40" i="8"/>
  <c r="X35" i="8"/>
  <c r="P29" i="8"/>
  <c r="Q22" i="8"/>
  <c r="W18" i="8"/>
  <c r="S45" i="8"/>
  <c r="V29" i="8"/>
  <c r="P12" i="8"/>
  <c r="S42" i="8"/>
  <c r="W35" i="8"/>
  <c r="S28" i="8"/>
  <c r="X20" i="8"/>
  <c r="T12" i="8"/>
  <c r="P32" i="8"/>
  <c r="R18" i="8"/>
  <c r="V15" i="8"/>
  <c r="P20" i="8"/>
  <c r="W22" i="8"/>
  <c r="P27" i="8"/>
  <c r="Q32" i="8"/>
  <c r="V38" i="8"/>
  <c r="X41" i="8"/>
  <c r="P46" i="8"/>
  <c r="R21" i="8"/>
  <c r="P26" i="8"/>
  <c r="W28" i="8"/>
  <c r="W36" i="8"/>
  <c r="R41" i="8"/>
  <c r="Q48" i="8"/>
  <c r="T15" i="8"/>
  <c r="T13" i="8"/>
  <c r="P11" i="8"/>
  <c r="U19" i="8"/>
  <c r="W21" i="8"/>
  <c r="R26" i="8"/>
  <c r="P28" i="8"/>
  <c r="R32" i="8"/>
  <c r="X34" i="8"/>
  <c r="P40" i="8"/>
  <c r="Q44" i="8"/>
  <c r="U46" i="8"/>
  <c r="V40" i="8"/>
  <c r="P45" i="8"/>
  <c r="P44" i="8"/>
  <c r="S47" i="8"/>
  <c r="Q85" i="8"/>
  <c r="S86" i="8"/>
  <c r="U87" i="8"/>
  <c r="U71" i="8"/>
  <c r="W67" i="8"/>
  <c r="T95" i="8"/>
  <c r="U76" i="8"/>
  <c r="U97" i="8"/>
  <c r="P97" i="8"/>
  <c r="U112" i="8"/>
  <c r="Q112" i="8"/>
  <c r="U74" i="8"/>
  <c r="R92" i="8"/>
  <c r="U94" i="8"/>
  <c r="V110" i="8"/>
  <c r="R82" i="8"/>
  <c r="Q12" i="8"/>
  <c r="U41" i="8"/>
  <c r="W25" i="8"/>
  <c r="W14" i="8"/>
  <c r="V47" i="8"/>
  <c r="S35" i="8"/>
  <c r="R29" i="8"/>
  <c r="X40" i="8"/>
  <c r="Q20" i="8"/>
  <c r="X32" i="8"/>
  <c r="S46" i="8"/>
  <c r="X13" i="8"/>
  <c r="S21" i="8"/>
  <c r="U29" i="8"/>
  <c r="T39" i="8"/>
  <c r="W39" i="8"/>
  <c r="V34" i="8"/>
  <c r="U28" i="8"/>
  <c r="U21" i="8"/>
  <c r="R11" i="8"/>
  <c r="U13" i="8"/>
  <c r="T14" i="8"/>
  <c r="T41" i="8"/>
  <c r="R19" i="8"/>
  <c r="W48" i="8"/>
  <c r="W11" i="8"/>
  <c r="Q11" i="8"/>
  <c r="U20" i="8"/>
  <c r="S25" i="8"/>
  <c r="Q28" i="8"/>
  <c r="W32" i="8"/>
  <c r="T35" i="8"/>
  <c r="X39" i="8"/>
  <c r="P47" i="8"/>
  <c r="P19" i="8"/>
  <c r="X21" i="8"/>
  <c r="U26" i="8"/>
  <c r="X29" i="8"/>
  <c r="U34" i="8"/>
  <c r="R38" i="8"/>
  <c r="S44" i="8"/>
  <c r="T46" i="8"/>
  <c r="P15" i="8"/>
  <c r="V12" i="8"/>
  <c r="P18" i="8"/>
  <c r="R20" i="8"/>
  <c r="T22" i="8"/>
  <c r="V26" i="8"/>
  <c r="T28" i="8"/>
  <c r="S33" i="8"/>
  <c r="Q35" i="8"/>
  <c r="S38" i="8"/>
  <c r="Q41" i="8"/>
  <c r="W44" i="8"/>
  <c r="U47" i="8"/>
  <c r="S41" i="8"/>
  <c r="Q46" i="8"/>
  <c r="X44" i="8"/>
  <c r="P48" i="8"/>
  <c r="Q69" i="8"/>
  <c r="S70" i="8"/>
  <c r="Q89" i="8"/>
  <c r="R67" i="8"/>
  <c r="S104" i="8"/>
  <c r="T97" i="8"/>
  <c r="W73" i="8"/>
  <c r="S100" i="8"/>
  <c r="Q76" i="8"/>
  <c r="U92" i="8"/>
  <c r="Q95" i="8"/>
  <c r="X98" i="8"/>
  <c r="R89" i="8"/>
  <c r="S137" i="2"/>
  <c r="S144" i="2" s="1"/>
  <c r="Y138" i="2"/>
  <c r="Y145" i="2" s="1"/>
  <c r="AA139" i="2"/>
  <c r="AA146" i="2" s="1"/>
  <c r="V137" i="2"/>
  <c r="V144" i="2" s="1"/>
  <c r="V136" i="2"/>
  <c r="V143" i="2" s="1"/>
  <c r="X136" i="2"/>
  <c r="X143" i="2" s="1"/>
  <c r="U135" i="2"/>
  <c r="U142" i="2" s="1"/>
  <c r="U137" i="2"/>
  <c r="U144" i="2" s="1"/>
  <c r="AA138" i="2"/>
  <c r="AA145" i="2" s="1"/>
  <c r="V135" i="2"/>
  <c r="V142" i="2" s="1"/>
  <c r="T136" i="2"/>
  <c r="T143" i="2" s="1"/>
  <c r="V139" i="2"/>
  <c r="V146" i="2" s="1"/>
  <c r="BG33" i="8"/>
  <c r="BH30" i="8"/>
  <c r="BI32" i="8"/>
  <c r="BJ29" i="8"/>
  <c r="AV30" i="8"/>
  <c r="BD33" i="8"/>
  <c r="BE30" i="8"/>
  <c r="BF32" i="8"/>
  <c r="BG29" i="8"/>
  <c r="BD32" i="8"/>
  <c r="BE33" i="8"/>
  <c r="BF30" i="8"/>
  <c r="BG32" i="8"/>
  <c r="BH29" i="8"/>
  <c r="AW29" i="8"/>
  <c r="P14" i="8"/>
  <c r="X89" i="8"/>
  <c r="R83" i="8"/>
  <c r="V79" i="8"/>
  <c r="T80" i="8"/>
  <c r="R81" i="8"/>
  <c r="X82" i="8"/>
  <c r="V68" i="8"/>
  <c r="T69" i="8"/>
  <c r="R70" i="8"/>
  <c r="P89" i="8"/>
  <c r="W26" i="8"/>
  <c r="V48" i="8"/>
  <c r="U83" i="8"/>
  <c r="S82" i="8"/>
  <c r="W87" i="8"/>
  <c r="Q81" i="8"/>
  <c r="U86" i="8"/>
  <c r="S85" i="8"/>
  <c r="S13" i="8"/>
  <c r="R35" i="8"/>
  <c r="X83" i="8"/>
  <c r="U136" i="2"/>
  <c r="U143" i="2" s="1"/>
  <c r="W137" i="2"/>
  <c r="W144" i="2" s="1"/>
  <c r="X139" i="2"/>
  <c r="X146" i="2" s="1"/>
  <c r="X138" i="2"/>
  <c r="X145" i="2" s="1"/>
  <c r="X135" i="2"/>
  <c r="X142" i="2" s="1"/>
  <c r="Z136" i="2"/>
  <c r="V138" i="2"/>
  <c r="V145" i="2" s="1"/>
  <c r="W136" i="2"/>
  <c r="W143" i="2" s="1"/>
  <c r="Y137" i="2"/>
  <c r="Y144" i="2" s="1"/>
  <c r="AV33" i="8"/>
  <c r="AW32" i="8"/>
  <c r="AX29" i="8"/>
  <c r="AV29" i="8"/>
  <c r="BH32" i="8"/>
  <c r="BH33" i="8"/>
  <c r="BI30" i="8"/>
  <c r="BJ32" i="8"/>
  <c r="AX33" i="8"/>
  <c r="BA29" i="8"/>
  <c r="BI33" i="8"/>
  <c r="BJ30" i="8"/>
  <c r="AV32" i="8"/>
  <c r="BF33" i="8"/>
  <c r="BI29" i="8"/>
  <c r="W34" i="8"/>
  <c r="V83" i="8"/>
  <c r="W15" i="8"/>
  <c r="P85" i="8"/>
  <c r="V86" i="8"/>
  <c r="T87" i="8"/>
  <c r="R88" i="8"/>
  <c r="P80" i="8"/>
  <c r="V81" i="8"/>
  <c r="T82" i="8"/>
  <c r="X71" i="8"/>
  <c r="T29" i="8"/>
  <c r="W89" i="8"/>
  <c r="Q83" i="8"/>
  <c r="U88" i="8"/>
  <c r="S87" i="8"/>
  <c r="W69" i="8"/>
  <c r="Q86" i="8"/>
  <c r="U68" i="8"/>
  <c r="W19" i="8"/>
  <c r="T83" i="8"/>
  <c r="W135" i="2"/>
  <c r="W142" i="2" s="1"/>
  <c r="AA137" i="2"/>
  <c r="AA144" i="2" s="1"/>
  <c r="Z138" i="2"/>
  <c r="Z145" i="2" s="1"/>
  <c r="Y135" i="2"/>
  <c r="Y142" i="2" s="1"/>
  <c r="S138" i="2"/>
  <c r="S145" i="2" s="1"/>
  <c r="Z135" i="2"/>
  <c r="Z142" i="2" s="1"/>
  <c r="AZ30" i="8"/>
  <c r="BB29" i="8"/>
  <c r="BE29" i="8"/>
  <c r="AX32" i="8"/>
  <c r="BJ33" i="8"/>
  <c r="AX30" i="8"/>
  <c r="AZ29" i="8"/>
  <c r="Q18" i="8"/>
  <c r="X85" i="8"/>
  <c r="V70" i="8"/>
  <c r="X80" i="8"/>
  <c r="V88" i="8"/>
  <c r="U33" i="8"/>
  <c r="W71" i="8"/>
  <c r="U70" i="8"/>
  <c r="S69" i="8"/>
  <c r="Q68" i="8"/>
  <c r="U22" i="8"/>
  <c r="P83" i="8"/>
  <c r="T88" i="8"/>
  <c r="X70" i="8"/>
  <c r="R87" i="8"/>
  <c r="V69" i="8"/>
  <c r="P86" i="8"/>
  <c r="T68" i="8"/>
  <c r="X79" i="8"/>
  <c r="Q113" i="8"/>
  <c r="W111" i="8"/>
  <c r="R110" i="8"/>
  <c r="T107" i="8"/>
  <c r="Q104" i="8"/>
  <c r="W101" i="8"/>
  <c r="R100" i="8"/>
  <c r="T98" i="8"/>
  <c r="Q94" i="8"/>
  <c r="W92" i="8"/>
  <c r="R91" i="8"/>
  <c r="T76" i="8"/>
  <c r="X113" i="8"/>
  <c r="S112" i="8"/>
  <c r="U110" i="8"/>
  <c r="P109" i="8"/>
  <c r="V106" i="8"/>
  <c r="X104" i="8"/>
  <c r="S103" i="8"/>
  <c r="U100" i="8"/>
  <c r="P99" i="8"/>
  <c r="V97" i="8"/>
  <c r="X94" i="8"/>
  <c r="S93" i="8"/>
  <c r="W113" i="8"/>
  <c r="T110" i="8"/>
  <c r="X105" i="8"/>
  <c r="V103" i="8"/>
  <c r="R98" i="8"/>
  <c r="W94" i="8"/>
  <c r="U91" i="8"/>
  <c r="S76" i="8"/>
  <c r="Q74" i="8"/>
  <c r="T91" i="8"/>
  <c r="AA135" i="2"/>
  <c r="AA142" i="2" s="1"/>
  <c r="U138" i="2"/>
  <c r="U145" i="2" s="1"/>
  <c r="Z143" i="2"/>
  <c r="T139" i="2"/>
  <c r="T146" i="2" s="1"/>
  <c r="S136" i="2"/>
  <c r="S143" i="2" s="1"/>
  <c r="W138" i="2"/>
  <c r="W145" i="2" s="1"/>
  <c r="BD30" i="8"/>
  <c r="BF29" i="8"/>
  <c r="AZ33" i="8"/>
  <c r="BB32" i="8"/>
  <c r="BG30" i="8"/>
  <c r="BB30" i="8"/>
  <c r="BD29" i="8"/>
  <c r="X46" i="8"/>
  <c r="R68" i="8"/>
  <c r="P82" i="8"/>
  <c r="R86" i="8"/>
  <c r="P71" i="8"/>
  <c r="T38" i="8"/>
  <c r="S71" i="8"/>
  <c r="Q70" i="8"/>
  <c r="W85" i="8"/>
  <c r="R27" i="8"/>
  <c r="V71" i="8"/>
  <c r="P88" i="8"/>
  <c r="T70" i="8"/>
  <c r="X81" i="8"/>
  <c r="R69" i="8"/>
  <c r="V80" i="8"/>
  <c r="P68" i="8"/>
  <c r="T79" i="8"/>
  <c r="X112" i="8"/>
  <c r="S111" i="8"/>
  <c r="U109" i="8"/>
  <c r="P107" i="8"/>
  <c r="V105" i="8"/>
  <c r="X103" i="8"/>
  <c r="S101" i="8"/>
  <c r="U99" i="8"/>
  <c r="P98" i="8"/>
  <c r="V95" i="8"/>
  <c r="X93" i="8"/>
  <c r="S92" i="8"/>
  <c r="U77" i="8"/>
  <c r="P76" i="8"/>
  <c r="T113" i="8"/>
  <c r="Q110" i="8"/>
  <c r="W107" i="8"/>
  <c r="R106" i="8"/>
  <c r="T104" i="8"/>
  <c r="Q100" i="8"/>
  <c r="W98" i="8"/>
  <c r="R97" i="8"/>
  <c r="T94" i="8"/>
  <c r="S109" i="8"/>
  <c r="P105" i="8"/>
  <c r="U101" i="8"/>
  <c r="Q97" i="8"/>
  <c r="P91" i="8"/>
  <c r="X75" i="8"/>
  <c r="X73" i="8"/>
  <c r="X77" i="8"/>
  <c r="Y136" i="2"/>
  <c r="Y143" i="2" s="1"/>
  <c r="S139" i="2"/>
  <c r="S146" i="2" s="1"/>
  <c r="Z139" i="2"/>
  <c r="Z146" i="2" s="1"/>
  <c r="T137" i="2"/>
  <c r="T144" i="2" s="1"/>
  <c r="Z137" i="2"/>
  <c r="Z144" i="2" s="1"/>
  <c r="AA136" i="2"/>
  <c r="AA143" i="2" s="1"/>
  <c r="U139" i="2"/>
  <c r="U146" i="2" s="1"/>
  <c r="AY33" i="8"/>
  <c r="BA32" i="8"/>
  <c r="BB33" i="8"/>
  <c r="AW30" i="8"/>
  <c r="AY29" i="8"/>
  <c r="AW33" i="8"/>
  <c r="AY32" i="8"/>
  <c r="BC30" i="8"/>
  <c r="T105" i="8"/>
  <c r="W109" i="8"/>
  <c r="R112" i="8"/>
  <c r="V77" i="8"/>
  <c r="W100" i="8"/>
  <c r="R113" i="8"/>
  <c r="W77" i="8"/>
  <c r="P74" i="8"/>
  <c r="S77" i="8"/>
  <c r="V94" i="8"/>
  <c r="X97" i="8"/>
  <c r="T101" i="8"/>
  <c r="W105" i="8"/>
  <c r="R109" i="8"/>
  <c r="U73" i="8"/>
  <c r="P77" i="8"/>
  <c r="U98" i="8"/>
  <c r="U107" i="8"/>
  <c r="V73" i="8"/>
  <c r="R77" i="8"/>
  <c r="P100" i="8"/>
  <c r="R76" i="8"/>
  <c r="R75" i="8"/>
  <c r="V93" i="8"/>
  <c r="T100" i="8"/>
  <c r="R107" i="8"/>
  <c r="V92" i="8"/>
  <c r="U95" i="8"/>
  <c r="X99" i="8"/>
  <c r="P104" i="8"/>
  <c r="S107" i="8"/>
  <c r="V111" i="8"/>
  <c r="W75" i="8"/>
  <c r="R95" i="8"/>
  <c r="Q99" i="8"/>
  <c r="T103" i="8"/>
  <c r="W106" i="8"/>
  <c r="P79" i="8"/>
  <c r="R80" i="8"/>
  <c r="T81" i="8"/>
  <c r="V82" i="8"/>
  <c r="V89" i="8"/>
  <c r="W80" i="8"/>
  <c r="Q88" i="8"/>
  <c r="R15" i="8"/>
  <c r="T71" i="8"/>
  <c r="T89" i="8"/>
  <c r="BA33" i="8"/>
  <c r="BE32" i="8"/>
  <c r="T138" i="2"/>
  <c r="T145" i="2" s="1"/>
  <c r="X137" i="2"/>
  <c r="X144" i="2" s="1"/>
  <c r="T135" i="2"/>
  <c r="T142" i="2" s="1"/>
  <c r="P92" i="8"/>
  <c r="S105" i="8"/>
  <c r="Q101" i="8"/>
  <c r="U106" i="8"/>
  <c r="P110" i="8"/>
  <c r="V74" i="8"/>
  <c r="W91" i="8"/>
  <c r="Q103" i="8"/>
  <c r="W74" i="8"/>
  <c r="X91" i="8"/>
  <c r="X100" i="8"/>
  <c r="X74" i="8"/>
  <c r="Q98" i="8"/>
  <c r="U103" i="8"/>
  <c r="P106" i="8"/>
  <c r="S110" i="8"/>
  <c r="R74" i="8"/>
  <c r="Q91" i="8"/>
  <c r="S74" i="8"/>
  <c r="S91" i="8"/>
  <c r="S73" i="8"/>
  <c r="P73" i="8"/>
  <c r="P95" i="8"/>
  <c r="U111" i="8"/>
  <c r="W93" i="8"/>
  <c r="R101" i="8"/>
  <c r="Q105" i="8"/>
  <c r="T109" i="8"/>
  <c r="W112" i="8"/>
  <c r="X76" i="8"/>
  <c r="P93" i="8"/>
  <c r="S97" i="8"/>
  <c r="V100" i="8"/>
  <c r="U104" i="8"/>
  <c r="X107" i="8"/>
  <c r="P112" i="8"/>
  <c r="R85" i="8"/>
  <c r="T86" i="8"/>
  <c r="V87" i="8"/>
  <c r="X88" i="8"/>
  <c r="Q79" i="8"/>
  <c r="U81" i="8"/>
  <c r="X87" i="8"/>
  <c r="X69" i="8"/>
  <c r="X36" i="8"/>
  <c r="BC29" i="8"/>
  <c r="BC33" i="8"/>
  <c r="Y139" i="2"/>
  <c r="Y146" i="2" s="1"/>
  <c r="S135" i="2"/>
  <c r="S142" i="2" s="1"/>
  <c r="T11" i="8"/>
  <c r="V20" i="8"/>
  <c r="P22" i="8"/>
  <c r="S27" i="8"/>
  <c r="X28" i="8"/>
  <c r="T34" i="8"/>
  <c r="R36" i="8"/>
  <c r="W38" i="8"/>
  <c r="U40" i="8"/>
  <c r="X42" i="8"/>
  <c r="W45" i="8"/>
  <c r="U48" i="8"/>
  <c r="T42" i="8"/>
  <c r="T51" i="8" s="1"/>
  <c r="V45" i="8"/>
  <c r="X47" i="8"/>
  <c r="T44" i="8"/>
  <c r="R46" i="8"/>
  <c r="W47" i="8"/>
  <c r="U85" i="8"/>
  <c r="Q80" i="8"/>
  <c r="W86" i="8"/>
  <c r="S81" i="8"/>
  <c r="U82" i="8"/>
  <c r="Q71" i="8"/>
  <c r="W83" i="8"/>
  <c r="Q67" i="8"/>
  <c r="U67" i="8"/>
  <c r="V67" i="8"/>
  <c r="S95" i="8"/>
  <c r="V109" i="8"/>
  <c r="Q92" i="8"/>
  <c r="R103" i="8"/>
  <c r="V107" i="8"/>
  <c r="X110" i="8"/>
  <c r="T75" i="8"/>
  <c r="Q93" i="8"/>
  <c r="T106" i="8"/>
  <c r="U75" i="8"/>
  <c r="R93" i="8"/>
  <c r="Q75" i="8"/>
  <c r="T92" i="8"/>
  <c r="W95" i="8"/>
  <c r="R99" i="8"/>
  <c r="V104" i="8"/>
  <c r="X106" i="8"/>
  <c r="T111" i="8"/>
  <c r="X92" i="8"/>
  <c r="X101" i="8"/>
  <c r="X111" i="8"/>
  <c r="P75" i="8"/>
  <c r="S94" i="8"/>
  <c r="T74" i="8"/>
  <c r="T73" i="8"/>
  <c r="T77" i="8"/>
  <c r="X95" i="8"/>
  <c r="W104" i="8"/>
  <c r="V112" i="8"/>
  <c r="P94" i="8"/>
  <c r="S98" i="8"/>
  <c r="V101" i="8"/>
  <c r="U105" i="8"/>
  <c r="X109" i="8"/>
  <c r="P113" i="8"/>
  <c r="Q77" i="8"/>
  <c r="T93" i="8"/>
  <c r="W97" i="8"/>
  <c r="R105" i="8"/>
  <c r="T112" i="8"/>
  <c r="V85" i="8"/>
  <c r="P70" i="8"/>
  <c r="R71" i="8"/>
  <c r="S89" i="8"/>
  <c r="P87" i="8"/>
  <c r="P69" i="8"/>
  <c r="W12" i="8"/>
  <c r="AZ32" i="8"/>
  <c r="BA30" i="8"/>
  <c r="W139" i="2"/>
  <c r="W146" i="2" s="1"/>
  <c r="AG16" i="1"/>
  <c r="AC12" i="1"/>
  <c r="Y15" i="1"/>
  <c r="V11" i="1"/>
  <c r="R15" i="1"/>
  <c r="AH14" i="1"/>
  <c r="AD10" i="1"/>
  <c r="AB12" i="1"/>
  <c r="AK11" i="1"/>
  <c r="R11" i="1"/>
  <c r="AH16" i="1"/>
  <c r="AD12" i="1"/>
  <c r="Z15" i="1"/>
  <c r="W11" i="1"/>
  <c r="AI14" i="1"/>
  <c r="AI10" i="1"/>
  <c r="X15" i="1"/>
  <c r="AC14" i="1"/>
  <c r="W16" i="1"/>
  <c r="S12" i="1"/>
  <c r="AI12" i="1"/>
  <c r="AE15" i="1"/>
  <c r="AB11" i="1"/>
  <c r="X14" i="1"/>
  <c r="T10" i="1"/>
  <c r="AJ10" i="1"/>
  <c r="T15" i="1"/>
  <c r="AG14" i="1"/>
  <c r="AD57" i="1"/>
  <c r="W52" i="1"/>
  <c r="S49" i="1"/>
  <c r="AI39" i="1"/>
  <c r="AE35" i="1"/>
  <c r="AH46" i="1"/>
  <c r="V45" i="1"/>
  <c r="AD32" i="1"/>
  <c r="R31" i="1"/>
  <c r="AD29" i="1"/>
  <c r="AH54" i="1"/>
  <c r="AD50" i="1"/>
  <c r="Z41" i="1"/>
  <c r="V37" i="1"/>
  <c r="R34" i="1"/>
  <c r="AK45" i="1"/>
  <c r="Y44" i="1"/>
  <c r="AG31" i="1"/>
  <c r="U30" i="1"/>
  <c r="W55" i="1"/>
  <c r="S51" i="1"/>
  <c r="AI41" i="1"/>
  <c r="AE37" i="1"/>
  <c r="AA34" i="1"/>
  <c r="V46" i="1"/>
  <c r="AD44" i="1"/>
  <c r="R32" i="1"/>
  <c r="Z30" i="1"/>
  <c r="Z56" i="1"/>
  <c r="AH51" i="1"/>
  <c r="AH61" i="1" s="1"/>
  <c r="AD42" i="1"/>
  <c r="Z39" i="1"/>
  <c r="V35" i="1"/>
  <c r="AC46" i="1"/>
  <c r="AK44" i="1"/>
  <c r="Y32" i="1"/>
  <c r="AG30" i="1"/>
  <c r="AI29" i="1"/>
  <c r="S30" i="1"/>
  <c r="W44" i="1"/>
  <c r="AH47" i="1"/>
  <c r="V41" i="1"/>
  <c r="AD54" i="1"/>
  <c r="AB30" i="1"/>
  <c r="AF44" i="1"/>
  <c r="AE34" i="1"/>
  <c r="S42" i="1"/>
  <c r="AA55" i="1"/>
  <c r="T35" i="1"/>
  <c r="X39" i="1"/>
  <c r="AB42" i="1"/>
  <c r="AF51" i="1"/>
  <c r="AJ55" i="1"/>
  <c r="U34" i="1"/>
  <c r="Y37" i="1"/>
  <c r="AC41" i="1"/>
  <c r="U50" i="1"/>
  <c r="AC52" i="1"/>
  <c r="AG56" i="1"/>
  <c r="AF12" i="2"/>
  <c r="AC12" i="2"/>
  <c r="Z50" i="2"/>
  <c r="Z65" i="2" s="1"/>
  <c r="S12" i="2"/>
  <c r="AD59" i="2"/>
  <c r="AD74" i="2" s="1"/>
  <c r="AB12" i="2"/>
  <c r="AG11" i="2"/>
  <c r="W14" i="2"/>
  <c r="AA60" i="2"/>
  <c r="AA75" i="2" s="1"/>
  <c r="AA15" i="2"/>
  <c r="AF62" i="2"/>
  <c r="AF77" i="2" s="1"/>
  <c r="AK59" i="2"/>
  <c r="AK74" i="2" s="1"/>
  <c r="AI50" i="2"/>
  <c r="AI65" i="2" s="1"/>
  <c r="AJ50" i="2"/>
  <c r="AJ65" i="2" s="1"/>
  <c r="AN38" i="16"/>
  <c r="U16" i="1"/>
  <c r="AK16" i="1"/>
  <c r="AG12" i="1"/>
  <c r="AC15" i="1"/>
  <c r="AC18" i="1" s="1"/>
  <c r="Z11" i="1"/>
  <c r="V14" i="1"/>
  <c r="AH10" i="1"/>
  <c r="AJ12" i="1"/>
  <c r="Y14" i="1"/>
  <c r="V16" i="1"/>
  <c r="R16" i="1"/>
  <c r="AH12" i="1"/>
  <c r="AD15" i="1"/>
  <c r="AD18" i="1" s="1"/>
  <c r="AA11" i="1"/>
  <c r="W14" i="1"/>
  <c r="X16" i="1"/>
  <c r="AF15" i="1"/>
  <c r="Y10" i="1"/>
  <c r="AA16" i="1"/>
  <c r="W12" i="1"/>
  <c r="S15" i="1"/>
  <c r="S18" i="1" s="1"/>
  <c r="AI15" i="1"/>
  <c r="AF11" i="1"/>
  <c r="AB14" i="1"/>
  <c r="X10" i="1"/>
  <c r="AB16" i="1"/>
  <c r="AJ15" i="1"/>
  <c r="AJ18" i="1" s="1"/>
  <c r="U10" i="1"/>
  <c r="R56" i="1"/>
  <c r="AA51" i="1"/>
  <c r="W42" i="1"/>
  <c r="S39" i="1"/>
  <c r="AI34" i="1"/>
  <c r="Z46" i="1"/>
  <c r="AH44" i="1"/>
  <c r="V32" i="1"/>
  <c r="AD30" i="1"/>
  <c r="R29" i="1"/>
  <c r="R54" i="1"/>
  <c r="AH49" i="1"/>
  <c r="AD40" i="1"/>
  <c r="Z36" i="1"/>
  <c r="V47" i="1"/>
  <c r="AC45" i="1"/>
  <c r="AK32" i="1"/>
  <c r="Y31" i="1"/>
  <c r="W29" i="1"/>
  <c r="AA54" i="1"/>
  <c r="W50" i="1"/>
  <c r="S41" i="1"/>
  <c r="AI36" i="1"/>
  <c r="AE47" i="1"/>
  <c r="AH45" i="1"/>
  <c r="V44" i="1"/>
  <c r="AD31" i="1"/>
  <c r="R30" i="1"/>
  <c r="V55" i="1"/>
  <c r="R51" i="1"/>
  <c r="AH41" i="1"/>
  <c r="AD37" i="1"/>
  <c r="Z34" i="1"/>
  <c r="U46" i="1"/>
  <c r="AC44" i="1"/>
  <c r="AK31" i="1"/>
  <c r="Y30" i="1"/>
  <c r="AE55" i="1"/>
  <c r="AI30" i="1"/>
  <c r="S45" i="1"/>
  <c r="Z35" i="1"/>
  <c r="AH42" i="1"/>
  <c r="V56" i="1"/>
  <c r="X31" i="1"/>
  <c r="AB45" i="1"/>
  <c r="W36" i="1"/>
  <c r="AE49" i="1"/>
  <c r="S57" i="1"/>
  <c r="AJ35" i="1"/>
  <c r="T40" i="1"/>
  <c r="X49" i="1"/>
  <c r="AB52" i="1"/>
  <c r="AF56" i="1"/>
  <c r="AK34" i="1"/>
  <c r="U39" i="1"/>
  <c r="Y42" i="1"/>
  <c r="Y54" i="1"/>
  <c r="AC57" i="1"/>
  <c r="AK15" i="2"/>
  <c r="AA12" i="2"/>
  <c r="AH14" i="2"/>
  <c r="Z18" i="2"/>
  <c r="W51" i="2"/>
  <c r="W66" i="2" s="1"/>
  <c r="U14" i="2"/>
  <c r="AH15" i="2"/>
  <c r="AL18" i="2"/>
  <c r="AB52" i="2"/>
  <c r="AB67" i="2" s="1"/>
  <c r="AE17" i="2"/>
  <c r="T62" i="2"/>
  <c r="T77" i="2" s="1"/>
  <c r="U59" i="2"/>
  <c r="U74" i="2" s="1"/>
  <c r="X59" i="2"/>
  <c r="X74" i="2" s="1"/>
  <c r="AJ57" i="2"/>
  <c r="AJ72" i="2" s="1"/>
  <c r="AG51" i="2"/>
  <c r="AG66" i="2" s="1"/>
  <c r="Z52" i="2"/>
  <c r="Z67" i="2" s="1"/>
  <c r="W54" i="2"/>
  <c r="W69" i="2" s="1"/>
  <c r="T55" i="2"/>
  <c r="T70" i="2" s="1"/>
  <c r="AJ55" i="2"/>
  <c r="AJ70" i="2" s="1"/>
  <c r="AG56" i="2"/>
  <c r="AG71" i="2" s="1"/>
  <c r="AD57" i="2"/>
  <c r="AD72" i="2" s="1"/>
  <c r="AE59" i="2"/>
  <c r="AE74" i="2" s="1"/>
  <c r="AB60" i="2"/>
  <c r="AB75" i="2" s="1"/>
  <c r="Y61" i="2"/>
  <c r="Y76" i="2" s="1"/>
  <c r="V49" i="2"/>
  <c r="V64" i="2" s="1"/>
  <c r="AL50" i="2"/>
  <c r="AL65" i="2" s="1"/>
  <c r="AF52" i="2"/>
  <c r="AF67" i="2" s="1"/>
  <c r="AH55" i="2"/>
  <c r="AH70" i="2" s="1"/>
  <c r="T57" i="2"/>
  <c r="T72" i="2" s="1"/>
  <c r="AG59" i="2"/>
  <c r="AG74" i="2" s="1"/>
  <c r="AD60" i="2"/>
  <c r="AD75" i="2" s="1"/>
  <c r="AJ61" i="2"/>
  <c r="AJ76" i="2" s="1"/>
  <c r="AC62" i="2"/>
  <c r="AC77" i="2" s="1"/>
  <c r="S49" i="2"/>
  <c r="S64" i="2" s="1"/>
  <c r="AB18" i="2"/>
  <c r="X17" i="2"/>
  <c r="T15" i="2"/>
  <c r="AJ15" i="2"/>
  <c r="W50" i="2"/>
  <c r="W65" i="2" s="1"/>
  <c r="AJ51" i="2"/>
  <c r="AJ66" i="2" s="1"/>
  <c r="V54" i="2"/>
  <c r="V69" i="2" s="1"/>
  <c r="AA55" i="2"/>
  <c r="AA70" i="2" s="1"/>
  <c r="AC57" i="2"/>
  <c r="AC72" i="2" s="1"/>
  <c r="AC59" i="2"/>
  <c r="AC74" i="2" s="1"/>
  <c r="AK60" i="2"/>
  <c r="AK75" i="2" s="1"/>
  <c r="AG61" i="2"/>
  <c r="AG76" i="2" s="1"/>
  <c r="AH62" i="2"/>
  <c r="AH77" i="2" s="1"/>
  <c r="S57" i="2"/>
  <c r="S72" i="2" s="1"/>
  <c r="AE49" i="2"/>
  <c r="AE64" i="2" s="1"/>
  <c r="AB50" i="2"/>
  <c r="AB65" i="2" s="1"/>
  <c r="Y51" i="2"/>
  <c r="Y66" i="2" s="1"/>
  <c r="AK51" i="2"/>
  <c r="AK66" i="2" s="1"/>
  <c r="AD52" i="2"/>
  <c r="AD67" i="2" s="1"/>
  <c r="AA54" i="2"/>
  <c r="AA69" i="2" s="1"/>
  <c r="X55" i="2"/>
  <c r="X70" i="2" s="1"/>
  <c r="U56" i="2"/>
  <c r="U71" i="2" s="1"/>
  <c r="AK56" i="2"/>
  <c r="AK71" i="2" s="1"/>
  <c r="AH57" i="2"/>
  <c r="AH72" i="2" s="1"/>
  <c r="AI59" i="2"/>
  <c r="AI74" i="2" s="1"/>
  <c r="AF60" i="2"/>
  <c r="AF75" i="2" s="1"/>
  <c r="AC61" i="2"/>
  <c r="AC76" i="2" s="1"/>
  <c r="AL49" i="2"/>
  <c r="AL64" i="2" s="1"/>
  <c r="AA51" i="2"/>
  <c r="AA66" i="2" s="1"/>
  <c r="AK54" i="2"/>
  <c r="AK69" i="2" s="1"/>
  <c r="W56" i="2"/>
  <c r="W71" i="2" s="1"/>
  <c r="V59" i="2"/>
  <c r="V74" i="2" s="1"/>
  <c r="AL59" i="2"/>
  <c r="AL74" i="2" s="1"/>
  <c r="AA61" i="2"/>
  <c r="AA76" i="2" s="1"/>
  <c r="U62" i="2"/>
  <c r="U77" i="2" s="1"/>
  <c r="S59" i="2"/>
  <c r="S74" i="2" s="1"/>
  <c r="AF18" i="2"/>
  <c r="AB17" i="2"/>
  <c r="X15" i="2"/>
  <c r="AE50" i="2"/>
  <c r="AE65" i="2" s="1"/>
  <c r="Y52" i="2"/>
  <c r="Y67" i="2" s="1"/>
  <c r="AD54" i="2"/>
  <c r="AD69" i="2" s="1"/>
  <c r="AF56" i="2"/>
  <c r="AF71" i="2" s="1"/>
  <c r="AK57" i="2"/>
  <c r="AK72" i="2" s="1"/>
  <c r="Z60" i="2"/>
  <c r="Z75" i="2" s="1"/>
  <c r="W61" i="2"/>
  <c r="W76" i="2" s="1"/>
  <c r="Z62" i="2"/>
  <c r="Z77" i="2" s="1"/>
  <c r="AL62" i="2"/>
  <c r="AL77" i="2" s="1"/>
  <c r="AC18" i="2"/>
  <c r="Y17" i="2"/>
  <c r="U15" i="2"/>
  <c r="AK59" i="16"/>
  <c r="Y35" i="16"/>
  <c r="AL69" i="16"/>
  <c r="Y53" i="16"/>
  <c r="AJ38" i="16"/>
  <c r="AQ64" i="16"/>
  <c r="AL66" i="16"/>
  <c r="AE33" i="16"/>
  <c r="AF59" i="16"/>
  <c r="AO33" i="16"/>
  <c r="AH33" i="16"/>
  <c r="BM10" i="1"/>
  <c r="BT9" i="2"/>
  <c r="BJ12" i="1"/>
  <c r="BX9" i="1"/>
  <c r="BU10" i="2"/>
  <c r="CA10" i="1"/>
  <c r="BN10" i="2"/>
  <c r="BX12" i="1"/>
  <c r="BQ9" i="2"/>
  <c r="AF49" i="2"/>
  <c r="AF64" i="2" s="1"/>
  <c r="AF114" i="2" s="1"/>
  <c r="AH51" i="2"/>
  <c r="AH66" i="2" s="1"/>
  <c r="AH116" i="2" s="1"/>
  <c r="AJ54" i="2"/>
  <c r="AJ69" i="2" s="1"/>
  <c r="W57" i="2"/>
  <c r="W72" i="2" s="1"/>
  <c r="AC35" i="16"/>
  <c r="AA63" i="16"/>
  <c r="AN67" i="16"/>
  <c r="AN63" i="16"/>
  <c r="CE9" i="2"/>
  <c r="BV10" i="2"/>
  <c r="AJ49" i="2"/>
  <c r="AJ64" i="2" s="1"/>
  <c r="AI49" i="2"/>
  <c r="AI64" i="2" s="1"/>
  <c r="AC51" i="2"/>
  <c r="AC66" i="2" s="1"/>
  <c r="AH52" i="2"/>
  <c r="AH67" i="2" s="1"/>
  <c r="AB55" i="2"/>
  <c r="AB70" i="2" s="1"/>
  <c r="V57" i="2"/>
  <c r="V72" i="2" s="1"/>
  <c r="T60" i="2"/>
  <c r="T75" i="2" s="1"/>
  <c r="U54" i="2"/>
  <c r="U69" i="2" s="1"/>
  <c r="AB59" i="2"/>
  <c r="AB74" i="2" s="1"/>
  <c r="AI60" i="2"/>
  <c r="AI75" i="2" s="1"/>
  <c r="S54" i="2"/>
  <c r="S69" i="2" s="1"/>
  <c r="T18" i="2"/>
  <c r="AF17" i="2"/>
  <c r="T51" i="2"/>
  <c r="T66" i="2" s="1"/>
  <c r="U57" i="2"/>
  <c r="U72" i="2" s="1"/>
  <c r="AH59" i="2"/>
  <c r="AH74" i="2" s="1"/>
  <c r="AD62" i="2"/>
  <c r="AD77" i="2" s="1"/>
  <c r="S52" i="2"/>
  <c r="S67" i="2" s="1"/>
  <c r="Y18" i="2"/>
  <c r="AC17" i="2"/>
  <c r="AC15" i="2"/>
  <c r="AA50" i="2"/>
  <c r="AA65" i="2" s="1"/>
  <c r="AF51" i="2"/>
  <c r="AF66" i="2" s="1"/>
  <c r="AK52" i="2"/>
  <c r="AK67" i="2" s="1"/>
  <c r="T56" i="2"/>
  <c r="T71" i="2" s="1"/>
  <c r="Y57" i="2"/>
  <c r="Y72" i="2" s="1"/>
  <c r="AP69" i="16"/>
  <c r="AH66" i="16"/>
  <c r="BP12" i="1"/>
  <c r="CA10" i="2"/>
  <c r="BP10" i="1"/>
  <c r="AL51" i="2"/>
  <c r="AL66" i="2" s="1"/>
  <c r="T50" i="2"/>
  <c r="T65" i="2" s="1"/>
  <c r="AL52" i="2"/>
  <c r="AL67" i="2" s="1"/>
  <c r="AF55" i="2"/>
  <c r="AF70" i="2" s="1"/>
  <c r="Z57" i="2"/>
  <c r="Z72" i="2" s="1"/>
  <c r="X60" i="2"/>
  <c r="X75" i="2" s="1"/>
  <c r="AD50" i="2"/>
  <c r="AD65" i="2" s="1"/>
  <c r="AC54" i="2"/>
  <c r="AC69" i="2" s="1"/>
  <c r="AE56" i="2"/>
  <c r="AE71" i="2" s="1"/>
  <c r="V61" i="2"/>
  <c r="V76" i="2" s="1"/>
  <c r="Y62" i="2"/>
  <c r="Y77" i="2" s="1"/>
  <c r="X18" i="2"/>
  <c r="AJ17" i="2"/>
  <c r="AB51" i="2"/>
  <c r="AB66" i="2" s="1"/>
  <c r="AL54" i="2"/>
  <c r="AL69" i="2" s="1"/>
  <c r="U60" i="2"/>
  <c r="U75" i="2" s="1"/>
  <c r="AB61" i="2"/>
  <c r="AB76" i="2" s="1"/>
  <c r="AG18" i="2"/>
  <c r="AG17" i="2"/>
  <c r="AG15" i="2"/>
  <c r="AC53" i="16"/>
  <c r="X64" i="16"/>
  <c r="BV12" i="1"/>
  <c r="CA11" i="1"/>
  <c r="X11" i="2"/>
  <c r="U55" i="2"/>
  <c r="U70" i="2" s="1"/>
  <c r="AG49" i="2"/>
  <c r="AG64" i="2" s="1"/>
  <c r="AF50" i="2"/>
  <c r="AF65" i="2" s="1"/>
  <c r="AE54" i="2"/>
  <c r="AE69" i="2" s="1"/>
  <c r="Y56" i="2"/>
  <c r="Y71" i="2" s="1"/>
  <c r="AL57" i="2"/>
  <c r="AL72" i="2" s="1"/>
  <c r="AJ60" i="2"/>
  <c r="AJ75" i="2" s="1"/>
  <c r="AI51" i="2"/>
  <c r="AI66" i="2" s="1"/>
  <c r="Z55" i="2"/>
  <c r="Z70" i="2" s="1"/>
  <c r="AB57" i="2"/>
  <c r="AB72" i="2" s="1"/>
  <c r="AF61" i="2"/>
  <c r="AF76" i="2" s="1"/>
  <c r="AG62" i="2"/>
  <c r="AG77" i="2" s="1"/>
  <c r="AJ18" i="2"/>
  <c r="AB15" i="2"/>
  <c r="AG52" i="2"/>
  <c r="AG67" i="2" s="1"/>
  <c r="AI55" i="2"/>
  <c r="AI70" i="2" s="1"/>
  <c r="AE60" i="2"/>
  <c r="AE75" i="2" s="1"/>
  <c r="AK61" i="2"/>
  <c r="AK76" i="2" s="1"/>
  <c r="AK18" i="2"/>
  <c r="AK17" i="2"/>
  <c r="AH49" i="2"/>
  <c r="AH64" i="2" s="1"/>
  <c r="X51" i="2"/>
  <c r="X66" i="2" s="1"/>
  <c r="Z54" i="2"/>
  <c r="Z69" i="2" s="1"/>
  <c r="AE55" i="2"/>
  <c r="AE70" i="2" s="1"/>
  <c r="AK49" i="2"/>
  <c r="AK64" i="2" s="1"/>
  <c r="V52" i="2"/>
  <c r="V67" i="2" s="1"/>
  <c r="U61" i="2"/>
  <c r="U76" i="2" s="1"/>
  <c r="Y60" i="2"/>
  <c r="Y75" i="2" s="1"/>
  <c r="AF15" i="2"/>
  <c r="Z49" i="2"/>
  <c r="Z64" i="2" s="1"/>
  <c r="U17" i="2"/>
  <c r="AH54" i="2"/>
  <c r="AH69" i="2" s="1"/>
  <c r="AJ56" i="2"/>
  <c r="AJ71" i="2" s="1"/>
  <c r="Z59" i="2"/>
  <c r="Z74" i="2" s="1"/>
  <c r="W60" i="2"/>
  <c r="W75" i="2" s="1"/>
  <c r="AE61" i="2"/>
  <c r="AE76" i="2" s="1"/>
  <c r="X62" i="2"/>
  <c r="X77" i="2" s="1"/>
  <c r="S55" i="2"/>
  <c r="S70" i="2" s="1"/>
  <c r="W18" i="2"/>
  <c r="S18" i="2"/>
  <c r="AI17" i="2"/>
  <c r="AE15" i="2"/>
  <c r="V55" i="2"/>
  <c r="V70" i="2" s="1"/>
  <c r="AD61" i="2"/>
  <c r="AD76" i="2" s="1"/>
  <c r="AH17" i="2"/>
  <c r="AA14" i="2"/>
  <c r="V12" i="2"/>
  <c r="AL12" i="2"/>
  <c r="AF14" i="2"/>
  <c r="AL61" i="2"/>
  <c r="AL76" i="2" s="1"/>
  <c r="Y14" i="2"/>
  <c r="AJ12" i="2"/>
  <c r="AJ31" i="2" s="1"/>
  <c r="AJ52" i="2"/>
  <c r="AJ67" i="2" s="1"/>
  <c r="AG60" i="2"/>
  <c r="AG75" i="2" s="1"/>
  <c r="V17" i="2"/>
  <c r="AE12" i="2"/>
  <c r="AD49" i="2"/>
  <c r="AD64" i="2" s="1"/>
  <c r="T52" i="2"/>
  <c r="T67" i="2" s="1"/>
  <c r="T59" i="2"/>
  <c r="T74" i="2" s="1"/>
  <c r="AH18" i="2"/>
  <c r="V14" i="2"/>
  <c r="AL14" i="2"/>
  <c r="AG12" i="2"/>
  <c r="AE11" i="2"/>
  <c r="AL17" i="2"/>
  <c r="AI12" i="2"/>
  <c r="AI62" i="2"/>
  <c r="AI77" i="2" s="1"/>
  <c r="AC14" i="2"/>
  <c r="U11" i="2"/>
  <c r="Y57" i="1"/>
  <c r="AC56" i="1"/>
  <c r="AG55" i="1"/>
  <c r="AK54" i="1"/>
  <c r="U54" i="1"/>
  <c r="AK51" i="1"/>
  <c r="U51" i="1"/>
  <c r="AC50" i="1"/>
  <c r="AK49" i="1"/>
  <c r="AK42" i="1"/>
  <c r="U42" i="1"/>
  <c r="Y41" i="1"/>
  <c r="AC40" i="1"/>
  <c r="AG39" i="1"/>
  <c r="AK37" i="1"/>
  <c r="U37" i="1"/>
  <c r="Y36" i="1"/>
  <c r="AC35" i="1"/>
  <c r="AG34" i="1"/>
  <c r="AK47" i="1"/>
  <c r="U47" i="1"/>
  <c r="X57" i="1"/>
  <c r="AB56" i="1"/>
  <c r="AF55" i="1"/>
  <c r="AJ54" i="1"/>
  <c r="T54" i="1"/>
  <c r="X52" i="1"/>
  <c r="AB51" i="1"/>
  <c r="AF50" i="1"/>
  <c r="AJ49" i="1"/>
  <c r="T49" i="1"/>
  <c r="X42" i="1"/>
  <c r="AB41" i="1"/>
  <c r="AF40" i="1"/>
  <c r="AJ39" i="1"/>
  <c r="T39" i="1"/>
  <c r="X37" i="1"/>
  <c r="AB36" i="1"/>
  <c r="AF35" i="1"/>
  <c r="AJ34" i="1"/>
  <c r="T34" i="1"/>
  <c r="X47" i="1"/>
  <c r="AE56" i="1"/>
  <c r="S55" i="1"/>
  <c r="AA52" i="1"/>
  <c r="AI50" i="1"/>
  <c r="W49" i="1"/>
  <c r="AE41" i="1"/>
  <c r="S40" i="1"/>
  <c r="AA37" i="1"/>
  <c r="AI35" i="1"/>
  <c r="W34" i="1"/>
  <c r="AJ46" i="1"/>
  <c r="T46" i="1"/>
  <c r="X45" i="1"/>
  <c r="AB44" i="1"/>
  <c r="AF32" i="1"/>
  <c r="AJ31" i="1"/>
  <c r="T31" i="1"/>
  <c r="X30" i="1"/>
  <c r="AB29" i="1"/>
  <c r="Z57" i="1"/>
  <c r="AH55" i="1"/>
  <c r="V54" i="1"/>
  <c r="AD51" i="1"/>
  <c r="R50" i="1"/>
  <c r="Z42" i="1"/>
  <c r="AH40" i="1"/>
  <c r="V39" i="1"/>
  <c r="AD36" i="1"/>
  <c r="R35" i="1"/>
  <c r="Z47" i="1"/>
  <c r="AA46" i="1"/>
  <c r="AE45" i="1"/>
  <c r="AI44" i="1"/>
  <c r="S44" i="1"/>
  <c r="W32" i="1"/>
  <c r="AA31" i="1"/>
  <c r="AE30" i="1"/>
  <c r="U29" i="1"/>
  <c r="AK29" i="1"/>
  <c r="AA56" i="1"/>
  <c r="AM34" i="16"/>
  <c r="AI54" i="2"/>
  <c r="AI69" i="2" s="1"/>
  <c r="X52" i="2"/>
  <c r="X67" i="2" s="1"/>
  <c r="V62" i="2"/>
  <c r="V77" i="2" s="1"/>
  <c r="Y15" i="2"/>
  <c r="U52" i="2"/>
  <c r="U67" i="2" s="1"/>
  <c r="W55" i="2"/>
  <c r="W70" i="2" s="1"/>
  <c r="AF59" i="2"/>
  <c r="AF74" i="2" s="1"/>
  <c r="T61" i="2"/>
  <c r="T76" i="2" s="1"/>
  <c r="AI61" i="2"/>
  <c r="AI76" i="2" s="1"/>
  <c r="AJ62" i="2"/>
  <c r="AJ77" i="2" s="1"/>
  <c r="S50" i="2"/>
  <c r="S65" i="2" s="1"/>
  <c r="AA18" i="2"/>
  <c r="W17" i="2"/>
  <c r="S17" i="2"/>
  <c r="AI15" i="2"/>
  <c r="AI56" i="2"/>
  <c r="AI71" i="2" s="1"/>
  <c r="AA62" i="2"/>
  <c r="AA77" i="2" s="1"/>
  <c r="AD15" i="2"/>
  <c r="AE14" i="2"/>
  <c r="Z12" i="2"/>
  <c r="W11" i="2"/>
  <c r="W12" i="2"/>
  <c r="AG14" i="2"/>
  <c r="Z11" i="2"/>
  <c r="AD55" i="2"/>
  <c r="AD70" i="2" s="1"/>
  <c r="AH61" i="2"/>
  <c r="AH76" i="2" s="1"/>
  <c r="T14" i="2"/>
  <c r="AC11" i="2"/>
  <c r="AL55" i="2"/>
  <c r="AL70" i="2" s="1"/>
  <c r="AG54" i="2"/>
  <c r="AG69" i="2" s="1"/>
  <c r="W62" i="2"/>
  <c r="W77" i="2" s="1"/>
  <c r="AD17" i="2"/>
  <c r="Z14" i="2"/>
  <c r="U12" i="2"/>
  <c r="AK12" i="2"/>
  <c r="AI11" i="2"/>
  <c r="X14" i="2"/>
  <c r="AK11" i="2"/>
  <c r="Y54" i="2"/>
  <c r="Y69" i="2" s="1"/>
  <c r="AD18" i="2"/>
  <c r="AK14" i="2"/>
  <c r="AD11" i="2"/>
  <c r="AK57" i="1"/>
  <c r="U57" i="1"/>
  <c r="Y56" i="1"/>
  <c r="AC55" i="1"/>
  <c r="AG54" i="1"/>
  <c r="AK52" i="1"/>
  <c r="Y52" i="1"/>
  <c r="AG51" i="1"/>
  <c r="AK50" i="1"/>
  <c r="Y50" i="1"/>
  <c r="Y49" i="1"/>
  <c r="AG42" i="1"/>
  <c r="AK41" i="1"/>
  <c r="U41" i="1"/>
  <c r="Y40" i="1"/>
  <c r="AC39" i="1"/>
  <c r="AG37" i="1"/>
  <c r="AK36" i="1"/>
  <c r="U36" i="1"/>
  <c r="Y35" i="1"/>
  <c r="AC34" i="1"/>
  <c r="AG47" i="1"/>
  <c r="AJ57" i="1"/>
  <c r="T57" i="1"/>
  <c r="X56" i="1"/>
  <c r="AB55" i="1"/>
  <c r="AF54" i="1"/>
  <c r="AJ52" i="1"/>
  <c r="T52" i="1"/>
  <c r="X51" i="1"/>
  <c r="AB50" i="1"/>
  <c r="AF49" i="1"/>
  <c r="AJ42" i="1"/>
  <c r="T42" i="1"/>
  <c r="X41" i="1"/>
  <c r="AB40" i="1"/>
  <c r="AF39" i="1"/>
  <c r="AJ37" i="1"/>
  <c r="T37" i="1"/>
  <c r="X36" i="1"/>
  <c r="AB35" i="1"/>
  <c r="AF34" i="1"/>
  <c r="AJ47" i="1"/>
  <c r="AI57" i="1"/>
  <c r="AI62" i="1" s="1"/>
  <c r="W56" i="1"/>
  <c r="AE54" i="1"/>
  <c r="S52" i="1"/>
  <c r="AA50" i="1"/>
  <c r="AI42" i="1"/>
  <c r="W41" i="1"/>
  <c r="AE39" i="1"/>
  <c r="S37" i="1"/>
  <c r="AA35" i="1"/>
  <c r="AI47" i="1"/>
  <c r="AF46" i="1"/>
  <c r="AJ45" i="1"/>
  <c r="T45" i="1"/>
  <c r="X44" i="1"/>
  <c r="AB32" i="1"/>
  <c r="AF31" i="1"/>
  <c r="AJ30" i="1"/>
  <c r="T30" i="1"/>
  <c r="AF29" i="1"/>
  <c r="R57" i="1"/>
  <c r="Z55" i="1"/>
  <c r="AH52" i="1"/>
  <c r="V51" i="1"/>
  <c r="AD49" i="1"/>
  <c r="R42" i="1"/>
  <c r="Z40" i="1"/>
  <c r="AH37" i="1"/>
  <c r="V36" i="1"/>
  <c r="AD34" i="1"/>
  <c r="S47" i="1"/>
  <c r="W46" i="1"/>
  <c r="AA45" i="1"/>
  <c r="AE44" i="1"/>
  <c r="AI32" i="1"/>
  <c r="S32" i="1"/>
  <c r="W31" i="1"/>
  <c r="AA30" i="1"/>
  <c r="Y29" i="1"/>
  <c r="AE57" i="1"/>
  <c r="S56" i="1"/>
  <c r="AO59" i="16"/>
  <c r="BY10" i="1"/>
  <c r="AA57" i="2"/>
  <c r="AA72" i="2" s="1"/>
  <c r="W49" i="2"/>
  <c r="W64" i="2" s="1"/>
  <c r="AC56" i="2"/>
  <c r="AC71" i="2" s="1"/>
  <c r="AK62" i="2"/>
  <c r="AK77" i="2" s="1"/>
  <c r="X56" i="2"/>
  <c r="X71" i="2" s="1"/>
  <c r="S62" i="2"/>
  <c r="S77" i="2" s="1"/>
  <c r="AC52" i="2"/>
  <c r="AC67" i="2" s="1"/>
  <c r="AG57" i="2"/>
  <c r="AG72" i="2" s="1"/>
  <c r="AC60" i="2"/>
  <c r="AC75" i="2" s="1"/>
  <c r="Z61" i="2"/>
  <c r="Z76" i="2" s="1"/>
  <c r="AB62" i="2"/>
  <c r="AB77" i="2" s="1"/>
  <c r="S60" i="2"/>
  <c r="S75" i="2" s="1"/>
  <c r="AE18" i="2"/>
  <c r="AA17" i="2"/>
  <c r="W15" i="2"/>
  <c r="AH50" i="2"/>
  <c r="AH65" i="2" s="1"/>
  <c r="Y59" i="2"/>
  <c r="Y74" i="2" s="1"/>
  <c r="S56" i="2"/>
  <c r="S71" i="2" s="1"/>
  <c r="V18" i="2"/>
  <c r="S15" i="2"/>
  <c r="AI14" i="2"/>
  <c r="AD12" i="2"/>
  <c r="AF11" i="2"/>
  <c r="T11" i="2"/>
  <c r="AE51" i="2"/>
  <c r="AE66" i="2" s="1"/>
  <c r="V15" i="2"/>
  <c r="T12" i="2"/>
  <c r="AH11" i="2"/>
  <c r="X57" i="2"/>
  <c r="X72" i="2" s="1"/>
  <c r="AE62" i="2"/>
  <c r="AE77" i="2" s="1"/>
  <c r="AB14" i="2"/>
  <c r="AL60" i="2"/>
  <c r="AL75" i="2" s="1"/>
  <c r="V60" i="2"/>
  <c r="V75" i="2" s="1"/>
  <c r="S61" i="2"/>
  <c r="S76" i="2" s="1"/>
  <c r="Z15" i="2"/>
  <c r="AD14" i="2"/>
  <c r="Y12" i="2"/>
  <c r="V11" i="2"/>
  <c r="AB11" i="2"/>
  <c r="AJ14" i="2"/>
  <c r="Z17" i="2"/>
  <c r="X12" i="2"/>
  <c r="AL11" i="2"/>
  <c r="AG57" i="1"/>
  <c r="AK56" i="1"/>
  <c r="U56" i="1"/>
  <c r="Y55" i="1"/>
  <c r="AC54" i="1"/>
  <c r="AG52" i="1"/>
  <c r="U52" i="1"/>
  <c r="AC51" i="1"/>
  <c r="AC61" i="1" s="1"/>
  <c r="AG50" i="1"/>
  <c r="AG60" i="1" s="1"/>
  <c r="AG49" i="1"/>
  <c r="U49" i="1"/>
  <c r="U59" i="1" s="1"/>
  <c r="AC42" i="1"/>
  <c r="AG41" i="1"/>
  <c r="AK40" i="1"/>
  <c r="U40" i="1"/>
  <c r="Y39" i="1"/>
  <c r="AC37" i="1"/>
  <c r="AG36" i="1"/>
  <c r="AK35" i="1"/>
  <c r="U35" i="1"/>
  <c r="Y34" i="1"/>
  <c r="AC47" i="1"/>
  <c r="AF57" i="1"/>
  <c r="AJ56" i="1"/>
  <c r="T56" i="1"/>
  <c r="X55" i="1"/>
  <c r="AB54" i="1"/>
  <c r="AF52" i="1"/>
  <c r="AJ51" i="1"/>
  <c r="T51" i="1"/>
  <c r="X50" i="1"/>
  <c r="AB49" i="1"/>
  <c r="AF42" i="1"/>
  <c r="AJ41" i="1"/>
  <c r="T41" i="1"/>
  <c r="X40" i="1"/>
  <c r="AB39" i="1"/>
  <c r="AF37" i="1"/>
  <c r="AJ36" i="1"/>
  <c r="T36" i="1"/>
  <c r="X35" i="1"/>
  <c r="AB34" i="1"/>
  <c r="AF47" i="1"/>
  <c r="AA57" i="1"/>
  <c r="AI55" i="1"/>
  <c r="W54" i="1"/>
  <c r="AE51" i="1"/>
  <c r="S50" i="1"/>
  <c r="AA42" i="1"/>
  <c r="AI40" i="1"/>
  <c r="W39" i="1"/>
  <c r="AE36" i="1"/>
  <c r="S35" i="1"/>
  <c r="AA47" i="1"/>
  <c r="AB46" i="1"/>
  <c r="AF45" i="1"/>
  <c r="AJ44" i="1"/>
  <c r="T44" i="1"/>
  <c r="X32" i="1"/>
  <c r="AB31" i="1"/>
  <c r="AF30" i="1"/>
  <c r="T29" i="1"/>
  <c r="AJ29" i="1"/>
  <c r="AD56" i="1"/>
  <c r="R55" i="1"/>
  <c r="Z52" i="1"/>
  <c r="AH50" i="1"/>
  <c r="V49" i="1"/>
  <c r="AD41" i="1"/>
  <c r="R40" i="1"/>
  <c r="Z37" i="1"/>
  <c r="AH35" i="1"/>
  <c r="V34" i="1"/>
  <c r="AI46" i="1"/>
  <c r="S46" i="1"/>
  <c r="W45" i="1"/>
  <c r="AA44" i="1"/>
  <c r="AE32" i="1"/>
  <c r="AI31" i="1"/>
  <c r="S31" i="1"/>
  <c r="W30" i="1"/>
  <c r="AC29" i="1"/>
  <c r="W57" i="1"/>
  <c r="Y16" i="1"/>
  <c r="U12" i="1"/>
  <c r="AK12" i="1"/>
  <c r="AG15" i="1"/>
  <c r="AD11" i="1"/>
  <c r="Z14" i="1"/>
  <c r="V10" i="1"/>
  <c r="AB15" i="1"/>
  <c r="AK14" i="1"/>
  <c r="Z16" i="1"/>
  <c r="V12" i="1"/>
  <c r="R12" i="1"/>
  <c r="AH15" i="1"/>
  <c r="AE11" i="1"/>
  <c r="AA14" i="1"/>
  <c r="AA10" i="1"/>
  <c r="T12" i="1"/>
  <c r="Y11" i="1"/>
  <c r="AG10" i="1"/>
  <c r="AE16" i="1"/>
  <c r="AA12" i="1"/>
  <c r="W15" i="1"/>
  <c r="T11" i="1"/>
  <c r="AJ11" i="1"/>
  <c r="AF14" i="1"/>
  <c r="AB10" i="1"/>
  <c r="AF16" i="1"/>
  <c r="AC11" i="1"/>
  <c r="AK10" i="1"/>
  <c r="AI54" i="1"/>
  <c r="AE50" i="1"/>
  <c r="AA41" i="1"/>
  <c r="W37" i="1"/>
  <c r="S34" i="1"/>
  <c r="R46" i="1"/>
  <c r="Z44" i="1"/>
  <c r="AH31" i="1"/>
  <c r="V30" i="1"/>
  <c r="V57" i="1"/>
  <c r="V52" i="1"/>
  <c r="R49" i="1"/>
  <c r="AH39" i="1"/>
  <c r="AD35" i="1"/>
  <c r="AG46" i="1"/>
  <c r="U45" i="1"/>
  <c r="AC32" i="1"/>
  <c r="AK30" i="1"/>
  <c r="AE29" i="1"/>
  <c r="AE52" i="1"/>
  <c r="AA49" i="1"/>
  <c r="W40" i="1"/>
  <c r="S36" i="1"/>
  <c r="R47" i="1"/>
  <c r="Z45" i="1"/>
  <c r="AH32" i="1"/>
  <c r="V31" i="1"/>
  <c r="Z29" i="1"/>
  <c r="Z54" i="1"/>
  <c r="Z59" i="1" s="1"/>
  <c r="V50" i="1"/>
  <c r="R41" i="1"/>
  <c r="AH36" i="1"/>
  <c r="AD47" i="1"/>
  <c r="AG45" i="1"/>
  <c r="U44" i="1"/>
  <c r="AC31" i="1"/>
  <c r="S29" i="1"/>
  <c r="AI56" i="1"/>
  <c r="AE31" i="1"/>
  <c r="AI45" i="1"/>
  <c r="R37" i="1"/>
  <c r="Z50" i="1"/>
  <c r="AH57" i="1"/>
  <c r="T32" i="1"/>
  <c r="X46" i="1"/>
  <c r="AI37" i="1"/>
  <c r="W51" i="1"/>
  <c r="AB47" i="1"/>
  <c r="AF36" i="1"/>
  <c r="AJ40" i="1"/>
  <c r="T50" i="1"/>
  <c r="X54" i="1"/>
  <c r="AB57" i="1"/>
  <c r="AG35" i="1"/>
  <c r="AK39" i="1"/>
  <c r="Y51" i="1"/>
  <c r="U55" i="1"/>
  <c r="AJ11" i="2"/>
  <c r="AL15" i="2"/>
  <c r="X61" i="2"/>
  <c r="X76" i="2" s="1"/>
  <c r="AH12" i="2"/>
  <c r="AI18" i="2"/>
  <c r="AI34" i="2" s="1"/>
  <c r="AB56" i="2"/>
  <c r="AB71" i="2" s="1"/>
  <c r="BL9" i="1"/>
  <c r="AG70" i="16"/>
  <c r="AC69" i="16"/>
  <c r="Y67" i="16"/>
  <c r="AO67" i="16"/>
  <c r="AK64" i="16"/>
  <c r="AG63" i="16"/>
  <c r="AC59" i="16"/>
  <c r="Y58" i="16"/>
  <c r="AO58" i="16"/>
  <c r="AK56" i="16"/>
  <c r="AF53" i="16"/>
  <c r="AB52" i="16"/>
  <c r="X52" i="16"/>
  <c r="AB66" i="16"/>
  <c r="AF55" i="16"/>
  <c r="AG35" i="16"/>
  <c r="AD37" i="16"/>
  <c r="AA38" i="16"/>
  <c r="AQ38" i="16"/>
  <c r="AN39" i="16"/>
  <c r="AG34" i="16"/>
  <c r="AH70" i="16"/>
  <c r="AD69" i="16"/>
  <c r="Z67" i="16"/>
  <c r="AP67" i="16"/>
  <c r="AL64" i="16"/>
  <c r="AH63" i="16"/>
  <c r="AD59" i="16"/>
  <c r="Z58" i="16"/>
  <c r="AP58" i="16"/>
  <c r="AL56" i="16"/>
  <c r="AG53" i="16"/>
  <c r="AC52" i="16"/>
  <c r="AQ66" i="16"/>
  <c r="AA66" i="16"/>
  <c r="AE55" i="16"/>
  <c r="AH35" i="16"/>
  <c r="AE37" i="16"/>
  <c r="AB38" i="16"/>
  <c r="Y39" i="16"/>
  <c r="AO39" i="16"/>
  <c r="AH34" i="16"/>
  <c r="AE70" i="16"/>
  <c r="AA69" i="16"/>
  <c r="AQ69" i="16"/>
  <c r="AM67" i="16"/>
  <c r="AI64" i="16"/>
  <c r="AE63" i="16"/>
  <c r="AA59" i="16"/>
  <c r="AQ59" i="16"/>
  <c r="AM58" i="16"/>
  <c r="AI56" i="16"/>
  <c r="AD53" i="16"/>
  <c r="Z52" i="16"/>
  <c r="AP52" i="16"/>
  <c r="AD66" i="16"/>
  <c r="AH55" i="16"/>
  <c r="AE35" i="16"/>
  <c r="AB37" i="16"/>
  <c r="Y38" i="16"/>
  <c r="AO38" i="16"/>
  <c r="AL39" i="16"/>
  <c r="AE34" i="16"/>
  <c r="AB70" i="16"/>
  <c r="AF64" i="16"/>
  <c r="AJ58" i="16"/>
  <c r="AM52" i="16"/>
  <c r="Y37" i="16"/>
  <c r="AB34" i="16"/>
  <c r="AI33" i="16"/>
  <c r="AB69" i="16"/>
  <c r="AF63" i="16"/>
  <c r="AJ56" i="16"/>
  <c r="AC66" i="16"/>
  <c r="Z38" i="16"/>
  <c r="X34" i="16"/>
  <c r="AN33" i="16"/>
  <c r="AI52" i="16"/>
  <c r="AN34" i="16"/>
  <c r="AF69" i="16"/>
  <c r="AJ63" i="16"/>
  <c r="AN56" i="16"/>
  <c r="Y66" i="16"/>
  <c r="AD38" i="16"/>
  <c r="X49" i="2"/>
  <c r="X64" i="2" s="1"/>
  <c r="AK70" i="16"/>
  <c r="AG69" i="16"/>
  <c r="AC67" i="16"/>
  <c r="Y64" i="16"/>
  <c r="AO64" i="16"/>
  <c r="AK63" i="16"/>
  <c r="AG59" i="16"/>
  <c r="AC58" i="16"/>
  <c r="Y56" i="16"/>
  <c r="AO56" i="16"/>
  <c r="AJ53" i="16"/>
  <c r="AF52" i="16"/>
  <c r="AN66" i="16"/>
  <c r="X66" i="16"/>
  <c r="AB55" i="16"/>
  <c r="AK35" i="16"/>
  <c r="AH37" i="16"/>
  <c r="AE38" i="16"/>
  <c r="AB39" i="16"/>
  <c r="X39" i="16"/>
  <c r="AK34" i="16"/>
  <c r="AL70" i="16"/>
  <c r="AH69" i="16"/>
  <c r="AD67" i="16"/>
  <c r="Z64" i="16"/>
  <c r="AP64" i="16"/>
  <c r="AL63" i="16"/>
  <c r="AH59" i="16"/>
  <c r="AD58" i="16"/>
  <c r="Z56" i="16"/>
  <c r="AP56" i="16"/>
  <c r="AK53" i="16"/>
  <c r="AG52" i="16"/>
  <c r="AM66" i="16"/>
  <c r="AQ55" i="16"/>
  <c r="AA55" i="16"/>
  <c r="AL35" i="16"/>
  <c r="AI37" i="16"/>
  <c r="AF38" i="16"/>
  <c r="AC39" i="16"/>
  <c r="X38" i="16"/>
  <c r="AL34" i="16"/>
  <c r="AI70" i="16"/>
  <c r="AE69" i="16"/>
  <c r="AA67" i="16"/>
  <c r="AQ67" i="16"/>
  <c r="AM64" i="16"/>
  <c r="AI63" i="16"/>
  <c r="AE59" i="16"/>
  <c r="AA58" i="16"/>
  <c r="AQ58" i="16"/>
  <c r="AM56" i="16"/>
  <c r="AH53" i="16"/>
  <c r="AD52" i="16"/>
  <c r="AP66" i="16"/>
  <c r="Z66" i="16"/>
  <c r="AD55" i="16"/>
  <c r="AI35" i="16"/>
  <c r="AF37" i="16"/>
  <c r="AC38" i="16"/>
  <c r="Z39" i="16"/>
  <c r="AP39" i="16"/>
  <c r="AI34" i="16"/>
  <c r="X70" i="16"/>
  <c r="AB63" i="16"/>
  <c r="AF56" i="16"/>
  <c r="AG66" i="16"/>
  <c r="AO37" i="16"/>
  <c r="AO34" i="16"/>
  <c r="AM33" i="16"/>
  <c r="X69" i="16"/>
  <c r="AB59" i="16"/>
  <c r="AE53" i="16"/>
  <c r="AG55" i="16"/>
  <c r="AP38" i="16"/>
  <c r="AB33" i="16"/>
  <c r="Y70" i="16"/>
  <c r="AK69" i="16"/>
  <c r="AC64" i="16"/>
  <c r="AO63" i="16"/>
  <c r="AG58" i="16"/>
  <c r="X55" i="16"/>
  <c r="AJ52" i="16"/>
  <c r="AN55" i="16"/>
  <c r="AO35" i="16"/>
  <c r="AI38" i="16"/>
  <c r="Y34" i="16"/>
  <c r="AP70" i="16"/>
  <c r="AH67" i="16"/>
  <c r="Z63" i="16"/>
  <c r="AL59" i="16"/>
  <c r="AD56" i="16"/>
  <c r="AO53" i="16"/>
  <c r="AI66" i="16"/>
  <c r="Z35" i="16"/>
  <c r="AM37" i="16"/>
  <c r="AG39" i="16"/>
  <c r="AP34" i="16"/>
  <c r="AI69" i="16"/>
  <c r="AA64" i="16"/>
  <c r="AM63" i="16"/>
  <c r="AE58" i="16"/>
  <c r="AQ56" i="16"/>
  <c r="AH52" i="16"/>
  <c r="AP55" i="16"/>
  <c r="AM35" i="16"/>
  <c r="AG38" i="16"/>
  <c r="AN69" i="16"/>
  <c r="AA53" i="16"/>
  <c r="AL38" i="16"/>
  <c r="AQ33" i="16"/>
  <c r="X59" i="16"/>
  <c r="AF35" i="16"/>
  <c r="AF33" i="16"/>
  <c r="AB56" i="16"/>
  <c r="AD33" i="16"/>
  <c r="X67" i="16"/>
  <c r="X58" i="16"/>
  <c r="AC55" i="16"/>
  <c r="AQ39" i="16"/>
  <c r="AG33" i="16"/>
  <c r="AJ69" i="16"/>
  <c r="AJ59" i="16"/>
  <c r="AK66" i="16"/>
  <c r="X35" i="16"/>
  <c r="BU12" i="1"/>
  <c r="BQ10" i="1"/>
  <c r="BY11" i="1"/>
  <c r="BI11" i="1"/>
  <c r="BM9" i="1"/>
  <c r="BP10" i="2"/>
  <c r="BL10" i="2"/>
  <c r="BP9" i="2"/>
  <c r="BX10" i="1"/>
  <c r="BW10" i="2"/>
  <c r="BN12" i="1"/>
  <c r="BJ10" i="1"/>
  <c r="BZ10" i="1"/>
  <c r="BP11" i="1"/>
  <c r="BT9" i="1"/>
  <c r="BY10" i="2"/>
  <c r="BW9" i="2"/>
  <c r="BL10" i="1"/>
  <c r="BZ9" i="1"/>
  <c r="BM9" i="2"/>
  <c r="BW12" i="1"/>
  <c r="BS10" i="1"/>
  <c r="BW11" i="1"/>
  <c r="CA9" i="1"/>
  <c r="BK9" i="1"/>
  <c r="BR10" i="2"/>
  <c r="CD9" i="2"/>
  <c r="BN9" i="2"/>
  <c r="CB10" i="1"/>
  <c r="CE10" i="2"/>
  <c r="AB49" i="2"/>
  <c r="AB64" i="2" s="1"/>
  <c r="AB114" i="2" s="1"/>
  <c r="Y50" i="2"/>
  <c r="Y65" i="2" s="1"/>
  <c r="V51" i="2"/>
  <c r="V66" i="2" s="1"/>
  <c r="AE52" i="2"/>
  <c r="AE67" i="2" s="1"/>
  <c r="AB54" i="2"/>
  <c r="AB69" i="2" s="1"/>
  <c r="Y55" i="2"/>
  <c r="Y70" i="2" s="1"/>
  <c r="V56" i="2"/>
  <c r="V71" i="2" s="1"/>
  <c r="AL56" i="2"/>
  <c r="AL71" i="2" s="1"/>
  <c r="AI57" i="2"/>
  <c r="AI72" i="2" s="1"/>
  <c r="U49" i="2"/>
  <c r="U64" i="2" s="1"/>
  <c r="AC70" i="16"/>
  <c r="AO69" i="16"/>
  <c r="AG64" i="16"/>
  <c r="Y59" i="16"/>
  <c r="AK58" i="16"/>
  <c r="AB53" i="16"/>
  <c r="AN52" i="16"/>
  <c r="AJ55" i="16"/>
  <c r="Z37" i="16"/>
  <c r="AM38" i="16"/>
  <c r="AC34" i="16"/>
  <c r="Z69" i="16"/>
  <c r="AL67" i="16"/>
  <c r="AD63" i="16"/>
  <c r="AP59" i="16"/>
  <c r="AH56" i="16"/>
  <c r="Y52" i="16"/>
  <c r="AE66" i="16"/>
  <c r="AD35" i="16"/>
  <c r="AQ37" i="16"/>
  <c r="AK39" i="16"/>
  <c r="AA70" i="16"/>
  <c r="AM69" i="16"/>
  <c r="AE64" i="16"/>
  <c r="AQ63" i="16"/>
  <c r="AI58" i="16"/>
  <c r="Z53" i="16"/>
  <c r="AL52" i="16"/>
  <c r="AL55" i="16"/>
  <c r="AQ35" i="16"/>
  <c r="AK38" i="16"/>
  <c r="AA34" i="16"/>
  <c r="AJ67" i="16"/>
  <c r="AQ53" i="16"/>
  <c r="AI39" i="16"/>
  <c r="AF70" i="16"/>
  <c r="AN58" i="16"/>
  <c r="AC37" i="16"/>
  <c r="AJ33" i="16"/>
  <c r="AO55" i="16"/>
  <c r="AP33" i="16"/>
  <c r="AN64" i="16"/>
  <c r="AI53" i="16"/>
  <c r="AJ35" i="16"/>
  <c r="AJ34" i="16"/>
  <c r="AK33" i="16"/>
  <c r="AF67" i="16"/>
  <c r="AF58" i="16"/>
  <c r="Y55" i="16"/>
  <c r="Z33" i="16"/>
  <c r="BY12" i="1"/>
  <c r="BU10" i="1"/>
  <c r="BU11" i="1"/>
  <c r="BY9" i="1"/>
  <c r="BI9" i="1"/>
  <c r="BT10" i="2"/>
  <c r="CB9" i="2"/>
  <c r="BL9" i="2"/>
  <c r="BV11" i="1"/>
  <c r="CC9" i="2"/>
  <c r="BR12" i="1"/>
  <c r="BN10" i="1"/>
  <c r="CB11" i="1"/>
  <c r="BL11" i="1"/>
  <c r="BP9" i="1"/>
  <c r="BM10" i="2"/>
  <c r="CC10" i="2"/>
  <c r="BS9" i="2"/>
  <c r="BT10" i="1"/>
  <c r="BN9" i="1"/>
  <c r="BO10" i="2"/>
  <c r="BK12" i="1"/>
  <c r="CA12" i="1"/>
  <c r="AO70" i="16"/>
  <c r="Y63" i="16"/>
  <c r="AC56" i="16"/>
  <c r="AJ66" i="16"/>
  <c r="AL37" i="16"/>
  <c r="Z70" i="16"/>
  <c r="AD64" i="16"/>
  <c r="AH58" i="16"/>
  <c r="AK52" i="16"/>
  <c r="AP35" i="16"/>
  <c r="Z34" i="16"/>
  <c r="AE67" i="16"/>
  <c r="AI59" i="16"/>
  <c r="AL53" i="16"/>
  <c r="Z55" i="16"/>
  <c r="AD39" i="16"/>
  <c r="AQ34" i="16"/>
  <c r="AB35" i="16"/>
  <c r="AJ64" i="16"/>
  <c r="AF34" i="16"/>
  <c r="AE39" i="16"/>
  <c r="AB58" i="16"/>
  <c r="AA39" i="16"/>
  <c r="AN70" i="16"/>
  <c r="AM53" i="16"/>
  <c r="AL33" i="16"/>
  <c r="BQ12" i="1"/>
  <c r="BI10" i="1"/>
  <c r="BQ9" i="1"/>
  <c r="CB10" i="2"/>
  <c r="CB12" i="1"/>
  <c r="BZ12" i="1"/>
  <c r="BT11" i="1"/>
  <c r="CA9" i="2"/>
  <c r="BN11" i="1"/>
  <c r="BY9" i="2"/>
  <c r="BO10" i="1"/>
  <c r="BS11" i="1"/>
  <c r="BS9" i="1"/>
  <c r="BZ10" i="2"/>
  <c r="BR9" i="2"/>
  <c r="BR11" i="1"/>
  <c r="U50" i="2"/>
  <c r="U65" i="2" s="1"/>
  <c r="Z51" i="2"/>
  <c r="Z66" i="2" s="1"/>
  <c r="W52" i="2"/>
  <c r="W67" i="2" s="1"/>
  <c r="X54" i="2"/>
  <c r="X69" i="2" s="1"/>
  <c r="AC55" i="2"/>
  <c r="AC70" i="2" s="1"/>
  <c r="AD56" i="2"/>
  <c r="AD71" i="2" s="1"/>
  <c r="AE57" i="2"/>
  <c r="AE72" i="2" s="1"/>
  <c r="Y69" i="16"/>
  <c r="AC63" i="16"/>
  <c r="AG56" i="16"/>
  <c r="AF66" i="16"/>
  <c r="AP37" i="16"/>
  <c r="AD70" i="16"/>
  <c r="AH64" i="16"/>
  <c r="AL58" i="16"/>
  <c r="AO52" i="16"/>
  <c r="AA37" i="16"/>
  <c r="AD34" i="16"/>
  <c r="AI67" i="16"/>
  <c r="AM59" i="16"/>
  <c r="AP53" i="16"/>
  <c r="AA35" i="16"/>
  <c r="AH39" i="16"/>
  <c r="X63" i="16"/>
  <c r="AA33" i="16"/>
  <c r="AA52" i="16"/>
  <c r="AJ70" i="16"/>
  <c r="AE52" i="16"/>
  <c r="Y33" i="16"/>
  <c r="AB64" i="16"/>
  <c r="AK37" i="16"/>
  <c r="BI12" i="1"/>
  <c r="BQ11" i="1"/>
  <c r="BX9" i="2"/>
  <c r="BJ11" i="1"/>
  <c r="BU9" i="2"/>
  <c r="BR10" i="1"/>
  <c r="CB9" i="1"/>
  <c r="BQ10" i="2"/>
  <c r="BO9" i="2"/>
  <c r="BO12" i="1"/>
  <c r="BW10" i="1"/>
  <c r="BO11" i="1"/>
  <c r="BO9" i="1"/>
  <c r="CD10" i="2"/>
  <c r="BL12" i="1"/>
  <c r="BV9" i="1"/>
  <c r="BS10" i="2"/>
  <c r="T49" i="2"/>
  <c r="T64" i="2" s="1"/>
  <c r="AC50" i="2"/>
  <c r="AC65" i="2" s="1"/>
  <c r="AD51" i="2"/>
  <c r="AD66" i="2" s="1"/>
  <c r="AA52" i="2"/>
  <c r="AA67" i="2" s="1"/>
  <c r="AF54" i="2"/>
  <c r="AF69" i="2" s="1"/>
  <c r="AG55" i="2"/>
  <c r="AG70" i="2" s="1"/>
  <c r="AH56" i="2"/>
  <c r="AH71" i="2" s="1"/>
  <c r="AC49" i="2"/>
  <c r="AC64" i="2" s="1"/>
  <c r="Z56" i="2"/>
  <c r="Z71" i="2" s="1"/>
  <c r="T54" i="2"/>
  <c r="T69" i="2" s="1"/>
  <c r="AK50" i="2"/>
  <c r="AK65" i="2" s="1"/>
  <c r="S11" i="2"/>
  <c r="W59" i="2"/>
  <c r="W74" i="2" s="1"/>
  <c r="BV9" i="2"/>
  <c r="BW9" i="1"/>
  <c r="BK10" i="1"/>
  <c r="BZ11" i="1"/>
  <c r="BX11" i="1"/>
  <c r="BX10" i="2"/>
  <c r="BU9" i="1"/>
  <c r="BM12" i="1"/>
  <c r="AH38" i="16"/>
  <c r="AC33" i="16"/>
  <c r="AB67" i="16"/>
  <c r="AM39" i="16"/>
  <c r="AK55" i="16"/>
  <c r="AN37" i="16"/>
  <c r="AE56" i="16"/>
  <c r="AQ70" i="16"/>
  <c r="AI55" i="16"/>
  <c r="Z59" i="16"/>
  <c r="AJ39" i="16"/>
  <c r="X53" i="16"/>
  <c r="AK67" i="16"/>
  <c r="U51" i="2"/>
  <c r="U66" i="2" s="1"/>
  <c r="X50" i="2"/>
  <c r="X65" i="2" s="1"/>
  <c r="AA49" i="2"/>
  <c r="AA64" i="2" s="1"/>
  <c r="AA114" i="2" s="1"/>
  <c r="V50" i="2"/>
  <c r="V65" i="2" s="1"/>
  <c r="Y49" i="2"/>
  <c r="Y64" i="2" s="1"/>
  <c r="AK55" i="2"/>
  <c r="AK70" i="2" s="1"/>
  <c r="AI52" i="2"/>
  <c r="AI67" i="2" s="1"/>
  <c r="AG50" i="2"/>
  <c r="AG65" i="2" s="1"/>
  <c r="Y11" i="2"/>
  <c r="BJ9" i="1"/>
  <c r="BZ9" i="2"/>
  <c r="BK11" i="1"/>
  <c r="BS12" i="1"/>
  <c r="BT12" i="1"/>
  <c r="BV10" i="1"/>
  <c r="BR9" i="1"/>
  <c r="BM11" i="1"/>
  <c r="X56" i="16"/>
  <c r="AG37" i="16"/>
  <c r="AN35" i="16"/>
  <c r="AQ52" i="16"/>
  <c r="AN59" i="16"/>
  <c r="AJ37" i="16"/>
  <c r="AA56" i="16"/>
  <c r="AM70" i="16"/>
  <c r="AM55" i="16"/>
  <c r="AP63" i="16"/>
  <c r="AF39" i="16"/>
  <c r="AN53" i="16"/>
  <c r="AG67" i="16"/>
  <c r="Y114" i="2" l="1"/>
  <c r="S34" i="2"/>
  <c r="AG31" i="2"/>
  <c r="U116" i="2"/>
  <c r="S115" i="2"/>
  <c r="AG115" i="2"/>
  <c r="V115" i="2"/>
  <c r="X116" i="2"/>
  <c r="T60" i="1"/>
  <c r="AJ60" i="1"/>
  <c r="AI61" i="1"/>
  <c r="AV43" i="24"/>
  <c r="AU43" i="24"/>
  <c r="AV40" i="24"/>
  <c r="AU40" i="24"/>
  <c r="AV45" i="24"/>
  <c r="AU45" i="24"/>
  <c r="AU39" i="24"/>
  <c r="AV39" i="24"/>
  <c r="AV38" i="24"/>
  <c r="AU38" i="24"/>
  <c r="AV50" i="24"/>
  <c r="AU50" i="24"/>
  <c r="AV49" i="24"/>
  <c r="AU49" i="24"/>
  <c r="AV44" i="24"/>
  <c r="AU44" i="24"/>
  <c r="AV51" i="24"/>
  <c r="AU51" i="24"/>
  <c r="AV48" i="24"/>
  <c r="AU48" i="24"/>
  <c r="AV46" i="24"/>
  <c r="AU46" i="24"/>
  <c r="AV41" i="24"/>
  <c r="AU41" i="24"/>
  <c r="CD11" i="2"/>
  <c r="Z37" i="26"/>
  <c r="BF31" i="26" s="1"/>
  <c r="AB38" i="26"/>
  <c r="BH32" i="26" s="1"/>
  <c r="AA37" i="26"/>
  <c r="AM34" i="2"/>
  <c r="U50" i="8"/>
  <c r="W61" i="1"/>
  <c r="W114" i="2"/>
  <c r="AI114" i="2"/>
  <c r="AE34" i="2"/>
  <c r="AM116" i="2"/>
  <c r="AM33" i="2"/>
  <c r="AM32" i="2"/>
  <c r="BF47" i="26"/>
  <c r="BF36" i="26"/>
  <c r="BF49" i="26"/>
  <c r="AD60" i="1"/>
  <c r="AK60" i="1"/>
  <c r="U34" i="2"/>
  <c r="AA18" i="1"/>
  <c r="R62" i="1"/>
  <c r="AI18" i="1"/>
  <c r="T18" i="1"/>
  <c r="S116" i="2"/>
  <c r="Z61" i="1"/>
  <c r="BF41" i="26"/>
  <c r="BF48" i="26"/>
  <c r="BG49" i="26"/>
  <c r="AK18" i="1"/>
  <c r="S59" i="1"/>
  <c r="BF35" i="26"/>
  <c r="V60" i="1"/>
  <c r="AB115" i="2"/>
  <c r="X51" i="8"/>
  <c r="BF33" i="26"/>
  <c r="BG33" i="26"/>
  <c r="AA59" i="1"/>
  <c r="AI59" i="1"/>
  <c r="Z18" i="1"/>
  <c r="AC59" i="1"/>
  <c r="U18" i="1"/>
  <c r="CE11" i="2"/>
  <c r="V59" i="1"/>
  <c r="S60" i="1"/>
  <c r="U51" i="8"/>
  <c r="X115" i="2"/>
  <c r="AK115" i="2"/>
  <c r="AD116" i="2"/>
  <c r="V61" i="1"/>
  <c r="U115" i="2"/>
  <c r="X114" i="2"/>
  <c r="AG18" i="1"/>
  <c r="BT11" i="2"/>
  <c r="W18" i="1"/>
  <c r="R50" i="8"/>
  <c r="S50" i="8"/>
  <c r="AE60" i="1"/>
  <c r="U52" i="8"/>
  <c r="AH60" i="1"/>
  <c r="AE61" i="1"/>
  <c r="AD62" i="1"/>
  <c r="AL61" i="1"/>
  <c r="V18" i="1"/>
  <c r="Y61" i="1"/>
  <c r="AE62" i="1"/>
  <c r="AJ34" i="2"/>
  <c r="T62" i="1"/>
  <c r="Z116" i="2"/>
  <c r="AJ115" i="2"/>
  <c r="Z62" i="1"/>
  <c r="AD59" i="1"/>
  <c r="AG61" i="1"/>
  <c r="V51" i="8"/>
  <c r="T31" i="2"/>
  <c r="S62" i="1"/>
  <c r="Y59" i="1"/>
  <c r="AG114" i="2"/>
  <c r="X50" i="8"/>
  <c r="AX96" i="24"/>
  <c r="AH62" i="1"/>
  <c r="U62" i="1"/>
  <c r="AH59" i="1"/>
  <c r="S52" i="8"/>
  <c r="P50" i="8"/>
  <c r="CF11" i="2"/>
  <c r="T114" i="2"/>
  <c r="BQ11" i="2"/>
  <c r="X31" i="2"/>
  <c r="AD31" i="2"/>
  <c r="AK31" i="2"/>
  <c r="AH34" i="2"/>
  <c r="AE31" i="2"/>
  <c r="Y34" i="2"/>
  <c r="AE116" i="2"/>
  <c r="BF38" i="26"/>
  <c r="BF32" i="26"/>
  <c r="BH34" i="26"/>
  <c r="BF42" i="26"/>
  <c r="BG39" i="26"/>
  <c r="Y51" i="8"/>
  <c r="X52" i="8"/>
  <c r="AJ61" i="1"/>
  <c r="T50" i="8"/>
  <c r="AD34" i="2"/>
  <c r="AD114" i="2"/>
  <c r="W34" i="2"/>
  <c r="V52" i="8"/>
  <c r="Y50" i="8"/>
  <c r="AL59" i="1"/>
  <c r="AM115" i="2"/>
  <c r="Z60" i="1"/>
  <c r="AG59" i="1"/>
  <c r="AF59" i="1"/>
  <c r="AJ62" i="1"/>
  <c r="AB61" i="1"/>
  <c r="AF115" i="2"/>
  <c r="X34" i="2"/>
  <c r="T116" i="2"/>
  <c r="W60" i="1"/>
  <c r="T103" i="24"/>
  <c r="AL62" i="1"/>
  <c r="AL18" i="1"/>
  <c r="AL60" i="1"/>
  <c r="AM31" i="2"/>
  <c r="AM114" i="2"/>
  <c r="AH31" i="2"/>
  <c r="Y62" i="1"/>
  <c r="AA34" i="2"/>
  <c r="AI31" i="2"/>
  <c r="Z114" i="2"/>
  <c r="AX76" i="24"/>
  <c r="T112" i="24"/>
  <c r="AX74" i="24"/>
  <c r="T94" i="24"/>
  <c r="T104" i="24"/>
  <c r="AX84" i="24"/>
  <c r="T114" i="24"/>
  <c r="AX94" i="24"/>
  <c r="AX90" i="24"/>
  <c r="T110" i="24"/>
  <c r="AX88" i="24"/>
  <c r="T108" i="24"/>
  <c r="T98" i="24"/>
  <c r="AX78" i="24"/>
  <c r="T97" i="24"/>
  <c r="AX77" i="24"/>
  <c r="AX93" i="24"/>
  <c r="T113" i="24"/>
  <c r="AX75" i="24"/>
  <c r="T95" i="24"/>
  <c r="AX86" i="24"/>
  <c r="T106" i="24"/>
  <c r="AX87" i="24"/>
  <c r="T107" i="24"/>
  <c r="T115" i="24"/>
  <c r="AX95" i="24"/>
  <c r="T109" i="24"/>
  <c r="AX89" i="24"/>
  <c r="AX81" i="24"/>
  <c r="T101" i="24"/>
  <c r="AX80" i="24"/>
  <c r="T100" i="24"/>
  <c r="AX82" i="24"/>
  <c r="T102" i="24"/>
  <c r="BJ102" i="16"/>
  <c r="X107" i="16"/>
  <c r="BJ101" i="16"/>
  <c r="BD88" i="26"/>
  <c r="BD91" i="26"/>
  <c r="BH41" i="26"/>
  <c r="BG38" i="26"/>
  <c r="BG32" i="26"/>
  <c r="BH48" i="26"/>
  <c r="BD93" i="26"/>
  <c r="BG37" i="26"/>
  <c r="BH45" i="26"/>
  <c r="BD75" i="26"/>
  <c r="BF50" i="26"/>
  <c r="BG45" i="26"/>
  <c r="BG36" i="26"/>
  <c r="BG31" i="26"/>
  <c r="BH31" i="26"/>
  <c r="BF37" i="26"/>
  <c r="BF43" i="26"/>
  <c r="BD87" i="26"/>
  <c r="BG47" i="26"/>
  <c r="BH50" i="26"/>
  <c r="BG50" i="26"/>
  <c r="BD89" i="26"/>
  <c r="BF45" i="26"/>
  <c r="BH35" i="26"/>
  <c r="BH43" i="26"/>
  <c r="BD84" i="26"/>
  <c r="BF39" i="26"/>
  <c r="BD90" i="26"/>
  <c r="BH38" i="26"/>
  <c r="BH33" i="26"/>
  <c r="BF46" i="26"/>
  <c r="BD83" i="26"/>
  <c r="BD86" i="26"/>
  <c r="BF40" i="26"/>
  <c r="BG40" i="26"/>
  <c r="BH37" i="26"/>
  <c r="BF44" i="26"/>
  <c r="BD85" i="26"/>
  <c r="BF34" i="26"/>
  <c r="BD82" i="26"/>
  <c r="BD79" i="26"/>
  <c r="BD94" i="26"/>
  <c r="BD80" i="26"/>
  <c r="BG43" i="26"/>
  <c r="BH44" i="26"/>
  <c r="BD92" i="26"/>
  <c r="BG35" i="26"/>
  <c r="BD76" i="26"/>
  <c r="BH40" i="26"/>
  <c r="BD81" i="26"/>
  <c r="BG44" i="26"/>
  <c r="BH46" i="26"/>
  <c r="BH36" i="26"/>
  <c r="BG42" i="26"/>
  <c r="BD77" i="26"/>
  <c r="BH47" i="26"/>
  <c r="BG34" i="26"/>
  <c r="BH49" i="26"/>
  <c r="BG48" i="26"/>
  <c r="BG46" i="26"/>
  <c r="BD78" i="26"/>
  <c r="BH39" i="26"/>
  <c r="BH42" i="26"/>
  <c r="Y52" i="8"/>
  <c r="P51" i="8"/>
  <c r="W52" i="8"/>
  <c r="V50" i="8"/>
  <c r="T52" i="8"/>
  <c r="R52" i="8"/>
  <c r="Q52" i="8"/>
  <c r="S51" i="8"/>
  <c r="Q50" i="8"/>
  <c r="W51" i="8"/>
  <c r="P52" i="8"/>
  <c r="Q51" i="8"/>
  <c r="W50" i="8"/>
  <c r="R51" i="8"/>
  <c r="BS11" i="2"/>
  <c r="BZ11" i="2"/>
  <c r="BO11" i="2"/>
  <c r="CC11" i="2"/>
  <c r="BR11" i="2"/>
  <c r="V62" i="1"/>
  <c r="X60" i="1"/>
  <c r="Y115" i="2"/>
  <c r="BW11" i="2"/>
  <c r="BL11" i="2"/>
  <c r="AJ59" i="1"/>
  <c r="W31" i="2"/>
  <c r="AD33" i="2"/>
  <c r="AD32" i="2"/>
  <c r="AD61" i="1"/>
  <c r="AA62" i="1"/>
  <c r="AF60" i="1"/>
  <c r="AK59" i="1"/>
  <c r="AE32" i="2"/>
  <c r="AE33" i="2"/>
  <c r="AK114" i="2"/>
  <c r="AH114" i="2"/>
  <c r="AK34" i="2"/>
  <c r="AI116" i="2"/>
  <c r="AG32" i="2"/>
  <c r="AG33" i="2"/>
  <c r="BV11" i="2"/>
  <c r="BN11" i="2"/>
  <c r="BU11" i="2"/>
  <c r="U32" i="2"/>
  <c r="U33" i="2"/>
  <c r="Y116" i="2"/>
  <c r="W116" i="2"/>
  <c r="AA31" i="2"/>
  <c r="AB62" i="1"/>
  <c r="S31" i="2"/>
  <c r="U60" i="1"/>
  <c r="S61" i="1"/>
  <c r="X18" i="1"/>
  <c r="R18" i="1"/>
  <c r="AC114" i="2"/>
  <c r="BM11" i="2"/>
  <c r="U114" i="2"/>
  <c r="V116" i="2"/>
  <c r="BY11" i="2"/>
  <c r="T61" i="1"/>
  <c r="AG62" i="1"/>
  <c r="Z33" i="2"/>
  <c r="Z32" i="2"/>
  <c r="U31" i="2"/>
  <c r="AC60" i="1"/>
  <c r="AD115" i="2"/>
  <c r="AJ114" i="2"/>
  <c r="AF34" i="2"/>
  <c r="AA116" i="2"/>
  <c r="AJ116" i="2"/>
  <c r="AB34" i="2"/>
  <c r="S114" i="2"/>
  <c r="AL115" i="2"/>
  <c r="AL34" i="2"/>
  <c r="Z34" i="2"/>
  <c r="AK32" i="2"/>
  <c r="AK33" i="2"/>
  <c r="X59" i="1"/>
  <c r="AE59" i="1"/>
  <c r="R59" i="1"/>
  <c r="AI115" i="2"/>
  <c r="Z115" i="2"/>
  <c r="AF31" i="2"/>
  <c r="AF61" i="1"/>
  <c r="AA60" i="1"/>
  <c r="AB60" i="1"/>
  <c r="Z31" i="2"/>
  <c r="W59" i="1"/>
  <c r="T59" i="1"/>
  <c r="X62" i="1"/>
  <c r="U61" i="1"/>
  <c r="AL31" i="2"/>
  <c r="AB32" i="2"/>
  <c r="AB33" i="2"/>
  <c r="AG34" i="2"/>
  <c r="T115" i="2"/>
  <c r="AL116" i="2"/>
  <c r="AF116" i="2"/>
  <c r="AC32" i="2"/>
  <c r="AC33" i="2"/>
  <c r="AC34" i="2"/>
  <c r="AE115" i="2"/>
  <c r="AL114" i="2"/>
  <c r="AE114" i="2"/>
  <c r="W115" i="2"/>
  <c r="AJ33" i="2"/>
  <c r="AJ32" i="2"/>
  <c r="V114" i="2"/>
  <c r="AH32" i="2"/>
  <c r="AH33" i="2"/>
  <c r="AA61" i="1"/>
  <c r="AB18" i="1"/>
  <c r="AA32" i="2"/>
  <c r="AA33" i="2"/>
  <c r="AB31" i="2"/>
  <c r="AH18" i="1"/>
  <c r="Y18" i="1"/>
  <c r="S33" i="2"/>
  <c r="S32" i="2"/>
  <c r="W33" i="2"/>
  <c r="W32" i="2"/>
  <c r="BX11" i="2"/>
  <c r="AC115" i="2"/>
  <c r="CB11" i="2"/>
  <c r="BP11" i="2"/>
  <c r="AL33" i="2"/>
  <c r="AL32" i="2"/>
  <c r="AB59" i="1"/>
  <c r="AF62" i="1"/>
  <c r="Y31" i="2"/>
  <c r="V32" i="2"/>
  <c r="V33" i="2"/>
  <c r="V34" i="2"/>
  <c r="AH115" i="2"/>
  <c r="X61" i="1"/>
  <c r="Y60" i="1"/>
  <c r="AK62" i="1"/>
  <c r="AI32" i="2"/>
  <c r="AI33" i="2"/>
  <c r="Y32" i="2"/>
  <c r="Y33" i="2"/>
  <c r="R60" i="1"/>
  <c r="AI60" i="1"/>
  <c r="AK61" i="1"/>
  <c r="V31" i="2"/>
  <c r="AF33" i="2"/>
  <c r="AF32" i="2"/>
  <c r="AB116" i="2"/>
  <c r="CA11" i="2"/>
  <c r="AA115" i="2"/>
  <c r="T34" i="2"/>
  <c r="AC116" i="2"/>
  <c r="X32" i="2"/>
  <c r="X33" i="2"/>
  <c r="AK116" i="2"/>
  <c r="T33" i="2"/>
  <c r="T32" i="2"/>
  <c r="AG116" i="2"/>
  <c r="R61" i="1"/>
  <c r="AF18" i="1"/>
  <c r="AC31" i="2"/>
  <c r="AC62" i="1"/>
  <c r="W62" i="1"/>
  <c r="AE18" i="1"/>
</calcChain>
</file>

<file path=xl/sharedStrings.xml><?xml version="1.0" encoding="utf-8"?>
<sst xmlns="http://schemas.openxmlformats.org/spreadsheetml/2006/main" count="34355" uniqueCount="671">
  <si>
    <t>Total</t>
  </si>
  <si>
    <t>Sex</t>
  </si>
  <si>
    <t>All ethnicity</t>
  </si>
  <si>
    <t>Māori</t>
  </si>
  <si>
    <t>Non-Māori</t>
  </si>
  <si>
    <t>Deprivation</t>
  </si>
  <si>
    <t>Methods</t>
  </si>
  <si>
    <t>DHB</t>
  </si>
  <si>
    <t>Female</t>
  </si>
  <si>
    <t>All ages</t>
  </si>
  <si>
    <t>sex</t>
  </si>
  <si>
    <t>ethmn</t>
  </si>
  <si>
    <t>year</t>
  </si>
  <si>
    <t>agegrpnewid</t>
  </si>
  <si>
    <t>num</t>
  </si>
  <si>
    <t>rate</t>
  </si>
  <si>
    <t>ci</t>
  </si>
  <si>
    <t>AllSex</t>
  </si>
  <si>
    <t>Maori</t>
  </si>
  <si>
    <t>Non-Maori</t>
  </si>
  <si>
    <t>Male</t>
  </si>
  <si>
    <t>Number</t>
  </si>
  <si>
    <t>Rate</t>
  </si>
  <si>
    <t>15-24</t>
  </si>
  <si>
    <t>25-44</t>
  </si>
  <si>
    <t>45-64</t>
  </si>
  <si>
    <t>65+</t>
  </si>
  <si>
    <t>AllEth</t>
  </si>
  <si>
    <t>combo</t>
  </si>
  <si>
    <t>depquin</t>
  </si>
  <si>
    <t>Quintile 1</t>
  </si>
  <si>
    <t>Quintile 2</t>
  </si>
  <si>
    <t>Quintile 3</t>
  </si>
  <si>
    <t>Quintile 4</t>
  </si>
  <si>
    <t>Quintile 5</t>
  </si>
  <si>
    <t>25–44</t>
  </si>
  <si>
    <t>45–64</t>
  </si>
  <si>
    <t>Age (years)</t>
  </si>
  <si>
    <t>Quintile</t>
  </si>
  <si>
    <t>cause</t>
  </si>
  <si>
    <t>denom</t>
  </si>
  <si>
    <t>perc</t>
  </si>
  <si>
    <t>Firearms and explosives</t>
  </si>
  <si>
    <t>Hanging, strangulation and suffocation</t>
  </si>
  <si>
    <t>Jumping from a high place</t>
  </si>
  <si>
    <t>Other</t>
  </si>
  <si>
    <t>Poisoning by gases and vapours</t>
  </si>
  <si>
    <t>Poisoning by solids and liquids</t>
  </si>
  <si>
    <t>Sharp object</t>
  </si>
  <si>
    <t>Submersion (drowning)</t>
  </si>
  <si>
    <t>Method</t>
  </si>
  <si>
    <t>Percentage</t>
  </si>
  <si>
    <t>DHBid</t>
  </si>
  <si>
    <t>DHBname</t>
  </si>
  <si>
    <t>Northland</t>
  </si>
  <si>
    <t>Waitemata</t>
  </si>
  <si>
    <t>Auckland</t>
  </si>
  <si>
    <t>Counties Manukau</t>
  </si>
  <si>
    <t>Waikato</t>
  </si>
  <si>
    <t>Lakes</t>
  </si>
  <si>
    <t>Bay of Plenty</t>
  </si>
  <si>
    <t>Tairawhiti</t>
  </si>
  <si>
    <t>Hawke's Bay</t>
  </si>
  <si>
    <t>Taranaki</t>
  </si>
  <si>
    <t>MidCentral</t>
  </si>
  <si>
    <t>Whanganui</t>
  </si>
  <si>
    <t>Capital &amp; Coast</t>
  </si>
  <si>
    <t>Hutt Valley</t>
  </si>
  <si>
    <t>Wairarapa</t>
  </si>
  <si>
    <t>Nelson Marlborough</t>
  </si>
  <si>
    <t>West Coast</t>
  </si>
  <si>
    <t>Canterbury</t>
  </si>
  <si>
    <t>South Canterbury</t>
  </si>
  <si>
    <t>Southern</t>
  </si>
  <si>
    <t>New Zealand</t>
  </si>
  <si>
    <t>Unknown</t>
  </si>
  <si>
    <t>MPAO 5yr</t>
  </si>
  <si>
    <t>mpao</t>
  </si>
  <si>
    <t>Asian</t>
  </si>
  <si>
    <t>Pacific</t>
  </si>
  <si>
    <t>Ethnicity</t>
  </si>
  <si>
    <t>sig</t>
  </si>
  <si>
    <t>No</t>
  </si>
  <si>
    <t>decrease</t>
  </si>
  <si>
    <t>increase</t>
  </si>
  <si>
    <t>-</t>
  </si>
  <si>
    <t>x</t>
  </si>
  <si>
    <t>y</t>
  </si>
  <si>
    <t>Māori Total</t>
  </si>
  <si>
    <t>Māori Male</t>
  </si>
  <si>
    <t>Māori Female</t>
  </si>
  <si>
    <t>Non-Māori Total</t>
  </si>
  <si>
    <t>Non-Māori Male</t>
  </si>
  <si>
    <t>Non-Māori female</t>
  </si>
  <si>
    <t>Urban Rural</t>
  </si>
  <si>
    <t>urbrurid</t>
  </si>
  <si>
    <t>Rural</t>
  </si>
  <si>
    <t>Urban</t>
  </si>
  <si>
    <t>Age</t>
  </si>
  <si>
    <t>Notes:</t>
  </si>
  <si>
    <t>Source: New Zealand Mortality Collection</t>
  </si>
  <si>
    <t>Rates are expressed per 100,000 population.</t>
  </si>
  <si>
    <t>15–24 years</t>
  </si>
  <si>
    <t>25–44 years</t>
  </si>
  <si>
    <t>45–64 years</t>
  </si>
  <si>
    <t>65+ years</t>
  </si>
  <si>
    <t>Rates are expressed per 100,000 population and age standardised to the WHO World Standard Population.</t>
  </si>
  <si>
    <t>Unknown*</t>
  </si>
  <si>
    <t>Rurality</t>
  </si>
  <si>
    <t xml:space="preserve"> </t>
  </si>
  <si>
    <t>Rate ratio</t>
  </si>
  <si>
    <t>5:1</t>
  </si>
  <si>
    <t>Tairāwhiti</t>
  </si>
  <si>
    <t>Mid Central</t>
  </si>
  <si>
    <t>ref</t>
  </si>
  <si>
    <t>All ages graph ref</t>
  </si>
  <si>
    <t>agegrpid</t>
  </si>
  <si>
    <t>10–14</t>
  </si>
  <si>
    <t>15–19</t>
  </si>
  <si>
    <t>20–24</t>
  </si>
  <si>
    <t>25–29</t>
  </si>
  <si>
    <t>30–34</t>
  </si>
  <si>
    <t>85+</t>
  </si>
  <si>
    <t>35–39</t>
  </si>
  <si>
    <t>40–44</t>
  </si>
  <si>
    <t>45–49</t>
  </si>
  <si>
    <t>50–54</t>
  </si>
  <si>
    <t>55–59</t>
  </si>
  <si>
    <t>60–64</t>
  </si>
  <si>
    <t>65–69</t>
  </si>
  <si>
    <t>70–74</t>
  </si>
  <si>
    <t>75–79</t>
  </si>
  <si>
    <t>80–84</t>
  </si>
  <si>
    <t>agegroups</t>
  </si>
  <si>
    <t>of all deaths</t>
  </si>
  <si>
    <t>Source:   New Zealand Mortality Collection</t>
  </si>
  <si>
    <t>Māori : Non-Māori</t>
  </si>
  <si>
    <t>Male : Female</t>
  </si>
  <si>
    <t xml:space="preserve">All ages </t>
  </si>
  <si>
    <t>Note: Rates are expressed per 100,000 population.</t>
  </si>
  <si>
    <t xml:space="preserve">Notes: </t>
  </si>
  <si>
    <t>Source:</t>
  </si>
  <si>
    <t xml:space="preserve"> New Zealand Mortality Collection</t>
  </si>
  <si>
    <t xml:space="preserve">Note: </t>
  </si>
  <si>
    <t>New Zealand Mortality Collection</t>
  </si>
  <si>
    <t xml:space="preserve">Source: </t>
  </si>
  <si>
    <t>New Zealand Mortality Collection.</t>
  </si>
  <si>
    <t>Country</t>
  </si>
  <si>
    <t>New Zealand data: New Zealand Mortality Collection</t>
  </si>
  <si>
    <t>Sources:</t>
  </si>
  <si>
    <t>15–24</t>
  </si>
  <si>
    <t>CONTENTS</t>
  </si>
  <si>
    <t>SUICIDE RATES BY DEPRIVATION</t>
  </si>
  <si>
    <t>Back to top</t>
  </si>
  <si>
    <t>Māori and non-Māori deprivation graphs and tables</t>
  </si>
  <si>
    <t xml:space="preserve"> Rates are expressed per 100,000 population and age standardised to the WHO World Standard Population.</t>
  </si>
  <si>
    <t xml:space="preserve">Youth </t>
  </si>
  <si>
    <t xml:space="preserve">In New Zealand, a death is only officially classified as suicide by the coroner on completion of the coroner’s </t>
  </si>
  <si>
    <t xml:space="preserve">inquiry. In some cases, an inquest may be heard several years after the death, particularly if there are </t>
  </si>
  <si>
    <t>factors relating to the death that need to be investigated first (for example, a death in custody). Consequently, a provisional suicide classification may be made before the coroner reaches a verdict.</t>
  </si>
  <si>
    <t>Data sources</t>
  </si>
  <si>
    <t>Comparisons with other statistical publications on suicide</t>
  </si>
  <si>
    <t>The Ministry reports on those deaths determined to be suicide after a completed coronial process or those provisionally coded as intentionally self-inflicted deaths before the final coroner’s verdict. Furthermore, the Chief Coroner’s data relates to years ending 30 June rather than the calendar years used in this report.</t>
  </si>
  <si>
    <t>The Office of the Director of Mental Health releases an annual report that contains some statistics on suicide that are not included in this report. For further details, see:</t>
  </si>
  <si>
    <t>Population denominators</t>
  </si>
  <si>
    <t>All data sets were supplied as customised extracts from Statistics New Zealand. Further information about methods used to prepare estimates, as well as their limitations, is available on the Statistics New Zealand website (www.stats.govt.nz).</t>
  </si>
  <si>
    <t>The estimated resident population for mean year ended 31 December was used for analyses by:</t>
  </si>
  <si>
    <t>·       age</t>
  </si>
  <si>
    <t>·       sex</t>
  </si>
  <si>
    <t>·       Māori and non-Māori.</t>
  </si>
  <si>
    <t>·       DHB</t>
  </si>
  <si>
    <t>·       deprivation quintile</t>
  </si>
  <si>
    <t>·       urban/rural profile.</t>
  </si>
  <si>
    <t>International comparisons</t>
  </si>
  <si>
    <t>A cautious approach is recommended when comparing international suicide statistics because many factors affect the recording and classification of suicide in different countries, including the level of proof required for a verdict; the stigma associated with suicide; the religion, social class or occupation of victims; and confidentiality. As a result, deaths that are classified as suicide in some countries may be classified as accidental or of undetermined intent in others.</t>
  </si>
  <si>
    <t>Category</t>
  </si>
  <si>
    <t>ICD-10-AM code</t>
  </si>
  <si>
    <t>ICD-10-AM code description</t>
  </si>
  <si>
    <t>X60</t>
  </si>
  <si>
    <t>Intentional self-poisoning by and exposure to nonopioid analgesics, antipyretics and antirheumatics</t>
  </si>
  <si>
    <t>X61</t>
  </si>
  <si>
    <t>Intentional self-poisoning by and exposure to antiepileptic, sedative-hypnotic, antiparkinsonism and psychotropic drugs, not elsewhere classified</t>
  </si>
  <si>
    <t>X62</t>
  </si>
  <si>
    <t>Intentional self-poisoning by and exposure to narcotics and psychodysleptics [hallucinogens], not elsewhere classified</t>
  </si>
  <si>
    <t>X63</t>
  </si>
  <si>
    <t>Intentional self-poisoning by and exposure to other drugs acting on the autonomic nervous system</t>
  </si>
  <si>
    <t>X64</t>
  </si>
  <si>
    <t>Intentional self-poisoning by and exposure to other and unspecified drugs, medicaments and biological substances</t>
  </si>
  <si>
    <t>X65</t>
  </si>
  <si>
    <t>Intentional self-poisoning by and exposure to alcohol</t>
  </si>
  <si>
    <t>X68</t>
  </si>
  <si>
    <t>Intentional self-poisoning by and exposure to pesticides</t>
  </si>
  <si>
    <t>X69</t>
  </si>
  <si>
    <t>Intentional self-poisoning by and exposure to other and unspecified chemicals and noxious substances</t>
  </si>
  <si>
    <t>X66</t>
  </si>
  <si>
    <t>Intentional self-poisoning by and exposure to organic solvents and halogenated hydrocarbons and their vapours</t>
  </si>
  <si>
    <t>X67</t>
  </si>
  <si>
    <t>Intentional self-poisoning by and exposure to other gases and vapours</t>
  </si>
  <si>
    <t>X70</t>
  </si>
  <si>
    <t>Intentional self-harm by hanging, strangulation and suffocation</t>
  </si>
  <si>
    <t>X71</t>
  </si>
  <si>
    <t>Intentional self-harm by drowning and submersion</t>
  </si>
  <si>
    <t>X72</t>
  </si>
  <si>
    <t>Intentional self-harm by handgun discharge</t>
  </si>
  <si>
    <t>X74</t>
  </si>
  <si>
    <t>Intentional self-harm by other and unspecified firearm discharge</t>
  </si>
  <si>
    <t>X75</t>
  </si>
  <si>
    <t>Intentional self-harm by explosive material</t>
  </si>
  <si>
    <t>X78</t>
  </si>
  <si>
    <t>Intentional self-harm by sharp object</t>
  </si>
  <si>
    <t>X80</t>
  </si>
  <si>
    <t>Intentional self-harm by jumping from a high place</t>
  </si>
  <si>
    <t>X76</t>
  </si>
  <si>
    <t>Intentional self-harm by smoke, fire and flames</t>
  </si>
  <si>
    <t>X77</t>
  </si>
  <si>
    <t>Intentional self-harm by steam, hot vapours and hot objects</t>
  </si>
  <si>
    <t>X79</t>
  </si>
  <si>
    <t>Intentional self-harm by blunt object</t>
  </si>
  <si>
    <t>X81</t>
  </si>
  <si>
    <t>Intentional self-harm by jumping or lying before moving object</t>
  </si>
  <si>
    <t>X82</t>
  </si>
  <si>
    <t>Intentional self-harm by crashing of motor vehicle</t>
  </si>
  <si>
    <t>X83</t>
  </si>
  <si>
    <t>Intentional self-harm by other specified means</t>
  </si>
  <si>
    <t>X84</t>
  </si>
  <si>
    <t>Intentional self-harm by unspecified means</t>
  </si>
  <si>
    <t>Age-specific rates</t>
  </si>
  <si>
    <t>An age-specific rate measures the frequency with which an event occurs relative to the number of people in a defined age group. In these tables, age-specific rates are given in both five-year age groups and life-stage age groups.</t>
  </si>
  <si>
    <t>Age-standardised rates and rate ratios</t>
  </si>
  <si>
    <t>Confidence intervals and statistical significance</t>
  </si>
  <si>
    <t>The rate ratio refers to the frequency with which these events are reported in one population group compared with other groups.</t>
  </si>
  <si>
    <t>Deprivation quintile</t>
  </si>
  <si>
    <t>Urban/rural profile</t>
  </si>
  <si>
    <t>Further information</t>
  </si>
  <si>
    <t>General information about suicide prevention</t>
  </si>
  <si>
    <t>For health data, including suicide statistics, contact:</t>
  </si>
  <si>
    <t>National Collections and Reporting</t>
  </si>
  <si>
    <t>Ministry of Health</t>
  </si>
  <si>
    <t>PO Box 5013</t>
  </si>
  <si>
    <t>Wellington</t>
  </si>
  <si>
    <t>Phone: (04) 496 2000</t>
  </si>
  <si>
    <t>Fax: (04) 816 2898</t>
  </si>
  <si>
    <t>Website: www.health.govt.nz</t>
  </si>
  <si>
    <t>https://www.health.govt.nz/our-work/mental-health-and-addictions/working-prevent-suicide</t>
  </si>
  <si>
    <t>ABOUT THESE TABLES</t>
  </si>
  <si>
    <t>http://archive.stats.govt.nz/browse_for_stats/Maps_and_geography/Geographic-areas/urban-rural-profile.aspx</t>
  </si>
  <si>
    <t>Error bars represent 95% confidence intervals.</t>
  </si>
  <si>
    <t>Error bars represent 95% confidence interval.</t>
  </si>
  <si>
    <t>KEY FINDINGS</t>
  </si>
  <si>
    <t>Urban/rural graphs and tables</t>
  </si>
  <si>
    <t>Māori and non-Māori age and sex graphs and tables</t>
  </si>
  <si>
    <t>The number of suicide deaths refers to the number of people who have died by suicide.</t>
  </si>
  <si>
    <t>District Health Board region rates</t>
  </si>
  <si>
    <t>Analysis</t>
  </si>
  <si>
    <t>These tables include a classification of deaths by the urban/rural profile of the person committing suicide. Urban / rural profile data has been available since 2003. The address recorded on the person’s death certificate is used to determine whether the person’s place of residence was urban or rural. Statistics New Zealand has developed an experimental urban/rural profile, which was used to allocate a profile to people committing suicide for the data in this report. For more information on urban/rural profiles, see:</t>
  </si>
  <si>
    <t xml:space="preserve">Deprivation data has been available since 2001. The New Zealand Social Deprivation Index is a measure of socioeconomic status calculated for small geographic areas. It is calculated at the level of meshblocks (geographical units containing a median of 90 people), and the Ministry of Health maps these to domicile codes, which are built up to the relevant geographic scale using weighted average 'usually resident population' counts from the Census. This publication presents suicide death rates by deprivation quintile of residence, ranging from 1 (least deprived) to 5 (most deprived), according to the 2013 New Zealand Deprivation Index. Approximately equal numbers of people reside in areas associated with each of the five deprivation areas.
</t>
  </si>
  <si>
    <t xml:space="preserve">Title: </t>
  </si>
  <si>
    <t>Summary:</t>
  </si>
  <si>
    <t>Series:</t>
  </si>
  <si>
    <t>Suicide Facts: Deaths and intentional self-harm hospitalisations</t>
  </si>
  <si>
    <t xml:space="preserve">Suicide data presented was extracted from the New Zealand Mortality Collection. </t>
  </si>
  <si>
    <t>Published:</t>
  </si>
  <si>
    <t>Additional information:</t>
  </si>
  <si>
    <t>Suicide Facts: Deaths and intentional self-harm hospitalisations - series</t>
  </si>
  <si>
    <t>If you require information not included in this file, the Ministry of Health is able to provide customised data extracts tailored to your needs. These may incur a charge (at Official Information Act rates).</t>
  </si>
  <si>
    <t>See below for contact details.</t>
  </si>
  <si>
    <t>Postal address:</t>
  </si>
  <si>
    <t>Wellington 6145</t>
  </si>
  <si>
    <t>Email:</t>
  </si>
  <si>
    <t>Phone:</t>
  </si>
  <si>
    <t>(04) 496 2000</t>
  </si>
  <si>
    <t xml:space="preserve">Fax: </t>
  </si>
  <si>
    <t>(04) 816 2898</t>
  </si>
  <si>
    <t>Description</t>
  </si>
  <si>
    <t>Tabs</t>
  </si>
  <si>
    <t>Key findings</t>
  </si>
  <si>
    <t>Intentional self-harm categories and ICD-10-AM codes</t>
  </si>
  <si>
    <t>Codes</t>
  </si>
  <si>
    <t>About</t>
  </si>
  <si>
    <t xml:space="preserve">Data tabs </t>
  </si>
  <si>
    <t>Numbers that are similar across mulitple years may produce different rates due to changes in population size.</t>
  </si>
  <si>
    <t>DHB5yr</t>
  </si>
  <si>
    <t xml:space="preserve">Notes: 
Rates are 5 year average annual rates expressed per 100,000 population and age standardised to the WHO World Standard Population.
</t>
  </si>
  <si>
    <t>SUICIDE RATES BY DISTRICT HEALTH BOARD REGION</t>
  </si>
  <si>
    <t>·       prioritised ethnicity (Māori, Pacific, Asian, Other)</t>
  </si>
  <si>
    <t>MPAOdep 5yr</t>
  </si>
  <si>
    <t>MPAO methods 5yr</t>
  </si>
  <si>
    <t>Unknown deprivation</t>
  </si>
  <si>
    <t>numunk</t>
  </si>
  <si>
    <t>Urban areas</t>
  </si>
  <si>
    <t>Rural areas</t>
  </si>
  <si>
    <t xml:space="preserve">International </t>
  </si>
  <si>
    <t>SUICIDE RATES BY URBAN AND RURAL PROFILE</t>
  </si>
  <si>
    <t>INTERNATIONAL SUICIDE RATE COMPARISONS</t>
  </si>
  <si>
    <t>CODES USED IN THESE TABLES</t>
  </si>
  <si>
    <t>Māori youth</t>
  </si>
  <si>
    <t>Not all methods used by Māori and non-Māori are shown on the graphs.
Please refer to the table for the proportion of suicide deaths by all methods.</t>
  </si>
  <si>
    <t>DISTRIBUTION OF SUICIDES BY METHODS USED</t>
  </si>
  <si>
    <t>SUICIDE RATES BY SEX AND LIFE-STAGE GROUP</t>
  </si>
  <si>
    <t>See distribution of methods used by Māori and non-Māori</t>
  </si>
  <si>
    <t>Source: New Zealand Mortality Collection.</t>
  </si>
  <si>
    <t>SUICIDE RATES BY ETHNIC GROUP</t>
  </si>
  <si>
    <t>Ethnic group</t>
  </si>
  <si>
    <t>Percent</t>
  </si>
  <si>
    <t xml:space="preserve">Number </t>
  </si>
  <si>
    <t>Deprivation quintile 5 represents the most deprived areas and quintile 1 represents the least deprived areas.</t>
  </si>
  <si>
    <t>CI</t>
  </si>
  <si>
    <t>male</t>
  </si>
  <si>
    <t>female</t>
  </si>
  <si>
    <t>Age-specific suicide rates for youth aged 15–24 years, for OECD countries, by sex</t>
  </si>
  <si>
    <t>Age-standardised suicide rates for OECD countries, by sex</t>
  </si>
  <si>
    <t>In New Zealand the number of suicide deaths tended to be between 500 and 550 per year.</t>
  </si>
  <si>
    <t>·</t>
  </si>
  <si>
    <t>Number of female suicide deaths: 142</t>
  </si>
  <si>
    <t>Note:</t>
  </si>
  <si>
    <t>Note: Rates are expressed per 100,000 population and age standardised to the WHO World Standard Population.</t>
  </si>
  <si>
    <t>CI Allages</t>
  </si>
  <si>
    <t>Further information on causes of death can be found in the Mortality and Demographic Data series (www.health.govt.nz).</t>
  </si>
  <si>
    <t>Quick facts</t>
  </si>
  <si>
    <t>Māori Non-Māori</t>
  </si>
  <si>
    <t>Age Sex</t>
  </si>
  <si>
    <t>DHB region</t>
  </si>
  <si>
    <t xml:space="preserve">Time trend data is presented as numbers and rates in tables to the right of each sheet. 
</t>
  </si>
  <si>
    <t>Additional information</t>
  </si>
  <si>
    <t>Suicide rates for New Zealand are compared to those from other countries in the Organisation for Economic Co-operation and Development (OECD).</t>
  </si>
  <si>
    <t xml:space="preserve">Notes and definitions are provided to aid the interpretation of the data. </t>
  </si>
  <si>
    <t>Numbers of suicide deaths and rates of suicide are shown for Māori and non-Māori by sex, life-stage group and deprivation quintile.</t>
  </si>
  <si>
    <t>Distribution (%) of suicide deaths for Māori and non-Māori are shown by methods of suicide used.</t>
  </si>
  <si>
    <t xml:space="preserve">Numbers of suicide deaths and rates of suicide are shown by sex and life-stage group. </t>
  </si>
  <si>
    <t xml:space="preserve">Interpretation </t>
  </si>
  <si>
    <t>DHB graphs and tables (time trend)</t>
  </si>
  <si>
    <t>Rates increased for this group as levels of deprivation increased, with the highest rates being among those living in the highest deprivation.</t>
  </si>
  <si>
    <t>Methods used graphs and tables</t>
  </si>
  <si>
    <t>Māori females stayed mostly the same.</t>
  </si>
  <si>
    <t>Māori total</t>
  </si>
  <si>
    <t xml:space="preserve">Māori male </t>
  </si>
  <si>
    <t xml:space="preserve">Māori female </t>
  </si>
  <si>
    <t>Time trend graphs show rates of suicide by age, sex, and Māori and non-Māori.</t>
  </si>
  <si>
    <t>non-Māori</t>
  </si>
  <si>
    <t>Māori male : Māori female</t>
  </si>
  <si>
    <t>Māori male : Non-Māori male</t>
  </si>
  <si>
    <t>Māori female : Non-Māori female</t>
  </si>
  <si>
    <t>Notes: Rates are expressed per 100,000 population and age standardised to the WHO World Standard Population.</t>
  </si>
  <si>
    <t>Quintile 5 represents the most deprived areas and quintile 1 represents the least deprived areas.</t>
  </si>
  <si>
    <t xml:space="preserve">SUICIDE RATES BY MĀORI / NON-MĀORI </t>
  </si>
  <si>
    <t>To select a method used to show on all graphs, click in the small box beside the legend to the right of the graph.</t>
  </si>
  <si>
    <t xml:space="preserve">In this section the distribution of suicides is shown by methods of suicide used.  </t>
  </si>
  <si>
    <t>Number (5-year)</t>
  </si>
  <si>
    <t>Males, 15–24 years</t>
  </si>
  <si>
    <t>Males, 25–44 years</t>
  </si>
  <si>
    <t>Males, 45–64 years</t>
  </si>
  <si>
    <t>*Unknown group includes 'Outside of Rural/Urban profile'. Unknowns are excluded from rate calculations.</t>
  </si>
  <si>
    <t>Rates are five-year rates, expressed per 100,000 population and age standardised to the WHO World Standard Population.</t>
  </si>
  <si>
    <t>Notes:
Rates for the total population are five-year rates, expressed per 100,000 population and age standardised to the WHO World Standard Population.</t>
  </si>
  <si>
    <t>The number of suicide deaths in these tables differs from the number released by the Chief Coroner. The Chief Coroner’s data includes all deaths initially identified at the coroner’s office as self-inflicted. However, only those deaths determined as ‘intentionally self-inflicted’ after investigation will receive a final verdict of suicide. Some deaths provisionally coded as suicide may be determined not to be suicide at a later date. In addition, when coroners do not specify whether self-inflicted poisoning is accidental or with intent to harm, the coding rules require the death would be coded to accidental poisoning (not undetermined intent). This rule could lead to an overstatement of accidental poisonings and an understatement of deaths from undetermined intent.</t>
  </si>
  <si>
    <t>Back to Contents</t>
  </si>
  <si>
    <t>See distribution of methods used by ethnic groups</t>
  </si>
  <si>
    <t>See suicide rates for Māori and non-Māori by deprivation</t>
  </si>
  <si>
    <t>See suicide rates by ethnic group and deprivation</t>
  </si>
  <si>
    <t>QUICK FACTS</t>
  </si>
  <si>
    <t xml:space="preserve">Māori and non-Māori </t>
  </si>
  <si>
    <t>Deprivation graphs and tables</t>
  </si>
  <si>
    <t>The best available resident population (either estimated or projected or a combination) as at 30 June for each year was used for analyses by:</t>
  </si>
  <si>
    <t>Numbers of suicide deaths can be found in the accompanying tables.</t>
  </si>
  <si>
    <t>Numbers of suicide deaths and rates of suicide are presented by deprivation quintiles (1–5).</t>
  </si>
  <si>
    <t>15–24 years (Youth)</t>
  </si>
  <si>
    <t>Sex graph and tables</t>
  </si>
  <si>
    <t>Life-stage graph and tables</t>
  </si>
  <si>
    <t>Māori and non-Māori methods used graphs and tables</t>
  </si>
  <si>
    <t>Ethnic groups graphs and tables</t>
  </si>
  <si>
    <t xml:space="preserve">International graphs and tables </t>
  </si>
  <si>
    <t>Back to Key findings</t>
  </si>
  <si>
    <t>See Māori/Non-Māori by deprivation</t>
  </si>
  <si>
    <t>See Māori/Non-Māori by methods used</t>
  </si>
  <si>
    <t>Numbers of suicide deaths and rates of suicide are shown for urban and rural areas.</t>
  </si>
  <si>
    <t>Urban / rural profile</t>
  </si>
  <si>
    <t>Data is presented for all ages, and for life-stage group by sex.</t>
  </si>
  <si>
    <t>Check or uncheck the boxes to change your selection.</t>
  </si>
  <si>
    <t>All graphs will update at the same time.</t>
  </si>
  <si>
    <t>Data is available from 2003.</t>
  </si>
  <si>
    <t>See Ethnic group by deprivation</t>
  </si>
  <si>
    <t>See Ethnic group by methods used</t>
  </si>
  <si>
    <t>Age and sex</t>
  </si>
  <si>
    <t xml:space="preserve">Methods used </t>
  </si>
  <si>
    <t>quintile</t>
  </si>
  <si>
    <t>About the data</t>
  </si>
  <si>
    <t>Male youth</t>
  </si>
  <si>
    <t>Female youth</t>
  </si>
  <si>
    <t>Male all ages</t>
  </si>
  <si>
    <t>Female all ages</t>
  </si>
  <si>
    <t>The use of the term 'significant' indicates the result was statistically significant. Confidence intervals have been used to assist in comparing rates between different groups with a stated level of probability, typically 95%.</t>
  </si>
  <si>
    <t>The blue column represents the DHB rate for the five-year period and the black dash represents the national rate for that same period.</t>
  </si>
  <si>
    <t>Rate per 100,000</t>
  </si>
  <si>
    <t>Male suicide rates were at least 2.5 times the rate of female suicides.</t>
  </si>
  <si>
    <t>While suicide rates have decreased for those in the 15–25 years, 25–44 years and 65+ years life stage groups, the rates of suicide for those aged 45–64 years stayed mostly the same.</t>
  </si>
  <si>
    <t>The suicide rate for Māori males has generally been markedly higher than for non-Māori males.</t>
  </si>
  <si>
    <t>Extraction date:</t>
  </si>
  <si>
    <t>Rates are five-year average annual rates,  expressed per 
100,000 population and age standardised to the WHO World 
Standard Population.</t>
  </si>
  <si>
    <t>Year</t>
  </si>
  <si>
    <t>Rates are five-year average annual rates, expressed per 100,000 population and age standardised to the WHO World Standard Population.</t>
  </si>
  <si>
    <t>Rates are not calculated where a category has fewer than five suicide deaths. Calculating rates of suicide from fewer than five suicide deaths produces unstable rates.</t>
  </si>
  <si>
    <t xml:space="preserve">Rates are not calculated where a category has fewer than five suicide deaths. Calculating rates of suicide from fewer than five </t>
  </si>
  <si>
    <t>suicide deaths produces unstable rates.</t>
  </si>
  <si>
    <t>Distribution of suicide deaths for Māori and non-Māori, by sex and methods used</t>
  </si>
  <si>
    <t xml:space="preserve">Rates are not calculated where a category has fewer than five suicide deaths. Calculating rates of suicide from fewer </t>
  </si>
  <si>
    <t>than five suicide deaths produces unstable rates.</t>
  </si>
  <si>
    <t>Error as a percent of rate</t>
  </si>
  <si>
    <t>Error as percent of rate</t>
  </si>
  <si>
    <t>the WHO World Standard Population.</t>
  </si>
  <si>
    <t>%</t>
  </si>
  <si>
    <t>Number (total for five years)</t>
  </si>
  <si>
    <t xml:space="preserve">Rates are five-year rates expressed per 100,000 population and age standardised to </t>
  </si>
  <si>
    <t>Rates are not shown for those aged 65+ years as numbers of suicide deaths for some ethnic groups in this category were too small to produce stable rates.</t>
  </si>
  <si>
    <t>Unknowns are excluded from rate calculations.</t>
  </si>
  <si>
    <t xml:space="preserve">Age-specific suicide rates for Māori and non-Māori youth (aged 15–24 years), </t>
  </si>
  <si>
    <t>Numbers of suicide deaths for all quintiles can be found in the table.</t>
  </si>
  <si>
    <t xml:space="preserve">Rates are not shown for Māori living in deprivation quintile 1 as the numbers of suicide deaths in this category </t>
  </si>
  <si>
    <t>were too small to produce stable rates.</t>
  </si>
  <si>
    <t>living in these areas were too small to produce stable rates.</t>
  </si>
  <si>
    <t xml:space="preserve">Rates are not shown for deprivation quintile 1 as the numbers of suicide deaths among Māori </t>
  </si>
  <si>
    <t xml:space="preserve">Rates are not calculated where a category has fewer than 20 suicide deaths (&lt; 5 per year). Calculating rates of suicide from fewer than five suicide deaths per year produces unstable rates. </t>
  </si>
  <si>
    <t>Rates are not calculated where a category has fewer than 20 suicide deaths (&lt; 5 per year). Calculating rates of suicide from fewer than five suicide deaths per year produces unstable rates.</t>
  </si>
  <si>
    <t>Rates of suicide for Asian were highest among those living in the most deprived areas.</t>
  </si>
  <si>
    <t>To find out more about suicide and suicide prevention see the Ministry of Health’s suicide prevention webpage:</t>
  </si>
  <si>
    <t>Classification of a suicide</t>
  </si>
  <si>
    <t>For some groups, where suicide numbers are very small, rates can fluctuate greatly between years and are unreliable. These rates are not suitable to be used in statistical comparisons as they can lead to misleading conclusions. For this reason rates are not calculated where a category has fewer than five suicide deaths per year.</t>
  </si>
  <si>
    <t xml:space="preserve">Age-standardised rates were calculated for each DHB region of domicile by an aggregated five-year period to provide sufficient numbers for statistical analysis.
Some figures also provide 99% confidence intervals to aid interpretation. Where a DHB region’s confidence interval crosses the national rate, this means that the DHB region’s suicide rate was not statistically significantly different from the national rate. Caution must be taken when interpreting rates with large error bars as rates with large error bars can be misleading.
</t>
  </si>
  <si>
    <t xml:space="preserve">Suicide rates for the Asian ethnic group were low compared to other ethnic groups. For Asian in the youth and middle-aged life-stage groups (those aged less than 65 years), suicide rates were less than 7.0 per 100,000.
</t>
  </si>
  <si>
    <t xml:space="preserve">Rates are not shown for those aged 65+ years living in deprivation quintile 5 areas. The number of </t>
  </si>
  <si>
    <t>suicide deaths in this category was too small to produce a stable rate for some years.</t>
  </si>
  <si>
    <t>Error bars represent 99% confidence intervals. Caution must be taken where rates have large error bars, as interpretation of these rates can be misleading.</t>
  </si>
  <si>
    <t>Error bars represent 99% confidence interval. Caution must be taken where rates have large error bars, as interpretation of these rates can be misleading.</t>
  </si>
  <si>
    <t>The dotted line represents the five-year rolling average.</t>
  </si>
  <si>
    <t xml:space="preserve">In this section the rates of suicide for Māori and non-Māori are presented by sex, life-stage group and 
deprivation. Methods used are presented as percentages.
The five-year rolling average is represented by a dotted line on some graphs.
Rates are not calculated where a category has fewer than five suicide deaths. Calculating rates of 
suicide from fewer than five suicide deaths produces unstable rates.
Numbers of suicide deaths and rate ratios are also presented in the table.  
</t>
  </si>
  <si>
    <t>A moving average is used with time series to smooth out short-term fluctuations and highlight longer-term trends or cycles. The moving average in this report is the average of five consecutive years: the year at which the average is presented and the preceding four years.</t>
  </si>
  <si>
    <t>The five-year rolling average is represented by a dotted line on some graphs.</t>
  </si>
  <si>
    <t>If a DHB region's confidence interval does not overlap the national suicide rate, the DHB rate is either statistically higher or lower than the national rate.</t>
  </si>
  <si>
    <t>District Health Board region (DHB region)</t>
  </si>
  <si>
    <t>The following section presents five-year annual average suicide rates for each district health board region of residence (DHB region).</t>
  </si>
  <si>
    <t>Numbers have been aggregated into five-year periods as some DHB regions have very low numbers of suicide deaths per year; insufficient numbers from which to calculate stable rates. All numbers have been given in the table to provide context to the rates where applicable.</t>
  </si>
  <si>
    <t>If DHB region's confidence interval does not overlap the national suicide rate, the DHB rate is either statistically higher or lower than the national average rate.</t>
  </si>
  <si>
    <t>Rates are not calculated for youth. Most DHB regions had too few youth suicide deaths over the five-year period and / or a youth population that is too small to produce stable rates.</t>
  </si>
  <si>
    <t>Rates for the total population are five-year rates, expressed per 100,000 population and age standardised to the WHO World Standard Population.</t>
  </si>
  <si>
    <t>Numbers of suicide deaths by urban and rural areas are also presented in the table.</t>
  </si>
  <si>
    <t>Rates have been re-calculated for data on suicide deaths in these tables, to reflect ongoing updates to data in the New Zealand Mortality Collection (for example, following the release of coroners' findings) and the revision of population estimates. This has resulted in small changes to some numbers and rates from those reported in previous publications.</t>
  </si>
  <si>
    <t xml:space="preserve">Rates are not shown for males aged 65+ years. The numbers of suicide deaths for older males in rural areas, for some years, were too small to produce stable rates.  
</t>
  </si>
  <si>
    <t xml:space="preserve">For this reason rates are not calculated where a category has fewer than five suicide deaths per year. </t>
  </si>
  <si>
    <t xml:space="preserve">For some groups, where suicide numbers are very small, rates can fluctuate greatly between years and are not reliable. These rates are not suitable to be used in statistical comparisons as they can lead to misleading conclusions. </t>
  </si>
  <si>
    <t>Rates are not calculated where a category has fewer than 20 suicide deaths (less than five per year). Caution must be taken where rates have large error bars, as interpretation of these rates can be misleading.</t>
  </si>
  <si>
    <t>Furthermore, statistical measures, such as confidence intervals, cannot account for these differences. Providing such statistical measures may create a false sense of confidence in the recording of differences. Confidence intervals have therefore been excluded from the section on international comparisons in these tables.</t>
  </si>
  <si>
    <r>
      <t>An</t>
    </r>
    <r>
      <rPr>
        <i/>
        <sz val="9"/>
        <color theme="1"/>
        <rFont val="Arial"/>
        <family val="2"/>
      </rPr>
      <t xml:space="preserve"> </t>
    </r>
    <r>
      <rPr>
        <sz val="9"/>
        <color theme="1"/>
        <rFont val="Arial"/>
        <family val="2"/>
      </rPr>
      <t>age-standardised rate is a rate that has been adjusted to take account of differences in the age distribution of the population over time or between different groups (for example, different ethnic groups). An age-standardised rate ratio is the ratio of two groups’ rates, taking into account differences in the groups’ size and age structure. The standard population used in these tables is the WHO World Population.</t>
    </r>
  </si>
  <si>
    <t xml:space="preserve">The rate of suicide for each DHB region, for each of the three time periods, is shown compared to the national average for each corresponding time period.  </t>
  </si>
  <si>
    <t>Rates are not shown for Māori aged 65+ years or where a category has fewer than five suicide deaths as the number of suicide deaths was too small to produce stable rates. A missing data point indicates a rate has been supressed.</t>
  </si>
  <si>
    <t xml:space="preserve">In the DHB region graphs, the blue column represents the DHB region's rate for the five-year period and the black dash represents the national rate for that same period.  </t>
  </si>
  <si>
    <t xml:space="preserve">The use of the term 'significant' indicates the result was statistically significant. The confidence intervals in these tables have been calculated for age-standardised rates at the 95% level, except for rates for DHB data, which have been calculated at the 99% level. If two confidence intervals do not overlap, there is considered to be a statistically significant difference between the two groups being compared. </t>
  </si>
  <si>
    <t xml:space="preserve">For some years, the numbers of suicide deaths for some female life stage groups and older males in rural areas are generally too small to produce stable rates. Therefore only suicide rates for males aged less than 65 years are shown. Please refer to the table for numbers of suicide deaths for all these groups.
</t>
  </si>
  <si>
    <t>The standard population used in this report is the WHO World Population.</t>
  </si>
  <si>
    <t>Percentage of all deaths</t>
  </si>
  <si>
    <t>agesex</t>
  </si>
  <si>
    <t>deprivation</t>
  </si>
  <si>
    <t>A rate measures how often a suicide occurs relative the number of people in the population. Rates, rather than numbers, are more meaningful when comparing suicide data over time and between different populations (eg, between Māori and non-Māori, between males and females).</t>
  </si>
  <si>
    <t>https://www.health.govt.nz/about-ministry/corporate-publications/mental-health-annual-reports</t>
  </si>
  <si>
    <t>2002-06</t>
  </si>
  <si>
    <t>2007-11</t>
  </si>
  <si>
    <t>2012-16</t>
  </si>
  <si>
    <t>Numbers of suicide deaths and suicide rates for all ages and numbers of 
suicide deaths for youth, by DHB region, 2012–2016</t>
  </si>
  <si>
    <t>Age-standardised suicide rates by DHB region, 2012–2016</t>
  </si>
  <si>
    <t>Numbers of suicide deaths and age-standardised suicide rates by district health board region, 2002–2006, 2007–2011, 2012–2016</t>
  </si>
  <si>
    <t>Unknown Urban Rural</t>
  </si>
  <si>
    <t>number</t>
  </si>
  <si>
    <t>Suicide Facts: Data tables 1996–2016</t>
  </si>
  <si>
    <t>November 2019</t>
  </si>
  <si>
    <t>data-enquiries@health.govt.nz</t>
  </si>
  <si>
    <t>Graphs for 2016 show the rates of suicide by age and sex. Ethnic group data is aggregated over the five years, 2012 to 2016.</t>
  </si>
  <si>
    <t>In these tables, we extracted data on suicides between 1996 and 2016 and recalculated the rates for all years to reflect ongoing updates to data in the New Zealand Mortality Collection (eg, following the release of coroners' findings) and the revision of population estimates following each census. As a result there may be small changes to some numbers and rates from those in previous publications.</t>
  </si>
  <si>
    <t xml:space="preserve">Numbers of suicide deaths and rates of suicide for Māori, Pacific, Asian and Other ethnic groups are presented by sex, life-stage group and deprivation quintile for the aggregated period, 2012–2016.   </t>
  </si>
  <si>
    <t xml:space="preserve">Numbers of suicide deaths and rates of suicides for each district health board region of residence (DHB region) are aggregated into five-year periods (2002–2006, 2007–2011 and 2012–2016).  </t>
  </si>
  <si>
    <t>Number of suicide deaths:  554</t>
  </si>
  <si>
    <t>Rate of suicide:  11.3 per 100,000 population</t>
  </si>
  <si>
    <t>Number of male suicide deaths : 412</t>
  </si>
  <si>
    <t>Rate of male suicides: 17.0 per 100,000 males</t>
  </si>
  <si>
    <t>Rate of female suicides: 5.9 per 100,000 females</t>
  </si>
  <si>
    <t>Because of small numbers of suicides per year, the following rates are shown as five-year rates (2012–2016)</t>
  </si>
  <si>
    <t>Rate of suicide for Māori: 17.1 per 100,000 Māori.</t>
  </si>
  <si>
    <t>Rate of suicide for Pacific: 8.1 per 100,000 Pacific.</t>
  </si>
  <si>
    <t>Rate of suicide for Asian: 4.2 per 100,000 Asian.</t>
  </si>
  <si>
    <t>Rate of suicide for Other: 11.3 per 100,000 Other.</t>
  </si>
  <si>
    <t>The rate of suicide decreased by around 20% from 1996.</t>
  </si>
  <si>
    <t>The rate of suicide has been relatively stable over the 10 year period from 2007.</t>
  </si>
  <si>
    <t>The rate of male suicides decreased by around 25% from 1996 to 2016</t>
  </si>
  <si>
    <t>For most of the period from 1996, the rates for Māori were consistently higher than for non-Māori.</t>
  </si>
  <si>
    <t>A snapshot of 2016</t>
  </si>
  <si>
    <t>The suicide rate for Māori females increased by over 40% in the last 10 years, while the rate for non-</t>
  </si>
  <si>
    <t>Number and age-standardised rate of suicide deaths, 1996–2016</t>
  </si>
  <si>
    <t>Age-standardised suicide rates by sex, 1996–2016</t>
  </si>
  <si>
    <t>Age standardised suicide rates for Māori 
and non-Māori by sex, 1996–2016</t>
  </si>
  <si>
    <t>Suicide deaths as a percentage of all deaths, by 5-year age group and sex, 2016</t>
  </si>
  <si>
    <t>Age-specific suicide rates, by 5-year age group and sex, 2016</t>
  </si>
  <si>
    <t>Suicide rates by ethnic group and sex, 2012–2016</t>
  </si>
  <si>
    <t>Numbers of suicide deaths and age-specific suicide rates, by 5-year age group and sex, 2016</t>
  </si>
  <si>
    <t>Age standardised suicide rates for Māori and non-Māori by sex, 1996–2016</t>
  </si>
  <si>
    <t>Numbers of suicide deaths and age-standardised suicide rates by sex, 1996–2016</t>
  </si>
  <si>
    <t>Data is presented for either the period 1996 to 2016, or the 10-year period 2007 to 2016.</t>
  </si>
  <si>
    <t>Quick facts contains a high level snapshot of suicide deaths in New Zealand for 2016 and over the time period 1996 to 2016.</t>
  </si>
  <si>
    <t xml:space="preserve">Intentional self-harm categories and ICD-10-AM codes used in these tables are listed in this section. </t>
  </si>
  <si>
    <t>International Statistical Classification of Diseases and Related Health Problems, Tenth Revision, Australian Modification, Eighth Edition 
(Source: Independent Hospital Pricing Authority).</t>
  </si>
  <si>
    <t>A snapshot of the time period from 1996 to 2016</t>
  </si>
  <si>
    <t>Key findings about suicide in New Zealand 1996–2016</t>
  </si>
  <si>
    <t>Age-standardised suicide rates for Māori and non-Māori, 1996–2016</t>
  </si>
  <si>
    <t>Age-standardised suicide rates for Māori and non-Māori, by sex, 1996–2016</t>
  </si>
  <si>
    <t>by sex, 1996–2016</t>
  </si>
  <si>
    <t>Age-specific suicide rates for Māori and non-Māori, by life-stage group, 1996–2016</t>
  </si>
  <si>
    <t>Distribution of suicide deaths for Māori and non-Māori by method used, 1996–2016</t>
  </si>
  <si>
    <t>Numbers of suicide deaths and age-standardised suicide rates for Māori and non-Māori, by sex, 1996–2016</t>
  </si>
  <si>
    <t>Numbers of suicide deaths and age-standardised suicide rates for Māori and non-Māori, by sex and life-stage group, 1996–2016</t>
  </si>
  <si>
    <t>Distribution of suicide deaths for Māori and non-Māori, by sex and methods used, 1996–2016</t>
  </si>
  <si>
    <t>Age-specific suicide rates by life-stage group, 1996–2016</t>
  </si>
  <si>
    <t>Age-specific suicide rates by life-stage group, by sex 1996–2016</t>
  </si>
  <si>
    <t>Numbers of suicide deaths and age-specific suicide rates by sex and life-stage group, 1996–2016</t>
  </si>
  <si>
    <t>The rates of suicide are presented by sex and life-stage group from 1996–2016. 
Numbers of suicide deaths and rate ratios are also presented in the table.</t>
  </si>
  <si>
    <t>The rates of suicide are presented by deprivation quintile from 2007–2016. Quintile 5 represents the most deprived areas whereas quintile 1 represents the least deprived areas. 
Rates are not calculated where a category has fewer than five suicide deaths. Calculating rates of suicide from fewer than five suicide deaths produces unstable rates.
Numbers of suicide deaths and rate ratios for deprivation quintiles can also be found in the table.</t>
  </si>
  <si>
    <t>Age-standardised suicide rates, by deprivation quintiles 1 and 5, 2007–2016</t>
  </si>
  <si>
    <t>Age-standardised suicide rates by deprivation quintiles 1–5, 2007–2016</t>
  </si>
  <si>
    <t>Age-standardised suicide rates for males by deprivation quintiles 1–5, 2007–2016</t>
  </si>
  <si>
    <t>Age-standardised suicide rates for females by deprivation quintiles 1–5, 2007–2015</t>
  </si>
  <si>
    <t>Age-specific suicide rates, by deprivation quintiles 1–5, and life-stage group, 2007–2016</t>
  </si>
  <si>
    <t>Numbers of suicide deaths and age-specific suicide rates by sex, life-stage group and 
deprivation quintile, 2007–2016</t>
  </si>
  <si>
    <t>Numbers of suicide deaths and age-standardised suicide rates by sex and deprivation quintile, 
2007–2016</t>
  </si>
  <si>
    <t>Distribution of suicide deaths by method used, 1996–2016</t>
  </si>
  <si>
    <t>Age-standardised rate of suicide, by urban/rural profile, 2007–2016</t>
  </si>
  <si>
    <t>Numbers of suicide deaths and age-standardised suicide rates by urban/rural profile and sex, 2007–2016</t>
  </si>
  <si>
    <t>Age-standardised rate of suicide for males, by urban/rural profile, 2007–2016</t>
  </si>
  <si>
    <t>Age-standardised rate of suicide for females, by urban/rural profile, 2007–2016</t>
  </si>
  <si>
    <t xml:space="preserve">Data for urban and rural areas is shown for 2007 to 2016.  Age-standardised suicide rates by urban/rural profiles, sex and life-stage group are presented in this section. </t>
  </si>
  <si>
    <t xml:space="preserve"> Age-specific suicide rates for males, by urban/rural profile and life-stage group, 2007–2016</t>
  </si>
  <si>
    <t>Numbers of suicide deaths and age-specific suicide rates by urban/rural profiles, sex and life-stage group , 2007–2016</t>
  </si>
  <si>
    <t xml:space="preserve">The rates of suicide for Māori, Pacific, Asian and Other ethnic groups are presented by sex, life-stage group, deprivation quintile and methods used.
Numbers have been aggregated for the five-year period 2012–2016 as some ethnic groups have very low numbers of suicide deaths per year; insufficient numbers from which to calculate stable rates. 
Rates are not calculated where a category has fewer than 20 suicide deaths (less than five per year). 
All numbers for the five-year period have been given in the table to provide context to the rates where applicable. </t>
  </si>
  <si>
    <t>Age-standardised suicide rates by ethnic group and sex, 2012–2016</t>
  </si>
  <si>
    <t>Age-specific suicide rates by ethnic group and life-stage group, 2012–2016</t>
  </si>
  <si>
    <t xml:space="preserve">Age-specific suicide rates are for the five-year period 2012–2016, expressed per 100,000 population. </t>
  </si>
  <si>
    <t>Rates are for the five-year period 2012–2016, expressed per 100,000 population and age standardised to the WHO World 
Standard Population.</t>
  </si>
  <si>
    <t>Numbers of suicide deaths and suicide rates by ethnic group, sex and life-stage group, for the period 2012–2016</t>
  </si>
  <si>
    <t>Numbers of suicide deaths and suicide rates by ethnic group and deprivation quintile, 2012–2016</t>
  </si>
  <si>
    <t xml:space="preserve">Numbers have been aggregated over a five-year period (2012–2016) as some ethnic groups have very small numbers of suicide deaths.  
</t>
  </si>
  <si>
    <t>Rates are for the five-year period 2012–2016, expressed per 100,000 population and age-standardised to the WHO World Standard Population.</t>
  </si>
  <si>
    <t>Age-standardised suicide rates by ethnic group and deprivation quintiles 1–5, 2012–2016</t>
  </si>
  <si>
    <t>Distribution of suicide deaths by ethnic group and methods used, 2012–2016</t>
  </si>
  <si>
    <t>Distribution of suicide deaths by methods used, 2012–2016</t>
  </si>
  <si>
    <t>Note: Percentages are for the five-year period 2012–2016.</t>
  </si>
  <si>
    <t>Suicide data is predominantly presented either for the period from 1996 to 2016, or a 10-year period from 2007 to 2016. Numbers have been aggregated over five-year periods for some groups with very small numbers of suicides per year.</t>
  </si>
  <si>
    <r>
      <t>Ethnicity data is aggregated over a five-year time period (2012–2016) to provide sufficient numbers for statistical analysis. These tables use prioritised ethnicity, by which each person represented in the data is allocated to a single ethnic group using the priority system M</t>
    </r>
    <r>
      <rPr>
        <sz val="9"/>
        <rFont val="Arial"/>
        <family val="2"/>
      </rPr>
      <t xml:space="preserve">āori &gt; Pacific peoples &gt; Asian &gt; European or Other.  The 'European or Other' ethnic group includes persons of the following ethnicities: European (including New Zealander), MELAA (Middle Eastern, Latin American and African), Other  and Unknown. The aim of prioritisation is to ensure that where it is necessary to assign people to a single ethnic group, those groups that are small or important in terms of policy, are not swamped by the European ethnic group (Ministry of Health, 2004). 
</t>
    </r>
  </si>
  <si>
    <t>Email: data-enquiries@health.govt.nz</t>
  </si>
  <si>
    <t>Data Services</t>
  </si>
  <si>
    <t>Data and Digital</t>
  </si>
  <si>
    <t>Rate of suicide by DHB region (2012–2016)</t>
  </si>
  <si>
    <t>Rate of suicide, per 100,000 population, by DHB region, 2002–2006, 2007–2011, 2012–2016</t>
  </si>
  <si>
    <t xml:space="preserve"> Lithuania (2016)</t>
  </si>
  <si>
    <t xml:space="preserve"> Republic of Korea (2015)</t>
  </si>
  <si>
    <t xml:space="preserve"> Latvia (2015)</t>
  </si>
  <si>
    <t xml:space="preserve"> Slovenia (2015)</t>
  </si>
  <si>
    <t xml:space="preserve"> Estonia (2015)</t>
  </si>
  <si>
    <t xml:space="preserve"> Poland (2015)</t>
  </si>
  <si>
    <t xml:space="preserve"> Japan (2015)</t>
  </si>
  <si>
    <t xml:space="preserve"> Hungary (2016)</t>
  </si>
  <si>
    <t xml:space="preserve"> Iceland (2016)</t>
  </si>
  <si>
    <t xml:space="preserve"> Belgium (2015)</t>
  </si>
  <si>
    <t xml:space="preserve"> Finland (2014)</t>
  </si>
  <si>
    <t xml:space="preserve"> Australia (2015)</t>
  </si>
  <si>
    <t xml:space="preserve"> France (2014)</t>
  </si>
  <si>
    <t xml:space="preserve"> United States of America (2007)</t>
  </si>
  <si>
    <t xml:space="preserve"> Czech Republic (2016)</t>
  </si>
  <si>
    <t xml:space="preserve"> Ireland (2013)</t>
  </si>
  <si>
    <t xml:space="preserve"> Canada (2005)</t>
  </si>
  <si>
    <t xml:space="preserve"> Austria (2016)</t>
  </si>
  <si>
    <t xml:space="preserve"> Switzerland (2013)</t>
  </si>
  <si>
    <t xml:space="preserve"> Slovakia (2014)</t>
  </si>
  <si>
    <t xml:space="preserve"> Sweden (2015)</t>
  </si>
  <si>
    <t xml:space="preserve"> Norway (2015)</t>
  </si>
  <si>
    <t xml:space="preserve"> Germany (2015)</t>
  </si>
  <si>
    <t xml:space="preserve"> Luxembourg (2015)</t>
  </si>
  <si>
    <t xml:space="preserve"> Portugal (2014)</t>
  </si>
  <si>
    <t xml:space="preserve"> Netherlands (2016)</t>
  </si>
  <si>
    <t xml:space="preserve"> Denmark (2015)</t>
  </si>
  <si>
    <t xml:space="preserve"> United Kingdom (2015)</t>
  </si>
  <si>
    <t xml:space="preserve"> Spain (2015)</t>
  </si>
  <si>
    <t xml:space="preserve"> Italy (2015)</t>
  </si>
  <si>
    <t xml:space="preserve"> Israel (2015)</t>
  </si>
  <si>
    <t xml:space="preserve"> Greece (2015)</t>
  </si>
  <si>
    <t xml:space="preserve"> Turkey (2015)</t>
  </si>
  <si>
    <t xml:space="preserve"> New Zealand (2016)</t>
  </si>
  <si>
    <t>http://www.who.int/healthinfo/mortality_data/en/</t>
  </si>
  <si>
    <t xml:space="preserve">Sources: </t>
  </si>
  <si>
    <t>OECD country's data other than New Zealand:</t>
  </si>
  <si>
    <t xml:space="preserve">In the International comparisons tables most countries’ data is for years between 2014 and 2016 (except Ireland and Switzerland - 2013, USA - 2007 and Canada - 2005). </t>
  </si>
  <si>
    <t>The Key findings provide interpretation of the data and graphs shown in the tabs of the workbook. It provides comparisons between populations and describes the trends over the years 1996 to 2016. Links to the relevant tables and graphs can be found to the right of the findings.</t>
  </si>
  <si>
    <t xml:space="preserve">For the majority of years from 2007–2016, numbers of suicide deaths for Māori living in quintile 1 areas were too small to produce stable rates, therefore only quintiles 2–5 are shown on the graph.  </t>
  </si>
  <si>
    <t>Numbers of suicide deaths and age-standardised suicide rates for Māori and non-Māori, by deprivation quintiles 1–5, 2007–2016</t>
  </si>
  <si>
    <t>Suicide rates for Māori and non-Māori by deprivation, 2007–2016</t>
  </si>
  <si>
    <t>Age-standardised suicide rates for Māori and non-Māori, by deprivation quintiles 2–5, 2007–2016</t>
  </si>
  <si>
    <t>Rates are for the five-year period 2012–2016, expressed per 100,000 population.  Rates for 'All ages' are age-standardised to the WHO World Standard Population.</t>
  </si>
  <si>
    <t>10 July 2019</t>
  </si>
  <si>
    <t>From 1996 to 2016, the rate of suicide for adults aged 25–44 years decreased by 15%. The rate in 2016 was 16.4 per 100,000 population, lower than the rates in the late 1990's of around 20 per 100,000.
For the majority of this period the rate for males in this life-stage group was at least three times higher than the rate for females. Rates for females in this life-stage group did not change markedly over the time period.</t>
  </si>
  <si>
    <t xml:space="preserve">Of all the life-stage groups, youth generally had the highest rate of suicide from 1996 to 2016. Over this period the rate for youth decreased significantly by 35%, from 25.9 per 100,000 in 1996 to 16.8 per 100,000 in 2016.
The youth rate for males also decreased significantly however, for most of the time period, the rate for youth-aged males remained at least twice as high as the rate for youth-aged females.
</t>
  </si>
  <si>
    <t xml:space="preserve">The rate of suicide for adults aged 45–64 years increased slightly from 13.7 per 100,000 in 1996 to 14.4 per 100,000 in 2016. The rate for males in this age group was generally around three times that for females over the time period. 
In recent years the difference in rate between this life-stage group and the 25–44 years life-stage group has decreased. 
</t>
  </si>
  <si>
    <t xml:space="preserve">Deprivation data is shown from 2007 to 2016. During this period the rates of suicide for deprivation quintiles 1 and 5 did not change much.  However for the majority of these years the rate of suicide for those living in the most deprived areas (quintile 5) was significantly higher (around twice as high) than for those living in the least deprived areas (quintile 1). 
</t>
  </si>
  <si>
    <t>In recent years the rates of suicide for those living in more deprived areas (quintiles 4 and 5) was higher than for those living in less deprived areas (quintiles 1 and 2) for all life-stage groups except for those aged 65+ years. From 2007 to 2016, the highest rates of suicide were generally for youth (15−24 years) and middle aged adults (25−44 years) living in more deprived areas.</t>
  </si>
  <si>
    <t>The rate of suicide tended to be higher for those aged between 20 and 29 years.</t>
  </si>
  <si>
    <t>Distribution of suicide deaths by method used, life-stage group and sex, 1996–2016</t>
  </si>
  <si>
    <t xml:space="preserve">For males, hanging, strangulation and suffocation were generally the most common methods used in all life-stage groups.  For males aged 65+ years poisoning, the use of firearms and submersion were also relatively common methods. </t>
  </si>
  <si>
    <t>The most common methods of suicide used were hanging, strangulation and suffocation. 
The proportion of suicides using these methods increased from about 40% to 65% from 1996 to 2016. In the same period the use of poisoning by gases and vapours decreased from about 30% to 8%. Use of other methods did not change much over time.</t>
  </si>
  <si>
    <t>In the last five years the rate of suicide generally increased as each level of deprivation has increased. The difference in suicide rates between the least and most deprived areas was larger over the five years from 2012 to 2016, compared with the previous five years from 2007 to 2011.</t>
  </si>
  <si>
    <t>For females aged less than 45 years, methods of suicide used were similar to males of the same age. From 1996 to 2016 the use of hanging, strangulation and suffocation increased for this group. In the older life-stage groups the use of poisoning was more prominent among females, with the proportion of females using poisoning from solids and liquids increasing with each life-stage group.</t>
  </si>
  <si>
    <t>Those with significantly lower rates than the national suicide rate were Waitemata, Auckland, Counties Manukau and Capital &amp; Coast DHBs.</t>
  </si>
  <si>
    <r>
      <rPr>
        <sz val="10"/>
        <rFont val="Symbol"/>
        <family val="1"/>
        <charset val="2"/>
      </rPr>
      <t>·</t>
    </r>
    <r>
      <rPr>
        <sz val="10"/>
        <rFont val="Arial"/>
        <family val="2"/>
      </rPr>
      <t xml:space="preserve">  Māori, 17.1 per 100,000 Māori</t>
    </r>
  </si>
  <si>
    <r>
      <rPr>
        <sz val="10"/>
        <rFont val="Symbol"/>
        <family val="1"/>
        <charset val="2"/>
      </rPr>
      <t>·</t>
    </r>
    <r>
      <rPr>
        <sz val="10"/>
        <rFont val="Arial"/>
        <family val="2"/>
      </rPr>
      <t xml:space="preserve">  Pacific, 8.1 per 100,000 Pacific</t>
    </r>
  </si>
  <si>
    <r>
      <rPr>
        <sz val="10"/>
        <rFont val="Symbol"/>
        <family val="1"/>
        <charset val="2"/>
      </rPr>
      <t>·</t>
    </r>
    <r>
      <rPr>
        <sz val="10"/>
        <rFont val="Arial"/>
        <family val="2"/>
      </rPr>
      <t xml:space="preserve">  Asian, 4.2 per 100,000 Asian</t>
    </r>
  </si>
  <si>
    <r>
      <rPr>
        <sz val="10"/>
        <rFont val="Symbol"/>
        <family val="1"/>
        <charset val="2"/>
      </rPr>
      <t>·</t>
    </r>
    <r>
      <rPr>
        <sz val="10"/>
        <rFont val="Arial"/>
        <family val="2"/>
      </rPr>
      <t xml:space="preserve">  Other, 11.3 per 100,000 Other.</t>
    </r>
  </si>
  <si>
    <t xml:space="preserve">From 2007 to 2016 the rate of suicide in rural areas was generally higher than in urban areas. However, from 2011, there were only small differences in rates between rural and urban areas across all life-stage groups. 
</t>
  </si>
  <si>
    <t>Rates of suicide (for the five-year period 2012–2016) were higher for Māori than other ethnic groups:</t>
  </si>
  <si>
    <t>Note because of small numbers in some ethnic groups data in this section has been aggregated for the five-year period (2012–2016).</t>
  </si>
  <si>
    <t>Note in this section New Zealand data is for 2016, but data from other countries may be from different years.</t>
  </si>
  <si>
    <t xml:space="preserve">Internationally, males from New Zealand had the 17th highest suicide rate among countries in the Organisation for Economic Co-operation and Development (OECD). The four highest rates were for Lithuania, Republic of Korea, Latvia and Slovenia. 
</t>
  </si>
  <si>
    <t>Female youth from New Zealand had the highest rate of suicide among OECD countries, and male youth the 3rd highest rate.</t>
  </si>
  <si>
    <t xml:space="preserve">The most common methods used were hanging, strangulation and suffocation (84%). </t>
  </si>
  <si>
    <t>The most common methods used were hanging, strangulation and suffocation (52%). The use of poisoning (all types) and firearms were more common in this group than in the other ethnic groups (25% and 11% respectively).</t>
  </si>
  <si>
    <t>For Māori and non-Māori males and females, the most common methods of suicide used from 1996 to 2016 were hanging, strangulation and suffocation. 
Poisoning by solids and liquids was also common among non-Māori females.</t>
  </si>
  <si>
    <t>Age-standardised suicide rates for Māori, by deprivation quintiles 2–5, 2007–2016</t>
  </si>
  <si>
    <t>The rate of suicide for Māori by deprivation quintile fluctuated from 2007 to 2016, but rates for Māori were mostly higher than non-Māori for equivalent quintiles in nearly all years.</t>
  </si>
  <si>
    <t>The difference in rates of suicide between Māori and non-Māori was most notable in the youth age group (15–24 years). 
In 2016, the rate for Māori youth was almost three times that for non-Māori youth. The trend was true for both Māori male and females in this age group.</t>
  </si>
  <si>
    <t>The most notable change was for males in rural areas. The rate for this group reduced from a peak of 26.6 per 100,000 in 2010, to a rate maintained at or below 20.0 per 100,000 since 2012.</t>
  </si>
  <si>
    <t>Females from New Zealand had the 6th equal highest suicide rate (the same rate as Sweden), behind Republic of Korea, Japan, Belgium, Norway and Finland.</t>
  </si>
  <si>
    <t>As with other ethnic groups, the most common methods used were hanging, strangulation and suffocation (68%).</t>
  </si>
  <si>
    <t>From 1996 to 2016, the rate of suicide decreased significantly from 14.2 to 11.3 per 100,000 population, a decrease of 20%. The peak rate during this period was in 1998 (15.0 per 100,000) and the lowest rate was in 2014 (10.8 per 100,000).</t>
  </si>
  <si>
    <t>The rate of suicide for males decreased significantly (26%), from 22.9 per 100,000 males in 1996 to 17.0 per 100,000 males in 2016. During the same time period the rate for females did not change markedly.</t>
  </si>
  <si>
    <t xml:space="preserve">From 1996 to 2016, suicide rates for Māori fluctuated, but were significantly higher than for non-Māori for the majority of the period.
Over this time, suicide rates for Māori tended to be highest for males, those aged 15–44 years, and those living in more deprived areas. </t>
  </si>
  <si>
    <t xml:space="preserve">From 1996 to 2016, Māori males had the highest rate of suicide. Over this time, the rate for Māori females generally increased while the rate for non-Māori females stayed about the same. In 2016, the rate for Māori males was twice that for non-Māori males (a significant difference).
</t>
  </si>
  <si>
    <t xml:space="preserve">Rates of suicide for both Māori and non-Māori were generally higher in the most deprived areas of New Zealand. Rates for Māori living in the most deprived areas increased in 2015 and 2016, with the 2016 rate for this group at the highest level in the last 10 years (25.1 per 100,000). </t>
  </si>
  <si>
    <t>Suicide rates for the Other ethnic group were similar among males in the youth and mid-life age groups (those aged 15–64 years), and less in those aged 65+ years. Rates for females were lower than for males, but followed a similar trend.</t>
  </si>
  <si>
    <t>Numbers and rates of suicide deaths by DHB region for all ages, and numbers of suicide deaths by DHB for youth aged 15–24 years, are shown for the five-year period 2012 to 2016.</t>
  </si>
  <si>
    <t xml:space="preserve">For the following graph and table, the numbers and rates of suicide have been aggregated over a five-year period 2012 to 2016.
Rates have been aggregated as some ethnic groups have very small numbers of suicide deaths each year.  
</t>
  </si>
  <si>
    <t>Of all the life-stage age groups, adults aged 65+ years generally had the lowest rate of suicide. The suicide rate in this age group decreased by 41% from 1996 to 2016.  
The rate of suicide for those aged 65+ years was fairly static in the ten years to 2016 (generally between 9–10 suicide deaths per 100,000). Like other life-stage groups, rates for men were higher than rates for women.</t>
  </si>
  <si>
    <t>From 2007 to 2016, the rate of suicide for males living in quintile 5 (the most deprived areas) was around twice as high as for males living in quintile 1 (the least deprived areas). For females living in quintile 5, the rate varied between 1.3 and 5.7 times the rate for females living in quintile 1 over the 10 year period.</t>
  </si>
  <si>
    <t>In 2016, those aged 15–24 years living in quintile 4, had the highest rate of suicide of all the life-stage groups. Those aged 25−44 years had the largest difference in rate between those living in the most and least deprived areas. For those aged 45–64 years, the rate of suicide increased in the last five years from 15.7 per 100,000 in 2012 to 22.6 per 100,000 in 2016.</t>
  </si>
  <si>
    <t>Rates of suicide for different life-stage groups changed over time. In 1996 there were marked differences when comparing the suicide rate for youth aged 15–24 years, to those aged 25–44 years and to those aged 45–64 years. However for the years from 2013 there were only small differences between rates for these three life-stage groups.</t>
  </si>
  <si>
    <t>Source:  New Zealand Mortality Collection</t>
  </si>
  <si>
    <r>
      <t xml:space="preserve">Suicide rates for New Zealand total population and youth are compared to those from other countries in the Organisation for Economic Co-operation and Development (OECD). Rates are for single years, and cover various years, as data becomes available at different times for different countries. 
A cautious approach is recommended when comparing international suicide statistics because many factors affect the recording and classification of suicide in different countries (refer to the About tab for more information). 
</t>
    </r>
    <r>
      <rPr>
        <b/>
        <sz val="10"/>
        <color theme="1"/>
        <rFont val="Symbol"/>
        <family val="1"/>
        <charset val="2"/>
      </rPr>
      <t xml:space="preserve">·  </t>
    </r>
    <r>
      <rPr>
        <b/>
        <sz val="10"/>
        <color theme="1"/>
        <rFont val="Arial"/>
        <family val="2"/>
      </rPr>
      <t xml:space="preserve">The rate of suicide for males from New Zealand ranked 17th highest in the OECD. 
</t>
    </r>
    <r>
      <rPr>
        <b/>
        <sz val="10"/>
        <color theme="1"/>
        <rFont val="Symbol"/>
        <family val="1"/>
        <charset val="2"/>
      </rPr>
      <t>·</t>
    </r>
    <r>
      <rPr>
        <b/>
        <sz val="10"/>
        <color theme="1"/>
        <rFont val="Arial"/>
        <family val="2"/>
      </rPr>
      <t xml:space="preserve">  Females from New Zealand had the 6th equal highest rate.
For youth, 
</t>
    </r>
    <r>
      <rPr>
        <b/>
        <sz val="10"/>
        <color theme="1"/>
        <rFont val="Symbol"/>
        <family val="1"/>
        <charset val="2"/>
      </rPr>
      <t>·</t>
    </r>
    <r>
      <rPr>
        <b/>
        <sz val="10"/>
        <color theme="1"/>
        <rFont val="Arial"/>
        <family val="2"/>
      </rPr>
      <t xml:space="preserve">  The rate of suicide for male youth from New Zealand ranked 3rd highest in the OECD. 
</t>
    </r>
    <r>
      <rPr>
        <b/>
        <sz val="10"/>
        <color theme="1"/>
        <rFont val="Symbol"/>
        <family val="1"/>
        <charset val="2"/>
      </rPr>
      <t xml:space="preserve">·  </t>
    </r>
    <r>
      <rPr>
        <b/>
        <sz val="10"/>
        <color theme="1"/>
        <rFont val="Arial"/>
        <family val="2"/>
      </rPr>
      <t>Female youth from New Zealand had the highest rate in the OECD.</t>
    </r>
  </si>
  <si>
    <r>
      <t xml:space="preserve">All New Zealand suicide data in these tables was extracted from the Ministry of Health’s Mortality Collection (MORT) on </t>
    </r>
    <r>
      <rPr>
        <sz val="9"/>
        <rFont val="Arial"/>
        <family val="2"/>
      </rPr>
      <t>10 July 2019</t>
    </r>
    <r>
      <rPr>
        <sz val="9"/>
        <color rgb="FFFF0000"/>
        <rFont val="Arial"/>
        <family val="2"/>
      </rPr>
      <t>.</t>
    </r>
    <r>
      <rPr>
        <sz val="9"/>
        <color theme="1"/>
        <rFont val="Arial"/>
        <family val="2"/>
      </rPr>
      <t xml:space="preserve"> International data for other Organisation for Economic Co-operation and Development (OECD) countries was sourced from the World Health Organisation website .
</t>
    </r>
  </si>
  <si>
    <t>In 2016, the rate of suicide for male Māori youth was higher than the rate for female Māori youth. Although rates of suicide fluctuated year-on-year, rates for female Māori youth increased from 1996 to 2016, while rates for male Māori youth decreased (these differences in rates over time were not significant).</t>
  </si>
  <si>
    <t>DHB5yrNatRate</t>
  </si>
  <si>
    <t>Rates are not shown for Pacific living in deprivation quintile 1, 2 and 3 areas, and Asian and Māori living in deprivation quintile 1 areas, as the numbers of suicide deaths in these categories were too small to produce stable rates.</t>
  </si>
  <si>
    <t xml:space="preserve">Two in every five (41%) male deaths in the youth age group (15–24 years) was by suicide. </t>
  </si>
  <si>
    <t>Almost one in three female deaths (27%) in the youth age group was by suicide.</t>
  </si>
  <si>
    <t>One in two Māori male deaths (51%) in the youth age group was by suicide. The rate of suicide for Māori males was more than twice as high as the rate for non-Māori males.</t>
  </si>
  <si>
    <t xml:space="preserve">CI </t>
  </si>
  <si>
    <t>upper</t>
  </si>
  <si>
    <t>lower</t>
  </si>
  <si>
    <t xml:space="preserve">For Pacific, the rate of suicide for those aged 15–24 years was significantly higher than for those in the older age groups.
The highest rates of suicide in this ethnic group were for males aged 15–24 (26.1 per 100,000) and males aged 25–44 years (16.3 per 100,000). </t>
  </si>
  <si>
    <t xml:space="preserve">ci </t>
  </si>
  <si>
    <t>Rates of suicide have been described above for Māori for single years, with similar trends showing for data aggregated over the five-year period.  
For Māori, rates were higher than other ethnic groups for males aged 15–44 years and those living in the most deprived areas. 
Māori females aged 15–44 years had higher suicide rates than females of the same age in other ethnic groups.
The rate of suicide for older Māori (those aged 45–64 years) was significantly lower (around three times lower) than the rates for Māori in the younger age groups (15–24 years and 25–44 years).</t>
  </si>
  <si>
    <t>Numbers and distribution of suicide deaths by methods used, sex and life-stage group, 1996–2016</t>
  </si>
  <si>
    <t>Rates are expressed per 100,000 population.
Five-year age group rates are not shown for females aged 10–14 years, and females aged 60 years and over. The number of suicide deaths 
in these age groups was too small to produce stable rates. There were no suicides among those aged 0–9 years.</t>
  </si>
  <si>
    <t>There were no suicides among those aged 0–9 years in 2016.</t>
  </si>
  <si>
    <t>Rates are not calculated where a category has fewer than five suicide deaths. Calculating rates of suicide from fewer than five suicide deaths produces unstable rates. There were no suicides among those aged 0–9 years in 2016.</t>
  </si>
  <si>
    <t>Data excludes eight suicides among those aged 0–14 years.</t>
  </si>
  <si>
    <t>Rates exclude eight suicides among those aged 0–14 years.</t>
  </si>
  <si>
    <t>Distribution of suicide deaths is shown by methods of suicide used, for all ages and for life-stage group.</t>
  </si>
  <si>
    <t>Data excludes suicides among those aged 0–14 years and those where rurality is unknown.</t>
  </si>
  <si>
    <t>Distribution (%) of suicide deaths by methods used is also shown for each ethnic group for the aggregated period, 2012–2016.</t>
  </si>
  <si>
    <t>For the five year period from 2012–2016, DHB regions with significantly higher rates than the national suicide rate were Northland, Lakes, Bay of Plenty, Hawke's Bay, MidCentral, and West Coast DHBs. Rates of suicide may be influenced by differences in population age, ethnicity and deprivation across DHBs.</t>
  </si>
  <si>
    <t xml:space="preserve">In New Zealand, a death is only officially classified as suicide by the coroner on completion of the coroner’s inquiry and, in some cases, there may be a significant delay in the time taken for the inquiry to be heard. Consequently, a provisional suicide classification may be made before the coroner has reached a finding. The Ministry of Health publishes the number of suicides that have been confirmed by the coroner and also those provisionally coded as suicide where there is enough information to suggest the coroner will find the cause of death to be suicide.
These tables present data about suicide deaths in New Zealand over the time period from 1996 to 2016. The focus is on time trend data, with key statistical information about common demographic variables, such as age, sex, ethnicity, district health board region of residence (DHB region) and neighbourhood deprivation presented through graphs.  Both numbers and rates for this data are available in tables to the right of the graphs. In these tables, we extracted data on suicides between 1996 and 2016 and recalculated the rates for all years to reflect ongoing updates to data in the New Zealand Mortality Collection (for example, following the release of coroners' findings) and the revision of population estimates following each census. As a result there may be small changes to some numbers and rates from those in previous publications. Please note that at the date this data was extracted there were 21 deaths for 2016 with no known cause awaiting coroners’ findings.
</t>
  </si>
  <si>
    <t xml:space="preserve">Differences in the rates of suicide between those living in rural and urban areas decreased over time, most markedly among male youth.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</si>
</sst>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4">
    <font>
      <sz val="10"/>
      <color theme="1"/>
      <name val="Arial"/>
      <family val="2"/>
    </font>
    <font>
      <b/>
      <sz val="10"/>
      <color theme="1"/>
      <name val="Arial"/>
      <family val="2"/>
    </font>
    <font>
      <u/>
      <sz val="10"/>
      <color theme="10"/>
      <name val="Arial"/>
      <family val="2"/>
    </font>
    <font>
      <sz val="11"/>
      <color theme="1"/>
      <name val="Arial"/>
      <family val="2"/>
    </font>
    <font>
      <sz val="10"/>
      <color theme="0" tint="-0.499984740745262"/>
      <name val="Arial"/>
      <family val="2"/>
    </font>
    <font>
      <sz val="10"/>
      <name val="Arial"/>
      <family val="2"/>
    </font>
    <font>
      <sz val="9"/>
      <name val="Arial"/>
      <family val="2"/>
    </font>
    <font>
      <b/>
      <sz val="9"/>
      <name val="Arial"/>
      <family val="2"/>
    </font>
    <font>
      <b/>
      <sz val="10"/>
      <name val="Arial"/>
      <family val="2"/>
    </font>
    <font>
      <b/>
      <sz val="11"/>
      <name val="Arial"/>
      <family val="2"/>
    </font>
    <font>
      <b/>
      <sz val="9"/>
      <color theme="1"/>
      <name val="Arial"/>
      <family val="2"/>
    </font>
    <font>
      <sz val="9"/>
      <color theme="1"/>
      <name val="Arial"/>
      <family val="2"/>
    </font>
    <font>
      <sz val="8"/>
      <color rgb="FF000000"/>
      <name val="Segoe UI"/>
      <family val="2"/>
    </font>
    <font>
      <b/>
      <sz val="12"/>
      <color theme="1"/>
      <name val="Arial"/>
      <family val="2"/>
    </font>
    <font>
      <b/>
      <sz val="11"/>
      <color theme="1"/>
      <name val="Arial"/>
      <family val="2"/>
    </font>
    <font>
      <sz val="8"/>
      <color theme="1"/>
      <name val="Arial"/>
      <family val="2"/>
    </font>
    <font>
      <sz val="8"/>
      <name val="Arial"/>
      <family val="2"/>
    </font>
    <font>
      <sz val="10"/>
      <color rgb="FFFF0000"/>
      <name val="Arial"/>
      <family val="2"/>
    </font>
    <font>
      <sz val="9"/>
      <color rgb="FFFF0000"/>
      <name val="Arial"/>
      <family val="2"/>
    </font>
    <font>
      <b/>
      <sz val="20"/>
      <color theme="1"/>
      <name val="Arial"/>
      <family val="2"/>
    </font>
    <font>
      <b/>
      <sz val="18"/>
      <color theme="1"/>
      <name val="Arial"/>
      <family val="2"/>
    </font>
    <font>
      <b/>
      <sz val="18"/>
      <name val="Arial"/>
      <family val="2"/>
    </font>
    <font>
      <sz val="10"/>
      <color theme="1"/>
      <name val="Arial"/>
      <family val="2"/>
    </font>
    <font>
      <i/>
      <sz val="10"/>
      <color theme="1"/>
      <name val="Arial"/>
      <family val="2"/>
    </font>
    <font>
      <sz val="11"/>
      <color theme="1"/>
      <name val="Georgia"/>
      <family val="1"/>
    </font>
    <font>
      <i/>
      <sz val="9"/>
      <color theme="1"/>
      <name val="Arial"/>
      <family val="2"/>
    </font>
    <font>
      <sz val="10"/>
      <name val="Arial Narrow"/>
      <family val="2"/>
    </font>
    <font>
      <sz val="11"/>
      <color theme="1"/>
      <name val="Calibri"/>
      <family val="2"/>
      <scheme val="minor"/>
    </font>
    <font>
      <sz val="9"/>
      <color theme="0" tint="-0.499984740745262"/>
      <name val="Arial"/>
      <family val="2"/>
    </font>
    <font>
      <b/>
      <sz val="10"/>
      <color theme="1"/>
      <name val="Symbol"/>
      <family val="1"/>
      <charset val="2"/>
    </font>
    <font>
      <sz val="10"/>
      <color theme="1"/>
      <name val="Symbol"/>
      <family val="1"/>
      <charset val="2"/>
    </font>
    <font>
      <b/>
      <sz val="9"/>
      <color theme="1" tint="0.14999847407452621"/>
      <name val="Arial"/>
      <family val="2"/>
    </font>
    <font>
      <sz val="10"/>
      <color rgb="FFE6E6E6"/>
      <name val="Arial"/>
      <family val="2"/>
    </font>
    <font>
      <b/>
      <sz val="10"/>
      <color theme="0"/>
      <name val="Arial"/>
      <family val="2"/>
    </font>
    <font>
      <sz val="10"/>
      <color theme="0"/>
      <name val="Arial"/>
      <family val="2"/>
    </font>
    <font>
      <b/>
      <sz val="9"/>
      <color theme="0"/>
      <name val="Arial"/>
      <family val="2"/>
    </font>
    <font>
      <sz val="9"/>
      <color theme="0"/>
      <name val="Arial"/>
      <family val="2"/>
    </font>
    <font>
      <u/>
      <sz val="9"/>
      <color theme="10"/>
      <name val="Arial"/>
      <family val="2"/>
    </font>
    <font>
      <b/>
      <sz val="10"/>
      <color rgb="FFFF0000"/>
      <name val="Arial"/>
      <family val="2"/>
    </font>
    <font>
      <u/>
      <sz val="8"/>
      <color theme="10"/>
      <name val="Arial"/>
      <family val="2"/>
    </font>
    <font>
      <i/>
      <sz val="9"/>
      <name val="Arial"/>
      <family val="2"/>
    </font>
    <font>
      <sz val="10"/>
      <name val="Arial"/>
      <family val="1"/>
      <charset val="2"/>
    </font>
    <font>
      <sz val="10"/>
      <name val="Symbol"/>
      <family val="1"/>
      <charset val="2"/>
    </font>
    <font>
      <i/>
      <sz val="10"/>
      <name val="Arial"/>
      <family val="2"/>
    </font>
    <font>
      <sz val="10"/>
      <color theme="1" tint="0.499984740745262"/>
      <name val="Arial"/>
      <family val="2"/>
    </font>
    <font>
      <b/>
      <sz val="9"/>
      <color theme="1" tint="0.499984740745262"/>
      <name val="Arial"/>
      <family val="2"/>
    </font>
    <font>
      <sz val="9"/>
      <color theme="1" tint="0.499984740745262"/>
      <name val="Arial"/>
      <family val="2"/>
    </font>
    <font>
      <b/>
      <i/>
      <sz val="10"/>
      <color theme="1" tint="0.499984740745262"/>
      <name val="Arial"/>
      <family val="2"/>
    </font>
    <font>
      <i/>
      <sz val="10"/>
      <color theme="1" tint="0.499984740745262"/>
      <name val="Arial"/>
      <family val="2"/>
    </font>
    <font>
      <sz val="10"/>
      <color theme="0" tint="-0.14999847407452621"/>
      <name val="Arial"/>
      <family val="2"/>
    </font>
    <font>
      <b/>
      <sz val="10"/>
      <color theme="0" tint="-0.14999847407452621"/>
      <name val="Arial"/>
      <family val="2"/>
    </font>
    <font>
      <b/>
      <sz val="9"/>
      <color theme="0" tint="-0.14999847407452621"/>
      <name val="Arial"/>
      <family val="2"/>
    </font>
    <font>
      <sz val="9"/>
      <color theme="0" tint="-0.14999847407452621"/>
      <name val="Arial"/>
      <family val="2"/>
    </font>
    <font>
      <sz val="8"/>
      <color theme="0" tint="-0.14999847407452621"/>
      <name val="Arial"/>
      <family val="2"/>
    </font>
  </fonts>
  <fills count="7">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rgb="FFE7E6E6"/>
        <bgColor indexed="64"/>
      </patternFill>
    </fill>
    <fill>
      <patternFill patternType="solid">
        <fgColor theme="0" tint="-4.9989318521683403E-2"/>
        <bgColor indexed="64"/>
      </patternFill>
    </fill>
    <fill>
      <patternFill patternType="solid">
        <fgColor rgb="FFE6E6E6"/>
        <bgColor indexed="64"/>
      </patternFill>
    </fill>
  </fills>
  <borders count="10">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9">
    <xf numFmtId="0" fontId="0" fillId="0" borderId="0"/>
    <xf numFmtId="0" fontId="2" fillId="0" borderId="0" applyNumberFormat="0" applyFill="0" applyBorder="0" applyAlignment="0" applyProtection="0"/>
    <xf numFmtId="0" fontId="22" fillId="0" borderId="0"/>
    <xf numFmtId="0" fontId="26" fillId="0" borderId="0"/>
    <xf numFmtId="0" fontId="27" fillId="0" borderId="0"/>
    <xf numFmtId="0" fontId="22" fillId="0" borderId="0"/>
    <xf numFmtId="0" fontId="22" fillId="0" borderId="0"/>
    <xf numFmtId="0" fontId="22" fillId="0" borderId="0"/>
    <xf numFmtId="0" fontId="22" fillId="0" borderId="0"/>
  </cellStyleXfs>
  <cellXfs count="694">
    <xf numFmtId="0" fontId="0" fillId="0" borderId="0" xfId="0"/>
    <xf numFmtId="0" fontId="0" fillId="0" borderId="0" xfId="0" applyFill="1" applyBorder="1"/>
    <xf numFmtId="0" fontId="0" fillId="0" borderId="0" xfId="0" applyFont="1" applyAlignment="1">
      <alignment horizontal="left"/>
    </xf>
    <xf numFmtId="0" fontId="3" fillId="0" borderId="0" xfId="0" applyFont="1" applyAlignment="1">
      <alignment horizontal="left"/>
    </xf>
    <xf numFmtId="0" fontId="0" fillId="0" borderId="0" xfId="0" applyFont="1" applyFill="1" applyBorder="1" applyAlignment="1">
      <alignment horizontal="left"/>
    </xf>
    <xf numFmtId="0" fontId="0" fillId="0" borderId="0" xfId="0" applyFill="1"/>
    <xf numFmtId="0" fontId="4" fillId="0" borderId="0" xfId="0" applyFont="1" applyFill="1"/>
    <xf numFmtId="0" fontId="4" fillId="0" borderId="0" xfId="0" applyFont="1" applyFill="1" applyBorder="1"/>
    <xf numFmtId="0" fontId="5" fillId="2" borderId="0" xfId="0" applyFont="1" applyFill="1" applyBorder="1"/>
    <xf numFmtId="0" fontId="5" fillId="2" borderId="0" xfId="0" applyFont="1" applyFill="1"/>
    <xf numFmtId="0" fontId="6" fillId="2" borderId="0" xfId="0" applyFont="1" applyFill="1"/>
    <xf numFmtId="0" fontId="6" fillId="2" borderId="0" xfId="0" applyFont="1" applyFill="1" applyBorder="1"/>
    <xf numFmtId="0" fontId="0" fillId="2" borderId="0" xfId="0" applyFill="1"/>
    <xf numFmtId="0" fontId="7" fillId="2" borderId="0" xfId="0" applyFont="1" applyFill="1" applyBorder="1"/>
    <xf numFmtId="164" fontId="6" fillId="2" borderId="0" xfId="0" applyNumberFormat="1" applyFont="1" applyFill="1" applyBorder="1"/>
    <xf numFmtId="0" fontId="5" fillId="2" borderId="1" xfId="0" applyFont="1" applyFill="1" applyBorder="1"/>
    <xf numFmtId="0" fontId="6" fillId="2" borderId="1" xfId="0" applyFont="1" applyFill="1" applyBorder="1"/>
    <xf numFmtId="0" fontId="7" fillId="2" borderId="1" xfId="0" applyFont="1" applyFill="1" applyBorder="1"/>
    <xf numFmtId="0" fontId="6" fillId="2" borderId="0" xfId="0" applyFont="1" applyFill="1" applyAlignment="1">
      <alignment horizontal="left"/>
    </xf>
    <xf numFmtId="0" fontId="6" fillId="2" borderId="0" xfId="0" applyFont="1" applyFill="1" applyBorder="1" applyAlignment="1">
      <alignment horizontal="left"/>
    </xf>
    <xf numFmtId="0" fontId="0" fillId="2" borderId="1" xfId="0" applyFill="1" applyBorder="1"/>
    <xf numFmtId="164" fontId="6" fillId="2" borderId="1" xfId="0" applyNumberFormat="1" applyFont="1" applyFill="1" applyBorder="1"/>
    <xf numFmtId="0" fontId="10" fillId="2" borderId="0" xfId="0" applyFont="1" applyFill="1"/>
    <xf numFmtId="0" fontId="1" fillId="2" borderId="0" xfId="0" applyFont="1" applyFill="1"/>
    <xf numFmtId="0" fontId="11" fillId="2" borderId="0" xfId="0" applyFont="1" applyFill="1"/>
    <xf numFmtId="0" fontId="11" fillId="2" borderId="0" xfId="0" applyFont="1" applyFill="1" applyAlignment="1">
      <alignment horizontal="left"/>
    </xf>
    <xf numFmtId="0" fontId="11" fillId="2" borderId="1" xfId="0" applyFont="1" applyFill="1" applyBorder="1"/>
    <xf numFmtId="164" fontId="11" fillId="2" borderId="0" xfId="0" applyNumberFormat="1" applyFont="1" applyFill="1"/>
    <xf numFmtId="0" fontId="11" fillId="2" borderId="1" xfId="0" applyFont="1" applyFill="1" applyBorder="1" applyAlignment="1">
      <alignment horizontal="left"/>
    </xf>
    <xf numFmtId="164" fontId="11" fillId="2" borderId="1" xfId="0" applyNumberFormat="1" applyFont="1" applyFill="1" applyBorder="1"/>
    <xf numFmtId="0" fontId="11" fillId="2" borderId="0" xfId="0" applyFont="1" applyFill="1" applyBorder="1"/>
    <xf numFmtId="0" fontId="11" fillId="2" borderId="0" xfId="0" applyFont="1" applyFill="1" applyBorder="1" applyAlignment="1">
      <alignment horizontal="left"/>
    </xf>
    <xf numFmtId="164" fontId="11" fillId="2" borderId="0" xfId="0" applyNumberFormat="1" applyFont="1" applyFill="1" applyBorder="1"/>
    <xf numFmtId="0" fontId="0" fillId="2" borderId="0" xfId="0" applyFill="1" applyBorder="1"/>
    <xf numFmtId="0" fontId="10" fillId="2" borderId="0" xfId="0" applyFont="1" applyFill="1" applyBorder="1"/>
    <xf numFmtId="164" fontId="0" fillId="2" borderId="0" xfId="0" applyNumberFormat="1" applyFill="1" applyBorder="1"/>
    <xf numFmtId="164" fontId="11" fillId="2" borderId="0" xfId="0" applyNumberFormat="1" applyFont="1" applyFill="1" applyAlignment="1">
      <alignment horizontal="right"/>
    </xf>
    <xf numFmtId="0" fontId="0" fillId="2" borderId="0" xfId="0" applyFill="1" applyAlignment="1">
      <alignment horizontal="right"/>
    </xf>
    <xf numFmtId="164" fontId="11" fillId="2" borderId="1" xfId="0" applyNumberFormat="1" applyFont="1" applyFill="1" applyBorder="1" applyAlignment="1">
      <alignment horizontal="right"/>
    </xf>
    <xf numFmtId="0" fontId="13" fillId="2" borderId="0" xfId="0" applyFont="1" applyFill="1"/>
    <xf numFmtId="164" fontId="0" fillId="2" borderId="0" xfId="0" applyNumberFormat="1" applyFill="1"/>
    <xf numFmtId="164" fontId="0" fillId="2" borderId="0" xfId="0" applyNumberFormat="1" applyFill="1" applyAlignment="1">
      <alignment horizontal="right"/>
    </xf>
    <xf numFmtId="0" fontId="0" fillId="2" borderId="1" xfId="0" applyFill="1" applyBorder="1" applyAlignment="1">
      <alignment horizontal="right"/>
    </xf>
    <xf numFmtId="0" fontId="0" fillId="2" borderId="1" xfId="0" applyFill="1" applyBorder="1" applyAlignment="1">
      <alignment horizontal="left"/>
    </xf>
    <xf numFmtId="0" fontId="0" fillId="2" borderId="0" xfId="0" applyFill="1" applyAlignment="1">
      <alignment horizontal="left"/>
    </xf>
    <xf numFmtId="164" fontId="11" fillId="2" borderId="0" xfId="0" applyNumberFormat="1" applyFont="1" applyFill="1" applyBorder="1" applyAlignment="1">
      <alignment horizontal="right"/>
    </xf>
    <xf numFmtId="0" fontId="11" fillId="2" borderId="0" xfId="0" applyFont="1" applyFill="1" applyAlignment="1">
      <alignment horizontal="right"/>
    </xf>
    <xf numFmtId="164" fontId="11" fillId="2" borderId="0" xfId="0" quotePrefix="1" applyNumberFormat="1" applyFont="1" applyFill="1" applyAlignment="1">
      <alignment horizontal="right"/>
    </xf>
    <xf numFmtId="0" fontId="10" fillId="2" borderId="0" xfId="0" applyFont="1" applyFill="1" applyAlignment="1">
      <alignment horizontal="right"/>
    </xf>
    <xf numFmtId="164" fontId="10" fillId="2" borderId="0" xfId="0" applyNumberFormat="1" applyFont="1" applyFill="1" applyAlignment="1">
      <alignment horizontal="right"/>
    </xf>
    <xf numFmtId="0" fontId="15" fillId="2" borderId="0" xfId="0" applyFont="1" applyFill="1"/>
    <xf numFmtId="0" fontId="16" fillId="2" borderId="0" xfId="0" applyFont="1" applyFill="1"/>
    <xf numFmtId="0" fontId="6" fillId="2" borderId="0" xfId="0" applyFont="1" applyFill="1" applyBorder="1" applyAlignment="1">
      <alignment wrapText="1"/>
    </xf>
    <xf numFmtId="0" fontId="0" fillId="2" borderId="0" xfId="0" applyFont="1" applyFill="1"/>
    <xf numFmtId="0" fontId="15" fillId="2" borderId="1" xfId="0" applyFont="1" applyFill="1" applyBorder="1"/>
    <xf numFmtId="0" fontId="11" fillId="2" borderId="2" xfId="0" applyFont="1" applyFill="1" applyBorder="1" applyAlignment="1">
      <alignment horizontal="left"/>
    </xf>
    <xf numFmtId="0" fontId="11" fillId="2" borderId="2" xfId="0" applyFont="1" applyFill="1" applyBorder="1"/>
    <xf numFmtId="0" fontId="5" fillId="0" borderId="0" xfId="0" applyFont="1" applyFill="1"/>
    <xf numFmtId="0" fontId="5" fillId="0" borderId="0" xfId="0" applyFont="1" applyFill="1" applyBorder="1"/>
    <xf numFmtId="0" fontId="16" fillId="0" borderId="0" xfId="0" applyFont="1" applyFill="1"/>
    <xf numFmtId="0" fontId="15" fillId="0" borderId="0" xfId="0" applyFont="1" applyFill="1"/>
    <xf numFmtId="0" fontId="6" fillId="0" borderId="0" xfId="0" applyFont="1" applyFill="1"/>
    <xf numFmtId="0" fontId="6" fillId="0" borderId="0" xfId="0" applyFont="1" applyFill="1" applyBorder="1"/>
    <xf numFmtId="0" fontId="18" fillId="2" borderId="0" xfId="0" applyFont="1" applyFill="1"/>
    <xf numFmtId="0" fontId="17" fillId="2" borderId="0" xfId="0" applyFont="1" applyFill="1"/>
    <xf numFmtId="2" fontId="18" fillId="2" borderId="0" xfId="0" applyNumberFormat="1" applyFont="1" applyFill="1" applyBorder="1"/>
    <xf numFmtId="0" fontId="17" fillId="2" borderId="0" xfId="0" applyFont="1" applyFill="1" applyBorder="1"/>
    <xf numFmtId="0" fontId="6" fillId="2" borderId="0" xfId="0" applyFont="1" applyFill="1" applyBorder="1" applyAlignment="1">
      <alignment horizontal="left" vertical="center" indent="1"/>
    </xf>
    <xf numFmtId="2" fontId="0" fillId="2" borderId="0" xfId="0" applyNumberFormat="1" applyFill="1"/>
    <xf numFmtId="2" fontId="17" fillId="2" borderId="0" xfId="0" applyNumberFormat="1" applyFont="1" applyFill="1"/>
    <xf numFmtId="0" fontId="0" fillId="3" borderId="0" xfId="0" applyFill="1"/>
    <xf numFmtId="1" fontId="0" fillId="2" borderId="0" xfId="0" applyNumberFormat="1" applyFill="1" applyAlignment="1">
      <alignment horizontal="right"/>
    </xf>
    <xf numFmtId="164" fontId="1" fillId="2" borderId="0" xfId="0" applyNumberFormat="1" applyFont="1" applyFill="1" applyAlignment="1">
      <alignment horizontal="right"/>
    </xf>
    <xf numFmtId="1" fontId="4" fillId="2" borderId="0" xfId="0" applyNumberFormat="1" applyFont="1" applyFill="1" applyAlignment="1">
      <alignment horizontal="right"/>
    </xf>
    <xf numFmtId="0" fontId="8" fillId="3" borderId="0" xfId="0" applyFont="1" applyFill="1"/>
    <xf numFmtId="0" fontId="0" fillId="3" borderId="0" xfId="0" applyFill="1" applyBorder="1"/>
    <xf numFmtId="0" fontId="1" fillId="3" borderId="0" xfId="0" applyFont="1" applyFill="1"/>
    <xf numFmtId="0" fontId="5" fillId="3" borderId="0" xfId="0" applyFont="1" applyFill="1"/>
    <xf numFmtId="0" fontId="16" fillId="3" borderId="0" xfId="0" applyFont="1" applyFill="1"/>
    <xf numFmtId="0" fontId="5" fillId="3" borderId="0" xfId="0" applyFont="1" applyFill="1" applyBorder="1"/>
    <xf numFmtId="164" fontId="0" fillId="0" borderId="0" xfId="0" applyNumberFormat="1"/>
    <xf numFmtId="0" fontId="15" fillId="3" borderId="0" xfId="0" applyFont="1" applyFill="1"/>
    <xf numFmtId="0" fontId="6" fillId="3" borderId="0" xfId="0" applyFont="1" applyFill="1"/>
    <xf numFmtId="0" fontId="6" fillId="3" borderId="0" xfId="0" applyFont="1" applyFill="1" applyBorder="1"/>
    <xf numFmtId="0" fontId="6" fillId="2" borderId="0" xfId="0" applyFont="1" applyFill="1" applyBorder="1" applyAlignment="1">
      <alignment horizontal="left" vertical="center"/>
    </xf>
    <xf numFmtId="0" fontId="19" fillId="2" borderId="0" xfId="0" applyFont="1" applyFill="1"/>
    <xf numFmtId="0" fontId="3" fillId="3" borderId="0" xfId="0" applyFont="1" applyFill="1" applyBorder="1"/>
    <xf numFmtId="0" fontId="14" fillId="3" borderId="0" xfId="0" applyFont="1" applyFill="1" applyBorder="1"/>
    <xf numFmtId="0" fontId="9" fillId="3" borderId="0" xfId="0" applyFont="1" applyFill="1"/>
    <xf numFmtId="0" fontId="9" fillId="3" borderId="0" xfId="0" applyFont="1" applyFill="1" applyAlignment="1">
      <alignment vertical="top"/>
    </xf>
    <xf numFmtId="0" fontId="3" fillId="3" borderId="0" xfId="0" applyFont="1" applyFill="1"/>
    <xf numFmtId="0" fontId="14" fillId="3" borderId="0" xfId="0" applyFont="1" applyFill="1"/>
    <xf numFmtId="0" fontId="9" fillId="0" borderId="0" xfId="0" applyFont="1" applyFill="1"/>
    <xf numFmtId="0" fontId="6" fillId="3" borderId="0" xfId="0" applyFont="1" applyFill="1" applyBorder="1" applyAlignment="1">
      <alignment horizontal="left" indent="1"/>
    </xf>
    <xf numFmtId="0" fontId="14" fillId="3" borderId="0" xfId="0" applyFont="1" applyFill="1" applyAlignment="1">
      <alignment horizontal="left"/>
    </xf>
    <xf numFmtId="2" fontId="0" fillId="2" borderId="0" xfId="0" applyNumberFormat="1" applyFont="1" applyFill="1"/>
    <xf numFmtId="0" fontId="0" fillId="2" borderId="1" xfId="0" applyFont="1" applyFill="1" applyBorder="1"/>
    <xf numFmtId="0" fontId="0" fillId="3" borderId="0" xfId="0" applyFont="1" applyFill="1"/>
    <xf numFmtId="0" fontId="0" fillId="2" borderId="0" xfId="0" applyFill="1" applyAlignment="1">
      <alignment wrapText="1"/>
    </xf>
    <xf numFmtId="0" fontId="0" fillId="0" borderId="0" xfId="0" applyAlignment="1"/>
    <xf numFmtId="0" fontId="11" fillId="2" borderId="0" xfId="0" applyFont="1" applyFill="1" applyAlignment="1"/>
    <xf numFmtId="0" fontId="11" fillId="3" borderId="0" xfId="0" applyFont="1" applyFill="1"/>
    <xf numFmtId="0" fontId="11" fillId="3" borderId="0" xfId="0" applyFont="1" applyFill="1" applyAlignment="1">
      <alignment wrapText="1"/>
    </xf>
    <xf numFmtId="0" fontId="6" fillId="3" borderId="0" xfId="0" applyFont="1" applyFill="1" applyAlignment="1">
      <alignment horizontal="left" indent="1"/>
    </xf>
    <xf numFmtId="0" fontId="2" fillId="3" borderId="0" xfId="1" applyFill="1"/>
    <xf numFmtId="0" fontId="0" fillId="3" borderId="0" xfId="0" applyFill="1" applyBorder="1" applyAlignment="1">
      <alignment wrapText="1"/>
    </xf>
    <xf numFmtId="0" fontId="16" fillId="3" borderId="0" xfId="0" applyFont="1" applyFill="1" applyBorder="1"/>
    <xf numFmtId="0" fontId="10" fillId="3" borderId="0" xfId="0" applyFont="1" applyFill="1" applyBorder="1"/>
    <xf numFmtId="0" fontId="10" fillId="3" borderId="0" xfId="0" applyFont="1" applyFill="1"/>
    <xf numFmtId="0" fontId="1" fillId="3" borderId="0" xfId="0" applyFont="1" applyFill="1" applyAlignment="1">
      <alignment horizontal="left" vertical="top"/>
    </xf>
    <xf numFmtId="0" fontId="9" fillId="2" borderId="0" xfId="0" applyFont="1" applyFill="1"/>
    <xf numFmtId="0" fontId="0" fillId="2" borderId="0" xfId="0" applyNumberFormat="1" applyFill="1"/>
    <xf numFmtId="0" fontId="10" fillId="2" borderId="0" xfId="0" applyFont="1" applyFill="1" applyAlignment="1"/>
    <xf numFmtId="1" fontId="10" fillId="2" borderId="0" xfId="0" applyNumberFormat="1" applyFont="1" applyFill="1" applyAlignment="1">
      <alignment horizontal="right"/>
    </xf>
    <xf numFmtId="0" fontId="21" fillId="2" borderId="0" xfId="0" applyFont="1" applyFill="1"/>
    <xf numFmtId="0" fontId="20" fillId="2" borderId="0" xfId="0" applyFont="1" applyFill="1"/>
    <xf numFmtId="0" fontId="0" fillId="2" borderId="0" xfId="0" applyFont="1" applyFill="1" applyAlignment="1">
      <alignment wrapText="1"/>
    </xf>
    <xf numFmtId="0" fontId="6" fillId="2" borderId="0" xfId="0" applyFont="1" applyFill="1" applyBorder="1" applyAlignment="1">
      <alignment horizontal="right"/>
    </xf>
    <xf numFmtId="164" fontId="6" fillId="2" borderId="0" xfId="0" applyNumberFormat="1" applyFont="1" applyFill="1" applyBorder="1" applyAlignment="1">
      <alignment horizontal="right"/>
    </xf>
    <xf numFmtId="0" fontId="11" fillId="2" borderId="0" xfId="0" applyFont="1" applyFill="1" applyBorder="1" applyAlignment="1">
      <alignment horizontal="right"/>
    </xf>
    <xf numFmtId="0" fontId="10" fillId="2" borderId="0" xfId="0" applyFont="1" applyFill="1" applyAlignment="1">
      <alignment horizontal="left"/>
    </xf>
    <xf numFmtId="0" fontId="0" fillId="2" borderId="0" xfId="0" applyFill="1" applyBorder="1" applyAlignment="1">
      <alignment horizontal="left"/>
    </xf>
    <xf numFmtId="0" fontId="10" fillId="2" borderId="0" xfId="0" applyFont="1" applyFill="1" applyAlignment="1">
      <alignment horizontal="right" wrapText="1"/>
    </xf>
    <xf numFmtId="0" fontId="11" fillId="2" borderId="1" xfId="0" applyFont="1" applyFill="1" applyBorder="1" applyAlignment="1">
      <alignment horizontal="right"/>
    </xf>
    <xf numFmtId="1" fontId="11" fillId="2" borderId="0" xfId="0" applyNumberFormat="1" applyFont="1" applyFill="1" applyAlignment="1">
      <alignment horizontal="right"/>
    </xf>
    <xf numFmtId="0" fontId="0" fillId="2" borderId="0" xfId="0" applyFill="1" applyBorder="1" applyAlignment="1">
      <alignment horizontal="right"/>
    </xf>
    <xf numFmtId="0" fontId="2" fillId="2" borderId="0" xfId="1" applyFill="1"/>
    <xf numFmtId="0" fontId="14" fillId="2" borderId="0" xfId="0" applyFont="1" applyFill="1"/>
    <xf numFmtId="0" fontId="0" fillId="3" borderId="0" xfId="0" applyFont="1" applyFill="1" applyAlignment="1">
      <alignment wrapText="1"/>
    </xf>
    <xf numFmtId="0" fontId="0" fillId="3" borderId="0" xfId="0" applyFont="1" applyFill="1" applyAlignment="1">
      <alignment vertical="top"/>
    </xf>
    <xf numFmtId="164" fontId="0" fillId="2" borderId="1" xfId="0" applyNumberFormat="1" applyFill="1" applyBorder="1" applyAlignment="1">
      <alignment horizontal="right"/>
    </xf>
    <xf numFmtId="0" fontId="0" fillId="2" borderId="0" xfId="0" applyFont="1" applyFill="1" applyBorder="1"/>
    <xf numFmtId="0" fontId="15" fillId="2" borderId="0" xfId="0" applyFont="1" applyFill="1" applyBorder="1"/>
    <xf numFmtId="0" fontId="1" fillId="2" borderId="0" xfId="0" applyFont="1" applyFill="1" applyAlignment="1">
      <alignment horizontal="right"/>
    </xf>
    <xf numFmtId="0" fontId="1" fillId="2" borderId="0" xfId="0" applyFont="1" applyFill="1" applyAlignment="1">
      <alignment vertical="center"/>
    </xf>
    <xf numFmtId="0" fontId="1" fillId="2" borderId="0" xfId="0" applyFont="1" applyFill="1" applyBorder="1" applyAlignment="1">
      <alignment horizontal="left"/>
    </xf>
    <xf numFmtId="1" fontId="1" fillId="2" borderId="0" xfId="0" applyNumberFormat="1" applyFont="1" applyFill="1" applyBorder="1" applyAlignment="1">
      <alignment horizontal="right"/>
    </xf>
    <xf numFmtId="164" fontId="1" fillId="2" borderId="0" xfId="0" applyNumberFormat="1" applyFont="1" applyFill="1" applyBorder="1" applyAlignment="1">
      <alignment horizontal="right"/>
    </xf>
    <xf numFmtId="0" fontId="0" fillId="3" borderId="0" xfId="0" applyFill="1" applyAlignment="1">
      <alignment wrapText="1"/>
    </xf>
    <xf numFmtId="0" fontId="24" fillId="3" borderId="0" xfId="0" applyFont="1" applyFill="1" applyAlignment="1">
      <alignment vertical="center" wrapText="1"/>
    </xf>
    <xf numFmtId="0" fontId="0" fillId="3" borderId="0" xfId="0" applyFill="1" applyAlignment="1">
      <alignment vertical="top"/>
    </xf>
    <xf numFmtId="0" fontId="11" fillId="3" borderId="0"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0" xfId="0" applyFont="1" applyFill="1" applyBorder="1" applyAlignment="1">
      <alignment horizontal="left" vertical="center" wrapText="1"/>
    </xf>
    <xf numFmtId="0" fontId="11" fillId="3" borderId="2" xfId="0" applyFont="1" applyFill="1" applyBorder="1" applyAlignment="1">
      <alignment horizontal="left" vertical="center" wrapText="1"/>
    </xf>
    <xf numFmtId="0" fontId="11" fillId="3" borderId="3"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 fillId="3" borderId="3" xfId="0" applyFont="1" applyFill="1" applyBorder="1" applyAlignment="1">
      <alignment horizontal="center" vertical="center" wrapText="1"/>
    </xf>
    <xf numFmtId="0" fontId="1" fillId="3" borderId="3" xfId="0" applyFont="1" applyFill="1" applyBorder="1" applyAlignment="1">
      <alignment vertical="center" wrapText="1"/>
    </xf>
    <xf numFmtId="0" fontId="11" fillId="3" borderId="1" xfId="0" applyFont="1" applyFill="1" applyBorder="1" applyAlignment="1">
      <alignment horizontal="left" vertical="center" wrapText="1"/>
    </xf>
    <xf numFmtId="0" fontId="14" fillId="3" borderId="0" xfId="0" applyFont="1" applyFill="1" applyBorder="1" applyAlignment="1">
      <alignment horizontal="left" vertical="center" wrapText="1"/>
    </xf>
    <xf numFmtId="0" fontId="11" fillId="3" borderId="0" xfId="0" applyFont="1" applyFill="1" applyBorder="1" applyAlignment="1">
      <alignment wrapText="1"/>
    </xf>
    <xf numFmtId="0" fontId="11" fillId="3" borderId="0" xfId="0" applyFont="1" applyFill="1" applyAlignment="1">
      <alignment horizontal="left"/>
    </xf>
    <xf numFmtId="0" fontId="11" fillId="3" borderId="0" xfId="0" applyFont="1" applyFill="1" applyAlignment="1">
      <alignment vertical="top" wrapText="1"/>
    </xf>
    <xf numFmtId="0" fontId="1" fillId="3" borderId="0" xfId="0" applyFont="1" applyFill="1" applyAlignment="1">
      <alignment vertical="top" wrapText="1"/>
    </xf>
    <xf numFmtId="0" fontId="2" fillId="3" borderId="0" xfId="1" applyFill="1" applyAlignment="1">
      <alignment vertical="top" wrapText="1"/>
    </xf>
    <xf numFmtId="0" fontId="7" fillId="2" borderId="0" xfId="0" applyFont="1" applyFill="1" applyAlignment="1">
      <alignment horizontal="left"/>
    </xf>
    <xf numFmtId="164" fontId="10" fillId="2" borderId="0" xfId="0" applyNumberFormat="1" applyFont="1" applyFill="1" applyBorder="1" applyAlignment="1">
      <alignment horizontal="left"/>
    </xf>
    <xf numFmtId="164" fontId="11" fillId="2" borderId="0" xfId="0" applyNumberFormat="1" applyFont="1" applyFill="1" applyBorder="1" applyAlignment="1">
      <alignment horizontal="left"/>
    </xf>
    <xf numFmtId="0" fontId="10" fillId="2" borderId="0" xfId="0" applyFont="1" applyFill="1" applyBorder="1" applyAlignment="1">
      <alignment horizontal="left"/>
    </xf>
    <xf numFmtId="0" fontId="14" fillId="2" borderId="0" xfId="0" applyFont="1" applyFill="1" applyBorder="1" applyAlignment="1">
      <alignment horizontal="right"/>
    </xf>
    <xf numFmtId="0" fontId="10" fillId="2" borderId="0" xfId="0" applyFont="1" applyFill="1" applyBorder="1" applyAlignment="1">
      <alignment horizontal="right"/>
    </xf>
    <xf numFmtId="0" fontId="15" fillId="2" borderId="0" xfId="0" applyFont="1" applyFill="1" applyAlignment="1">
      <alignment horizontal="right"/>
    </xf>
    <xf numFmtId="0" fontId="18" fillId="2" borderId="0" xfId="0" applyFont="1" applyFill="1" applyBorder="1" applyAlignment="1">
      <alignment horizontal="right"/>
    </xf>
    <xf numFmtId="0" fontId="18" fillId="2" borderId="0" xfId="0" applyFont="1" applyFill="1" applyAlignment="1">
      <alignment horizontal="right"/>
    </xf>
    <xf numFmtId="0" fontId="15" fillId="2" borderId="0" xfId="0" applyFont="1" applyFill="1" applyBorder="1" applyAlignment="1">
      <alignment horizontal="right"/>
    </xf>
    <xf numFmtId="0" fontId="14" fillId="0" borderId="0" xfId="0" applyFont="1" applyFill="1"/>
    <xf numFmtId="0" fontId="1" fillId="3" borderId="0" xfId="0" applyFont="1" applyFill="1" applyAlignment="1">
      <alignment vertical="top"/>
    </xf>
    <xf numFmtId="0" fontId="20" fillId="2" borderId="0" xfId="0" applyFont="1" applyFill="1" applyAlignment="1">
      <alignment horizontal="left"/>
    </xf>
    <xf numFmtId="0" fontId="0" fillId="2" borderId="0" xfId="0" applyFill="1" applyAlignment="1">
      <alignment vertical="top"/>
    </xf>
    <xf numFmtId="0" fontId="10" fillId="3" borderId="0" xfId="0" applyFont="1" applyFill="1" applyAlignment="1">
      <alignment vertical="top" wrapText="1"/>
    </xf>
    <xf numFmtId="1" fontId="0" fillId="0" borderId="0" xfId="0" applyNumberFormat="1"/>
    <xf numFmtId="0" fontId="0" fillId="4" borderId="0" xfId="0" applyFill="1"/>
    <xf numFmtId="0" fontId="1" fillId="4" borderId="0" xfId="0" applyFont="1" applyFill="1"/>
    <xf numFmtId="0" fontId="1" fillId="4" borderId="1" xfId="0" applyFont="1" applyFill="1" applyBorder="1"/>
    <xf numFmtId="0" fontId="0" fillId="4" borderId="1" xfId="0" applyFill="1" applyBorder="1"/>
    <xf numFmtId="164" fontId="0" fillId="4" borderId="0" xfId="0" applyNumberFormat="1" applyFill="1"/>
    <xf numFmtId="0" fontId="20" fillId="2" borderId="0" xfId="0" applyFont="1" applyFill="1" applyAlignment="1">
      <alignment vertical="top"/>
    </xf>
    <xf numFmtId="0" fontId="2" fillId="2" borderId="0" xfId="1" applyFill="1" applyAlignment="1">
      <alignment vertical="top"/>
    </xf>
    <xf numFmtId="0" fontId="0" fillId="4" borderId="0" xfId="0" applyFill="1" applyAlignment="1">
      <alignment horizontal="right" vertical="top"/>
    </xf>
    <xf numFmtId="0" fontId="15" fillId="3" borderId="0" xfId="0" applyFont="1" applyFill="1" applyAlignment="1">
      <alignment vertical="top"/>
    </xf>
    <xf numFmtId="0" fontId="0" fillId="4" borderId="0" xfId="0" applyFill="1" applyAlignment="1">
      <alignment vertical="top"/>
    </xf>
    <xf numFmtId="164" fontId="4" fillId="2" borderId="0" xfId="0" quotePrefix="1" applyNumberFormat="1" applyFont="1" applyFill="1" applyAlignment="1">
      <alignment horizontal="right"/>
    </xf>
    <xf numFmtId="0" fontId="3" fillId="3" borderId="0" xfId="0" applyFont="1" applyFill="1" applyBorder="1" applyAlignment="1">
      <alignment vertical="top"/>
    </xf>
    <xf numFmtId="0" fontId="10" fillId="2" borderId="0" xfId="0" applyFont="1" applyFill="1" applyAlignment="1">
      <alignment vertical="top"/>
    </xf>
    <xf numFmtId="0" fontId="0" fillId="4" borderId="0" xfId="0" applyFill="1" applyBorder="1"/>
    <xf numFmtId="0" fontId="15" fillId="4" borderId="0" xfId="0" applyFont="1" applyFill="1" applyAlignment="1">
      <alignment vertical="top"/>
    </xf>
    <xf numFmtId="0" fontId="0" fillId="3" borderId="0" xfId="0" applyFill="1" applyAlignment="1"/>
    <xf numFmtId="0" fontId="15" fillId="4" borderId="0" xfId="0" applyFont="1" applyFill="1"/>
    <xf numFmtId="0" fontId="15" fillId="4" borderId="0" xfId="0" applyFont="1" applyFill="1" applyBorder="1"/>
    <xf numFmtId="0" fontId="0" fillId="4" borderId="0" xfId="0" applyFont="1" applyFill="1"/>
    <xf numFmtId="0" fontId="15" fillId="2" borderId="0" xfId="0" applyFont="1" applyFill="1" applyAlignment="1">
      <alignment horizontal="left"/>
    </xf>
    <xf numFmtId="0" fontId="1" fillId="4" borderId="0" xfId="0" applyFont="1" applyFill="1" applyAlignment="1"/>
    <xf numFmtId="0" fontId="0" fillId="4" borderId="0" xfId="0" applyFill="1" applyAlignment="1"/>
    <xf numFmtId="0" fontId="8" fillId="2" borderId="0" xfId="0" applyFont="1" applyFill="1" applyBorder="1"/>
    <xf numFmtId="0" fontId="11" fillId="2" borderId="0" xfId="0" applyFont="1" applyFill="1" applyAlignment="1">
      <alignment vertical="top"/>
    </xf>
    <xf numFmtId="0" fontId="11" fillId="2" borderId="0" xfId="0" applyFont="1" applyFill="1" applyAlignment="1">
      <alignment horizontal="left" vertical="top"/>
    </xf>
    <xf numFmtId="0" fontId="11" fillId="2" borderId="1" xfId="0" applyFont="1" applyFill="1" applyBorder="1" applyAlignment="1">
      <alignment vertical="top"/>
    </xf>
    <xf numFmtId="0" fontId="0" fillId="2" borderId="1" xfId="0" applyFill="1" applyBorder="1" applyAlignment="1">
      <alignment vertical="top"/>
    </xf>
    <xf numFmtId="164" fontId="11" fillId="2" borderId="0" xfId="0" applyNumberFormat="1" applyFont="1" applyFill="1" applyAlignment="1">
      <alignment vertical="top"/>
    </xf>
    <xf numFmtId="0" fontId="11" fillId="2" borderId="1" xfId="0" applyFont="1" applyFill="1" applyBorder="1" applyAlignment="1">
      <alignment horizontal="left" vertical="top"/>
    </xf>
    <xf numFmtId="164" fontId="11" fillId="2" borderId="1" xfId="0" applyNumberFormat="1" applyFont="1" applyFill="1" applyBorder="1" applyAlignment="1">
      <alignment vertical="top"/>
    </xf>
    <xf numFmtId="0" fontId="11" fillId="2" borderId="0" xfId="0" applyFont="1" applyFill="1" applyBorder="1" applyAlignment="1">
      <alignment vertical="top"/>
    </xf>
    <xf numFmtId="0" fontId="11" fillId="2" borderId="0" xfId="0" applyFont="1" applyFill="1" applyBorder="1" applyAlignment="1">
      <alignment horizontal="left" vertical="top"/>
    </xf>
    <xf numFmtId="164" fontId="11" fillId="2" borderId="0" xfId="0" applyNumberFormat="1" applyFont="1" applyFill="1" applyBorder="1" applyAlignment="1">
      <alignment vertical="top"/>
    </xf>
    <xf numFmtId="0" fontId="15" fillId="2" borderId="0" xfId="0" applyFont="1" applyFill="1" applyAlignment="1">
      <alignment vertical="top"/>
    </xf>
    <xf numFmtId="0" fontId="14" fillId="2" borderId="0" xfId="0" applyFont="1" applyFill="1" applyBorder="1" applyAlignment="1">
      <alignment horizontal="left"/>
    </xf>
    <xf numFmtId="0" fontId="15" fillId="2" borderId="1" xfId="0" applyFont="1" applyFill="1" applyBorder="1" applyAlignment="1">
      <alignment horizontal="left"/>
    </xf>
    <xf numFmtId="0" fontId="15" fillId="2" borderId="0" xfId="0" applyFont="1" applyFill="1" applyBorder="1" applyAlignment="1">
      <alignment horizontal="left"/>
    </xf>
    <xf numFmtId="0" fontId="0" fillId="3" borderId="0" xfId="0" applyFill="1" applyBorder="1" applyAlignment="1"/>
    <xf numFmtId="0" fontId="0" fillId="2" borderId="0" xfId="0" applyFill="1" applyAlignment="1"/>
    <xf numFmtId="0" fontId="11" fillId="2" borderId="0" xfId="0" applyFont="1" applyFill="1" applyBorder="1" applyAlignment="1">
      <alignment horizontal="left" vertical="center"/>
    </xf>
    <xf numFmtId="0" fontId="3" fillId="4" borderId="0" xfId="0" applyFont="1" applyFill="1" applyBorder="1" applyAlignment="1">
      <alignment vertical="top"/>
    </xf>
    <xf numFmtId="0" fontId="0" fillId="4" borderId="0" xfId="0" applyFill="1" applyBorder="1" applyAlignment="1">
      <alignment vertical="top"/>
    </xf>
    <xf numFmtId="0" fontId="0" fillId="4" borderId="0" xfId="0" applyFill="1" applyAlignment="1">
      <alignment horizontal="left"/>
    </xf>
    <xf numFmtId="0" fontId="3" fillId="4" borderId="0" xfId="0" applyFont="1" applyFill="1" applyBorder="1" applyAlignment="1">
      <alignment vertical="top" wrapText="1"/>
    </xf>
    <xf numFmtId="0" fontId="0" fillId="4" borderId="0" xfId="0" applyFill="1" applyBorder="1" applyAlignment="1"/>
    <xf numFmtId="0" fontId="2" fillId="2" borderId="0" xfId="1" applyFill="1" applyBorder="1"/>
    <xf numFmtId="0" fontId="0" fillId="4" borderId="0" xfId="0" applyFill="1" applyBorder="1" applyAlignment="1">
      <alignment horizontal="left"/>
    </xf>
    <xf numFmtId="0" fontId="14" fillId="3" borderId="0" xfId="0" applyFont="1" applyFill="1" applyBorder="1" applyAlignment="1">
      <alignment vertical="center"/>
    </xf>
    <xf numFmtId="0" fontId="3" fillId="4" borderId="0" xfId="0" applyFont="1" applyFill="1" applyBorder="1" applyAlignment="1"/>
    <xf numFmtId="0" fontId="0" fillId="2" borderId="0" xfId="0" applyFill="1" applyBorder="1" applyAlignment="1"/>
    <xf numFmtId="0" fontId="3" fillId="3" borderId="0" xfId="0" applyFont="1" applyFill="1" applyBorder="1" applyAlignment="1"/>
    <xf numFmtId="0" fontId="14" fillId="2" borderId="0" xfId="0" applyFont="1" applyFill="1" applyBorder="1"/>
    <xf numFmtId="1" fontId="11" fillId="2" borderId="0" xfId="0" applyNumberFormat="1" applyFont="1" applyFill="1" applyBorder="1" applyAlignment="1">
      <alignment horizontal="right"/>
    </xf>
    <xf numFmtId="0" fontId="15" fillId="2" borderId="2" xfId="0" applyFont="1" applyFill="1" applyBorder="1" applyAlignment="1">
      <alignment horizontal="left"/>
    </xf>
    <xf numFmtId="164" fontId="11" fillId="2" borderId="2" xfId="0" applyNumberFormat="1" applyFont="1" applyFill="1" applyBorder="1" applyAlignment="1">
      <alignment horizontal="right"/>
    </xf>
    <xf numFmtId="0" fontId="11" fillId="2" borderId="2" xfId="0" applyFont="1" applyFill="1" applyBorder="1" applyAlignment="1">
      <alignment horizontal="right"/>
    </xf>
    <xf numFmtId="0" fontId="0" fillId="2" borderId="2" xfId="0" applyFill="1" applyBorder="1"/>
    <xf numFmtId="0" fontId="14" fillId="4" borderId="0" xfId="0" applyFont="1" applyFill="1" applyBorder="1"/>
    <xf numFmtId="0" fontId="5" fillId="4" borderId="0" xfId="0" applyFont="1" applyFill="1"/>
    <xf numFmtId="0" fontId="14" fillId="4" borderId="0" xfId="0" applyFont="1" applyFill="1" applyAlignment="1">
      <alignment vertical="top" wrapText="1"/>
    </xf>
    <xf numFmtId="0" fontId="6" fillId="3" borderId="0" xfId="0" applyFont="1" applyFill="1" applyBorder="1" applyAlignment="1">
      <alignment horizontal="left"/>
    </xf>
    <xf numFmtId="0" fontId="0" fillId="3" borderId="0" xfId="0" applyFill="1" applyAlignment="1">
      <alignment horizontal="left"/>
    </xf>
    <xf numFmtId="0" fontId="11" fillId="3" borderId="0" xfId="0" applyFont="1" applyFill="1" applyBorder="1" applyAlignment="1">
      <alignment horizontal="left" vertical="center"/>
    </xf>
    <xf numFmtId="0" fontId="0" fillId="3" borderId="0" xfId="0" applyFill="1" applyBorder="1" applyAlignment="1">
      <alignment horizontal="left"/>
    </xf>
    <xf numFmtId="0" fontId="11" fillId="3" borderId="0" xfId="0" applyFont="1" applyFill="1" applyBorder="1" applyAlignment="1">
      <alignment horizontal="left"/>
    </xf>
    <xf numFmtId="0" fontId="15" fillId="4" borderId="0" xfId="0" applyFont="1" applyFill="1" applyBorder="1" applyAlignment="1">
      <alignment wrapText="1"/>
    </xf>
    <xf numFmtId="0" fontId="14" fillId="3" borderId="0" xfId="0" applyFont="1" applyFill="1" applyAlignment="1">
      <alignment vertical="center"/>
    </xf>
    <xf numFmtId="0" fontId="0" fillId="3" borderId="0" xfId="0" applyFill="1" applyAlignment="1"/>
    <xf numFmtId="0" fontId="0" fillId="3" borderId="0" xfId="0" applyFill="1" applyAlignment="1">
      <alignment vertical="top" wrapText="1"/>
    </xf>
    <xf numFmtId="0" fontId="0" fillId="3" borderId="0" xfId="0" applyFill="1" applyAlignment="1"/>
    <xf numFmtId="0" fontId="15" fillId="3" borderId="0" xfId="0" applyFont="1" applyFill="1" applyAlignment="1">
      <alignment vertical="top"/>
    </xf>
    <xf numFmtId="0" fontId="1" fillId="2" borderId="0" xfId="0" applyFont="1" applyFill="1" applyAlignment="1">
      <alignment vertical="top"/>
    </xf>
    <xf numFmtId="0" fontId="11" fillId="4" borderId="0" xfId="0" applyFont="1" applyFill="1" applyAlignment="1">
      <alignment horizontal="left"/>
    </xf>
    <xf numFmtId="0" fontId="10" fillId="4" borderId="0" xfId="0" applyFont="1" applyFill="1" applyAlignment="1">
      <alignment horizontal="right"/>
    </xf>
    <xf numFmtId="0" fontId="11" fillId="4" borderId="0" xfId="0" applyFont="1" applyFill="1" applyBorder="1" applyAlignment="1">
      <alignment horizontal="left"/>
    </xf>
    <xf numFmtId="0" fontId="0" fillId="4" borderId="0" xfId="0" applyFill="1" applyAlignment="1">
      <alignment horizontal="right"/>
    </xf>
    <xf numFmtId="0" fontId="11" fillId="4" borderId="0" xfId="0" applyFont="1" applyFill="1" applyAlignment="1">
      <alignment horizontal="right"/>
    </xf>
    <xf numFmtId="0" fontId="1" fillId="4" borderId="0" xfId="0" applyFont="1" applyFill="1" applyAlignment="1">
      <alignment horizontal="right"/>
    </xf>
    <xf numFmtId="0" fontId="14" fillId="4" borderId="0" xfId="0" applyFont="1" applyFill="1"/>
    <xf numFmtId="0" fontId="13" fillId="4" borderId="0" xfId="0" applyFont="1" applyFill="1"/>
    <xf numFmtId="0" fontId="20" fillId="4" borderId="0" xfId="0" applyFont="1" applyFill="1"/>
    <xf numFmtId="0" fontId="16" fillId="3" borderId="0" xfId="0" applyFont="1" applyFill="1" applyAlignment="1"/>
    <xf numFmtId="0" fontId="10" fillId="4" borderId="0" xfId="0" applyFont="1" applyFill="1" applyAlignment="1">
      <alignment horizontal="left"/>
    </xf>
    <xf numFmtId="0" fontId="9" fillId="4" borderId="0" xfId="0" applyFont="1" applyFill="1" applyAlignment="1">
      <alignment horizontal="left"/>
    </xf>
    <xf numFmtId="0" fontId="14" fillId="4" borderId="0" xfId="0" applyFont="1" applyFill="1" applyAlignment="1">
      <alignment horizontal="left"/>
    </xf>
    <xf numFmtId="0" fontId="0" fillId="4" borderId="0" xfId="0" applyFill="1" applyBorder="1" applyAlignment="1">
      <alignment horizontal="right"/>
    </xf>
    <xf numFmtId="0" fontId="0" fillId="4" borderId="1" xfId="0" applyFill="1" applyBorder="1" applyAlignment="1">
      <alignment horizontal="right"/>
    </xf>
    <xf numFmtId="0" fontId="15" fillId="4" borderId="0" xfId="0" applyFont="1" applyFill="1" applyAlignment="1">
      <alignment horizontal="left"/>
    </xf>
    <xf numFmtId="0" fontId="11" fillId="4" borderId="1" xfId="0" applyFont="1" applyFill="1" applyBorder="1" applyAlignment="1">
      <alignment horizontal="left"/>
    </xf>
    <xf numFmtId="164" fontId="10" fillId="4" borderId="1" xfId="0" applyNumberFormat="1" applyFont="1" applyFill="1" applyBorder="1" applyAlignment="1">
      <alignment horizontal="left"/>
    </xf>
    <xf numFmtId="164" fontId="11" fillId="4" borderId="1" xfId="0" applyNumberFormat="1" applyFont="1" applyFill="1" applyBorder="1" applyAlignment="1">
      <alignment horizontal="left"/>
    </xf>
    <xf numFmtId="0" fontId="15" fillId="4" borderId="0" xfId="0" applyFont="1" applyFill="1" applyAlignment="1"/>
    <xf numFmtId="0" fontId="11" fillId="4" borderId="1" xfId="0" applyFont="1" applyFill="1" applyBorder="1" applyAlignment="1">
      <alignment horizontal="right"/>
    </xf>
    <xf numFmtId="0" fontId="15" fillId="4" borderId="0" xfId="0" applyFont="1" applyFill="1" applyAlignment="1">
      <alignment horizontal="right" vertical="top"/>
    </xf>
    <xf numFmtId="0" fontId="0" fillId="4" borderId="0" xfId="0" applyFill="1" applyAlignment="1">
      <alignment vertical="top"/>
    </xf>
    <xf numFmtId="0" fontId="15" fillId="4" borderId="0" xfId="0" applyFont="1" applyFill="1" applyAlignment="1">
      <alignment horizontal="left" vertical="top"/>
    </xf>
    <xf numFmtId="0" fontId="11" fillId="4" borderId="0" xfId="0" applyFont="1" applyFill="1" applyAlignment="1">
      <alignment horizontal="left" vertical="top"/>
    </xf>
    <xf numFmtId="0" fontId="0" fillId="2" borderId="0" xfId="0" applyFill="1" applyAlignment="1">
      <alignment horizontal="center" vertical="center"/>
    </xf>
    <xf numFmtId="0" fontId="0" fillId="3" borderId="0" xfId="0" applyFill="1" applyAlignment="1">
      <alignment horizontal="center" vertical="center"/>
    </xf>
    <xf numFmtId="0" fontId="0" fillId="4" borderId="0" xfId="0" applyFill="1" applyAlignment="1">
      <alignment horizontal="center" vertical="center"/>
    </xf>
    <xf numFmtId="0" fontId="11" fillId="4" borderId="0" xfId="0" applyFont="1" applyFill="1"/>
    <xf numFmtId="0" fontId="11" fillId="4" borderId="0" xfId="0" applyFont="1" applyFill="1" applyAlignment="1">
      <alignment horizontal="center" vertical="center"/>
    </xf>
    <xf numFmtId="0" fontId="15" fillId="4" borderId="0" xfId="0" applyFont="1" applyFill="1" applyAlignment="1">
      <alignment horizontal="center" vertical="center"/>
    </xf>
    <xf numFmtId="0" fontId="15" fillId="4" borderId="1" xfId="0" applyFont="1" applyFill="1" applyBorder="1"/>
    <xf numFmtId="0" fontId="1" fillId="2" borderId="0" xfId="0" applyFont="1" applyFill="1" applyBorder="1"/>
    <xf numFmtId="164" fontId="0" fillId="2" borderId="0" xfId="0" applyNumberFormat="1" applyFill="1" applyBorder="1" applyAlignment="1">
      <alignment horizontal="left"/>
    </xf>
    <xf numFmtId="164" fontId="11" fillId="2" borderId="0" xfId="0" quotePrefix="1" applyNumberFormat="1" applyFont="1" applyFill="1" applyBorder="1" applyAlignment="1">
      <alignment horizontal="right"/>
    </xf>
    <xf numFmtId="164" fontId="11" fillId="2" borderId="0" xfId="0" quotePrefix="1" applyNumberFormat="1" applyFont="1" applyFill="1" applyBorder="1"/>
    <xf numFmtId="1" fontId="28" fillId="2" borderId="0" xfId="0" quotePrefix="1" applyNumberFormat="1" applyFont="1" applyFill="1" applyBorder="1" applyAlignment="1">
      <alignment horizontal="right"/>
    </xf>
    <xf numFmtId="1" fontId="10" fillId="2" borderId="0" xfId="0" applyNumberFormat="1" applyFont="1" applyFill="1" applyBorder="1" applyAlignment="1">
      <alignment horizontal="right"/>
    </xf>
    <xf numFmtId="164" fontId="10" fillId="2" borderId="0" xfId="0" applyNumberFormat="1" applyFont="1" applyFill="1" applyBorder="1" applyAlignment="1">
      <alignment horizontal="right"/>
    </xf>
    <xf numFmtId="1" fontId="6" fillId="2" borderId="0" xfId="0" applyNumberFormat="1" applyFont="1" applyFill="1" applyBorder="1" applyAlignment="1">
      <alignment horizontal="right"/>
    </xf>
    <xf numFmtId="0" fontId="14" fillId="2" borderId="0" xfId="0" applyFont="1" applyFill="1" applyAlignment="1">
      <alignment horizontal="left"/>
    </xf>
    <xf numFmtId="164" fontId="11" fillId="4" borderId="0" xfId="0" applyNumberFormat="1" applyFont="1" applyFill="1" applyBorder="1" applyAlignment="1">
      <alignment horizontal="right"/>
    </xf>
    <xf numFmtId="164" fontId="6" fillId="4" borderId="0" xfId="0" applyNumberFormat="1" applyFont="1" applyFill="1" applyBorder="1" applyAlignment="1">
      <alignment horizontal="right"/>
    </xf>
    <xf numFmtId="0" fontId="16" fillId="4" borderId="0" xfId="0" applyFont="1" applyFill="1"/>
    <xf numFmtId="0" fontId="5" fillId="4" borderId="0" xfId="0" applyFont="1" applyFill="1" applyBorder="1"/>
    <xf numFmtId="0" fontId="6" fillId="4" borderId="0" xfId="0" applyFont="1" applyFill="1"/>
    <xf numFmtId="0" fontId="6" fillId="4" borderId="0" xfId="0" applyFont="1" applyFill="1" applyBorder="1"/>
    <xf numFmtId="0" fontId="10" fillId="2" borderId="0" xfId="0" applyFont="1" applyFill="1" applyBorder="1" applyAlignment="1">
      <alignment horizontal="right" vertical="top"/>
    </xf>
    <xf numFmtId="0" fontId="3" fillId="3" borderId="0" xfId="0" applyFont="1" applyFill="1" applyBorder="1" applyAlignment="1">
      <alignment horizontal="left"/>
    </xf>
    <xf numFmtId="0" fontId="14" fillId="4" borderId="0" xfId="0" applyFont="1" applyFill="1" applyAlignment="1">
      <alignment horizontal="left" vertical="top" wrapText="1"/>
    </xf>
    <xf numFmtId="164" fontId="6" fillId="2" borderId="0" xfId="0" applyNumberFormat="1" applyFont="1" applyFill="1" applyBorder="1" applyAlignment="1">
      <alignment horizontal="left"/>
    </xf>
    <xf numFmtId="0" fontId="10" fillId="2" borderId="0" xfId="0" applyFont="1" applyFill="1" applyBorder="1" applyAlignment="1">
      <alignment horizontal="left" vertical="top"/>
    </xf>
    <xf numFmtId="164" fontId="7" fillId="2" borderId="0" xfId="0" applyNumberFormat="1" applyFont="1" applyFill="1" applyBorder="1" applyAlignment="1">
      <alignment horizontal="left"/>
    </xf>
    <xf numFmtId="1" fontId="7" fillId="2" borderId="0" xfId="0" applyNumberFormat="1" applyFont="1" applyFill="1" applyBorder="1" applyAlignment="1">
      <alignment horizontal="right"/>
    </xf>
    <xf numFmtId="1" fontId="7" fillId="2" borderId="0" xfId="0" applyNumberFormat="1" applyFont="1" applyFill="1" applyBorder="1"/>
    <xf numFmtId="0" fontId="15" fillId="4" borderId="0" xfId="0" applyFont="1" applyFill="1" applyAlignment="1">
      <alignment wrapText="1"/>
    </xf>
    <xf numFmtId="0" fontId="15" fillId="3" borderId="0" xfId="0" applyFont="1" applyFill="1" applyBorder="1"/>
    <xf numFmtId="0" fontId="11" fillId="4" borderId="1" xfId="0" applyFont="1" applyFill="1" applyBorder="1"/>
    <xf numFmtId="0" fontId="16" fillId="4" borderId="0" xfId="0" applyFont="1" applyFill="1" applyAlignment="1">
      <alignment horizontal="left"/>
    </xf>
    <xf numFmtId="0" fontId="10" fillId="2" borderId="0" xfId="0" applyFont="1" applyFill="1" applyAlignment="1">
      <alignment horizontal="left" vertical="top"/>
    </xf>
    <xf numFmtId="0" fontId="14" fillId="3" borderId="0" xfId="0" applyFont="1" applyFill="1" applyAlignment="1">
      <alignment vertical="top"/>
    </xf>
    <xf numFmtId="0" fontId="0" fillId="4" borderId="0" xfId="0" applyFill="1" applyAlignment="1">
      <alignment vertical="top" wrapText="1"/>
    </xf>
    <xf numFmtId="0" fontId="0" fillId="3" borderId="0" xfId="0" applyFont="1" applyFill="1" applyAlignment="1"/>
    <xf numFmtId="0" fontId="2" fillId="3" borderId="0" xfId="1" applyFill="1" applyAlignment="1">
      <alignment vertical="top"/>
    </xf>
    <xf numFmtId="0" fontId="0" fillId="3" borderId="1" xfId="0" applyFill="1" applyBorder="1" applyAlignment="1">
      <alignment vertical="top" wrapText="1"/>
    </xf>
    <xf numFmtId="0" fontId="1" fillId="3" borderId="0" xfId="0" applyFont="1" applyFill="1" applyBorder="1" applyAlignment="1">
      <alignment vertical="top" wrapText="1"/>
    </xf>
    <xf numFmtId="0" fontId="0" fillId="3" borderId="0" xfId="0" applyFill="1" applyBorder="1" applyAlignment="1">
      <alignment vertical="top" wrapText="1"/>
    </xf>
    <xf numFmtId="0" fontId="14" fillId="3" borderId="2" xfId="0" applyFont="1" applyFill="1" applyBorder="1" applyAlignment="1">
      <alignment vertical="top"/>
    </xf>
    <xf numFmtId="0" fontId="14" fillId="3" borderId="2" xfId="0" applyFont="1" applyFill="1" applyBorder="1" applyAlignment="1">
      <alignment vertical="top" wrapText="1"/>
    </xf>
    <xf numFmtId="0" fontId="0" fillId="3" borderId="1" xfId="0" applyFill="1" applyBorder="1" applyAlignment="1">
      <alignment vertical="top"/>
    </xf>
    <xf numFmtId="0" fontId="20" fillId="4" borderId="0" xfId="0" applyFont="1" applyFill="1" applyAlignment="1">
      <alignment vertical="top"/>
    </xf>
    <xf numFmtId="0" fontId="0" fillId="3" borderId="0" xfId="0" applyFill="1" applyBorder="1" applyAlignment="1">
      <alignment vertical="top"/>
    </xf>
    <xf numFmtId="0" fontId="0" fillId="5" borderId="0" xfId="0" applyFill="1" applyAlignment="1">
      <alignment vertical="top" wrapText="1"/>
    </xf>
    <xf numFmtId="0" fontId="0" fillId="5" borderId="1" xfId="0" applyFill="1" applyBorder="1" applyAlignment="1">
      <alignment vertical="top" wrapText="1"/>
    </xf>
    <xf numFmtId="0" fontId="1" fillId="5" borderId="0" xfId="0" applyFont="1" applyFill="1" applyAlignment="1">
      <alignment vertical="top" wrapText="1"/>
    </xf>
    <xf numFmtId="0" fontId="14" fillId="5" borderId="0" xfId="0" applyFont="1" applyFill="1" applyAlignment="1">
      <alignment vertical="top"/>
    </xf>
    <xf numFmtId="0" fontId="14" fillId="5" borderId="1" xfId="0" applyFont="1" applyFill="1" applyBorder="1" applyAlignment="1">
      <alignment vertical="top" wrapText="1"/>
    </xf>
    <xf numFmtId="0" fontId="14" fillId="5" borderId="1" xfId="0" applyFont="1" applyFill="1" applyBorder="1" applyAlignment="1">
      <alignment vertical="top"/>
    </xf>
    <xf numFmtId="164" fontId="0" fillId="2" borderId="0" xfId="0" applyNumberFormat="1" applyFill="1" applyBorder="1" applyAlignment="1">
      <alignment horizontal="right"/>
    </xf>
    <xf numFmtId="0" fontId="0" fillId="4" borderId="0" xfId="0" applyNumberFormat="1" applyFill="1"/>
    <xf numFmtId="0" fontId="31" fillId="3" borderId="0" xfId="0" applyFont="1" applyFill="1" applyAlignment="1">
      <alignment horizontal="center"/>
    </xf>
    <xf numFmtId="0" fontId="31" fillId="3" borderId="0" xfId="0" applyFont="1" applyFill="1" applyAlignment="1">
      <alignment horizontal="left"/>
    </xf>
    <xf numFmtId="0" fontId="3" fillId="4" borderId="0" xfId="0" applyFont="1" applyFill="1"/>
    <xf numFmtId="0" fontId="2" fillId="4" borderId="0" xfId="1" applyFill="1"/>
    <xf numFmtId="0" fontId="3" fillId="4" borderId="0" xfId="0" applyFont="1" applyFill="1" applyAlignment="1">
      <alignment vertical="top"/>
    </xf>
    <xf numFmtId="1" fontId="6" fillId="2" borderId="0" xfId="0" applyNumberFormat="1" applyFont="1" applyFill="1" applyAlignment="1">
      <alignment horizontal="right"/>
    </xf>
    <xf numFmtId="0" fontId="3" fillId="3" borderId="0" xfId="0" applyFont="1" applyFill="1" applyAlignment="1">
      <alignment vertical="top"/>
    </xf>
    <xf numFmtId="0" fontId="2" fillId="4" borderId="0" xfId="1" applyFill="1" applyAlignment="1">
      <alignment vertical="top"/>
    </xf>
    <xf numFmtId="0" fontId="1" fillId="0" borderId="0" xfId="0" applyFont="1" applyAlignment="1">
      <alignment vertical="center"/>
    </xf>
    <xf numFmtId="0" fontId="1" fillId="0" borderId="0" xfId="0" applyFont="1" applyAlignment="1">
      <alignment horizontal="left" vertical="center"/>
    </xf>
    <xf numFmtId="0" fontId="1" fillId="0" borderId="0" xfId="0" applyFont="1" applyFill="1" applyBorder="1" applyAlignment="1">
      <alignment horizontal="left" vertical="center"/>
    </xf>
    <xf numFmtId="164" fontId="1" fillId="0" borderId="0" xfId="0" applyNumberFormat="1" applyFont="1" applyAlignment="1">
      <alignment vertical="center"/>
    </xf>
    <xf numFmtId="0" fontId="1" fillId="0" borderId="4" xfId="0" applyFont="1" applyBorder="1" applyAlignment="1">
      <alignment vertical="center"/>
    </xf>
    <xf numFmtId="0" fontId="1" fillId="0" borderId="0" xfId="0" applyFont="1" applyBorder="1" applyAlignment="1">
      <alignment vertical="center"/>
    </xf>
    <xf numFmtId="0" fontId="0" fillId="0" borderId="4" xfId="0" applyBorder="1"/>
    <xf numFmtId="0" fontId="0" fillId="0" borderId="0" xfId="0" applyBorder="1"/>
    <xf numFmtId="0" fontId="3" fillId="4" borderId="0" xfId="0" applyFont="1" applyFill="1" applyAlignment="1">
      <alignment horizontal="left" wrapText="1"/>
    </xf>
    <xf numFmtId="0" fontId="3" fillId="3" borderId="0" xfId="0" applyFont="1" applyFill="1" applyAlignment="1">
      <alignment horizontal="left" wrapText="1"/>
    </xf>
    <xf numFmtId="0" fontId="3" fillId="3" borderId="0" xfId="0" applyFont="1" applyFill="1" applyAlignment="1">
      <alignment wrapText="1"/>
    </xf>
    <xf numFmtId="0" fontId="1" fillId="3" borderId="0" xfId="0" applyFont="1" applyFill="1" applyAlignment="1">
      <alignment horizontal="left" vertical="top" wrapText="1" indent="1"/>
    </xf>
    <xf numFmtId="0" fontId="0" fillId="3" borderId="0" xfId="0" applyFill="1" applyAlignment="1"/>
    <xf numFmtId="0" fontId="0" fillId="2" borderId="0" xfId="0" applyFill="1" applyAlignment="1"/>
    <xf numFmtId="0" fontId="14" fillId="3" borderId="0" xfId="0" applyFont="1" applyFill="1" applyAlignment="1">
      <alignment wrapText="1"/>
    </xf>
    <xf numFmtId="0" fontId="15" fillId="3" borderId="0" xfId="0" applyFont="1" applyFill="1" applyAlignment="1"/>
    <xf numFmtId="0" fontId="15" fillId="3" borderId="0" xfId="0" applyFont="1" applyFill="1" applyAlignment="1">
      <alignment vertical="top"/>
    </xf>
    <xf numFmtId="0" fontId="14" fillId="3" borderId="0" xfId="0" applyFont="1" applyFill="1" applyBorder="1" applyAlignment="1">
      <alignment vertical="top" wrapText="1"/>
    </xf>
    <xf numFmtId="0" fontId="5" fillId="3" borderId="0" xfId="0" applyFont="1" applyFill="1" applyBorder="1" applyAlignment="1"/>
    <xf numFmtId="0" fontId="5" fillId="3" borderId="0" xfId="0" applyFont="1" applyFill="1" applyAlignment="1"/>
    <xf numFmtId="20" fontId="11" fillId="2" borderId="0" xfId="0" quotePrefix="1" applyNumberFormat="1" applyFont="1" applyFill="1"/>
    <xf numFmtId="0" fontId="15" fillId="2" borderId="2" xfId="0" applyFont="1" applyFill="1" applyBorder="1" applyAlignment="1">
      <alignment vertical="top"/>
    </xf>
    <xf numFmtId="0" fontId="0" fillId="2" borderId="2" xfId="0" applyFill="1" applyBorder="1" applyAlignment="1">
      <alignment vertical="top"/>
    </xf>
    <xf numFmtId="0" fontId="6" fillId="2" borderId="0" xfId="0" applyFont="1" applyFill="1" applyBorder="1" applyAlignment="1"/>
    <xf numFmtId="0" fontId="7" fillId="2" borderId="1" xfId="0" applyFont="1" applyFill="1" applyBorder="1" applyAlignment="1"/>
    <xf numFmtId="0" fontId="6" fillId="2" borderId="0" xfId="0" applyFont="1" applyFill="1" applyAlignment="1"/>
    <xf numFmtId="0" fontId="6" fillId="2" borderId="1" xfId="0" applyFont="1" applyFill="1" applyBorder="1" applyAlignment="1"/>
    <xf numFmtId="0" fontId="5" fillId="2" borderId="1" xfId="0" applyFont="1" applyFill="1" applyBorder="1" applyAlignment="1"/>
    <xf numFmtId="0" fontId="6" fillId="2" borderId="0" xfId="0" applyFont="1" applyFill="1" applyBorder="1" applyAlignment="1">
      <alignment vertical="center"/>
    </xf>
    <xf numFmtId="0" fontId="7" fillId="2" borderId="1" xfId="0" applyFont="1" applyFill="1" applyBorder="1" applyAlignment="1">
      <alignment horizontal="left"/>
    </xf>
    <xf numFmtId="0" fontId="6" fillId="2" borderId="1" xfId="0" applyFont="1" applyFill="1" applyBorder="1" applyAlignment="1">
      <alignment horizontal="left"/>
    </xf>
    <xf numFmtId="0" fontId="7" fillId="2" borderId="0" xfId="0" applyFont="1" applyFill="1" applyBorder="1" applyAlignment="1">
      <alignment horizontal="left"/>
    </xf>
    <xf numFmtId="0" fontId="5" fillId="2" borderId="1" xfId="0" applyFont="1" applyFill="1" applyBorder="1" applyAlignment="1">
      <alignment horizontal="left"/>
    </xf>
    <xf numFmtId="0" fontId="15" fillId="2" borderId="2" xfId="0" applyFont="1" applyFill="1" applyBorder="1"/>
    <xf numFmtId="0" fontId="15" fillId="2" borderId="2" xfId="0" applyFont="1" applyFill="1" applyBorder="1" applyAlignment="1">
      <alignment horizontal="right"/>
    </xf>
    <xf numFmtId="0" fontId="0" fillId="2" borderId="2" xfId="0" applyFill="1" applyBorder="1" applyAlignment="1">
      <alignment horizontal="right"/>
    </xf>
    <xf numFmtId="16" fontId="10" fillId="4" borderId="0" xfId="0" quotePrefix="1" applyNumberFormat="1" applyFont="1" applyFill="1" applyAlignment="1">
      <alignment horizontal="right"/>
    </xf>
    <xf numFmtId="1" fontId="11" fillId="4" borderId="0" xfId="0" applyNumberFormat="1" applyFont="1" applyFill="1" applyAlignment="1">
      <alignment horizontal="right" vertical="top"/>
    </xf>
    <xf numFmtId="0" fontId="10" fillId="4" borderId="0" xfId="0" applyFont="1" applyFill="1"/>
    <xf numFmtId="0" fontId="11" fillId="4" borderId="0" xfId="0" applyFont="1" applyFill="1" applyAlignment="1">
      <alignment horizontal="right" vertical="top"/>
    </xf>
    <xf numFmtId="0" fontId="10" fillId="4" borderId="0" xfId="0" applyFont="1" applyFill="1" applyBorder="1"/>
    <xf numFmtId="0" fontId="11" fillId="4" borderId="0" xfId="0" applyFont="1" applyFill="1" applyBorder="1"/>
    <xf numFmtId="164" fontId="11" fillId="4" borderId="0" xfId="0" applyNumberFormat="1" applyFont="1" applyFill="1"/>
    <xf numFmtId="164" fontId="11" fillId="4" borderId="0" xfId="0" applyNumberFormat="1" applyFont="1" applyFill="1" applyAlignment="1">
      <alignment horizontal="right"/>
    </xf>
    <xf numFmtId="1" fontId="11" fillId="4" borderId="0" xfId="0" applyNumberFormat="1" applyFont="1" applyFill="1"/>
    <xf numFmtId="0" fontId="10" fillId="4" borderId="1" xfId="0" applyFont="1" applyFill="1" applyBorder="1"/>
    <xf numFmtId="0" fontId="2" fillId="4" borderId="0" xfId="1" applyFill="1" applyAlignment="1">
      <alignment vertical="center"/>
    </xf>
    <xf numFmtId="1" fontId="11" fillId="4" borderId="0" xfId="0" applyNumberFormat="1" applyFont="1" applyFill="1" applyAlignment="1">
      <alignment horizontal="right"/>
    </xf>
    <xf numFmtId="164" fontId="11" fillId="4" borderId="1" xfId="0" applyNumberFormat="1" applyFont="1" applyFill="1" applyBorder="1" applyAlignment="1">
      <alignment horizontal="right"/>
    </xf>
    <xf numFmtId="0" fontId="6" fillId="4" borderId="0" xfId="0" applyFont="1" applyFill="1" applyAlignment="1">
      <alignment horizontal="right"/>
    </xf>
    <xf numFmtId="1" fontId="6" fillId="4" borderId="0" xfId="0" applyNumberFormat="1" applyFont="1" applyFill="1" applyAlignment="1">
      <alignment horizontal="right"/>
    </xf>
    <xf numFmtId="0" fontId="14" fillId="5" borderId="0" xfId="0" applyFont="1" applyFill="1" applyBorder="1" applyAlignment="1">
      <alignment vertical="top" wrapText="1"/>
    </xf>
    <xf numFmtId="0" fontId="0" fillId="5" borderId="0" xfId="0" applyFill="1" applyBorder="1" applyAlignment="1">
      <alignment vertical="top" wrapText="1"/>
    </xf>
    <xf numFmtId="0" fontId="0" fillId="6" borderId="0" xfId="0" applyFill="1"/>
    <xf numFmtId="0" fontId="11" fillId="2" borderId="0" xfId="0" applyFont="1" applyFill="1" applyBorder="1" applyAlignment="1"/>
    <xf numFmtId="0" fontId="11" fillId="2" borderId="1" xfId="0" applyFont="1" applyFill="1" applyBorder="1" applyAlignment="1"/>
    <xf numFmtId="164" fontId="11" fillId="2" borderId="0" xfId="0" applyNumberFormat="1" applyFont="1" applyFill="1" applyBorder="1" applyAlignment="1"/>
    <xf numFmtId="0" fontId="0" fillId="3" borderId="0" xfId="0" applyFill="1" applyAlignment="1"/>
    <xf numFmtId="0" fontId="16" fillId="3" borderId="0" xfId="0" applyFont="1" applyFill="1" applyAlignment="1">
      <alignment vertical="top" wrapText="1"/>
    </xf>
    <xf numFmtId="0" fontId="0" fillId="3" borderId="0" xfId="0" applyFill="1" applyAlignment="1"/>
    <xf numFmtId="0" fontId="15" fillId="4" borderId="0" xfId="0" applyFont="1" applyFill="1" applyAlignment="1">
      <alignment wrapText="1"/>
    </xf>
    <xf numFmtId="0" fontId="15" fillId="2" borderId="0" xfId="0" applyFont="1" applyFill="1" applyAlignment="1">
      <alignment wrapText="1"/>
    </xf>
    <xf numFmtId="0" fontId="14" fillId="3" borderId="0" xfId="0" applyFont="1" applyFill="1" applyAlignment="1">
      <alignment vertical="top" wrapText="1"/>
    </xf>
    <xf numFmtId="0" fontId="15" fillId="3" borderId="0" xfId="0" applyFont="1" applyFill="1" applyAlignment="1">
      <alignment vertical="top"/>
    </xf>
    <xf numFmtId="0" fontId="15" fillId="3" borderId="0" xfId="0" applyFont="1" applyFill="1" applyAlignment="1"/>
    <xf numFmtId="0" fontId="0" fillId="4" borderId="0" xfId="0" applyFill="1" applyAlignment="1">
      <alignment vertical="top"/>
    </xf>
    <xf numFmtId="0" fontId="1" fillId="3" borderId="0" xfId="0" applyFont="1" applyFill="1" applyAlignment="1"/>
    <xf numFmtId="0" fontId="0" fillId="3" borderId="0" xfId="0" applyFill="1" applyAlignment="1">
      <alignment vertical="top"/>
    </xf>
    <xf numFmtId="0" fontId="15" fillId="3" borderId="0" xfId="0" applyFont="1" applyFill="1" applyAlignment="1">
      <alignment vertical="top"/>
    </xf>
    <xf numFmtId="15" fontId="0" fillId="3" borderId="0" xfId="0" quotePrefix="1" applyNumberFormat="1" applyFill="1"/>
    <xf numFmtId="0" fontId="0" fillId="3" borderId="0" xfId="0" applyFill="1" applyBorder="1" applyAlignment="1">
      <alignment horizontal="left" vertical="top"/>
    </xf>
    <xf numFmtId="0" fontId="30" fillId="3" borderId="0" xfId="0" applyFont="1" applyFill="1" applyBorder="1" applyAlignment="1">
      <alignment horizontal="center" vertical="top"/>
    </xf>
    <xf numFmtId="0" fontId="0" fillId="3" borderId="0" xfId="0" applyFill="1" applyBorder="1" applyAlignment="1">
      <alignment horizontal="center" vertical="center"/>
    </xf>
    <xf numFmtId="0" fontId="14" fillId="3" borderId="0" xfId="0" applyFont="1" applyFill="1" applyBorder="1" applyAlignment="1">
      <alignment horizontal="left" vertical="top"/>
    </xf>
    <xf numFmtId="0" fontId="0" fillId="2" borderId="2" xfId="0" applyFill="1" applyBorder="1" applyAlignment="1">
      <alignment horizontal="left"/>
    </xf>
    <xf numFmtId="0" fontId="16" fillId="4" borderId="0" xfId="0" applyFont="1" applyFill="1" applyBorder="1"/>
    <xf numFmtId="0" fontId="0" fillId="6" borderId="0" xfId="0" applyFill="1" applyBorder="1"/>
    <xf numFmtId="0" fontId="0" fillId="6" borderId="0" xfId="0" applyFill="1" applyAlignment="1">
      <alignment horizontal="center" vertical="center"/>
    </xf>
    <xf numFmtId="0" fontId="11" fillId="6" borderId="0" xfId="0" applyFont="1" applyFill="1" applyBorder="1" applyAlignment="1">
      <alignment horizontal="left" vertical="center"/>
    </xf>
    <xf numFmtId="0" fontId="0" fillId="6" borderId="0" xfId="0" applyFill="1" applyAlignment="1">
      <alignment horizontal="left"/>
    </xf>
    <xf numFmtId="0" fontId="10" fillId="6" borderId="0" xfId="0" applyFont="1" applyFill="1" applyAlignment="1">
      <alignment vertical="top" wrapText="1"/>
    </xf>
    <xf numFmtId="0" fontId="0" fillId="6" borderId="0" xfId="0" applyFill="1" applyAlignment="1"/>
    <xf numFmtId="0" fontId="0" fillId="6" borderId="0" xfId="0" applyFill="1" applyBorder="1" applyAlignment="1"/>
    <xf numFmtId="0" fontId="15" fillId="6" borderId="0" xfId="0" applyFont="1" applyFill="1"/>
    <xf numFmtId="0" fontId="15" fillId="6" borderId="0" xfId="0" applyFont="1" applyFill="1" applyAlignment="1">
      <alignment wrapText="1"/>
    </xf>
    <xf numFmtId="0" fontId="15" fillId="3" borderId="0" xfId="0" applyFont="1" applyFill="1" applyBorder="1" applyAlignment="1"/>
    <xf numFmtId="0" fontId="0" fillId="0" borderId="0" xfId="0" applyAlignment="1"/>
    <xf numFmtId="0" fontId="0" fillId="3" borderId="0" xfId="0" applyFill="1" applyAlignment="1"/>
    <xf numFmtId="0" fontId="15" fillId="3" borderId="0" xfId="0" applyFont="1" applyFill="1" applyAlignment="1">
      <alignment wrapText="1"/>
    </xf>
    <xf numFmtId="0" fontId="15" fillId="3" borderId="0" xfId="0" applyFont="1" applyFill="1" applyAlignment="1"/>
    <xf numFmtId="0" fontId="0" fillId="4" borderId="0" xfId="0" applyFill="1" applyAlignment="1">
      <alignment vertical="top"/>
    </xf>
    <xf numFmtId="164" fontId="11" fillId="2" borderId="0" xfId="0" applyNumberFormat="1" applyFont="1" applyFill="1" applyBorder="1" applyAlignment="1">
      <alignment horizontal="right" vertical="top"/>
    </xf>
    <xf numFmtId="164" fontId="11" fillId="2" borderId="1" xfId="0" applyNumberFormat="1" applyFont="1" applyFill="1" applyBorder="1" applyAlignment="1">
      <alignment horizontal="right" vertical="top"/>
    </xf>
    <xf numFmtId="164" fontId="11" fillId="2" borderId="0" xfId="0" quotePrefix="1" applyNumberFormat="1" applyFont="1" applyFill="1" applyBorder="1" applyAlignment="1">
      <alignment horizontal="right" vertical="top"/>
    </xf>
    <xf numFmtId="0" fontId="0" fillId="2" borderId="0" xfId="0" applyFill="1" applyBorder="1" applyAlignment="1">
      <alignment vertical="top"/>
    </xf>
    <xf numFmtId="0" fontId="1" fillId="4" borderId="0" xfId="0" applyFont="1" applyFill="1" applyAlignment="1">
      <alignment vertical="top"/>
    </xf>
    <xf numFmtId="0" fontId="0" fillId="6" borderId="0" xfId="0" applyFill="1" applyAlignment="1">
      <alignment vertical="top"/>
    </xf>
    <xf numFmtId="0" fontId="1" fillId="6" borderId="0" xfId="0" applyFont="1" applyFill="1"/>
    <xf numFmtId="0" fontId="11" fillId="4" borderId="0" xfId="0" quotePrefix="1" applyFont="1" applyFill="1" applyAlignment="1">
      <alignment horizontal="right"/>
    </xf>
    <xf numFmtId="0" fontId="1" fillId="2" borderId="0" xfId="0" applyFont="1" applyFill="1" applyAlignment="1">
      <alignment vertical="top" wrapText="1"/>
    </xf>
    <xf numFmtId="0" fontId="2" fillId="2" borderId="0" xfId="1" applyFill="1" applyAlignment="1">
      <alignment horizontal="center" vertical="center"/>
    </xf>
    <xf numFmtId="0" fontId="2" fillId="2" borderId="0" xfId="1" applyFill="1" applyAlignment="1">
      <alignment horizontal="center"/>
    </xf>
    <xf numFmtId="0" fontId="32" fillId="2" borderId="0" xfId="0" applyFont="1" applyFill="1"/>
    <xf numFmtId="164" fontId="32" fillId="2" borderId="0" xfId="0" applyNumberFormat="1" applyFont="1" applyFill="1"/>
    <xf numFmtId="0" fontId="7" fillId="3" borderId="0" xfId="0" applyFont="1" applyFill="1" applyAlignment="1">
      <alignment horizontal="center"/>
    </xf>
    <xf numFmtId="0" fontId="34" fillId="4" borderId="0" xfId="0" applyFont="1" applyFill="1"/>
    <xf numFmtId="0" fontId="7" fillId="4" borderId="0" xfId="0" applyFont="1" applyFill="1"/>
    <xf numFmtId="0" fontId="7" fillId="4" borderId="0" xfId="0" applyFont="1" applyFill="1" applyAlignment="1">
      <alignment horizontal="right"/>
    </xf>
    <xf numFmtId="0" fontId="11" fillId="3" borderId="0" xfId="0" applyFont="1" applyFill="1" applyAlignment="1">
      <alignment vertical="top"/>
    </xf>
    <xf numFmtId="0" fontId="6" fillId="3" borderId="0" xfId="0" applyFont="1" applyFill="1" applyAlignment="1">
      <alignment vertical="top" wrapText="1"/>
    </xf>
    <xf numFmtId="0" fontId="37" fillId="3" borderId="0" xfId="1" applyFont="1" applyFill="1" applyAlignment="1">
      <alignment vertical="center"/>
    </xf>
    <xf numFmtId="0" fontId="37" fillId="3" borderId="0" xfId="1" applyFont="1" applyFill="1" applyAlignment="1">
      <alignment vertical="top" wrapText="1"/>
    </xf>
    <xf numFmtId="0" fontId="11" fillId="3" borderId="0" xfId="0" applyFont="1" applyFill="1" applyBorder="1" applyAlignment="1">
      <alignment vertical="top" wrapText="1"/>
    </xf>
    <xf numFmtId="0" fontId="37" fillId="3" borderId="0" xfId="1" applyFont="1" applyFill="1" applyBorder="1" applyAlignment="1">
      <alignment horizontal="left" vertical="center" indent="3"/>
    </xf>
    <xf numFmtId="0" fontId="15" fillId="3" borderId="0" xfId="0" applyFont="1" applyFill="1" applyAlignment="1">
      <alignment vertical="top"/>
    </xf>
    <xf numFmtId="0" fontId="0" fillId="6" borderId="0" xfId="0" applyFont="1" applyFill="1"/>
    <xf numFmtId="0" fontId="0" fillId="3" borderId="0" xfId="0" applyFill="1" applyAlignment="1">
      <alignment vertical="top"/>
    </xf>
    <xf numFmtId="0" fontId="15" fillId="3" borderId="0" xfId="0" applyFont="1" applyFill="1" applyAlignment="1">
      <alignment vertical="top"/>
    </xf>
    <xf numFmtId="0" fontId="0" fillId="4" borderId="0" xfId="0" applyFill="1" applyAlignment="1">
      <alignment vertical="top"/>
    </xf>
    <xf numFmtId="0" fontId="0" fillId="3" borderId="0" xfId="0" applyFill="1" applyAlignment="1">
      <alignment wrapText="1"/>
    </xf>
    <xf numFmtId="0" fontId="4" fillId="0" borderId="0" xfId="0" applyFont="1"/>
    <xf numFmtId="0" fontId="15" fillId="3" borderId="0" xfId="0" applyFont="1" applyFill="1" applyAlignment="1">
      <alignment vertical="top"/>
    </xf>
    <xf numFmtId="0" fontId="34" fillId="2" borderId="0" xfId="0" applyFont="1" applyFill="1"/>
    <xf numFmtId="0" fontId="33" fillId="2" borderId="0" xfId="0" applyFont="1" applyFill="1" applyAlignment="1">
      <alignment horizontal="right"/>
    </xf>
    <xf numFmtId="164" fontId="34" fillId="2" borderId="0" xfId="0" applyNumberFormat="1" applyFont="1" applyFill="1"/>
    <xf numFmtId="0" fontId="0" fillId="3" borderId="0" xfId="0" applyFill="1" applyAlignment="1">
      <alignment vertical="top"/>
    </xf>
    <xf numFmtId="0" fontId="3" fillId="3" borderId="0" xfId="0" applyFont="1" applyFill="1" applyBorder="1" applyAlignment="1">
      <alignment vertical="center"/>
    </xf>
    <xf numFmtId="0" fontId="23" fillId="3" borderId="0" xfId="0" applyFont="1" applyFill="1" applyBorder="1" applyAlignment="1">
      <alignment vertical="center"/>
    </xf>
    <xf numFmtId="0" fontId="2" fillId="3" borderId="0" xfId="1" applyFill="1" applyAlignment="1">
      <alignment wrapText="1"/>
    </xf>
    <xf numFmtId="0" fontId="18" fillId="2" borderId="0" xfId="0" applyFont="1" applyFill="1" applyAlignment="1">
      <alignment horizontal="left"/>
    </xf>
    <xf numFmtId="164" fontId="18" fillId="2" borderId="0" xfId="0" applyNumberFormat="1" applyFont="1" applyFill="1" applyBorder="1"/>
    <xf numFmtId="164" fontId="11" fillId="2" borderId="2" xfId="0" applyNumberFormat="1" applyFont="1" applyFill="1" applyBorder="1"/>
    <xf numFmtId="0" fontId="0" fillId="0" borderId="0" xfId="0" applyFill="1" applyAlignment="1">
      <alignment vertical="top" wrapText="1"/>
    </xf>
    <xf numFmtId="0" fontId="11" fillId="3" borderId="2" xfId="0" applyFont="1" applyFill="1" applyBorder="1" applyAlignment="1">
      <alignment horizontal="left"/>
    </xf>
    <xf numFmtId="0" fontId="11" fillId="3" borderId="2" xfId="0" applyFont="1" applyFill="1" applyBorder="1"/>
    <xf numFmtId="0" fontId="17" fillId="2" borderId="0" xfId="0" applyFont="1" applyFill="1" applyAlignment="1">
      <alignment vertical="top"/>
    </xf>
    <xf numFmtId="0" fontId="6" fillId="2" borderId="2" xfId="0" applyFont="1" applyFill="1" applyBorder="1"/>
    <xf numFmtId="0" fontId="5" fillId="2" borderId="2" xfId="0" applyFont="1" applyFill="1" applyBorder="1"/>
    <xf numFmtId="0" fontId="39" fillId="2" borderId="0" xfId="1" applyFont="1" applyFill="1" applyBorder="1"/>
    <xf numFmtId="164" fontId="0" fillId="2" borderId="2" xfId="0" applyNumberFormat="1" applyFill="1" applyBorder="1"/>
    <xf numFmtId="0" fontId="6" fillId="0" borderId="0" xfId="0" applyFont="1" applyFill="1" applyAlignment="1">
      <alignment vertical="top" wrapText="1"/>
    </xf>
    <xf numFmtId="0" fontId="11" fillId="0" borderId="0" xfId="0" applyFont="1" applyFill="1" applyAlignment="1">
      <alignment vertical="top" wrapText="1"/>
    </xf>
    <xf numFmtId="0" fontId="2" fillId="0" borderId="0" xfId="1" applyFill="1" applyAlignment="1">
      <alignment vertical="top" wrapText="1"/>
    </xf>
    <xf numFmtId="17" fontId="0" fillId="0" borderId="0" xfId="0" quotePrefix="1" applyNumberFormat="1" applyFill="1"/>
    <xf numFmtId="0" fontId="38" fillId="5" borderId="1" xfId="0" applyFont="1" applyFill="1" applyBorder="1" applyAlignment="1">
      <alignment vertical="top" wrapText="1"/>
    </xf>
    <xf numFmtId="0" fontId="17" fillId="3" borderId="0" xfId="0" applyFont="1" applyFill="1" applyAlignment="1">
      <alignment vertical="top" wrapText="1"/>
    </xf>
    <xf numFmtId="0" fontId="5" fillId="3" borderId="0" xfId="0" applyFont="1" applyFill="1" applyAlignment="1">
      <alignment vertical="center" wrapText="1"/>
    </xf>
    <xf numFmtId="0" fontId="3" fillId="3" borderId="0" xfId="0" applyFont="1" applyFill="1" applyBorder="1" applyAlignment="1">
      <alignment horizontal="left" vertical="top" wrapText="1"/>
    </xf>
    <xf numFmtId="0" fontId="3" fillId="3" borderId="0" xfId="0" applyFont="1" applyFill="1" applyBorder="1" applyAlignment="1">
      <alignment horizontal="left" vertical="top"/>
    </xf>
    <xf numFmtId="164" fontId="7" fillId="2" borderId="0" xfId="0" applyNumberFormat="1" applyFont="1" applyFill="1" applyBorder="1"/>
    <xf numFmtId="0" fontId="5" fillId="3" borderId="0" xfId="0" applyFont="1" applyFill="1" applyAlignment="1">
      <alignment vertical="top" wrapText="1"/>
    </xf>
    <xf numFmtId="0" fontId="7" fillId="2" borderId="0" xfId="0" applyFont="1" applyFill="1" applyBorder="1" applyAlignment="1">
      <alignment horizontal="right"/>
    </xf>
    <xf numFmtId="0" fontId="0" fillId="4" borderId="0" xfId="0" applyFont="1" applyFill="1" applyAlignment="1">
      <alignment horizontal="left"/>
    </xf>
    <xf numFmtId="0" fontId="0" fillId="4" borderId="0" xfId="0" applyFont="1" applyFill="1" applyBorder="1" applyAlignment="1">
      <alignment horizontal="left"/>
    </xf>
    <xf numFmtId="164" fontId="0" fillId="4" borderId="0" xfId="0" applyNumberFormat="1" applyFont="1" applyFill="1"/>
    <xf numFmtId="0" fontId="40" fillId="3" borderId="0" xfId="0" applyFont="1" applyFill="1" applyBorder="1" applyAlignment="1">
      <alignment vertical="top" wrapText="1"/>
    </xf>
    <xf numFmtId="0" fontId="41" fillId="3" borderId="0" xfId="0" applyFont="1" applyFill="1" applyAlignment="1">
      <alignment vertical="top" wrapText="1"/>
    </xf>
    <xf numFmtId="0" fontId="43" fillId="3" borderId="0" xfId="0" applyFont="1" applyFill="1" applyAlignment="1">
      <alignment vertical="top" wrapText="1"/>
    </xf>
    <xf numFmtId="0" fontId="0" fillId="2" borderId="0" xfId="0" applyFont="1" applyFill="1" applyAlignment="1">
      <alignment horizontal="left"/>
    </xf>
    <xf numFmtId="0" fontId="0" fillId="2" borderId="0" xfId="0" applyFont="1" applyFill="1" applyBorder="1" applyAlignment="1">
      <alignment horizontal="left"/>
    </xf>
    <xf numFmtId="0" fontId="44" fillId="2" borderId="0" xfId="0" applyFont="1" applyFill="1"/>
    <xf numFmtId="164" fontId="44" fillId="2" borderId="0" xfId="0" applyNumberFormat="1" applyFont="1" applyFill="1"/>
    <xf numFmtId="0" fontId="46" fillId="2" borderId="0" xfId="0" applyFont="1" applyFill="1" applyAlignment="1">
      <alignment horizontal="left"/>
    </xf>
    <xf numFmtId="0" fontId="46" fillId="2" borderId="0" xfId="0" applyFont="1" applyFill="1" applyBorder="1" applyAlignment="1">
      <alignment horizontal="left"/>
    </xf>
    <xf numFmtId="0" fontId="45" fillId="2" borderId="0" xfId="0" applyFont="1" applyFill="1" applyBorder="1" applyAlignment="1">
      <alignment horizontal="right"/>
    </xf>
    <xf numFmtId="0" fontId="45" fillId="2" borderId="0" xfId="0" applyFont="1" applyFill="1" applyAlignment="1">
      <alignment horizontal="right"/>
    </xf>
    <xf numFmtId="0" fontId="46" fillId="2" borderId="0" xfId="0" applyFont="1" applyFill="1"/>
    <xf numFmtId="0" fontId="46" fillId="2" borderId="0" xfId="0" applyFont="1" applyFill="1" applyBorder="1" applyAlignment="1"/>
    <xf numFmtId="164" fontId="46" fillId="2" borderId="0" xfId="0" applyNumberFormat="1" applyFont="1" applyFill="1" applyBorder="1" applyAlignment="1">
      <alignment horizontal="right"/>
    </xf>
    <xf numFmtId="0" fontId="46" fillId="2" borderId="0" xfId="0" applyFont="1" applyFill="1" applyBorder="1" applyAlignment="1">
      <alignment vertical="top"/>
    </xf>
    <xf numFmtId="0" fontId="44" fillId="2" borderId="0" xfId="0" applyFont="1" applyFill="1" applyAlignment="1">
      <alignment vertical="top"/>
    </xf>
    <xf numFmtId="0" fontId="44" fillId="2" borderId="0" xfId="0" applyFont="1" applyFill="1" applyAlignment="1">
      <alignment horizontal="right"/>
    </xf>
    <xf numFmtId="0" fontId="46" fillId="2" borderId="0" xfId="0" applyFont="1" applyFill="1" applyBorder="1"/>
    <xf numFmtId="0" fontId="44" fillId="2" borderId="0" xfId="0" applyFont="1" applyFill="1" applyBorder="1"/>
    <xf numFmtId="0" fontId="46" fillId="2" borderId="0" xfId="0" applyFont="1" applyFill="1" applyBorder="1" applyAlignment="1">
      <alignment horizontal="left" vertical="top"/>
    </xf>
    <xf numFmtId="0" fontId="44" fillId="4" borderId="0" xfId="0" applyFont="1" applyFill="1"/>
    <xf numFmtId="164" fontId="44" fillId="4" borderId="0" xfId="0" applyNumberFormat="1" applyFont="1" applyFill="1"/>
    <xf numFmtId="0" fontId="44" fillId="4" borderId="0" xfId="0" applyFont="1" applyFill="1" applyAlignment="1">
      <alignment horizontal="right"/>
    </xf>
    <xf numFmtId="2" fontId="44" fillId="4" borderId="0" xfId="0" applyNumberFormat="1" applyFont="1" applyFill="1"/>
    <xf numFmtId="0" fontId="44" fillId="4" borderId="0" xfId="0" applyFont="1" applyFill="1" applyBorder="1" applyAlignment="1">
      <alignment horizontal="left"/>
    </xf>
    <xf numFmtId="164" fontId="44" fillId="4" borderId="0" xfId="0" applyNumberFormat="1" applyFont="1" applyFill="1" applyAlignment="1">
      <alignment horizontal="right"/>
    </xf>
    <xf numFmtId="0" fontId="44" fillId="2" borderId="0" xfId="0" applyFont="1" applyFill="1" applyBorder="1" applyAlignment="1">
      <alignment horizontal="left"/>
    </xf>
    <xf numFmtId="164" fontId="44" fillId="2" borderId="0" xfId="0" applyNumberFormat="1" applyFont="1" applyFill="1" applyAlignment="1">
      <alignment horizontal="right"/>
    </xf>
    <xf numFmtId="0" fontId="47" fillId="4" borderId="0" xfId="0" applyFont="1" applyFill="1" applyAlignment="1">
      <alignment horizontal="right"/>
    </xf>
    <xf numFmtId="164" fontId="48" fillId="4" borderId="0" xfId="0" applyNumberFormat="1" applyFont="1" applyFill="1"/>
    <xf numFmtId="0" fontId="48" fillId="4" borderId="0" xfId="0" applyFont="1" applyFill="1"/>
    <xf numFmtId="0" fontId="48" fillId="2" borderId="0" xfId="0" applyFont="1" applyFill="1" applyAlignment="1">
      <alignment horizontal="right"/>
    </xf>
    <xf numFmtId="0" fontId="48" fillId="2" borderId="0" xfId="0" applyFont="1" applyFill="1"/>
    <xf numFmtId="164" fontId="48" fillId="2" borderId="0" xfId="0" applyNumberFormat="1" applyFont="1" applyFill="1"/>
    <xf numFmtId="164" fontId="45" fillId="2" borderId="0" xfId="0" applyNumberFormat="1" applyFont="1" applyFill="1" applyBorder="1"/>
    <xf numFmtId="0" fontId="0" fillId="3" borderId="5" xfId="0" applyFill="1" applyBorder="1"/>
    <xf numFmtId="0" fontId="0" fillId="3" borderId="1" xfId="0" applyFill="1" applyBorder="1"/>
    <xf numFmtId="0" fontId="0" fillId="3" borderId="6" xfId="0" applyFill="1" applyBorder="1" applyAlignment="1">
      <alignment horizontal="center" vertical="center"/>
    </xf>
    <xf numFmtId="0" fontId="0" fillId="3" borderId="4" xfId="0" applyFill="1" applyBorder="1"/>
    <xf numFmtId="0" fontId="0" fillId="3" borderId="7" xfId="0" applyFill="1" applyBorder="1" applyAlignment="1">
      <alignment horizontal="center" vertical="center"/>
    </xf>
    <xf numFmtId="0" fontId="0" fillId="3" borderId="8" xfId="0" applyFill="1" applyBorder="1"/>
    <xf numFmtId="0" fontId="0" fillId="3" borderId="2" xfId="0" applyFill="1" applyBorder="1" applyAlignment="1">
      <alignment horizontal="center" vertical="center"/>
    </xf>
    <xf numFmtId="0" fontId="0" fillId="0" borderId="2" xfId="0" applyBorder="1" applyAlignment="1">
      <alignment vertical="top"/>
    </xf>
    <xf numFmtId="0" fontId="0" fillId="3" borderId="2" xfId="0" applyFill="1" applyBorder="1" applyAlignment="1"/>
    <xf numFmtId="0" fontId="0" fillId="3" borderId="9" xfId="0" applyFill="1" applyBorder="1" applyAlignment="1"/>
    <xf numFmtId="0" fontId="0" fillId="3" borderId="5" xfId="0" applyFill="1" applyBorder="1" applyAlignment="1">
      <alignment horizontal="left"/>
    </xf>
    <xf numFmtId="0" fontId="0" fillId="3" borderId="1" xfId="0" applyFill="1" applyBorder="1" applyAlignment="1">
      <alignment horizontal="left"/>
    </xf>
    <xf numFmtId="0" fontId="0" fillId="3" borderId="1" xfId="0" applyFill="1" applyBorder="1" applyAlignment="1"/>
    <xf numFmtId="0" fontId="3" fillId="3" borderId="6" xfId="0" applyFont="1" applyFill="1" applyBorder="1" applyAlignment="1"/>
    <xf numFmtId="0" fontId="0" fillId="3" borderId="4" xfId="0" applyFill="1" applyBorder="1" applyAlignment="1">
      <alignment horizontal="left"/>
    </xf>
    <xf numFmtId="0" fontId="3" fillId="3" borderId="7" xfId="0" applyFont="1" applyFill="1" applyBorder="1" applyAlignment="1">
      <alignment vertical="top"/>
    </xf>
    <xf numFmtId="0" fontId="3" fillId="3" borderId="7" xfId="0" applyFont="1" applyFill="1" applyBorder="1" applyAlignment="1">
      <alignment vertical="top" wrapText="1"/>
    </xf>
    <xf numFmtId="0" fontId="0" fillId="3" borderId="7" xfId="0" applyFill="1" applyBorder="1" applyAlignment="1">
      <alignment vertical="top"/>
    </xf>
    <xf numFmtId="0" fontId="0" fillId="3" borderId="7" xfId="0" applyFill="1" applyBorder="1" applyAlignment="1"/>
    <xf numFmtId="0" fontId="0" fillId="3" borderId="8" xfId="0" applyFill="1" applyBorder="1" applyAlignment="1">
      <alignment vertical="top"/>
    </xf>
    <xf numFmtId="0" fontId="0" fillId="3" borderId="2" xfId="0" applyFill="1" applyBorder="1" applyAlignment="1">
      <alignment vertical="top"/>
    </xf>
    <xf numFmtId="0" fontId="0" fillId="3" borderId="2" xfId="0" applyFill="1" applyBorder="1" applyAlignment="1">
      <alignment horizontal="left" vertical="top"/>
    </xf>
    <xf numFmtId="0" fontId="0" fillId="3" borderId="2" xfId="0" applyFill="1" applyBorder="1"/>
    <xf numFmtId="0" fontId="2" fillId="6" borderId="0" xfId="1" applyFont="1" applyFill="1"/>
    <xf numFmtId="0" fontId="44" fillId="6" borderId="0" xfId="0" applyFont="1" applyFill="1"/>
    <xf numFmtId="0" fontId="44" fillId="6" borderId="0" xfId="0" applyFont="1" applyFill="1" applyAlignment="1">
      <alignment horizontal="right"/>
    </xf>
    <xf numFmtId="0" fontId="5" fillId="0" borderId="0" xfId="0" applyFont="1" applyFill="1" applyAlignment="1">
      <alignment vertical="top" wrapText="1"/>
    </xf>
    <xf numFmtId="0" fontId="0" fillId="6" borderId="0" xfId="0" applyFont="1" applyFill="1" applyAlignment="1">
      <alignment horizontal="left"/>
    </xf>
    <xf numFmtId="0" fontId="0" fillId="6" borderId="0" xfId="0" applyFont="1" applyFill="1" applyBorder="1" applyAlignment="1">
      <alignment horizontal="left"/>
    </xf>
    <xf numFmtId="0" fontId="44" fillId="6" borderId="0" xfId="0" applyFont="1" applyFill="1" applyBorder="1" applyAlignment="1">
      <alignment horizontal="left"/>
    </xf>
    <xf numFmtId="164" fontId="44" fillId="6" borderId="0" xfId="0" applyNumberFormat="1" applyFont="1" applyFill="1" applyAlignment="1">
      <alignment horizontal="right"/>
    </xf>
    <xf numFmtId="0" fontId="5" fillId="2" borderId="0" xfId="0" applyFont="1" applyFill="1" applyAlignment="1">
      <alignment vertical="top" wrapText="1"/>
    </xf>
    <xf numFmtId="17" fontId="44" fillId="2" borderId="0" xfId="0" quotePrefix="1" applyNumberFormat="1" applyFont="1" applyFill="1" applyBorder="1"/>
    <xf numFmtId="0" fontId="44" fillId="2" borderId="0" xfId="0" applyFont="1" applyFill="1" applyBorder="1" applyAlignment="1">
      <alignment vertical="top"/>
    </xf>
    <xf numFmtId="0" fontId="1" fillId="2" borderId="0" xfId="0" applyFont="1" applyFill="1" applyAlignment="1">
      <alignment vertical="top" wrapText="1"/>
    </xf>
    <xf numFmtId="0" fontId="18" fillId="4" borderId="0" xfId="0" applyFont="1" applyFill="1"/>
    <xf numFmtId="164" fontId="11" fillId="4" borderId="0" xfId="0" quotePrefix="1" applyNumberFormat="1" applyFont="1" applyFill="1" applyAlignment="1">
      <alignment horizontal="right"/>
    </xf>
    <xf numFmtId="0" fontId="15" fillId="0" borderId="0" xfId="0" applyFont="1" applyFill="1" applyBorder="1"/>
    <xf numFmtId="164" fontId="0" fillId="0" borderId="0" xfId="0" applyNumberFormat="1" applyFill="1" applyBorder="1"/>
    <xf numFmtId="0" fontId="39" fillId="3" borderId="0" xfId="1" applyFont="1" applyFill="1"/>
    <xf numFmtId="0" fontId="0" fillId="0" borderId="0" xfId="0" applyAlignment="1">
      <alignment horizontal="left"/>
    </xf>
    <xf numFmtId="0" fontId="0" fillId="0" borderId="0" xfId="0" applyBorder="1" applyAlignment="1">
      <alignment horizontal="left"/>
    </xf>
    <xf numFmtId="0" fontId="0" fillId="0" borderId="0" xfId="0" applyAlignment="1">
      <alignment horizontal="right"/>
    </xf>
    <xf numFmtId="164" fontId="11" fillId="4" borderId="0" xfId="0" applyNumberFormat="1" applyFont="1" applyFill="1" applyAlignment="1">
      <alignment horizontal="right" vertical="top"/>
    </xf>
    <xf numFmtId="0" fontId="2" fillId="3" borderId="0" xfId="1" applyFill="1" applyBorder="1" applyAlignment="1">
      <alignment horizontal="left" vertical="center" indent="3"/>
    </xf>
    <xf numFmtId="0" fontId="0" fillId="6" borderId="0" xfId="0" applyFill="1" applyAlignment="1"/>
    <xf numFmtId="0" fontId="1" fillId="2" borderId="0" xfId="0" applyFont="1" applyFill="1" applyAlignment="1">
      <alignment vertical="top"/>
    </xf>
    <xf numFmtId="0" fontId="0" fillId="4" borderId="0" xfId="0" applyFill="1" applyAlignment="1">
      <alignment vertical="top"/>
    </xf>
    <xf numFmtId="0" fontId="14" fillId="2" borderId="0" xfId="0" applyFont="1" applyFill="1" applyAlignment="1">
      <alignment wrapText="1"/>
    </xf>
    <xf numFmtId="0" fontId="3" fillId="2" borderId="0" xfId="0" applyFont="1" applyFill="1" applyAlignment="1"/>
    <xf numFmtId="0" fontId="11" fillId="4" borderId="0" xfId="0" applyFont="1" applyFill="1" applyBorder="1" applyAlignment="1">
      <alignment horizontal="right"/>
    </xf>
    <xf numFmtId="0" fontId="16" fillId="4" borderId="2" xfId="0" applyFont="1" applyFill="1" applyBorder="1"/>
    <xf numFmtId="0" fontId="16" fillId="2" borderId="0" xfId="0" applyFont="1" applyFill="1" applyBorder="1"/>
    <xf numFmtId="0" fontId="16" fillId="2" borderId="2" xfId="0" applyFont="1" applyFill="1" applyBorder="1"/>
    <xf numFmtId="0" fontId="35" fillId="2" borderId="0" xfId="0" applyFont="1" applyFill="1" applyBorder="1" applyAlignment="1">
      <alignment horizontal="right"/>
    </xf>
    <xf numFmtId="0" fontId="35" fillId="2" borderId="0" xfId="0" applyFont="1" applyFill="1" applyAlignment="1">
      <alignment horizontal="right"/>
    </xf>
    <xf numFmtId="0" fontId="36" fillId="2" borderId="0" xfId="0" applyFont="1" applyFill="1" applyBorder="1" applyAlignment="1">
      <alignment horizontal="left"/>
    </xf>
    <xf numFmtId="164" fontId="36" fillId="2" borderId="0" xfId="0" applyNumberFormat="1" applyFont="1" applyFill="1" applyBorder="1" applyAlignment="1">
      <alignment horizontal="right"/>
    </xf>
    <xf numFmtId="0" fontId="34" fillId="2" borderId="0" xfId="0" applyFont="1" applyFill="1" applyAlignment="1">
      <alignment vertical="top"/>
    </xf>
    <xf numFmtId="0" fontId="49" fillId="2" borderId="0" xfId="0" applyFont="1" applyFill="1"/>
    <xf numFmtId="164" fontId="49" fillId="2" borderId="0" xfId="0" applyNumberFormat="1" applyFont="1" applyFill="1"/>
    <xf numFmtId="0" fontId="50" fillId="2" borderId="0" xfId="0" applyFont="1" applyFill="1"/>
    <xf numFmtId="0" fontId="51" fillId="2" borderId="0" xfId="0" applyFont="1" applyFill="1" applyAlignment="1">
      <alignment horizontal="left"/>
    </xf>
    <xf numFmtId="0" fontId="52" fillId="2" borderId="0" xfId="0" applyFont="1" applyFill="1" applyAlignment="1">
      <alignment horizontal="left"/>
    </xf>
    <xf numFmtId="0" fontId="52" fillId="2" borderId="0" xfId="0" applyFont="1" applyFill="1" applyBorder="1" applyAlignment="1">
      <alignment horizontal="left"/>
    </xf>
    <xf numFmtId="0" fontId="52" fillId="2" borderId="0" xfId="0" applyFont="1" applyFill="1" applyBorder="1" applyAlignment="1">
      <alignment horizontal="right"/>
    </xf>
    <xf numFmtId="0" fontId="52" fillId="2" borderId="0" xfId="0" applyFont="1" applyFill="1" applyAlignment="1">
      <alignment horizontal="right"/>
    </xf>
    <xf numFmtId="0" fontId="49" fillId="2" borderId="0" xfId="0" applyFont="1" applyFill="1" applyAlignment="1">
      <alignment horizontal="right"/>
    </xf>
    <xf numFmtId="0" fontId="51" fillId="2" borderId="0" xfId="0" applyFont="1" applyFill="1" applyBorder="1" applyAlignment="1">
      <alignment horizontal="right"/>
    </xf>
    <xf numFmtId="0" fontId="51" fillId="2" borderId="0" xfId="0" applyFont="1" applyFill="1" applyAlignment="1">
      <alignment horizontal="right"/>
    </xf>
    <xf numFmtId="0" fontId="50" fillId="2" borderId="0" xfId="0" quotePrefix="1" applyFont="1" applyFill="1"/>
    <xf numFmtId="164" fontId="52" fillId="2" borderId="0" xfId="0" applyNumberFormat="1" applyFont="1" applyFill="1" applyBorder="1" applyAlignment="1">
      <alignment horizontal="right"/>
    </xf>
    <xf numFmtId="0" fontId="49" fillId="2" borderId="0" xfId="0" applyFont="1" applyFill="1" applyAlignment="1">
      <alignment vertical="top"/>
    </xf>
    <xf numFmtId="0" fontId="49" fillId="2" borderId="0" xfId="0" applyFont="1" applyFill="1" applyBorder="1"/>
    <xf numFmtId="0" fontId="52" fillId="2" borderId="0" xfId="0" applyFont="1" applyFill="1" applyBorder="1"/>
    <xf numFmtId="0" fontId="52" fillId="2" borderId="0" xfId="0" applyFont="1" applyFill="1"/>
    <xf numFmtId="0" fontId="49" fillId="4" borderId="0" xfId="0" applyFont="1" applyFill="1"/>
    <xf numFmtId="0" fontId="52" fillId="4" borderId="0" xfId="0" applyFont="1" applyFill="1"/>
    <xf numFmtId="0" fontId="52" fillId="4" borderId="0" xfId="0" applyFont="1" applyFill="1" applyAlignment="1">
      <alignment horizontal="right"/>
    </xf>
    <xf numFmtId="1" fontId="49" fillId="4" borderId="0" xfId="0" applyNumberFormat="1" applyFont="1" applyFill="1"/>
    <xf numFmtId="0" fontId="49" fillId="4" borderId="0" xfId="0" applyFont="1" applyFill="1" applyAlignment="1">
      <alignment vertical="top"/>
    </xf>
    <xf numFmtId="164" fontId="49" fillId="4" borderId="0" xfId="0" applyNumberFormat="1" applyFont="1" applyFill="1"/>
    <xf numFmtId="0" fontId="49" fillId="4" borderId="0" xfId="0" quotePrefix="1" applyFont="1" applyFill="1"/>
    <xf numFmtId="0" fontId="49" fillId="4" borderId="0" xfId="0" applyFont="1" applyFill="1" applyAlignment="1">
      <alignment horizontal="right"/>
    </xf>
    <xf numFmtId="0" fontId="51" fillId="4" borderId="0" xfId="0" applyFont="1" applyFill="1" applyAlignment="1">
      <alignment horizontal="right"/>
    </xf>
    <xf numFmtId="1" fontId="52" fillId="4" borderId="0" xfId="0" applyNumberFormat="1" applyFont="1" applyFill="1" applyAlignment="1">
      <alignment horizontal="right"/>
    </xf>
    <xf numFmtId="0" fontId="51" fillId="4" borderId="0" xfId="0" applyFont="1" applyFill="1" applyAlignment="1">
      <alignment horizontal="left"/>
    </xf>
    <xf numFmtId="0" fontId="50" fillId="4" borderId="0" xfId="0" applyFont="1" applyFill="1" applyAlignment="1">
      <alignment horizontal="right"/>
    </xf>
    <xf numFmtId="0" fontId="52" fillId="4" borderId="0" xfId="0" applyFont="1" applyFill="1" applyBorder="1" applyAlignment="1">
      <alignment horizontal="left"/>
    </xf>
    <xf numFmtId="0" fontId="52" fillId="4" borderId="0" xfId="0" applyFont="1" applyFill="1" applyAlignment="1">
      <alignment horizontal="left"/>
    </xf>
    <xf numFmtId="0" fontId="52" fillId="4" borderId="0" xfId="0" applyFont="1" applyFill="1" applyBorder="1" applyAlignment="1">
      <alignment horizontal="right"/>
    </xf>
    <xf numFmtId="164" fontId="52" fillId="4" borderId="0" xfId="0" applyNumberFormat="1" applyFont="1" applyFill="1" applyBorder="1" applyAlignment="1">
      <alignment horizontal="right"/>
    </xf>
    <xf numFmtId="164" fontId="52" fillId="4" borderId="0" xfId="0" applyNumberFormat="1" applyFont="1" applyFill="1" applyAlignment="1">
      <alignment horizontal="right"/>
    </xf>
    <xf numFmtId="17" fontId="49" fillId="4" borderId="0" xfId="0" quotePrefix="1" applyNumberFormat="1" applyFont="1" applyFill="1"/>
    <xf numFmtId="0" fontId="53" fillId="4" borderId="0" xfId="0" applyFont="1" applyFill="1" applyAlignment="1">
      <alignment horizontal="right" vertical="top"/>
    </xf>
    <xf numFmtId="0" fontId="53" fillId="4" borderId="0" xfId="0" applyFont="1" applyFill="1"/>
    <xf numFmtId="0" fontId="49" fillId="6" borderId="0" xfId="0" applyFont="1" applyFill="1" applyAlignment="1"/>
    <xf numFmtId="0" fontId="53" fillId="4" borderId="0" xfId="0" applyFont="1" applyFill="1" applyBorder="1"/>
    <xf numFmtId="0" fontId="49" fillId="4" borderId="0" xfId="0" applyFont="1" applyFill="1" applyBorder="1"/>
    <xf numFmtId="0" fontId="49" fillId="4" borderId="0" xfId="0" applyFont="1" applyFill="1" applyBorder="1" applyAlignment="1">
      <alignment horizontal="right"/>
    </xf>
    <xf numFmtId="0" fontId="50" fillId="4" borderId="0" xfId="0" applyFont="1" applyFill="1"/>
    <xf numFmtId="164" fontId="49" fillId="4" borderId="0" xfId="0" quotePrefix="1" applyNumberFormat="1" applyFont="1" applyFill="1"/>
    <xf numFmtId="0" fontId="49" fillId="4" borderId="0" xfId="0" applyFont="1" applyFill="1" applyAlignment="1">
      <alignment horizontal="right" vertical="top"/>
    </xf>
    <xf numFmtId="164" fontId="52" fillId="4" borderId="0" xfId="0" applyNumberFormat="1" applyFont="1" applyFill="1"/>
    <xf numFmtId="0" fontId="52" fillId="4" borderId="0" xfId="0" applyFont="1" applyFill="1" applyBorder="1"/>
    <xf numFmtId="164" fontId="49" fillId="4" borderId="0" xfId="0" applyNumberFormat="1" applyFont="1" applyFill="1" applyAlignment="1">
      <alignment horizontal="right"/>
    </xf>
    <xf numFmtId="0" fontId="0" fillId="3" borderId="0" xfId="0" applyFill="1" applyBorder="1" applyAlignment="1">
      <alignment vertical="top" wrapText="1"/>
    </xf>
    <xf numFmtId="0" fontId="0" fillId="0" borderId="0" xfId="0" applyBorder="1" applyAlignment="1">
      <alignment vertical="top"/>
    </xf>
    <xf numFmtId="0" fontId="3" fillId="3" borderId="0" xfId="0" applyFont="1" applyFill="1" applyBorder="1" applyAlignment="1">
      <alignment horizontal="left" vertical="top" wrapText="1"/>
    </xf>
    <xf numFmtId="0" fontId="0" fillId="0" borderId="0" xfId="0" applyBorder="1" applyAlignment="1"/>
    <xf numFmtId="0" fontId="9" fillId="3" borderId="0" xfId="0" applyFont="1" applyFill="1" applyAlignment="1">
      <alignment vertical="top" wrapText="1"/>
    </xf>
    <xf numFmtId="0" fontId="0" fillId="0" borderId="0" xfId="0" applyAlignment="1"/>
    <xf numFmtId="0" fontId="16" fillId="3" borderId="0" xfId="0" applyFont="1" applyFill="1" applyAlignment="1">
      <alignment vertical="top" wrapText="1"/>
    </xf>
    <xf numFmtId="0" fontId="0" fillId="0" borderId="0" xfId="0" applyAlignment="1">
      <alignment vertical="top" wrapText="1"/>
    </xf>
    <xf numFmtId="0" fontId="15" fillId="6" borderId="0" xfId="0" applyFont="1" applyFill="1" applyAlignment="1">
      <alignment wrapText="1"/>
    </xf>
    <xf numFmtId="0" fontId="0" fillId="6" borderId="0" xfId="0" applyFill="1" applyAlignment="1"/>
    <xf numFmtId="0" fontId="15" fillId="2" borderId="0" xfId="0" applyFont="1" applyFill="1" applyBorder="1" applyAlignment="1">
      <alignment wrapText="1"/>
    </xf>
    <xf numFmtId="0" fontId="15" fillId="0" borderId="0" xfId="0" applyFont="1" applyFill="1" applyAlignment="1">
      <alignment wrapText="1"/>
    </xf>
    <xf numFmtId="0" fontId="0" fillId="0" borderId="0" xfId="0" applyFill="1" applyAlignment="1"/>
    <xf numFmtId="0" fontId="10" fillId="2" borderId="0" xfId="0" applyFont="1" applyFill="1" applyAlignment="1">
      <alignment vertical="top" wrapText="1"/>
    </xf>
    <xf numFmtId="0" fontId="3" fillId="3" borderId="0" xfId="0" applyFont="1" applyFill="1" applyBorder="1" applyAlignment="1">
      <alignment horizontal="left" vertical="top"/>
    </xf>
    <xf numFmtId="0" fontId="15" fillId="6" borderId="0" xfId="0" applyFont="1" applyFill="1" applyAlignment="1">
      <alignment vertical="top" wrapText="1"/>
    </xf>
    <xf numFmtId="0" fontId="15" fillId="4" borderId="0" xfId="0" applyFont="1" applyFill="1" applyAlignment="1">
      <alignment wrapText="1"/>
    </xf>
    <xf numFmtId="0" fontId="15" fillId="2" borderId="0" xfId="0" applyFont="1" applyFill="1" applyBorder="1" applyAlignment="1">
      <alignment horizontal="left" vertical="top" wrapText="1"/>
    </xf>
    <xf numFmtId="0" fontId="0" fillId="0" borderId="0" xfId="0" applyAlignment="1">
      <alignment horizontal="left" vertical="top" wrapText="1"/>
    </xf>
    <xf numFmtId="0" fontId="3" fillId="3" borderId="0" xfId="0" applyFont="1" applyFill="1" applyBorder="1" applyAlignment="1">
      <alignment vertical="top" wrapText="1"/>
    </xf>
    <xf numFmtId="0" fontId="20" fillId="4" borderId="0" xfId="0" applyFont="1" applyFill="1" applyAlignment="1">
      <alignment vertical="top" wrapText="1"/>
    </xf>
    <xf numFmtId="0" fontId="13" fillId="5" borderId="1" xfId="0" applyFont="1" applyFill="1" applyBorder="1" applyAlignment="1">
      <alignment vertical="top" wrapText="1"/>
    </xf>
    <xf numFmtId="0" fontId="0" fillId="0" borderId="1" xfId="0" applyBorder="1" applyAlignment="1">
      <alignment vertical="top"/>
    </xf>
    <xf numFmtId="0" fontId="14" fillId="2" borderId="0" xfId="0" applyFont="1" applyFill="1" applyAlignment="1">
      <alignment wrapText="1"/>
    </xf>
    <xf numFmtId="0" fontId="8" fillId="2" borderId="0" xfId="0" applyFont="1" applyFill="1" applyAlignment="1">
      <alignment vertical="top" wrapText="1"/>
    </xf>
    <xf numFmtId="0" fontId="0" fillId="0" borderId="0" xfId="0" applyFont="1" applyAlignment="1">
      <alignment vertical="top" wrapText="1"/>
    </xf>
    <xf numFmtId="0" fontId="1" fillId="2" borderId="0" xfId="0" applyFont="1" applyFill="1" applyAlignment="1">
      <alignment vertical="top" wrapText="1"/>
    </xf>
    <xf numFmtId="0" fontId="1" fillId="0" borderId="0" xfId="0" applyFont="1" applyAlignment="1">
      <alignment vertical="top"/>
    </xf>
    <xf numFmtId="0" fontId="0" fillId="0" borderId="0" xfId="0" applyAlignment="1">
      <alignment vertical="top"/>
    </xf>
    <xf numFmtId="0" fontId="9" fillId="3" borderId="0" xfId="0" applyFont="1" applyFill="1" applyAlignment="1">
      <alignment wrapText="1"/>
    </xf>
    <xf numFmtId="0" fontId="14" fillId="3" borderId="0" xfId="0" applyFont="1" applyFill="1" applyAlignment="1">
      <alignment wrapText="1"/>
    </xf>
    <xf numFmtId="0" fontId="14" fillId="3" borderId="0" xfId="0" applyFont="1" applyFill="1" applyAlignment="1">
      <alignment vertical="top" wrapText="1"/>
    </xf>
    <xf numFmtId="0" fontId="15" fillId="3" borderId="0" xfId="0" applyFont="1" applyFill="1" applyAlignment="1">
      <alignment vertical="top" wrapText="1"/>
    </xf>
    <xf numFmtId="0" fontId="0" fillId="3" borderId="0" xfId="0" applyFill="1" applyAlignment="1">
      <alignment vertical="top"/>
    </xf>
    <xf numFmtId="0" fontId="0" fillId="3" borderId="0" xfId="0" applyFill="1" applyAlignment="1"/>
    <xf numFmtId="0" fontId="15" fillId="3" borderId="0" xfId="0" applyFont="1" applyFill="1" applyAlignment="1">
      <alignment wrapText="1"/>
    </xf>
    <xf numFmtId="0" fontId="15" fillId="2" borderId="2" xfId="0" applyFont="1" applyFill="1" applyBorder="1" applyAlignment="1"/>
    <xf numFmtId="0" fontId="0" fillId="0" borderId="2" xfId="0" applyBorder="1" applyAlignment="1"/>
    <xf numFmtId="0" fontId="8" fillId="2" borderId="0" xfId="0" applyFont="1" applyFill="1" applyAlignment="1">
      <alignment wrapText="1"/>
    </xf>
    <xf numFmtId="0" fontId="14" fillId="2" borderId="0" xfId="0" applyFont="1" applyFill="1" applyAlignment="1">
      <alignment vertical="top" wrapText="1"/>
    </xf>
    <xf numFmtId="0" fontId="1" fillId="2" borderId="0" xfId="0" applyFont="1" applyFill="1" applyAlignment="1">
      <alignment vertical="top"/>
    </xf>
    <xf numFmtId="0" fontId="1" fillId="0" borderId="0" xfId="0" applyFont="1" applyAlignment="1"/>
    <xf numFmtId="0" fontId="15" fillId="3" borderId="0" xfId="0" applyFont="1" applyFill="1" applyAlignment="1">
      <alignment vertical="top"/>
    </xf>
    <xf numFmtId="0" fontId="15" fillId="4" borderId="0" xfId="0" applyFont="1" applyFill="1" applyBorder="1" applyAlignment="1">
      <alignment vertical="top" wrapText="1"/>
    </xf>
    <xf numFmtId="0" fontId="14" fillId="4" borderId="0" xfId="0" applyFont="1" applyFill="1" applyAlignment="1">
      <alignment vertical="top" wrapText="1"/>
    </xf>
    <xf numFmtId="0" fontId="15" fillId="6" borderId="0" xfId="0" applyFont="1" applyFill="1" applyAlignment="1">
      <alignment vertical="top"/>
    </xf>
    <xf numFmtId="0" fontId="15" fillId="4" borderId="0" xfId="0" applyFont="1" applyFill="1" applyAlignment="1">
      <alignment vertical="top" wrapText="1"/>
    </xf>
    <xf numFmtId="0" fontId="1" fillId="4" borderId="0" xfId="0" applyFont="1" applyFill="1" applyAlignment="1">
      <alignment wrapText="1"/>
    </xf>
    <xf numFmtId="0" fontId="15" fillId="3" borderId="0" xfId="0" applyFont="1" applyFill="1" applyAlignment="1">
      <alignment horizontal="left" vertical="top" wrapText="1"/>
    </xf>
    <xf numFmtId="0" fontId="15" fillId="6" borderId="0" xfId="0" applyFont="1" applyFill="1" applyAlignment="1">
      <alignment horizontal="left" vertical="top" wrapText="1"/>
    </xf>
    <xf numFmtId="0" fontId="15" fillId="4" borderId="0" xfId="0" applyFont="1" applyFill="1" applyAlignment="1">
      <alignment horizontal="left" vertical="top" wrapText="1"/>
    </xf>
    <xf numFmtId="0" fontId="8" fillId="2" borderId="0" xfId="0" applyFont="1" applyFill="1" applyAlignment="1">
      <alignment vertical="center" wrapText="1"/>
    </xf>
    <xf numFmtId="0" fontId="0" fillId="0" borderId="0" xfId="0" applyAlignment="1">
      <alignment vertical="center"/>
    </xf>
    <xf numFmtId="0" fontId="0" fillId="4" borderId="0" xfId="0" applyFill="1" applyAlignment="1">
      <alignment vertical="top"/>
    </xf>
    <xf numFmtId="0" fontId="14" fillId="4" borderId="0" xfId="0" applyFont="1" applyFill="1" applyAlignment="1">
      <alignment wrapText="1"/>
    </xf>
    <xf numFmtId="0" fontId="15" fillId="3" borderId="0" xfId="0" applyFont="1" applyFill="1" applyAlignment="1">
      <alignment horizontal="left" wrapText="1"/>
    </xf>
    <xf numFmtId="0" fontId="15" fillId="2" borderId="0" xfId="0" applyFont="1" applyFill="1" applyAlignment="1">
      <alignment wrapText="1"/>
    </xf>
    <xf numFmtId="0" fontId="3" fillId="0" borderId="0" xfId="0" applyFont="1" applyAlignment="1"/>
    <xf numFmtId="0" fontId="20" fillId="2" borderId="0" xfId="0" applyFont="1" applyFill="1" applyAlignment="1">
      <alignment wrapText="1"/>
    </xf>
    <xf numFmtId="0" fontId="0" fillId="2" borderId="0" xfId="0" applyFill="1" applyAlignment="1"/>
    <xf numFmtId="0" fontId="14" fillId="3" borderId="0" xfId="0" applyFont="1" applyFill="1" applyBorder="1" applyAlignment="1">
      <alignment horizontal="left" vertical="center" wrapText="1"/>
    </xf>
    <xf numFmtId="0" fontId="0" fillId="0" borderId="0" xfId="0" applyAlignment="1">
      <alignment wrapText="1"/>
    </xf>
    <xf numFmtId="0" fontId="15" fillId="3" borderId="0" xfId="0" applyFont="1" applyFill="1" applyBorder="1" applyAlignment="1">
      <alignment horizontal="left" vertical="center" wrapText="1"/>
    </xf>
    <xf numFmtId="0" fontId="0" fillId="3" borderId="0" xfId="0" applyFill="1" applyBorder="1" applyAlignment="1">
      <alignment wrapText="1"/>
    </xf>
  </cellXfs>
  <cellStyles count="9">
    <cellStyle name="Hyperlink" xfId="1" builtinId="8"/>
    <cellStyle name="Normal" xfId="0" builtinId="0"/>
    <cellStyle name="Normal 10" xfId="2" xr:uid="{00000000-0005-0000-0000-000002000000}"/>
    <cellStyle name="Normal 2" xfId="5" xr:uid="{00000000-0005-0000-0000-000003000000}"/>
    <cellStyle name="Normal 3" xfId="3" xr:uid="{00000000-0005-0000-0000-000004000000}"/>
    <cellStyle name="Normal 3 2" xfId="6" xr:uid="{00000000-0005-0000-0000-000005000000}"/>
    <cellStyle name="Normal 4" xfId="7" xr:uid="{00000000-0005-0000-0000-000006000000}"/>
    <cellStyle name="Normal 5" xfId="8" xr:uid="{00000000-0005-0000-0000-000007000000}"/>
    <cellStyle name="Normal 6" xfId="4" xr:uid="{00000000-0005-0000-0000-000008000000}"/>
  </cellStyles>
  <dxfs count="2">
    <dxf>
      <font>
        <color rgb="FF9C5700"/>
      </font>
      <fill>
        <patternFill>
          <bgColor rgb="FFFFEB9C"/>
        </patternFill>
      </fill>
    </dxf>
    <dxf>
      <font>
        <color rgb="FF9C5700"/>
      </font>
      <fill>
        <patternFill>
          <bgColor rgb="FFFFEB9C"/>
        </patternFill>
      </fill>
    </dxf>
  </dxfs>
  <tableStyles count="0" defaultTableStyle="TableStyleMedium2" defaultPivotStyle="PivotStyleLight16"/>
  <colors>
    <mruColors>
      <color rgb="FFE6E6E6"/>
      <color rgb="FF4BACC6"/>
      <color rgb="FF317CC1"/>
      <color rgb="FF8F8F91"/>
      <color rgb="FF1E4B74"/>
      <color rgb="FFA7D6E3"/>
      <color rgb="FF70BDD2"/>
      <color rgb="FF69A4D9"/>
      <color rgb="FF276399"/>
      <color rgb="FF193F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2.xml"/><Relationship Id="rId1" Type="http://schemas.microsoft.com/office/2011/relationships/chartStyle" Target="style22.xml"/><Relationship Id="rId4" Type="http://schemas.openxmlformats.org/officeDocument/2006/relationships/chartUserShapes" Target="../drawings/drawing17.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90.xml"/><Relationship Id="rId1" Type="http://schemas.microsoft.com/office/2011/relationships/chartStyle" Target="style9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545156168252092E-2"/>
          <c:y val="0.18372643090810922"/>
          <c:w val="0.87549193254817703"/>
          <c:h val="0.65972945170431485"/>
        </c:manualLayout>
      </c:layout>
      <c:barChart>
        <c:barDir val="col"/>
        <c:grouping val="clustered"/>
        <c:varyColors val="0"/>
        <c:ser>
          <c:idx val="1"/>
          <c:order val="1"/>
          <c:tx>
            <c:strRef>
              <c:f>'Quick facts'!$W$33</c:f>
              <c:strCache>
                <c:ptCount val="1"/>
                <c:pt idx="0">
                  <c:v>Number</c:v>
                </c:pt>
              </c:strCache>
            </c:strRef>
          </c:tx>
          <c:spPr>
            <a:solidFill>
              <a:schemeClr val="accent1"/>
            </a:solidFill>
            <a:ln>
              <a:noFill/>
            </a:ln>
            <a:effectLst/>
          </c:spPr>
          <c:invertIfNegative val="0"/>
          <c:cat>
            <c:numRef>
              <c:f>'Quick facts'!$X$31:$AR$31</c:f>
              <c:numCache>
                <c:formatCode>0</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'Quick facts'!$X$33:$AR$33</c:f>
              <c:numCache>
                <c:formatCode>0</c:formatCode>
                <c:ptCount val="21"/>
                <c:pt idx="0">
                  <c:v>540</c:v>
                </c:pt>
                <c:pt idx="1">
                  <c:v>562</c:v>
                </c:pt>
                <c:pt idx="2">
                  <c:v>578</c:v>
                </c:pt>
                <c:pt idx="3">
                  <c:v>516</c:v>
                </c:pt>
                <c:pt idx="4">
                  <c:v>459</c:v>
                </c:pt>
                <c:pt idx="5">
                  <c:v>508</c:v>
                </c:pt>
                <c:pt idx="6">
                  <c:v>470</c:v>
                </c:pt>
                <c:pt idx="7">
                  <c:v>522</c:v>
                </c:pt>
                <c:pt idx="8">
                  <c:v>494</c:v>
                </c:pt>
                <c:pt idx="9">
                  <c:v>515</c:v>
                </c:pt>
                <c:pt idx="10">
                  <c:v>524</c:v>
                </c:pt>
                <c:pt idx="11">
                  <c:v>501</c:v>
                </c:pt>
                <c:pt idx="12">
                  <c:v>518</c:v>
                </c:pt>
                <c:pt idx="13">
                  <c:v>512</c:v>
                </c:pt>
                <c:pt idx="14">
                  <c:v>534</c:v>
                </c:pt>
                <c:pt idx="15">
                  <c:v>495</c:v>
                </c:pt>
                <c:pt idx="16">
                  <c:v>549</c:v>
                </c:pt>
                <c:pt idx="17">
                  <c:v>513</c:v>
                </c:pt>
                <c:pt idx="18">
                  <c:v>510</c:v>
                </c:pt>
                <c:pt idx="19">
                  <c:v>530</c:v>
                </c:pt>
                <c:pt idx="20">
                  <c:v>554</c:v>
                </c:pt>
              </c:numCache>
            </c:numRef>
          </c:val>
          <c:extLst>
            <c:ext xmlns:c16="http://schemas.microsoft.com/office/drawing/2014/chart" uri="{C3380CC4-5D6E-409C-BE32-E72D297353CC}">
              <c16:uniqueId val="{00000000-A8EB-4D40-B3FB-E753F3F1564C}"/>
            </c:ext>
          </c:extLst>
        </c:ser>
        <c:dLbls>
          <c:showLegendKey val="0"/>
          <c:showVal val="0"/>
          <c:showCatName val="0"/>
          <c:showSerName val="0"/>
          <c:showPercent val="0"/>
          <c:showBubbleSize val="0"/>
        </c:dLbls>
        <c:gapWidth val="89"/>
        <c:overlap val="-27"/>
        <c:axId val="348406496"/>
        <c:axId val="348408848"/>
      </c:barChart>
      <c:lineChart>
        <c:grouping val="standard"/>
        <c:varyColors val="0"/>
        <c:ser>
          <c:idx val="0"/>
          <c:order val="0"/>
          <c:tx>
            <c:strRef>
              <c:f>'Quick facts'!$W$37</c:f>
              <c:strCache>
                <c:ptCount val="1"/>
                <c:pt idx="0">
                  <c:v>Rate</c:v>
                </c:pt>
              </c:strCache>
            </c:strRef>
          </c:tx>
          <c:spPr>
            <a:ln w="22225" cap="rnd">
              <a:solidFill>
                <a:schemeClr val="bg1">
                  <a:lumMod val="50000"/>
                </a:schemeClr>
              </a:solidFill>
              <a:round/>
            </a:ln>
            <a:effectLst/>
          </c:spPr>
          <c:marker>
            <c:symbol val="none"/>
          </c:marker>
          <c:cat>
            <c:numRef>
              <c:f>'Quick facts'!$X$31:$AR$31</c:f>
              <c:numCache>
                <c:formatCode>0</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'Quick facts'!$X$37:$AR$37</c:f>
              <c:numCache>
                <c:formatCode>0.0</c:formatCode>
                <c:ptCount val="21"/>
                <c:pt idx="0">
                  <c:v>14.1955765609588</c:v>
                </c:pt>
                <c:pt idx="1">
                  <c:v>14.7420910684024</c:v>
                </c:pt>
                <c:pt idx="2">
                  <c:v>15.019333169925099</c:v>
                </c:pt>
                <c:pt idx="3">
                  <c:v>13.312991012512001</c:v>
                </c:pt>
                <c:pt idx="4">
                  <c:v>11.849825329552701</c:v>
                </c:pt>
                <c:pt idx="5">
                  <c:v>12.883752602379101</c:v>
                </c:pt>
                <c:pt idx="6">
                  <c:v>11.6928074680746</c:v>
                </c:pt>
                <c:pt idx="7">
                  <c:v>12.438164727895</c:v>
                </c:pt>
                <c:pt idx="8">
                  <c:v>11.7975245433749</c:v>
                </c:pt>
                <c:pt idx="9">
                  <c:v>12.193157353861301</c:v>
                </c:pt>
                <c:pt idx="10">
                  <c:v>12.199561585611701</c:v>
                </c:pt>
                <c:pt idx="11">
                  <c:v>11.3776715520784</c:v>
                </c:pt>
                <c:pt idx="12">
                  <c:v>11.809655272717</c:v>
                </c:pt>
                <c:pt idx="13">
                  <c:v>11.484055558810701</c:v>
                </c:pt>
                <c:pt idx="14">
                  <c:v>11.9073434349195</c:v>
                </c:pt>
                <c:pt idx="15">
                  <c:v>11.144714822415599</c:v>
                </c:pt>
                <c:pt idx="16">
                  <c:v>12.308740005230501</c:v>
                </c:pt>
                <c:pt idx="17">
                  <c:v>11.0080199296969</c:v>
                </c:pt>
                <c:pt idx="18">
                  <c:v>10.808867367895701</c:v>
                </c:pt>
                <c:pt idx="19">
                  <c:v>11.101919255474099</c:v>
                </c:pt>
                <c:pt idx="20">
                  <c:v>11.3314970522047</c:v>
                </c:pt>
              </c:numCache>
            </c:numRef>
          </c:val>
          <c:smooth val="0"/>
          <c:extLst>
            <c:ext xmlns:c16="http://schemas.microsoft.com/office/drawing/2014/chart" uri="{C3380CC4-5D6E-409C-BE32-E72D297353CC}">
              <c16:uniqueId val="{00000001-A8EB-4D40-B3FB-E753F3F1564C}"/>
            </c:ext>
          </c:extLst>
        </c:ser>
        <c:dLbls>
          <c:showLegendKey val="0"/>
          <c:showVal val="0"/>
          <c:showCatName val="0"/>
          <c:showSerName val="0"/>
          <c:showPercent val="0"/>
          <c:showBubbleSize val="0"/>
        </c:dLbls>
        <c:marker val="1"/>
        <c:smooth val="0"/>
        <c:axId val="348405712"/>
        <c:axId val="348409240"/>
      </c:lineChart>
      <c:catAx>
        <c:axId val="348405712"/>
        <c:scaling>
          <c:orientation val="minMax"/>
        </c:scaling>
        <c:delete val="0"/>
        <c:axPos val="b"/>
        <c:numFmt formatCode="0"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8409240"/>
        <c:crosses val="autoZero"/>
        <c:auto val="1"/>
        <c:lblAlgn val="ctr"/>
        <c:lblOffset val="100"/>
        <c:tickLblSkip val="2"/>
        <c:noMultiLvlLbl val="0"/>
      </c:catAx>
      <c:valAx>
        <c:axId val="348409240"/>
        <c:scaling>
          <c:orientation val="minMax"/>
          <c:max val="2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8405712"/>
        <c:crosses val="autoZero"/>
        <c:crossBetween val="between"/>
        <c:majorUnit val="5"/>
      </c:valAx>
      <c:valAx>
        <c:axId val="348408848"/>
        <c:scaling>
          <c:orientation val="minMax"/>
          <c:max val="600"/>
        </c:scaling>
        <c:delete val="0"/>
        <c:axPos val="r"/>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8406496"/>
        <c:crosses val="max"/>
        <c:crossBetween val="between"/>
      </c:valAx>
      <c:catAx>
        <c:axId val="348406496"/>
        <c:scaling>
          <c:orientation val="minMax"/>
        </c:scaling>
        <c:delete val="1"/>
        <c:axPos val="b"/>
        <c:numFmt formatCode="0" sourceLinked="1"/>
        <c:majorTickMark val="out"/>
        <c:minorTickMark val="none"/>
        <c:tickLblPos val="nextTo"/>
        <c:crossAx val="348408848"/>
        <c:crosses val="autoZero"/>
        <c:auto val="1"/>
        <c:lblAlgn val="ctr"/>
        <c:lblOffset val="100"/>
        <c:noMultiLvlLbl val="0"/>
      </c:catAx>
      <c:spPr>
        <a:noFill/>
        <a:ln>
          <a:noFill/>
        </a:ln>
        <a:effectLst/>
      </c:spPr>
    </c:plotArea>
    <c:legend>
      <c:legendPos val="r"/>
      <c:layout>
        <c:manualLayout>
          <c:xMode val="edge"/>
          <c:yMode val="edge"/>
          <c:x val="0.63816042940159012"/>
          <c:y val="1.1784324373246448E-2"/>
          <c:w val="0.1070901063100487"/>
          <c:h val="0.183327902977645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900" b="1">
                <a:solidFill>
                  <a:sysClr val="windowText" lastClr="000000"/>
                </a:solidFill>
              </a:rPr>
              <a:t>15–24 years</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16952380952381"/>
          <c:y val="0.33048248737120278"/>
          <c:w val="0.8088251185975126"/>
          <c:h val="0.56470274875923554"/>
        </c:manualLayout>
      </c:layout>
      <c:lineChart>
        <c:grouping val="standard"/>
        <c:varyColors val="0"/>
        <c:ser>
          <c:idx val="2"/>
          <c:order val="0"/>
          <c:tx>
            <c:strRef>
              <c:f>'Māori Non-Māori'!$O$46</c:f>
              <c:strCache>
                <c:ptCount val="1"/>
                <c:pt idx="0">
                  <c:v>Māori</c:v>
                </c:pt>
              </c:strCache>
            </c:strRef>
          </c:tx>
          <c:spPr>
            <a:ln w="22225" cap="rnd">
              <a:solidFill>
                <a:schemeClr val="bg1">
                  <a:lumMod val="50000"/>
                </a:schemeClr>
              </a:solidFill>
              <a:round/>
            </a:ln>
            <a:effectLst/>
          </c:spPr>
          <c:marker>
            <c:symbol val="none"/>
          </c:marker>
          <c:trendline>
            <c:spPr>
              <a:ln w="19050" cap="rnd">
                <a:solidFill>
                  <a:schemeClr val="accent3"/>
                </a:solidFill>
                <a:prstDash val="sysDot"/>
              </a:ln>
              <a:effectLst/>
            </c:spPr>
            <c:trendlineType val="movingAvg"/>
            <c:period val="5"/>
            <c:dispRSqr val="0"/>
            <c:dispEq val="0"/>
          </c:trendline>
          <c:cat>
            <c:numRef>
              <c:f>'Māori Non-Māori'!$S$82:$AM$82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Non-Māori'!$S$64:$AM$64</c:f>
              <c:numCache>
                <c:formatCode>0.0</c:formatCode>
                <c:ptCount val="21"/>
                <c:pt idx="0">
                  <c:v>37.445991358617398</c:v>
                </c:pt>
                <c:pt idx="1">
                  <c:v>36.496350364963497</c:v>
                </c:pt>
                <c:pt idx="2">
                  <c:v>40.520984081042002</c:v>
                </c:pt>
                <c:pt idx="3">
                  <c:v>32.110538094774697</c:v>
                </c:pt>
                <c:pt idx="4">
                  <c:v>27.378507871320998</c:v>
                </c:pt>
                <c:pt idx="5">
                  <c:v>28.016616752004602</c:v>
                </c:pt>
                <c:pt idx="6">
                  <c:v>31.252959560564399</c:v>
                </c:pt>
                <c:pt idx="7">
                  <c:v>28.6162651158497</c:v>
                </c:pt>
                <c:pt idx="8">
                  <c:v>37.732458898571601</c:v>
                </c:pt>
                <c:pt idx="9">
                  <c:v>35.010940919037203</c:v>
                </c:pt>
                <c:pt idx="10">
                  <c:v>31.8498751829216</c:v>
                </c:pt>
                <c:pt idx="11">
                  <c:v>27.961362480935399</c:v>
                </c:pt>
                <c:pt idx="12">
                  <c:v>29.247096181164899</c:v>
                </c:pt>
                <c:pt idx="13">
                  <c:v>28.863598878443</c:v>
                </c:pt>
                <c:pt idx="14">
                  <c:v>34.126919639229698</c:v>
                </c:pt>
                <c:pt idx="15">
                  <c:v>39.319531375381203</c:v>
                </c:pt>
                <c:pt idx="16">
                  <c:v>48.389655719498698</c:v>
                </c:pt>
                <c:pt idx="17">
                  <c:v>38.3531621790858</c:v>
                </c:pt>
                <c:pt idx="18">
                  <c:v>21.611608521148501</c:v>
                </c:pt>
                <c:pt idx="19">
                  <c:v>31.7989097516657</c:v>
                </c:pt>
                <c:pt idx="20">
                  <c:v>33.554544776675897</c:v>
                </c:pt>
              </c:numCache>
            </c:numRef>
          </c:val>
          <c:smooth val="0"/>
          <c:extLst>
            <c:ext xmlns:c16="http://schemas.microsoft.com/office/drawing/2014/chart" uri="{C3380CC4-5D6E-409C-BE32-E72D297353CC}">
              <c16:uniqueId val="{00000001-D7DF-41F5-942B-9C224C12414F}"/>
            </c:ext>
          </c:extLst>
        </c:ser>
        <c:ser>
          <c:idx val="3"/>
          <c:order val="1"/>
          <c:tx>
            <c:strRef>
              <c:f>'Māori Non-Māori'!$O$80</c:f>
              <c:strCache>
                <c:ptCount val="1"/>
                <c:pt idx="0">
                  <c:v>Non-Māori</c:v>
                </c:pt>
              </c:strCache>
            </c:strRef>
          </c:tx>
          <c:spPr>
            <a:ln w="22225" cap="rnd">
              <a:solidFill>
                <a:schemeClr val="accent1"/>
              </a:solidFill>
              <a:round/>
            </a:ln>
            <a:effectLst/>
          </c:spPr>
          <c:marker>
            <c:symbol val="none"/>
          </c:marker>
          <c:trendline>
            <c:spPr>
              <a:ln w="19050" cap="rnd">
                <a:solidFill>
                  <a:schemeClr val="accent4"/>
                </a:solidFill>
                <a:prstDash val="sysDot"/>
              </a:ln>
              <a:effectLst/>
            </c:spPr>
            <c:trendlineType val="movingAvg"/>
            <c:period val="5"/>
            <c:dispRSqr val="0"/>
            <c:dispEq val="0"/>
          </c:trendline>
          <c:cat>
            <c:numRef>
              <c:f>'Māori Non-Māori'!$S$82:$AM$82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Non-Māori'!$S$99:$AM$99</c:f>
              <c:numCache>
                <c:formatCode>0.0</c:formatCode>
                <c:ptCount val="21"/>
                <c:pt idx="0">
                  <c:v>23.258934561882199</c:v>
                </c:pt>
                <c:pt idx="1">
                  <c:v>23.608462725869401</c:v>
                </c:pt>
                <c:pt idx="2">
                  <c:v>22.384787575289</c:v>
                </c:pt>
                <c:pt idx="3">
                  <c:v>20.104261635925798</c:v>
                </c:pt>
                <c:pt idx="4">
                  <c:v>15.9399906235349</c:v>
                </c:pt>
                <c:pt idx="5">
                  <c:v>18.786965093355001</c:v>
                </c:pt>
                <c:pt idx="6">
                  <c:v>14.0980598384318</c:v>
                </c:pt>
                <c:pt idx="7">
                  <c:v>14.4042653824655</c:v>
                </c:pt>
                <c:pt idx="8">
                  <c:v>15.163960320970499</c:v>
                </c:pt>
                <c:pt idx="9">
                  <c:v>14.344816116089101</c:v>
                </c:pt>
                <c:pt idx="10">
                  <c:v>16.795018843191901</c:v>
                </c:pt>
                <c:pt idx="11">
                  <c:v>12.488228309380499</c:v>
                </c:pt>
                <c:pt idx="12">
                  <c:v>17.6642155855893</c:v>
                </c:pt>
                <c:pt idx="13">
                  <c:v>16.560353287536799</c:v>
                </c:pt>
                <c:pt idx="14">
                  <c:v>13.9464375947448</c:v>
                </c:pt>
                <c:pt idx="15">
                  <c:v>16.4625577193335</c:v>
                </c:pt>
                <c:pt idx="16">
                  <c:v>17.457259812183999</c:v>
                </c:pt>
                <c:pt idx="17">
                  <c:v>12.380438906527701</c:v>
                </c:pt>
                <c:pt idx="18">
                  <c:v>11.938779504442801</c:v>
                </c:pt>
                <c:pt idx="19">
                  <c:v>13.155887736424599</c:v>
                </c:pt>
                <c:pt idx="20">
                  <c:v>12.5482263924786</c:v>
                </c:pt>
              </c:numCache>
            </c:numRef>
          </c:val>
          <c:smooth val="0"/>
          <c:extLst>
            <c:ext xmlns:c16="http://schemas.microsoft.com/office/drawing/2014/chart" uri="{C3380CC4-5D6E-409C-BE32-E72D297353CC}">
              <c16:uniqueId val="{00000003-D7DF-41F5-942B-9C224C12414F}"/>
            </c:ext>
          </c:extLst>
        </c:ser>
        <c:dLbls>
          <c:showLegendKey val="0"/>
          <c:showVal val="0"/>
          <c:showCatName val="0"/>
          <c:showSerName val="0"/>
          <c:showPercent val="0"/>
          <c:showBubbleSize val="0"/>
        </c:dLbls>
        <c:smooth val="0"/>
        <c:axId val="449328168"/>
        <c:axId val="449328560"/>
      </c:lineChart>
      <c:catAx>
        <c:axId val="449328168"/>
        <c:scaling>
          <c:orientation val="minMax"/>
        </c:scaling>
        <c:delete val="0"/>
        <c:axPos val="b"/>
        <c:numFmt formatCode="General"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9328560"/>
        <c:crossesAt val="0"/>
        <c:auto val="1"/>
        <c:lblAlgn val="ctr"/>
        <c:lblOffset val="100"/>
        <c:tickLblSkip val="4"/>
        <c:noMultiLvlLbl val="0"/>
      </c:catAx>
      <c:valAx>
        <c:axId val="449328560"/>
        <c:scaling>
          <c:orientation val="minMax"/>
          <c:max val="5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9328168"/>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900" b="1">
                <a:solidFill>
                  <a:sysClr val="windowText" lastClr="000000"/>
                </a:solidFill>
              </a:rPr>
              <a:t>25–44 years</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079548611111112"/>
          <c:y val="0.32025638426098024"/>
          <c:w val="0.8088251185975126"/>
          <c:h val="0.58065132416387855"/>
        </c:manualLayout>
      </c:layout>
      <c:lineChart>
        <c:grouping val="standard"/>
        <c:varyColors val="0"/>
        <c:ser>
          <c:idx val="2"/>
          <c:order val="0"/>
          <c:tx>
            <c:strRef>
              <c:f>'Māori Non-Māori'!$O$46</c:f>
              <c:strCache>
                <c:ptCount val="1"/>
                <c:pt idx="0">
                  <c:v>Māori</c:v>
                </c:pt>
              </c:strCache>
            </c:strRef>
          </c:tx>
          <c:spPr>
            <a:ln w="22225" cap="rnd">
              <a:solidFill>
                <a:schemeClr val="bg1">
                  <a:lumMod val="50000"/>
                </a:schemeClr>
              </a:solidFill>
              <a:round/>
            </a:ln>
            <a:effectLst/>
          </c:spPr>
          <c:marker>
            <c:symbol val="none"/>
          </c:marker>
          <c:trendline>
            <c:spPr>
              <a:ln w="19050" cap="rnd">
                <a:solidFill>
                  <a:schemeClr val="accent3"/>
                </a:solidFill>
                <a:prstDash val="sysDot"/>
              </a:ln>
              <a:effectLst/>
            </c:spPr>
            <c:trendlineType val="movingAvg"/>
            <c:period val="5"/>
            <c:dispRSqr val="0"/>
            <c:dispEq val="0"/>
          </c:trendline>
          <c:cat>
            <c:numRef>
              <c:f>'Māori Non-Māori'!$S$82:$AM$82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Non-Māori'!$S$65:$AM$65</c:f>
              <c:numCache>
                <c:formatCode>0.0</c:formatCode>
                <c:ptCount val="21"/>
                <c:pt idx="0">
                  <c:v>30.213508795488099</c:v>
                </c:pt>
                <c:pt idx="1">
                  <c:v>36.558297427862598</c:v>
                </c:pt>
                <c:pt idx="2">
                  <c:v>29.862125929220401</c:v>
                </c:pt>
                <c:pt idx="3">
                  <c:v>25.360301849446401</c:v>
                </c:pt>
                <c:pt idx="4">
                  <c:v>24.150214333152199</c:v>
                </c:pt>
                <c:pt idx="5">
                  <c:v>24.9346948468297</c:v>
                </c:pt>
                <c:pt idx="6">
                  <c:v>23.602997580692701</c:v>
                </c:pt>
                <c:pt idx="7">
                  <c:v>27.093886205677901</c:v>
                </c:pt>
                <c:pt idx="8">
                  <c:v>32.433069937492597</c:v>
                </c:pt>
                <c:pt idx="9">
                  <c:v>31.865927062433599</c:v>
                </c:pt>
                <c:pt idx="10">
                  <c:v>31.802120141342801</c:v>
                </c:pt>
                <c:pt idx="11">
                  <c:v>29.570051451889501</c:v>
                </c:pt>
                <c:pt idx="12">
                  <c:v>22.0277430493541</c:v>
                </c:pt>
                <c:pt idx="13">
                  <c:v>18.520731270163701</c:v>
                </c:pt>
                <c:pt idx="14">
                  <c:v>24.4863831820354</c:v>
                </c:pt>
                <c:pt idx="15">
                  <c:v>26.256116481680401</c:v>
                </c:pt>
                <c:pt idx="16">
                  <c:v>23.2641374373658</c:v>
                </c:pt>
                <c:pt idx="17">
                  <c:v>26.227944682880299</c:v>
                </c:pt>
                <c:pt idx="18">
                  <c:v>30.236556589790698</c:v>
                </c:pt>
                <c:pt idx="19">
                  <c:v>31.665982525068902</c:v>
                </c:pt>
                <c:pt idx="20">
                  <c:v>34.173182739646698</c:v>
                </c:pt>
              </c:numCache>
            </c:numRef>
          </c:val>
          <c:smooth val="0"/>
          <c:extLst>
            <c:ext xmlns:c16="http://schemas.microsoft.com/office/drawing/2014/chart" uri="{C3380CC4-5D6E-409C-BE32-E72D297353CC}">
              <c16:uniqueId val="{00000001-9F8C-43AC-A2FF-CA1157E1F131}"/>
            </c:ext>
          </c:extLst>
        </c:ser>
        <c:ser>
          <c:idx val="3"/>
          <c:order val="1"/>
          <c:tx>
            <c:strRef>
              <c:f>'Māori Non-Māori'!$O$80</c:f>
              <c:strCache>
                <c:ptCount val="1"/>
                <c:pt idx="0">
                  <c:v>Non-Māori</c:v>
                </c:pt>
              </c:strCache>
            </c:strRef>
          </c:tx>
          <c:spPr>
            <a:ln w="22225" cap="rnd">
              <a:solidFill>
                <a:schemeClr val="accent1"/>
              </a:solidFill>
              <a:round/>
            </a:ln>
            <a:effectLst/>
          </c:spPr>
          <c:marker>
            <c:symbol val="none"/>
          </c:marker>
          <c:trendline>
            <c:spPr>
              <a:ln w="19050" cap="rnd">
                <a:solidFill>
                  <a:schemeClr val="accent4"/>
                </a:solidFill>
                <a:prstDash val="sysDot"/>
              </a:ln>
              <a:effectLst/>
            </c:spPr>
            <c:trendlineType val="movingAvg"/>
            <c:period val="5"/>
            <c:dispRSqr val="0"/>
            <c:dispEq val="0"/>
          </c:trendline>
          <c:cat>
            <c:numRef>
              <c:f>'Māori Non-Māori'!$S$82:$AM$82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Non-Māori'!$S$100:$AM$100</c:f>
              <c:numCache>
                <c:formatCode>0.0</c:formatCode>
                <c:ptCount val="21"/>
                <c:pt idx="0">
                  <c:v>17.723039951937501</c:v>
                </c:pt>
                <c:pt idx="1">
                  <c:v>19.763431722284299</c:v>
                </c:pt>
                <c:pt idx="2">
                  <c:v>19.9213009990237</c:v>
                </c:pt>
                <c:pt idx="3">
                  <c:v>19.248896165103901</c:v>
                </c:pt>
                <c:pt idx="4">
                  <c:v>16.9221680401326</c:v>
                </c:pt>
                <c:pt idx="5">
                  <c:v>19.962304683541699</c:v>
                </c:pt>
                <c:pt idx="6">
                  <c:v>17.429852400382899</c:v>
                </c:pt>
                <c:pt idx="7">
                  <c:v>17.0213613107444</c:v>
                </c:pt>
                <c:pt idx="8">
                  <c:v>14.429443972248</c:v>
                </c:pt>
                <c:pt idx="9">
                  <c:v>16.289699973344099</c:v>
                </c:pt>
                <c:pt idx="10">
                  <c:v>15.112902269898701</c:v>
                </c:pt>
                <c:pt idx="11">
                  <c:v>16.1504468620574</c:v>
                </c:pt>
                <c:pt idx="12">
                  <c:v>14.4589366199992</c:v>
                </c:pt>
                <c:pt idx="13">
                  <c:v>14.2147833747097</c:v>
                </c:pt>
                <c:pt idx="14">
                  <c:v>15.868392772850999</c:v>
                </c:pt>
                <c:pt idx="15">
                  <c:v>12.051121058068199</c:v>
                </c:pt>
                <c:pt idx="16">
                  <c:v>15.025451274608001</c:v>
                </c:pt>
                <c:pt idx="17">
                  <c:v>11.9851261511355</c:v>
                </c:pt>
                <c:pt idx="18">
                  <c:v>14.0580120555039</c:v>
                </c:pt>
                <c:pt idx="19">
                  <c:v>11.739636564528499</c:v>
                </c:pt>
                <c:pt idx="20">
                  <c:v>13.4688497029211</c:v>
                </c:pt>
              </c:numCache>
            </c:numRef>
          </c:val>
          <c:smooth val="0"/>
          <c:extLst>
            <c:ext xmlns:c16="http://schemas.microsoft.com/office/drawing/2014/chart" uri="{C3380CC4-5D6E-409C-BE32-E72D297353CC}">
              <c16:uniqueId val="{00000003-9F8C-43AC-A2FF-CA1157E1F131}"/>
            </c:ext>
          </c:extLst>
        </c:ser>
        <c:dLbls>
          <c:showLegendKey val="0"/>
          <c:showVal val="0"/>
          <c:showCatName val="0"/>
          <c:showSerName val="0"/>
          <c:showPercent val="0"/>
          <c:showBubbleSize val="0"/>
        </c:dLbls>
        <c:smooth val="0"/>
        <c:axId val="449321504"/>
        <c:axId val="348409632"/>
      </c:lineChart>
      <c:catAx>
        <c:axId val="449321504"/>
        <c:scaling>
          <c:orientation val="minMax"/>
        </c:scaling>
        <c:delete val="0"/>
        <c:axPos val="b"/>
        <c:numFmt formatCode="General"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8409632"/>
        <c:crossesAt val="0"/>
        <c:auto val="1"/>
        <c:lblAlgn val="ctr"/>
        <c:lblOffset val="100"/>
        <c:tickLblSkip val="4"/>
        <c:noMultiLvlLbl val="0"/>
      </c:catAx>
      <c:valAx>
        <c:axId val="348409632"/>
        <c:scaling>
          <c:orientation val="minMax"/>
          <c:max val="5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9321504"/>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900" b="1">
                <a:solidFill>
                  <a:sysClr val="windowText" lastClr="000000"/>
                </a:solidFill>
              </a:rPr>
              <a:t>45–64 years</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740785801188005"/>
          <c:y val="0.16671326798435909"/>
          <c:w val="0.8088251185975126"/>
          <c:h val="0.6831685932875412"/>
        </c:manualLayout>
      </c:layout>
      <c:lineChart>
        <c:grouping val="standard"/>
        <c:varyColors val="0"/>
        <c:ser>
          <c:idx val="2"/>
          <c:order val="0"/>
          <c:tx>
            <c:strRef>
              <c:f>'Māori Non-Māori'!$O$46</c:f>
              <c:strCache>
                <c:ptCount val="1"/>
                <c:pt idx="0">
                  <c:v>Māori</c:v>
                </c:pt>
              </c:strCache>
            </c:strRef>
          </c:tx>
          <c:spPr>
            <a:ln w="22225" cap="rnd">
              <a:solidFill>
                <a:schemeClr val="bg1">
                  <a:lumMod val="50000"/>
                </a:schemeClr>
              </a:solidFill>
              <a:round/>
            </a:ln>
            <a:effectLst/>
          </c:spPr>
          <c:marker>
            <c:symbol val="none"/>
          </c:marker>
          <c:dPt>
            <c:idx val="3"/>
            <c:marker>
              <c:symbol val="none"/>
            </c:marker>
            <c:bubble3D val="0"/>
            <c:spPr>
              <a:ln w="22225" cap="rnd">
                <a:noFill/>
                <a:prstDash val="sysDot"/>
                <a:round/>
              </a:ln>
              <a:effectLst/>
            </c:spPr>
            <c:extLst>
              <c:ext xmlns:c16="http://schemas.microsoft.com/office/drawing/2014/chart" uri="{C3380CC4-5D6E-409C-BE32-E72D297353CC}">
                <c16:uniqueId val="{00000001-A0C6-4EE8-BA14-46D1ABE0339C}"/>
              </c:ext>
            </c:extLst>
          </c:dPt>
          <c:dPt>
            <c:idx val="4"/>
            <c:marker>
              <c:symbol val="none"/>
            </c:marker>
            <c:bubble3D val="0"/>
            <c:spPr>
              <a:ln w="22225" cap="rnd">
                <a:noFill/>
                <a:prstDash val="sysDot"/>
                <a:round/>
              </a:ln>
              <a:effectLst/>
            </c:spPr>
            <c:extLst>
              <c:ext xmlns:c16="http://schemas.microsoft.com/office/drawing/2014/chart" uri="{C3380CC4-5D6E-409C-BE32-E72D297353CC}">
                <c16:uniqueId val="{00000003-A0C6-4EE8-BA14-46D1ABE0339C}"/>
              </c:ext>
            </c:extLst>
          </c:dPt>
          <c:trendline>
            <c:spPr>
              <a:ln w="19050" cap="rnd">
                <a:solidFill>
                  <a:schemeClr val="accent3"/>
                </a:solidFill>
                <a:prstDash val="sysDot"/>
              </a:ln>
              <a:effectLst/>
            </c:spPr>
            <c:trendlineType val="movingAvg"/>
            <c:period val="5"/>
            <c:dispRSqr val="0"/>
            <c:dispEq val="0"/>
          </c:trendline>
          <c:cat>
            <c:numRef>
              <c:f>'Māori Non-Māori'!$S$82:$AM$82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Non-Māori'!$S$66:$AM$66</c:f>
              <c:numCache>
                <c:formatCode>0.0</c:formatCode>
                <c:ptCount val="21"/>
                <c:pt idx="0">
                  <c:v>12.674271229404299</c:v>
                </c:pt>
                <c:pt idx="1">
                  <c:v>10.644768856447699</c:v>
                </c:pt>
                <c:pt idx="2">
                  <c:v>17.528483786152499</c:v>
                </c:pt>
                <c:pt idx="3">
                  <c:v>0</c:v>
                </c:pt>
                <c:pt idx="4">
                  <c:v>13.4156157767642</c:v>
                </c:pt>
                <c:pt idx="5">
                  <c:v>6.4094346878605304</c:v>
                </c:pt>
                <c:pt idx="6">
                  <c:v>8.5637386836310192</c:v>
                </c:pt>
                <c:pt idx="7">
                  <c:v>5.8486372675166702</c:v>
                </c:pt>
                <c:pt idx="8">
                  <c:v>10.058113544926201</c:v>
                </c:pt>
                <c:pt idx="9">
                  <c:v>7.4994643239768601</c:v>
                </c:pt>
                <c:pt idx="10">
                  <c:v>12.327922745017499</c:v>
                </c:pt>
                <c:pt idx="11">
                  <c:v>11.773940345368899</c:v>
                </c:pt>
                <c:pt idx="12">
                  <c:v>9.3624192491339802</c:v>
                </c:pt>
                <c:pt idx="13">
                  <c:v>9.8858632156016899</c:v>
                </c:pt>
                <c:pt idx="14">
                  <c:v>12.978023879563899</c:v>
                </c:pt>
                <c:pt idx="15">
                  <c:v>13.3723359799415</c:v>
                </c:pt>
                <c:pt idx="16">
                  <c:v>8.08865162177465</c:v>
                </c:pt>
                <c:pt idx="17">
                  <c:v>7.8492935635792804</c:v>
                </c:pt>
                <c:pt idx="18">
                  <c:v>8.4207303069738995</c:v>
                </c:pt>
                <c:pt idx="19">
                  <c:v>13.474062429822601</c:v>
                </c:pt>
                <c:pt idx="20">
                  <c:v>17.537449762513699</c:v>
                </c:pt>
              </c:numCache>
            </c:numRef>
          </c:val>
          <c:smooth val="0"/>
          <c:extLst>
            <c:ext xmlns:c16="http://schemas.microsoft.com/office/drawing/2014/chart" uri="{C3380CC4-5D6E-409C-BE32-E72D297353CC}">
              <c16:uniqueId val="{00000005-A0C6-4EE8-BA14-46D1ABE0339C}"/>
            </c:ext>
          </c:extLst>
        </c:ser>
        <c:ser>
          <c:idx val="3"/>
          <c:order val="1"/>
          <c:tx>
            <c:strRef>
              <c:f>'Māori Non-Māori'!$O$80</c:f>
              <c:strCache>
                <c:ptCount val="1"/>
                <c:pt idx="0">
                  <c:v>Non-Māori</c:v>
                </c:pt>
              </c:strCache>
            </c:strRef>
          </c:tx>
          <c:spPr>
            <a:ln w="22225" cap="rnd">
              <a:solidFill>
                <a:schemeClr val="accent1"/>
              </a:solidFill>
              <a:round/>
            </a:ln>
            <a:effectLst/>
          </c:spPr>
          <c:marker>
            <c:symbol val="none"/>
          </c:marker>
          <c:trendline>
            <c:spPr>
              <a:ln w="19050" cap="rnd">
                <a:solidFill>
                  <a:schemeClr val="accent4"/>
                </a:solidFill>
                <a:prstDash val="sysDot"/>
              </a:ln>
              <a:effectLst/>
            </c:spPr>
            <c:trendlineType val="movingAvg"/>
            <c:period val="5"/>
            <c:dispRSqr val="0"/>
            <c:dispEq val="0"/>
          </c:trendline>
          <c:cat>
            <c:numRef>
              <c:f>'Māori Non-Māori'!$S$82:$AM$82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Non-Māori'!$S$101:$AM$101</c:f>
              <c:numCache>
                <c:formatCode>0.0</c:formatCode>
                <c:ptCount val="21"/>
                <c:pt idx="0">
                  <c:v>13.7837996363423</c:v>
                </c:pt>
                <c:pt idx="1">
                  <c:v>13.5431813645824</c:v>
                </c:pt>
                <c:pt idx="2">
                  <c:v>14.1448600074885</c:v>
                </c:pt>
                <c:pt idx="3">
                  <c:v>13.904075378987301</c:v>
                </c:pt>
                <c:pt idx="4">
                  <c:v>12.2329790592444</c:v>
                </c:pt>
                <c:pt idx="5">
                  <c:v>11.152988231674501</c:v>
                </c:pt>
                <c:pt idx="6">
                  <c:v>13.187360039810899</c:v>
                </c:pt>
                <c:pt idx="7">
                  <c:v>15.6785180182353</c:v>
                </c:pt>
                <c:pt idx="8">
                  <c:v>12.756445515933899</c:v>
                </c:pt>
                <c:pt idx="9">
                  <c:v>14.689805957912</c:v>
                </c:pt>
                <c:pt idx="10">
                  <c:v>14.3125006934351</c:v>
                </c:pt>
                <c:pt idx="11">
                  <c:v>14.0802356814834</c:v>
                </c:pt>
                <c:pt idx="12">
                  <c:v>15.737053896769201</c:v>
                </c:pt>
                <c:pt idx="13">
                  <c:v>15.298580746529399</c:v>
                </c:pt>
                <c:pt idx="14">
                  <c:v>14.822335025380699</c:v>
                </c:pt>
                <c:pt idx="15">
                  <c:v>13.431025669296099</c:v>
                </c:pt>
                <c:pt idx="16">
                  <c:v>13.648137079099399</c:v>
                </c:pt>
                <c:pt idx="17">
                  <c:v>17.105002966185499</c:v>
                </c:pt>
                <c:pt idx="18">
                  <c:v>15.051850693460301</c:v>
                </c:pt>
                <c:pt idx="19">
                  <c:v>14.859844647078701</c:v>
                </c:pt>
                <c:pt idx="20">
                  <c:v>13.9775028763229</c:v>
                </c:pt>
              </c:numCache>
            </c:numRef>
          </c:val>
          <c:smooth val="0"/>
          <c:extLst>
            <c:ext xmlns:c16="http://schemas.microsoft.com/office/drawing/2014/chart" uri="{C3380CC4-5D6E-409C-BE32-E72D297353CC}">
              <c16:uniqueId val="{00000007-A0C6-4EE8-BA14-46D1ABE0339C}"/>
            </c:ext>
          </c:extLst>
        </c:ser>
        <c:dLbls>
          <c:showLegendKey val="0"/>
          <c:showVal val="0"/>
          <c:showCatName val="0"/>
          <c:showSerName val="0"/>
          <c:showPercent val="0"/>
          <c:showBubbleSize val="0"/>
        </c:dLbls>
        <c:smooth val="0"/>
        <c:axId val="348411592"/>
        <c:axId val="348410416"/>
      </c:lineChart>
      <c:catAx>
        <c:axId val="348411592"/>
        <c:scaling>
          <c:orientation val="minMax"/>
        </c:scaling>
        <c:delete val="0"/>
        <c:axPos val="b"/>
        <c:numFmt formatCode="General"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8410416"/>
        <c:crossesAt val="0"/>
        <c:auto val="1"/>
        <c:lblAlgn val="ctr"/>
        <c:lblOffset val="100"/>
        <c:tickLblSkip val="4"/>
        <c:noMultiLvlLbl val="0"/>
      </c:catAx>
      <c:valAx>
        <c:axId val="348410416"/>
        <c:scaling>
          <c:orientation val="minMax"/>
          <c:max val="5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841159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159122085048"/>
          <c:y val="0.22719967831652313"/>
          <c:w val="0.79595423777769403"/>
          <c:h val="0.60872253683164101"/>
        </c:manualLayout>
      </c:layout>
      <c:lineChart>
        <c:grouping val="standard"/>
        <c:varyColors val="0"/>
        <c:ser>
          <c:idx val="0"/>
          <c:order val="0"/>
          <c:tx>
            <c:strRef>
              <c:f>'Māori Non-Māori'!$O$46</c:f>
              <c:strCache>
                <c:ptCount val="1"/>
                <c:pt idx="0">
                  <c:v>Māori</c:v>
                </c:pt>
              </c:strCache>
            </c:strRef>
          </c:tx>
          <c:spPr>
            <a:ln w="22225" cap="rnd">
              <a:solidFill>
                <a:schemeClr val="bg1">
                  <a:lumMod val="65000"/>
                </a:schemeClr>
              </a:solidFill>
              <a:round/>
            </a:ln>
            <a:effectLst/>
          </c:spPr>
          <c:marker>
            <c:symbol val="none"/>
          </c:marker>
          <c:trendline>
            <c:spPr>
              <a:ln w="19050" cap="rnd">
                <a:solidFill>
                  <a:schemeClr val="bg1">
                    <a:lumMod val="50000"/>
                  </a:schemeClr>
                </a:solidFill>
                <a:prstDash val="sysDot"/>
              </a:ln>
              <a:effectLst/>
            </c:spPr>
            <c:trendlineType val="movingAvg"/>
            <c:period val="5"/>
            <c:dispRSqr val="0"/>
            <c:dispEq val="0"/>
          </c:trendline>
          <c:cat>
            <c:numRef>
              <c:f>'Māori Non-Māori'!$S$10:$AM$10</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Non-Māori'!$S$69:$AM$69</c:f>
              <c:numCache>
                <c:formatCode>0.0</c:formatCode>
                <c:ptCount val="21"/>
                <c:pt idx="0">
                  <c:v>58.59375</c:v>
                </c:pt>
                <c:pt idx="1">
                  <c:v>56.431212298112499</c:v>
                </c:pt>
                <c:pt idx="2">
                  <c:v>56.541236108403197</c:v>
                </c:pt>
                <c:pt idx="3">
                  <c:v>45.195519748477103</c:v>
                </c:pt>
                <c:pt idx="4">
                  <c:v>47.374654559810502</c:v>
                </c:pt>
                <c:pt idx="5">
                  <c:v>38.978756577665202</c:v>
                </c:pt>
                <c:pt idx="6">
                  <c:v>43.909889270713997</c:v>
                </c:pt>
                <c:pt idx="7">
                  <c:v>37.306472673008798</c:v>
                </c:pt>
                <c:pt idx="8">
                  <c:v>50.918348790689201</c:v>
                </c:pt>
                <c:pt idx="9">
                  <c:v>51.5280739161336</c:v>
                </c:pt>
                <c:pt idx="10">
                  <c:v>50.752537626881299</c:v>
                </c:pt>
                <c:pt idx="11">
                  <c:v>39.593733861249802</c:v>
                </c:pt>
                <c:pt idx="12">
                  <c:v>28.857579358343202</c:v>
                </c:pt>
                <c:pt idx="13">
                  <c:v>40.140491721023601</c:v>
                </c:pt>
                <c:pt idx="14">
                  <c:v>44.437129690585898</c:v>
                </c:pt>
                <c:pt idx="15">
                  <c:v>53.519299383717197</c:v>
                </c:pt>
                <c:pt idx="16">
                  <c:v>59.247397918334698</c:v>
                </c:pt>
                <c:pt idx="17">
                  <c:v>45.597484276729602</c:v>
                </c:pt>
                <c:pt idx="18">
                  <c:v>30.736130321192601</c:v>
                </c:pt>
                <c:pt idx="19">
                  <c:v>29.899835550904498</c:v>
                </c:pt>
                <c:pt idx="20">
                  <c:v>49.773093251354098</c:v>
                </c:pt>
              </c:numCache>
            </c:numRef>
          </c:val>
          <c:smooth val="0"/>
          <c:extLst>
            <c:ext xmlns:c16="http://schemas.microsoft.com/office/drawing/2014/chart" uri="{C3380CC4-5D6E-409C-BE32-E72D297353CC}">
              <c16:uniqueId val="{00000001-7622-40B9-A7C8-4E110F75E490}"/>
            </c:ext>
          </c:extLst>
        </c:ser>
        <c:ser>
          <c:idx val="2"/>
          <c:order val="1"/>
          <c:tx>
            <c:strRef>
              <c:f>'Māori Non-Māori'!$O$80</c:f>
              <c:strCache>
                <c:ptCount val="1"/>
                <c:pt idx="0">
                  <c:v>Non-Māori</c:v>
                </c:pt>
              </c:strCache>
            </c:strRef>
          </c:tx>
          <c:spPr>
            <a:ln w="22225" cap="rnd">
              <a:solidFill>
                <a:schemeClr val="accent1"/>
              </a:solidFill>
              <a:round/>
            </a:ln>
            <a:effectLst/>
          </c:spPr>
          <c:marker>
            <c:symbol val="none"/>
          </c:marker>
          <c:trendline>
            <c:spPr>
              <a:ln w="19050" cap="rnd">
                <a:solidFill>
                  <a:schemeClr val="accent3"/>
                </a:solidFill>
                <a:prstDash val="sysDot"/>
              </a:ln>
              <a:effectLst/>
            </c:spPr>
            <c:trendlineType val="movingAvg"/>
            <c:period val="5"/>
            <c:dispRSqr val="0"/>
            <c:dispEq val="0"/>
          </c:trendline>
          <c:cat>
            <c:numRef>
              <c:f>'Māori Non-Māori'!$S$10:$AM$10</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Non-Māori'!$S$104:$AM$104</c:f>
              <c:numCache>
                <c:formatCode>0.0</c:formatCode>
                <c:ptCount val="21"/>
                <c:pt idx="0">
                  <c:v>33.017829627999099</c:v>
                </c:pt>
                <c:pt idx="1">
                  <c:v>37.505022994150998</c:v>
                </c:pt>
                <c:pt idx="2">
                  <c:v>34.083162917518699</c:v>
                </c:pt>
                <c:pt idx="3">
                  <c:v>27.192699451537099</c:v>
                </c:pt>
                <c:pt idx="4">
                  <c:v>26.336459825347699</c:v>
                </c:pt>
                <c:pt idx="5">
                  <c:v>30.611778681409099</c:v>
                </c:pt>
                <c:pt idx="6">
                  <c:v>18.9260563380282</c:v>
                </c:pt>
                <c:pt idx="7">
                  <c:v>19.839594765723898</c:v>
                </c:pt>
                <c:pt idx="8">
                  <c:v>22.754540565140001</c:v>
                </c:pt>
                <c:pt idx="9">
                  <c:v>22.494887525562401</c:v>
                </c:pt>
                <c:pt idx="10">
                  <c:v>26.6311584553928</c:v>
                </c:pt>
                <c:pt idx="11">
                  <c:v>19.402562755163899</c:v>
                </c:pt>
                <c:pt idx="12">
                  <c:v>26.791150801704902</c:v>
                </c:pt>
                <c:pt idx="13">
                  <c:v>28.669493236422401</c:v>
                </c:pt>
                <c:pt idx="14">
                  <c:v>19.9163513244374</c:v>
                </c:pt>
                <c:pt idx="15">
                  <c:v>24.846190250828201</c:v>
                </c:pt>
                <c:pt idx="16">
                  <c:v>27.5319567354966</c:v>
                </c:pt>
                <c:pt idx="17">
                  <c:v>17.1667121844641</c:v>
                </c:pt>
                <c:pt idx="18">
                  <c:v>18.231540565177799</c:v>
                </c:pt>
                <c:pt idx="19">
                  <c:v>18.353338472268099</c:v>
                </c:pt>
                <c:pt idx="20">
                  <c:v>18.709747058611899</c:v>
                </c:pt>
              </c:numCache>
            </c:numRef>
          </c:val>
          <c:smooth val="0"/>
          <c:extLst>
            <c:ext xmlns:c16="http://schemas.microsoft.com/office/drawing/2014/chart" uri="{C3380CC4-5D6E-409C-BE32-E72D297353CC}">
              <c16:uniqueId val="{00000003-7622-40B9-A7C8-4E110F75E490}"/>
            </c:ext>
          </c:extLst>
        </c:ser>
        <c:dLbls>
          <c:showLegendKey val="0"/>
          <c:showVal val="0"/>
          <c:showCatName val="0"/>
          <c:showSerName val="0"/>
          <c:showPercent val="0"/>
          <c:showBubbleSize val="0"/>
        </c:dLbls>
        <c:smooth val="0"/>
        <c:axId val="451269112"/>
        <c:axId val="451270288"/>
      </c:lineChart>
      <c:catAx>
        <c:axId val="4512691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270288"/>
        <c:crosses val="autoZero"/>
        <c:auto val="1"/>
        <c:lblAlgn val="ctr"/>
        <c:lblOffset val="100"/>
        <c:tickLblSkip val="4"/>
        <c:noMultiLvlLbl val="0"/>
      </c:catAx>
      <c:valAx>
        <c:axId val="451270288"/>
        <c:scaling>
          <c:orientation val="minMax"/>
          <c:max val="7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269112"/>
        <c:crosses val="autoZero"/>
        <c:crossBetween val="between"/>
        <c:majorUnit val="10"/>
      </c:valAx>
      <c:spPr>
        <a:noFill/>
        <a:ln>
          <a:noFill/>
        </a:ln>
        <a:effectLst/>
      </c:spPr>
    </c:plotArea>
    <c:legend>
      <c:legendPos val="r"/>
      <c:layout>
        <c:manualLayout>
          <c:xMode val="edge"/>
          <c:yMode val="edge"/>
          <c:x val="0.56227126200274358"/>
          <c:y val="3.4114414679619273E-2"/>
          <c:w val="0.43337345679012346"/>
          <c:h val="0.21457851645835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39506172839515E-2"/>
          <c:y val="0.13039347604485221"/>
          <c:w val="0.87273388203017832"/>
          <c:h val="0.70049031600407741"/>
        </c:manualLayout>
      </c:layout>
      <c:lineChart>
        <c:grouping val="standard"/>
        <c:varyColors val="0"/>
        <c:ser>
          <c:idx val="2"/>
          <c:order val="0"/>
          <c:tx>
            <c:strRef>
              <c:f>'Māori Non-Māori'!$O$132</c:f>
              <c:strCache>
                <c:ptCount val="1"/>
                <c:pt idx="0">
                  <c:v>Māori</c:v>
                </c:pt>
              </c:strCache>
            </c:strRef>
          </c:tx>
          <c:spPr>
            <a:ln w="22225" cap="rnd">
              <a:solidFill>
                <a:schemeClr val="bg1">
                  <a:lumMod val="50000"/>
                </a:schemeClr>
              </a:solidFill>
              <a:prstDash val="solid"/>
              <a:round/>
            </a:ln>
            <a:effectLst/>
          </c:spPr>
          <c:marker>
            <c:symbol val="none"/>
          </c:marker>
          <c:cat>
            <c:numRef>
              <c:f>'Māori Non-Māori'!$S$133:$AB$133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'Māori Non-Māori'!$S$143:$AB$143</c:f>
              <c:numCache>
                <c:formatCode>0.0</c:formatCode>
                <c:ptCount val="10"/>
                <c:pt idx="0">
                  <c:v>8.1565810584055303</c:v>
                </c:pt>
                <c:pt idx="1">
                  <c:v>9.4013724061805295</c:v>
                </c:pt>
                <c:pt idx="2">
                  <c:v>11.764406152372301</c:v>
                </c:pt>
                <c:pt idx="3">
                  <c:v>13.234319650344901</c:v>
                </c:pt>
                <c:pt idx="4">
                  <c:v>21.6531984067813</c:v>
                </c:pt>
                <c:pt idx="5">
                  <c:v>16.637221219970201</c:v>
                </c:pt>
                <c:pt idx="6">
                  <c:v>12.8935925880459</c:v>
                </c:pt>
                <c:pt idx="7">
                  <c:v>5.1624947243936603</c:v>
                </c:pt>
                <c:pt idx="8">
                  <c:v>17.293197461414</c:v>
                </c:pt>
                <c:pt idx="9">
                  <c:v>7.5043656916213797</c:v>
                </c:pt>
              </c:numCache>
            </c:numRef>
          </c:val>
          <c:smooth val="0"/>
          <c:extLst>
            <c:ext xmlns:c16="http://schemas.microsoft.com/office/drawing/2014/chart" uri="{C3380CC4-5D6E-409C-BE32-E72D297353CC}">
              <c16:uniqueId val="{00000000-7BAF-4439-8F61-4B826130D5E6}"/>
            </c:ext>
          </c:extLst>
        </c:ser>
        <c:ser>
          <c:idx val="0"/>
          <c:order val="1"/>
          <c:tx>
            <c:strRef>
              <c:f>'Māori Non-Māori'!$O$149</c:f>
              <c:strCache>
                <c:ptCount val="1"/>
                <c:pt idx="0">
                  <c:v>Non-Māori</c:v>
                </c:pt>
              </c:strCache>
            </c:strRef>
          </c:tx>
          <c:spPr>
            <a:ln w="22225" cap="rnd">
              <a:solidFill>
                <a:schemeClr val="accent1"/>
              </a:solidFill>
              <a:round/>
            </a:ln>
            <a:effectLst/>
          </c:spPr>
          <c:marker>
            <c:symbol val="none"/>
          </c:marker>
          <c:cat>
            <c:numRef>
              <c:f>'Māori Non-Māori'!$S$133:$AB$133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'Māori Non-Māori'!$S$160:$AB$160</c:f>
              <c:numCache>
                <c:formatCode>0.0</c:formatCode>
                <c:ptCount val="10"/>
                <c:pt idx="0">
                  <c:v>7.70857713977278</c:v>
                </c:pt>
                <c:pt idx="1">
                  <c:v>9.0240190540465299</c:v>
                </c:pt>
                <c:pt idx="2">
                  <c:v>9.2339983930278997</c:v>
                </c:pt>
                <c:pt idx="3">
                  <c:v>8.9807969074907099</c:v>
                </c:pt>
                <c:pt idx="4">
                  <c:v>7.1735157232694</c:v>
                </c:pt>
                <c:pt idx="5">
                  <c:v>8.4212610687443306</c:v>
                </c:pt>
                <c:pt idx="6">
                  <c:v>7.75061254391865</c:v>
                </c:pt>
                <c:pt idx="7">
                  <c:v>7.6072288012468299</c:v>
                </c:pt>
                <c:pt idx="8">
                  <c:v>8.2412621593162996</c:v>
                </c:pt>
                <c:pt idx="9">
                  <c:v>6.6096317313835504</c:v>
                </c:pt>
              </c:numCache>
            </c:numRef>
          </c:val>
          <c:smooth val="0"/>
          <c:extLst>
            <c:ext xmlns:c16="http://schemas.microsoft.com/office/drawing/2014/chart" uri="{C3380CC4-5D6E-409C-BE32-E72D297353CC}">
              <c16:uniqueId val="{00000001-7BAF-4439-8F61-4B826130D5E6}"/>
            </c:ext>
          </c:extLst>
        </c:ser>
        <c:dLbls>
          <c:showLegendKey val="0"/>
          <c:showVal val="0"/>
          <c:showCatName val="0"/>
          <c:showSerName val="0"/>
          <c:showPercent val="0"/>
          <c:showBubbleSize val="0"/>
        </c:dLbls>
        <c:smooth val="0"/>
        <c:axId val="451275384"/>
        <c:axId val="451272640"/>
      </c:lineChart>
      <c:catAx>
        <c:axId val="45127538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272640"/>
        <c:crosses val="autoZero"/>
        <c:auto val="1"/>
        <c:lblAlgn val="ctr"/>
        <c:lblOffset val="100"/>
        <c:tickLblSkip val="3"/>
        <c:noMultiLvlLbl val="0"/>
      </c:catAx>
      <c:valAx>
        <c:axId val="451272640"/>
        <c:scaling>
          <c:orientation val="minMax"/>
          <c:max val="25"/>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2753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39506172839515E-2"/>
          <c:y val="0.1368664627930683"/>
          <c:w val="0.87273388203017832"/>
          <c:h val="0.70049031600407741"/>
        </c:manualLayout>
      </c:layout>
      <c:lineChart>
        <c:grouping val="standard"/>
        <c:varyColors val="0"/>
        <c:ser>
          <c:idx val="1"/>
          <c:order val="0"/>
          <c:tx>
            <c:strRef>
              <c:f>'Māori Non-Māori'!$O$132</c:f>
              <c:strCache>
                <c:ptCount val="1"/>
                <c:pt idx="0">
                  <c:v>Māori</c:v>
                </c:pt>
              </c:strCache>
            </c:strRef>
          </c:tx>
          <c:spPr>
            <a:ln w="22225" cap="rnd">
              <a:solidFill>
                <a:schemeClr val="bg1">
                  <a:lumMod val="50000"/>
                </a:schemeClr>
              </a:solidFill>
              <a:prstDash val="solid"/>
              <a:round/>
            </a:ln>
            <a:effectLst/>
          </c:spPr>
          <c:marker>
            <c:symbol val="none"/>
          </c:marker>
          <c:cat>
            <c:numRef>
              <c:f>'Māori Non-Māori'!$S$150:$AB$150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'Māori Non-Māori'!$S$145:$AB$145</c:f>
              <c:numCache>
                <c:formatCode>0.0</c:formatCode>
                <c:ptCount val="10"/>
                <c:pt idx="0">
                  <c:v>11.358463125385599</c:v>
                </c:pt>
                <c:pt idx="1">
                  <c:v>13.3027935406478</c:v>
                </c:pt>
                <c:pt idx="2">
                  <c:v>12.5866132128183</c:v>
                </c:pt>
                <c:pt idx="3">
                  <c:v>12.8928666096258</c:v>
                </c:pt>
                <c:pt idx="4">
                  <c:v>12.891795717896899</c:v>
                </c:pt>
                <c:pt idx="5">
                  <c:v>21.7493772047203</c:v>
                </c:pt>
                <c:pt idx="6">
                  <c:v>17.802485127361699</c:v>
                </c:pt>
                <c:pt idx="7">
                  <c:v>12.808920001561599</c:v>
                </c:pt>
                <c:pt idx="8">
                  <c:v>17.3470124378421</c:v>
                </c:pt>
                <c:pt idx="9">
                  <c:v>23.524847716637598</c:v>
                </c:pt>
              </c:numCache>
            </c:numRef>
          </c:val>
          <c:smooth val="0"/>
          <c:extLst>
            <c:ext xmlns:c16="http://schemas.microsoft.com/office/drawing/2014/chart" uri="{C3380CC4-5D6E-409C-BE32-E72D297353CC}">
              <c16:uniqueId val="{00000000-4538-4DAA-B293-654B884B7C14}"/>
            </c:ext>
          </c:extLst>
        </c:ser>
        <c:ser>
          <c:idx val="0"/>
          <c:order val="1"/>
          <c:tx>
            <c:strRef>
              <c:f>'Māori Non-Māori'!$O$149</c:f>
              <c:strCache>
                <c:ptCount val="1"/>
                <c:pt idx="0">
                  <c:v>Non-Māori</c:v>
                </c:pt>
              </c:strCache>
            </c:strRef>
          </c:tx>
          <c:spPr>
            <a:ln w="22225" cap="rnd">
              <a:solidFill>
                <a:schemeClr val="accent1"/>
              </a:solidFill>
              <a:round/>
            </a:ln>
            <a:effectLst/>
          </c:spPr>
          <c:marker>
            <c:symbol val="none"/>
          </c:marker>
          <c:cat>
            <c:numRef>
              <c:f>'Māori Non-Māori'!$S$150:$AB$150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'Māori Non-Māori'!$S$162:$AB$162</c:f>
              <c:numCache>
                <c:formatCode>0.0</c:formatCode>
                <c:ptCount val="10"/>
                <c:pt idx="0">
                  <c:v>12.2661593803128</c:v>
                </c:pt>
                <c:pt idx="1">
                  <c:v>11.021127423476001</c:v>
                </c:pt>
                <c:pt idx="2">
                  <c:v>14.5141755107568</c:v>
                </c:pt>
                <c:pt idx="3">
                  <c:v>11.896161889371299</c:v>
                </c:pt>
                <c:pt idx="4">
                  <c:v>9.1452574133930806</c:v>
                </c:pt>
                <c:pt idx="5">
                  <c:v>13.592609385810301</c:v>
                </c:pt>
                <c:pt idx="6">
                  <c:v>9.19443356923286</c:v>
                </c:pt>
                <c:pt idx="7">
                  <c:v>12.3127259713626</c:v>
                </c:pt>
                <c:pt idx="8">
                  <c:v>11.200531176064599</c:v>
                </c:pt>
                <c:pt idx="9">
                  <c:v>14.119167990118701</c:v>
                </c:pt>
              </c:numCache>
            </c:numRef>
          </c:val>
          <c:smooth val="0"/>
          <c:extLst>
            <c:ext xmlns:c16="http://schemas.microsoft.com/office/drawing/2014/chart" uri="{C3380CC4-5D6E-409C-BE32-E72D297353CC}">
              <c16:uniqueId val="{00000001-4538-4DAA-B293-654B884B7C14}"/>
            </c:ext>
          </c:extLst>
        </c:ser>
        <c:dLbls>
          <c:showLegendKey val="0"/>
          <c:showVal val="0"/>
          <c:showCatName val="0"/>
          <c:showSerName val="0"/>
          <c:showPercent val="0"/>
          <c:showBubbleSize val="0"/>
        </c:dLbls>
        <c:smooth val="0"/>
        <c:axId val="451273816"/>
        <c:axId val="451270680"/>
      </c:lineChart>
      <c:catAx>
        <c:axId val="4512738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270680"/>
        <c:crosses val="autoZero"/>
        <c:auto val="1"/>
        <c:lblAlgn val="ctr"/>
        <c:lblOffset val="100"/>
        <c:tickLblSkip val="3"/>
        <c:noMultiLvlLbl val="0"/>
      </c:catAx>
      <c:valAx>
        <c:axId val="451270680"/>
        <c:scaling>
          <c:orientation val="minMax"/>
          <c:max val="25"/>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273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76154806491885"/>
          <c:y val="0.18709500000000001"/>
          <c:w val="0.82835552781245669"/>
          <c:h val="0.67581000000000002"/>
        </c:manualLayout>
      </c:layout>
      <c:lineChart>
        <c:grouping val="standard"/>
        <c:varyColors val="0"/>
        <c:ser>
          <c:idx val="0"/>
          <c:order val="0"/>
          <c:tx>
            <c:strRef>
              <c:f>'Māori Non-Māori'!$R$195</c:f>
              <c:strCache>
                <c:ptCount val="1"/>
                <c:pt idx="0">
                  <c:v>Hanging, strangulation and suffocation</c:v>
                </c:pt>
              </c:strCache>
            </c:strRef>
          </c:tx>
          <c:spPr>
            <a:ln w="22225" cap="rnd">
              <a:solidFill>
                <a:schemeClr val="tx1"/>
              </a:solidFill>
              <a:round/>
            </a:ln>
            <a:effectLst/>
          </c:spPr>
          <c:marker>
            <c:symbol val="none"/>
          </c:marker>
          <c:cat>
            <c:numRef>
              <c:f>'Māori Non-Māori'!$T$193:$AN$193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Non-Māori'!$T$195:$AN$195</c:f>
              <c:numCache>
                <c:formatCode>0.0</c:formatCode>
                <c:ptCount val="21"/>
                <c:pt idx="0">
                  <c:v>68</c:v>
                </c:pt>
                <c:pt idx="1">
                  <c:v>66</c:v>
                </c:pt>
                <c:pt idx="2">
                  <c:v>66.099999999999994</c:v>
                </c:pt>
                <c:pt idx="3">
                  <c:v>74.7</c:v>
                </c:pt>
                <c:pt idx="4">
                  <c:v>73.8</c:v>
                </c:pt>
                <c:pt idx="5">
                  <c:v>70.900000000000006</c:v>
                </c:pt>
                <c:pt idx="6">
                  <c:v>76.2</c:v>
                </c:pt>
                <c:pt idx="7">
                  <c:v>78.2</c:v>
                </c:pt>
                <c:pt idx="8">
                  <c:v>82.9</c:v>
                </c:pt>
                <c:pt idx="9">
                  <c:v>75.2</c:v>
                </c:pt>
                <c:pt idx="10">
                  <c:v>75</c:v>
                </c:pt>
                <c:pt idx="11">
                  <c:v>73.2</c:v>
                </c:pt>
                <c:pt idx="12">
                  <c:v>87.4</c:v>
                </c:pt>
                <c:pt idx="13">
                  <c:v>84.3</c:v>
                </c:pt>
                <c:pt idx="14">
                  <c:v>76.5</c:v>
                </c:pt>
                <c:pt idx="15">
                  <c:v>85</c:v>
                </c:pt>
                <c:pt idx="16">
                  <c:v>89</c:v>
                </c:pt>
                <c:pt idx="17">
                  <c:v>80.8</c:v>
                </c:pt>
                <c:pt idx="18">
                  <c:v>83.9</c:v>
                </c:pt>
                <c:pt idx="19">
                  <c:v>89</c:v>
                </c:pt>
                <c:pt idx="20">
                  <c:v>84.4</c:v>
                </c:pt>
              </c:numCache>
            </c:numRef>
          </c:val>
          <c:smooth val="0"/>
          <c:extLst>
            <c:ext xmlns:c16="http://schemas.microsoft.com/office/drawing/2014/chart" uri="{C3380CC4-5D6E-409C-BE32-E72D297353CC}">
              <c16:uniqueId val="{00000000-6DD6-4297-9962-D7B7202D0143}"/>
            </c:ext>
          </c:extLst>
        </c:ser>
        <c:ser>
          <c:idx val="5"/>
          <c:order val="1"/>
          <c:tx>
            <c:strRef>
              <c:f>'Māori Non-Māori'!$R$196</c:f>
              <c:strCache>
                <c:ptCount val="1"/>
                <c:pt idx="0">
                  <c:v>Poisoning by gases and vapours</c:v>
                </c:pt>
              </c:strCache>
            </c:strRef>
          </c:tx>
          <c:spPr>
            <a:ln w="22225" cap="rnd">
              <a:solidFill>
                <a:schemeClr val="bg1">
                  <a:lumMod val="50000"/>
                </a:schemeClr>
              </a:solidFill>
              <a:round/>
            </a:ln>
            <a:effectLst/>
          </c:spPr>
          <c:marker>
            <c:symbol val="none"/>
          </c:marker>
          <c:cat>
            <c:numRef>
              <c:f>'Māori Non-Māori'!$T$193:$AN$193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Non-Māori'!$T$196:$AN$196</c:f>
              <c:numCache>
                <c:formatCode>0.0</c:formatCode>
                <c:ptCount val="21"/>
                <c:pt idx="0">
                  <c:v>10.3</c:v>
                </c:pt>
                <c:pt idx="1">
                  <c:v>7.5</c:v>
                </c:pt>
                <c:pt idx="2">
                  <c:v>8</c:v>
                </c:pt>
                <c:pt idx="3">
                  <c:v>6.3</c:v>
                </c:pt>
                <c:pt idx="4">
                  <c:v>8.8000000000000007</c:v>
                </c:pt>
                <c:pt idx="5">
                  <c:v>13.9</c:v>
                </c:pt>
                <c:pt idx="6">
                  <c:v>10</c:v>
                </c:pt>
                <c:pt idx="7">
                  <c:v>8</c:v>
                </c:pt>
                <c:pt idx="8">
                  <c:v>2.7</c:v>
                </c:pt>
                <c:pt idx="9">
                  <c:v>10.5</c:v>
                </c:pt>
                <c:pt idx="10">
                  <c:v>6.5</c:v>
                </c:pt>
                <c:pt idx="11">
                  <c:v>6.2</c:v>
                </c:pt>
                <c:pt idx="12">
                  <c:v>2.2999999999999998</c:v>
                </c:pt>
                <c:pt idx="13">
                  <c:v>3.6</c:v>
                </c:pt>
                <c:pt idx="14">
                  <c:v>3.9</c:v>
                </c:pt>
                <c:pt idx="15">
                  <c:v>4.4000000000000004</c:v>
                </c:pt>
                <c:pt idx="16">
                  <c:v>1.7</c:v>
                </c:pt>
                <c:pt idx="17">
                  <c:v>4.8</c:v>
                </c:pt>
                <c:pt idx="18">
                  <c:v>2.2000000000000002</c:v>
                </c:pt>
                <c:pt idx="19">
                  <c:v>3.4</c:v>
                </c:pt>
                <c:pt idx="20">
                  <c:v>2.2000000000000002</c:v>
                </c:pt>
              </c:numCache>
            </c:numRef>
          </c:val>
          <c:smooth val="0"/>
          <c:extLst>
            <c:ext xmlns:c16="http://schemas.microsoft.com/office/drawing/2014/chart" uri="{C3380CC4-5D6E-409C-BE32-E72D297353CC}">
              <c16:uniqueId val="{00000001-6DD6-4297-9962-D7B7202D0143}"/>
            </c:ext>
          </c:extLst>
        </c:ser>
        <c:ser>
          <c:idx val="6"/>
          <c:order val="2"/>
          <c:tx>
            <c:strRef>
              <c:f>'Māori Non-Māori'!$R$197</c:f>
              <c:strCache>
                <c:ptCount val="1"/>
                <c:pt idx="0">
                  <c:v>Poisoning by solids and liquids</c:v>
                </c:pt>
              </c:strCache>
            </c:strRef>
          </c:tx>
          <c:spPr>
            <a:ln w="22225" cap="rnd">
              <a:solidFill>
                <a:srgbClr val="4BACC6"/>
              </a:solidFill>
              <a:round/>
            </a:ln>
            <a:effectLst/>
          </c:spPr>
          <c:marker>
            <c:symbol val="none"/>
          </c:marker>
          <c:cat>
            <c:numRef>
              <c:f>'Māori Non-Māori'!$T$193:$AN$193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Non-Māori'!$T$197:$AN$197</c:f>
              <c:numCache>
                <c:formatCode>0.0</c:formatCode>
                <c:ptCount val="21"/>
                <c:pt idx="0">
                  <c:v>11.3</c:v>
                </c:pt>
                <c:pt idx="1">
                  <c:v>10.4</c:v>
                </c:pt>
                <c:pt idx="2">
                  <c:v>8.9</c:v>
                </c:pt>
                <c:pt idx="3">
                  <c:v>6.3</c:v>
                </c:pt>
                <c:pt idx="4">
                  <c:v>5</c:v>
                </c:pt>
                <c:pt idx="5">
                  <c:v>5.0999999999999996</c:v>
                </c:pt>
                <c:pt idx="6">
                  <c:v>6.2</c:v>
                </c:pt>
                <c:pt idx="7">
                  <c:v>1.1000000000000001</c:v>
                </c:pt>
                <c:pt idx="8">
                  <c:v>5.4</c:v>
                </c:pt>
                <c:pt idx="9">
                  <c:v>2.9</c:v>
                </c:pt>
                <c:pt idx="10">
                  <c:v>4.5999999999999996</c:v>
                </c:pt>
                <c:pt idx="11">
                  <c:v>9.3000000000000007</c:v>
                </c:pt>
                <c:pt idx="12">
                  <c:v>3.4</c:v>
                </c:pt>
                <c:pt idx="13">
                  <c:v>4.8</c:v>
                </c:pt>
                <c:pt idx="14">
                  <c:v>10.8</c:v>
                </c:pt>
                <c:pt idx="15">
                  <c:v>2.7</c:v>
                </c:pt>
                <c:pt idx="16">
                  <c:v>1.7</c:v>
                </c:pt>
                <c:pt idx="17">
                  <c:v>5.8</c:v>
                </c:pt>
                <c:pt idx="18">
                  <c:v>7.5</c:v>
                </c:pt>
                <c:pt idx="19">
                  <c:v>1.7</c:v>
                </c:pt>
                <c:pt idx="20">
                  <c:v>5.9</c:v>
                </c:pt>
              </c:numCache>
            </c:numRef>
          </c:val>
          <c:smooth val="0"/>
          <c:extLst>
            <c:ext xmlns:c16="http://schemas.microsoft.com/office/drawing/2014/chart" uri="{C3380CC4-5D6E-409C-BE32-E72D297353CC}">
              <c16:uniqueId val="{00000002-6DD6-4297-9962-D7B7202D0143}"/>
            </c:ext>
          </c:extLst>
        </c:ser>
        <c:ser>
          <c:idx val="1"/>
          <c:order val="3"/>
          <c:tx>
            <c:strRef>
              <c:f>'Māori Non-Māori'!$R$198</c:f>
              <c:strCache>
                <c:ptCount val="1"/>
                <c:pt idx="0">
                  <c:v>Firearms and explosives</c:v>
                </c:pt>
              </c:strCache>
            </c:strRef>
          </c:tx>
          <c:spPr>
            <a:ln w="22225" cap="rnd">
              <a:solidFill>
                <a:srgbClr val="A7D6E3"/>
              </a:solidFill>
              <a:round/>
            </a:ln>
            <a:effectLst/>
          </c:spPr>
          <c:marker>
            <c:symbol val="none"/>
          </c:marker>
          <c:cat>
            <c:numRef>
              <c:f>'Māori Non-Māori'!$T$193:$AN$193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Non-Māori'!$T$198:$AN$198</c:f>
              <c:numCache>
                <c:formatCode>0.0</c:formatCode>
                <c:ptCount val="21"/>
                <c:pt idx="0">
                  <c:v>4.0999999999999996</c:v>
                </c:pt>
                <c:pt idx="1">
                  <c:v>7.5</c:v>
                </c:pt>
                <c:pt idx="2">
                  <c:v>8.9</c:v>
                </c:pt>
                <c:pt idx="3">
                  <c:v>2.5</c:v>
                </c:pt>
                <c:pt idx="4">
                  <c:v>5</c:v>
                </c:pt>
                <c:pt idx="5">
                  <c:v>5.0999999999999996</c:v>
                </c:pt>
                <c:pt idx="6">
                  <c:v>5</c:v>
                </c:pt>
                <c:pt idx="7">
                  <c:v>4.5999999999999996</c:v>
                </c:pt>
                <c:pt idx="8">
                  <c:v>3.6</c:v>
                </c:pt>
                <c:pt idx="9">
                  <c:v>6.7</c:v>
                </c:pt>
                <c:pt idx="10">
                  <c:v>5.6</c:v>
                </c:pt>
                <c:pt idx="11">
                  <c:v>6.2</c:v>
                </c:pt>
                <c:pt idx="12">
                  <c:v>3.4</c:v>
                </c:pt>
                <c:pt idx="13">
                  <c:v>3.6</c:v>
                </c:pt>
                <c:pt idx="14">
                  <c:v>3.9</c:v>
                </c:pt>
                <c:pt idx="15">
                  <c:v>1.8</c:v>
                </c:pt>
                <c:pt idx="16">
                  <c:v>4.2</c:v>
                </c:pt>
                <c:pt idx="17">
                  <c:v>1.9</c:v>
                </c:pt>
                <c:pt idx="18">
                  <c:v>1.1000000000000001</c:v>
                </c:pt>
                <c:pt idx="19">
                  <c:v>0.8</c:v>
                </c:pt>
                <c:pt idx="20">
                  <c:v>2.2000000000000002</c:v>
                </c:pt>
              </c:numCache>
            </c:numRef>
          </c:val>
          <c:smooth val="0"/>
          <c:extLst>
            <c:ext xmlns:c16="http://schemas.microsoft.com/office/drawing/2014/chart" uri="{C3380CC4-5D6E-409C-BE32-E72D297353CC}">
              <c16:uniqueId val="{00000003-6DD6-4297-9962-D7B7202D0143}"/>
            </c:ext>
          </c:extLst>
        </c:ser>
        <c:dLbls>
          <c:showLegendKey val="0"/>
          <c:showVal val="0"/>
          <c:showCatName val="0"/>
          <c:showSerName val="0"/>
          <c:showPercent val="0"/>
          <c:showBubbleSize val="0"/>
        </c:dLbls>
        <c:smooth val="0"/>
        <c:axId val="451271072"/>
        <c:axId val="451274992"/>
      </c:lineChart>
      <c:catAx>
        <c:axId val="45127107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274992"/>
        <c:crosses val="autoZero"/>
        <c:auto val="1"/>
        <c:lblAlgn val="ctr"/>
        <c:lblOffset val="100"/>
        <c:tickLblSkip val="4"/>
        <c:noMultiLvlLbl val="0"/>
      </c:catAx>
      <c:valAx>
        <c:axId val="451274992"/>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271072"/>
        <c:crossesAt val="1"/>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76154806491885"/>
          <c:y val="0.16592833333333334"/>
          <c:w val="0.83240812240812245"/>
          <c:h val="0.69697666666666669"/>
        </c:manualLayout>
      </c:layout>
      <c:lineChart>
        <c:grouping val="standard"/>
        <c:varyColors val="0"/>
        <c:ser>
          <c:idx val="0"/>
          <c:order val="0"/>
          <c:tx>
            <c:strRef>
              <c:f>'Māori Non-Māori'!$R$204</c:f>
              <c:strCache>
                <c:ptCount val="1"/>
                <c:pt idx="0">
                  <c:v>Hanging, strangulation and suffocation</c:v>
                </c:pt>
              </c:strCache>
            </c:strRef>
          </c:tx>
          <c:spPr>
            <a:ln w="22225" cap="rnd">
              <a:solidFill>
                <a:schemeClr val="tx1"/>
              </a:solidFill>
              <a:round/>
            </a:ln>
            <a:effectLst/>
          </c:spPr>
          <c:marker>
            <c:symbol val="none"/>
          </c:marker>
          <c:cat>
            <c:numRef>
              <c:f>'Māori Non-Māori'!$T$193:$AN$193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Non-Māori'!$T$204:$AN$204</c:f>
              <c:numCache>
                <c:formatCode>0.0</c:formatCode>
                <c:ptCount val="21"/>
                <c:pt idx="0">
                  <c:v>71.2</c:v>
                </c:pt>
                <c:pt idx="1">
                  <c:v>70</c:v>
                </c:pt>
                <c:pt idx="2">
                  <c:v>65.5</c:v>
                </c:pt>
                <c:pt idx="3">
                  <c:v>72.900000000000006</c:v>
                </c:pt>
                <c:pt idx="4">
                  <c:v>75.400000000000006</c:v>
                </c:pt>
                <c:pt idx="5">
                  <c:v>70.7</c:v>
                </c:pt>
                <c:pt idx="6">
                  <c:v>81.7</c:v>
                </c:pt>
                <c:pt idx="7">
                  <c:v>79.099999999999994</c:v>
                </c:pt>
                <c:pt idx="8">
                  <c:v>84.3</c:v>
                </c:pt>
                <c:pt idx="9">
                  <c:v>71.8</c:v>
                </c:pt>
                <c:pt idx="10">
                  <c:v>76</c:v>
                </c:pt>
                <c:pt idx="11">
                  <c:v>74.3</c:v>
                </c:pt>
                <c:pt idx="12">
                  <c:v>85.7</c:v>
                </c:pt>
                <c:pt idx="13">
                  <c:v>82.8</c:v>
                </c:pt>
                <c:pt idx="14">
                  <c:v>79.2</c:v>
                </c:pt>
                <c:pt idx="15">
                  <c:v>81.5</c:v>
                </c:pt>
                <c:pt idx="16">
                  <c:v>86.4</c:v>
                </c:pt>
                <c:pt idx="17">
                  <c:v>80</c:v>
                </c:pt>
                <c:pt idx="18">
                  <c:v>86.4</c:v>
                </c:pt>
                <c:pt idx="19">
                  <c:v>88.5</c:v>
                </c:pt>
                <c:pt idx="20">
                  <c:v>85.7</c:v>
                </c:pt>
              </c:numCache>
            </c:numRef>
          </c:val>
          <c:smooth val="0"/>
          <c:extLst>
            <c:ext xmlns:c16="http://schemas.microsoft.com/office/drawing/2014/chart" uri="{C3380CC4-5D6E-409C-BE32-E72D297353CC}">
              <c16:uniqueId val="{00000000-ABD9-42CE-B125-B74F4ACADF98}"/>
            </c:ext>
          </c:extLst>
        </c:ser>
        <c:ser>
          <c:idx val="5"/>
          <c:order val="1"/>
          <c:tx>
            <c:strRef>
              <c:f>'Māori Non-Māori'!$R$205</c:f>
              <c:strCache>
                <c:ptCount val="1"/>
                <c:pt idx="0">
                  <c:v>Poisoning by gases and vapours</c:v>
                </c:pt>
              </c:strCache>
            </c:strRef>
          </c:tx>
          <c:spPr>
            <a:ln w="22225" cap="rnd">
              <a:solidFill>
                <a:schemeClr val="bg1">
                  <a:lumMod val="50000"/>
                </a:schemeClr>
              </a:solidFill>
              <a:round/>
            </a:ln>
            <a:effectLst/>
          </c:spPr>
          <c:marker>
            <c:symbol val="none"/>
          </c:marker>
          <c:cat>
            <c:numRef>
              <c:f>'Māori Non-Māori'!$T$193:$AN$193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Non-Māori'!$T$205:$AN$205</c:f>
              <c:numCache>
                <c:formatCode>0.0</c:formatCode>
                <c:ptCount val="21"/>
                <c:pt idx="0">
                  <c:v>12.3</c:v>
                </c:pt>
                <c:pt idx="1">
                  <c:v>6.2</c:v>
                </c:pt>
                <c:pt idx="2">
                  <c:v>10.3</c:v>
                </c:pt>
                <c:pt idx="3">
                  <c:v>6.8</c:v>
                </c:pt>
                <c:pt idx="4">
                  <c:v>7.2</c:v>
                </c:pt>
                <c:pt idx="5">
                  <c:v>13.8</c:v>
                </c:pt>
                <c:pt idx="6">
                  <c:v>10</c:v>
                </c:pt>
                <c:pt idx="7">
                  <c:v>6</c:v>
                </c:pt>
                <c:pt idx="8">
                  <c:v>2.4</c:v>
                </c:pt>
                <c:pt idx="9">
                  <c:v>12.8</c:v>
                </c:pt>
                <c:pt idx="10">
                  <c:v>4</c:v>
                </c:pt>
                <c:pt idx="11">
                  <c:v>8.1</c:v>
                </c:pt>
                <c:pt idx="12">
                  <c:v>3.6</c:v>
                </c:pt>
                <c:pt idx="13">
                  <c:v>3.4</c:v>
                </c:pt>
                <c:pt idx="14">
                  <c:v>5.6</c:v>
                </c:pt>
                <c:pt idx="15">
                  <c:v>6.2</c:v>
                </c:pt>
                <c:pt idx="16">
                  <c:v>2.5</c:v>
                </c:pt>
                <c:pt idx="17">
                  <c:v>6.2</c:v>
                </c:pt>
                <c:pt idx="18">
                  <c:v>3</c:v>
                </c:pt>
                <c:pt idx="19">
                  <c:v>5.0999999999999996</c:v>
                </c:pt>
                <c:pt idx="20">
                  <c:v>1</c:v>
                </c:pt>
              </c:numCache>
            </c:numRef>
          </c:val>
          <c:smooth val="0"/>
          <c:extLst>
            <c:ext xmlns:c16="http://schemas.microsoft.com/office/drawing/2014/chart" uri="{C3380CC4-5D6E-409C-BE32-E72D297353CC}">
              <c16:uniqueId val="{00000001-ABD9-42CE-B125-B74F4ACADF98}"/>
            </c:ext>
          </c:extLst>
        </c:ser>
        <c:ser>
          <c:idx val="6"/>
          <c:order val="2"/>
          <c:tx>
            <c:strRef>
              <c:f>'Māori Non-Māori'!$R$206</c:f>
              <c:strCache>
                <c:ptCount val="1"/>
                <c:pt idx="0">
                  <c:v>Poisoning by solids and liquids</c:v>
                </c:pt>
              </c:strCache>
            </c:strRef>
          </c:tx>
          <c:spPr>
            <a:ln w="22225" cap="rnd">
              <a:solidFill>
                <a:srgbClr val="4BACC6"/>
              </a:solidFill>
              <a:round/>
            </a:ln>
            <a:effectLst/>
          </c:spPr>
          <c:marker>
            <c:symbol val="none"/>
          </c:marker>
          <c:cat>
            <c:numRef>
              <c:f>'Māori Non-Māori'!$T$193:$AN$193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Non-Māori'!$T$206:$AN$206</c:f>
              <c:numCache>
                <c:formatCode>0.0</c:formatCode>
                <c:ptCount val="21"/>
                <c:pt idx="0">
                  <c:v>5.5</c:v>
                </c:pt>
                <c:pt idx="1">
                  <c:v>7.5</c:v>
                </c:pt>
                <c:pt idx="2">
                  <c:v>3.4</c:v>
                </c:pt>
                <c:pt idx="3">
                  <c:v>6.8</c:v>
                </c:pt>
                <c:pt idx="4">
                  <c:v>4.3</c:v>
                </c:pt>
                <c:pt idx="5">
                  <c:v>5.2</c:v>
                </c:pt>
                <c:pt idx="6">
                  <c:v>0</c:v>
                </c:pt>
                <c:pt idx="7">
                  <c:v>1.5</c:v>
                </c:pt>
                <c:pt idx="8">
                  <c:v>3.6</c:v>
                </c:pt>
                <c:pt idx="9">
                  <c:v>1.3</c:v>
                </c:pt>
                <c:pt idx="10">
                  <c:v>4</c:v>
                </c:pt>
                <c:pt idx="11">
                  <c:v>5.4</c:v>
                </c:pt>
                <c:pt idx="12">
                  <c:v>1.8</c:v>
                </c:pt>
                <c:pt idx="13">
                  <c:v>3.4</c:v>
                </c:pt>
                <c:pt idx="14">
                  <c:v>5.6</c:v>
                </c:pt>
                <c:pt idx="15">
                  <c:v>2.5</c:v>
                </c:pt>
                <c:pt idx="16">
                  <c:v>1.2</c:v>
                </c:pt>
                <c:pt idx="17">
                  <c:v>1.5</c:v>
                </c:pt>
                <c:pt idx="18">
                  <c:v>3</c:v>
                </c:pt>
                <c:pt idx="19">
                  <c:v>0</c:v>
                </c:pt>
                <c:pt idx="20">
                  <c:v>3.1</c:v>
                </c:pt>
              </c:numCache>
            </c:numRef>
          </c:val>
          <c:smooth val="0"/>
          <c:extLst>
            <c:ext xmlns:c16="http://schemas.microsoft.com/office/drawing/2014/chart" uri="{C3380CC4-5D6E-409C-BE32-E72D297353CC}">
              <c16:uniqueId val="{00000002-ABD9-42CE-B125-B74F4ACADF98}"/>
            </c:ext>
          </c:extLst>
        </c:ser>
        <c:ser>
          <c:idx val="1"/>
          <c:order val="3"/>
          <c:tx>
            <c:strRef>
              <c:f>'Māori Non-Māori'!$R$207</c:f>
              <c:strCache>
                <c:ptCount val="1"/>
                <c:pt idx="0">
                  <c:v>Firearms and explosives</c:v>
                </c:pt>
              </c:strCache>
            </c:strRef>
          </c:tx>
          <c:spPr>
            <a:ln w="22225" cap="rnd">
              <a:solidFill>
                <a:srgbClr val="A7D6E3"/>
              </a:solidFill>
              <a:round/>
            </a:ln>
            <a:effectLst/>
          </c:spPr>
          <c:marker>
            <c:symbol val="none"/>
          </c:marker>
          <c:cat>
            <c:numRef>
              <c:f>'Māori Non-Māori'!$T$193:$AN$193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Non-Māori'!$T$207:$AN$207</c:f>
              <c:numCache>
                <c:formatCode>0.0</c:formatCode>
                <c:ptCount val="21"/>
                <c:pt idx="0">
                  <c:v>4.0999999999999996</c:v>
                </c:pt>
                <c:pt idx="1">
                  <c:v>8.8000000000000007</c:v>
                </c:pt>
                <c:pt idx="2">
                  <c:v>11.5</c:v>
                </c:pt>
                <c:pt idx="3">
                  <c:v>3.4</c:v>
                </c:pt>
                <c:pt idx="4">
                  <c:v>5.8</c:v>
                </c:pt>
                <c:pt idx="5">
                  <c:v>6.9</c:v>
                </c:pt>
                <c:pt idx="6">
                  <c:v>6.7</c:v>
                </c:pt>
                <c:pt idx="7">
                  <c:v>6</c:v>
                </c:pt>
                <c:pt idx="8">
                  <c:v>4.8</c:v>
                </c:pt>
                <c:pt idx="9">
                  <c:v>9</c:v>
                </c:pt>
                <c:pt idx="10">
                  <c:v>8</c:v>
                </c:pt>
                <c:pt idx="11">
                  <c:v>8.1</c:v>
                </c:pt>
                <c:pt idx="12">
                  <c:v>3.6</c:v>
                </c:pt>
                <c:pt idx="13">
                  <c:v>5.2</c:v>
                </c:pt>
                <c:pt idx="14">
                  <c:v>4.2</c:v>
                </c:pt>
                <c:pt idx="15">
                  <c:v>2.5</c:v>
                </c:pt>
                <c:pt idx="16">
                  <c:v>6.2</c:v>
                </c:pt>
                <c:pt idx="17">
                  <c:v>1.5</c:v>
                </c:pt>
                <c:pt idx="18">
                  <c:v>1.5</c:v>
                </c:pt>
                <c:pt idx="19">
                  <c:v>1.3</c:v>
                </c:pt>
                <c:pt idx="20">
                  <c:v>3.1</c:v>
                </c:pt>
              </c:numCache>
            </c:numRef>
          </c:val>
          <c:smooth val="0"/>
          <c:extLst>
            <c:ext xmlns:c16="http://schemas.microsoft.com/office/drawing/2014/chart" uri="{C3380CC4-5D6E-409C-BE32-E72D297353CC}">
              <c16:uniqueId val="{00000003-ABD9-42CE-B125-B74F4ACADF98}"/>
            </c:ext>
          </c:extLst>
        </c:ser>
        <c:dLbls>
          <c:showLegendKey val="0"/>
          <c:showVal val="0"/>
          <c:showCatName val="0"/>
          <c:showSerName val="0"/>
          <c:showPercent val="0"/>
          <c:showBubbleSize val="0"/>
        </c:dLbls>
        <c:smooth val="0"/>
        <c:axId val="451273032"/>
        <c:axId val="451275776"/>
      </c:lineChart>
      <c:catAx>
        <c:axId val="45127303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275776"/>
        <c:crosses val="autoZero"/>
        <c:auto val="1"/>
        <c:lblAlgn val="ctr"/>
        <c:lblOffset val="100"/>
        <c:tickLblSkip val="4"/>
        <c:noMultiLvlLbl val="0"/>
      </c:catAx>
      <c:valAx>
        <c:axId val="451275776"/>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273032"/>
        <c:crossesAt val="1"/>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76154806491885"/>
          <c:y val="0.16592833333333334"/>
          <c:w val="0.83240812240812245"/>
          <c:h val="0.69697666666666669"/>
        </c:manualLayout>
      </c:layout>
      <c:lineChart>
        <c:grouping val="standard"/>
        <c:varyColors val="0"/>
        <c:ser>
          <c:idx val="0"/>
          <c:order val="0"/>
          <c:tx>
            <c:strRef>
              <c:f>'Māori Non-Māori'!$R$213</c:f>
              <c:strCache>
                <c:ptCount val="1"/>
                <c:pt idx="0">
                  <c:v>Hanging, strangulation and suffocation</c:v>
                </c:pt>
              </c:strCache>
            </c:strRef>
          </c:tx>
          <c:spPr>
            <a:ln w="22225" cap="rnd">
              <a:solidFill>
                <a:schemeClr val="tx1"/>
              </a:solidFill>
              <a:round/>
            </a:ln>
            <a:effectLst/>
          </c:spPr>
          <c:marker>
            <c:symbol val="none"/>
          </c:marker>
          <c:cat>
            <c:numRef>
              <c:f>'Māori Non-Māori'!$T$193:$AN$193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Non-Māori'!$T$213:$AN$213</c:f>
              <c:numCache>
                <c:formatCode>0.0</c:formatCode>
                <c:ptCount val="21"/>
                <c:pt idx="0">
                  <c:v>58.3</c:v>
                </c:pt>
                <c:pt idx="1">
                  <c:v>53.8</c:v>
                </c:pt>
                <c:pt idx="2">
                  <c:v>68</c:v>
                </c:pt>
                <c:pt idx="3">
                  <c:v>80</c:v>
                </c:pt>
                <c:pt idx="4">
                  <c:v>63.6</c:v>
                </c:pt>
                <c:pt idx="5">
                  <c:v>71.400000000000006</c:v>
                </c:pt>
                <c:pt idx="6">
                  <c:v>60</c:v>
                </c:pt>
                <c:pt idx="7">
                  <c:v>75</c:v>
                </c:pt>
                <c:pt idx="8">
                  <c:v>78.599999999999994</c:v>
                </c:pt>
                <c:pt idx="9">
                  <c:v>85.2</c:v>
                </c:pt>
                <c:pt idx="10">
                  <c:v>72.7</c:v>
                </c:pt>
                <c:pt idx="11">
                  <c:v>69.599999999999994</c:v>
                </c:pt>
                <c:pt idx="12">
                  <c:v>90.3</c:v>
                </c:pt>
                <c:pt idx="13">
                  <c:v>88</c:v>
                </c:pt>
                <c:pt idx="14">
                  <c:v>70</c:v>
                </c:pt>
                <c:pt idx="15">
                  <c:v>93.8</c:v>
                </c:pt>
                <c:pt idx="16">
                  <c:v>94.6</c:v>
                </c:pt>
                <c:pt idx="17">
                  <c:v>82.1</c:v>
                </c:pt>
                <c:pt idx="18">
                  <c:v>77.8</c:v>
                </c:pt>
                <c:pt idx="19">
                  <c:v>90</c:v>
                </c:pt>
                <c:pt idx="20">
                  <c:v>81.099999999999994</c:v>
                </c:pt>
              </c:numCache>
            </c:numRef>
          </c:val>
          <c:smooth val="0"/>
          <c:extLst>
            <c:ext xmlns:c16="http://schemas.microsoft.com/office/drawing/2014/chart" uri="{C3380CC4-5D6E-409C-BE32-E72D297353CC}">
              <c16:uniqueId val="{00000000-DE5D-467B-A421-93BDA7F319B1}"/>
            </c:ext>
          </c:extLst>
        </c:ser>
        <c:ser>
          <c:idx val="5"/>
          <c:order val="1"/>
          <c:tx>
            <c:strRef>
              <c:f>'Māori Non-Māori'!$R$214</c:f>
              <c:strCache>
                <c:ptCount val="1"/>
                <c:pt idx="0">
                  <c:v>Poisoning by gases and vapours</c:v>
                </c:pt>
              </c:strCache>
            </c:strRef>
          </c:tx>
          <c:spPr>
            <a:ln w="22225" cap="rnd">
              <a:solidFill>
                <a:schemeClr val="bg1">
                  <a:lumMod val="50000"/>
                </a:schemeClr>
              </a:solidFill>
              <a:round/>
            </a:ln>
            <a:effectLst/>
          </c:spPr>
          <c:marker>
            <c:symbol val="none"/>
          </c:marker>
          <c:cat>
            <c:numRef>
              <c:f>'Māori Non-Māori'!$T$193:$AN$193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Non-Māori'!$T$214:$AN$214</c:f>
              <c:numCache>
                <c:formatCode>0.0</c:formatCode>
                <c:ptCount val="21"/>
                <c:pt idx="0">
                  <c:v>4.2</c:v>
                </c:pt>
                <c:pt idx="1">
                  <c:v>11.5</c:v>
                </c:pt>
                <c:pt idx="2">
                  <c:v>0</c:v>
                </c:pt>
                <c:pt idx="3">
                  <c:v>5</c:v>
                </c:pt>
                <c:pt idx="4">
                  <c:v>18.2</c:v>
                </c:pt>
                <c:pt idx="5">
                  <c:v>14.3</c:v>
                </c:pt>
                <c:pt idx="6">
                  <c:v>10</c:v>
                </c:pt>
                <c:pt idx="7">
                  <c:v>15</c:v>
                </c:pt>
                <c:pt idx="8">
                  <c:v>3.6</c:v>
                </c:pt>
                <c:pt idx="9">
                  <c:v>3.7</c:v>
                </c:pt>
                <c:pt idx="10">
                  <c:v>12.1</c:v>
                </c:pt>
                <c:pt idx="11">
                  <c:v>0</c:v>
                </c:pt>
                <c:pt idx="12">
                  <c:v>0</c:v>
                </c:pt>
                <c:pt idx="13">
                  <c:v>4</c:v>
                </c:pt>
                <c:pt idx="14">
                  <c:v>0</c:v>
                </c:pt>
                <c:pt idx="15">
                  <c:v>0</c:v>
                </c:pt>
                <c:pt idx="16">
                  <c:v>0</c:v>
                </c:pt>
                <c:pt idx="17">
                  <c:v>2.6</c:v>
                </c:pt>
                <c:pt idx="18">
                  <c:v>0</c:v>
                </c:pt>
                <c:pt idx="19">
                  <c:v>0</c:v>
                </c:pt>
                <c:pt idx="20">
                  <c:v>5.4</c:v>
                </c:pt>
              </c:numCache>
            </c:numRef>
          </c:val>
          <c:smooth val="0"/>
          <c:extLst>
            <c:ext xmlns:c16="http://schemas.microsoft.com/office/drawing/2014/chart" uri="{C3380CC4-5D6E-409C-BE32-E72D297353CC}">
              <c16:uniqueId val="{00000001-DE5D-467B-A421-93BDA7F319B1}"/>
            </c:ext>
          </c:extLst>
        </c:ser>
        <c:ser>
          <c:idx val="6"/>
          <c:order val="2"/>
          <c:tx>
            <c:strRef>
              <c:f>'Māori Non-Māori'!$R$215</c:f>
              <c:strCache>
                <c:ptCount val="1"/>
                <c:pt idx="0">
                  <c:v>Poisoning by solids and liquids</c:v>
                </c:pt>
              </c:strCache>
            </c:strRef>
          </c:tx>
          <c:spPr>
            <a:ln w="22225" cap="rnd">
              <a:solidFill>
                <a:srgbClr val="4BACC6"/>
              </a:solidFill>
              <a:round/>
            </a:ln>
            <a:effectLst/>
          </c:spPr>
          <c:marker>
            <c:symbol val="none"/>
          </c:marker>
          <c:cat>
            <c:numRef>
              <c:f>'Māori Non-Māori'!$T$193:$AN$193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Non-Māori'!$T$215:$AN$215</c:f>
              <c:numCache>
                <c:formatCode>0.0</c:formatCode>
                <c:ptCount val="21"/>
                <c:pt idx="0">
                  <c:v>29.2</c:v>
                </c:pt>
                <c:pt idx="1">
                  <c:v>19.2</c:v>
                </c:pt>
                <c:pt idx="2">
                  <c:v>28</c:v>
                </c:pt>
                <c:pt idx="3">
                  <c:v>5</c:v>
                </c:pt>
                <c:pt idx="4">
                  <c:v>9.1</c:v>
                </c:pt>
                <c:pt idx="5">
                  <c:v>4.8</c:v>
                </c:pt>
                <c:pt idx="6">
                  <c:v>25</c:v>
                </c:pt>
                <c:pt idx="7">
                  <c:v>0</c:v>
                </c:pt>
                <c:pt idx="8">
                  <c:v>10.7</c:v>
                </c:pt>
                <c:pt idx="9">
                  <c:v>7.4</c:v>
                </c:pt>
                <c:pt idx="10">
                  <c:v>6.1</c:v>
                </c:pt>
                <c:pt idx="11">
                  <c:v>21.7</c:v>
                </c:pt>
                <c:pt idx="12">
                  <c:v>6.5</c:v>
                </c:pt>
                <c:pt idx="13">
                  <c:v>8</c:v>
                </c:pt>
                <c:pt idx="14">
                  <c:v>23.3</c:v>
                </c:pt>
                <c:pt idx="15">
                  <c:v>3.1</c:v>
                </c:pt>
                <c:pt idx="16">
                  <c:v>2.7</c:v>
                </c:pt>
                <c:pt idx="17">
                  <c:v>12.8</c:v>
                </c:pt>
                <c:pt idx="18">
                  <c:v>18.5</c:v>
                </c:pt>
                <c:pt idx="19">
                  <c:v>5</c:v>
                </c:pt>
                <c:pt idx="20">
                  <c:v>13.5</c:v>
                </c:pt>
              </c:numCache>
            </c:numRef>
          </c:val>
          <c:smooth val="0"/>
          <c:extLst>
            <c:ext xmlns:c16="http://schemas.microsoft.com/office/drawing/2014/chart" uri="{C3380CC4-5D6E-409C-BE32-E72D297353CC}">
              <c16:uniqueId val="{00000002-DE5D-467B-A421-93BDA7F319B1}"/>
            </c:ext>
          </c:extLst>
        </c:ser>
        <c:ser>
          <c:idx val="1"/>
          <c:order val="3"/>
          <c:tx>
            <c:strRef>
              <c:f>'Māori Non-Māori'!$R$216</c:f>
              <c:strCache>
                <c:ptCount val="1"/>
                <c:pt idx="0">
                  <c:v>Firearms and explosives</c:v>
                </c:pt>
              </c:strCache>
            </c:strRef>
          </c:tx>
          <c:spPr>
            <a:ln w="22225" cap="rnd">
              <a:solidFill>
                <a:srgbClr val="A7D6E3"/>
              </a:solidFill>
              <a:round/>
            </a:ln>
            <a:effectLst/>
          </c:spPr>
          <c:marker>
            <c:symbol val="none"/>
          </c:marker>
          <c:cat>
            <c:numRef>
              <c:f>'Māori Non-Māori'!$T$193:$AN$193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Non-Māori'!$T$216:$AN$216</c:f>
              <c:numCache>
                <c:formatCode>0.0</c:formatCode>
                <c:ptCount val="21"/>
                <c:pt idx="0">
                  <c:v>4.2</c:v>
                </c:pt>
                <c:pt idx="1">
                  <c:v>3.8</c:v>
                </c:pt>
                <c:pt idx="2">
                  <c:v>0</c:v>
                </c:pt>
                <c:pt idx="3">
                  <c:v>0</c:v>
                </c:pt>
                <c:pt idx="4">
                  <c:v>0</c:v>
                </c:pt>
                <c:pt idx="5">
                  <c:v>0</c:v>
                </c:pt>
                <c:pt idx="6">
                  <c:v>0</c:v>
                </c:pt>
                <c:pt idx="7">
                  <c:v>0</c:v>
                </c:pt>
                <c:pt idx="8">
                  <c:v>0</c:v>
                </c:pt>
                <c:pt idx="9">
                  <c:v>0</c:v>
                </c:pt>
                <c:pt idx="10">
                  <c:v>0</c:v>
                </c:pt>
                <c:pt idx="11">
                  <c:v>0</c:v>
                </c:pt>
                <c:pt idx="12">
                  <c:v>3.2</c:v>
                </c:pt>
                <c:pt idx="13">
                  <c:v>0</c:v>
                </c:pt>
                <c:pt idx="14">
                  <c:v>3.3</c:v>
                </c:pt>
                <c:pt idx="15">
                  <c:v>0</c:v>
                </c:pt>
                <c:pt idx="16">
                  <c:v>0</c:v>
                </c:pt>
                <c:pt idx="17">
                  <c:v>2.6</c:v>
                </c:pt>
                <c:pt idx="18">
                  <c:v>0</c:v>
                </c:pt>
                <c:pt idx="19">
                  <c:v>0</c:v>
                </c:pt>
                <c:pt idx="20">
                  <c:v>0</c:v>
                </c:pt>
              </c:numCache>
            </c:numRef>
          </c:val>
          <c:smooth val="0"/>
          <c:extLst>
            <c:ext xmlns:c16="http://schemas.microsoft.com/office/drawing/2014/chart" uri="{C3380CC4-5D6E-409C-BE32-E72D297353CC}">
              <c16:uniqueId val="{00000003-DE5D-467B-A421-93BDA7F319B1}"/>
            </c:ext>
          </c:extLst>
        </c:ser>
        <c:dLbls>
          <c:showLegendKey val="0"/>
          <c:showVal val="0"/>
          <c:showCatName val="0"/>
          <c:showSerName val="0"/>
          <c:showPercent val="0"/>
          <c:showBubbleSize val="0"/>
        </c:dLbls>
        <c:smooth val="0"/>
        <c:axId val="451276168"/>
        <c:axId val="451268720"/>
      </c:lineChart>
      <c:catAx>
        <c:axId val="45127616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268720"/>
        <c:crosses val="autoZero"/>
        <c:auto val="1"/>
        <c:lblAlgn val="ctr"/>
        <c:lblOffset val="100"/>
        <c:tickLblSkip val="4"/>
        <c:noMultiLvlLbl val="0"/>
      </c:catAx>
      <c:valAx>
        <c:axId val="451268720"/>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276168"/>
        <c:crossesAt val="1"/>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76154806491885"/>
          <c:y val="0.16592833333333334"/>
          <c:w val="0.83240812240812245"/>
          <c:h val="0.69697666666666669"/>
        </c:manualLayout>
      </c:layout>
      <c:lineChart>
        <c:grouping val="standard"/>
        <c:varyColors val="0"/>
        <c:ser>
          <c:idx val="0"/>
          <c:order val="0"/>
          <c:tx>
            <c:strRef>
              <c:f>'Māori Non-Māori'!$R$226</c:f>
              <c:strCache>
                <c:ptCount val="1"/>
                <c:pt idx="0">
                  <c:v>Hanging, strangulation and suffocation</c:v>
                </c:pt>
              </c:strCache>
            </c:strRef>
          </c:tx>
          <c:spPr>
            <a:ln w="22225" cap="rnd">
              <a:solidFill>
                <a:schemeClr val="tx1"/>
              </a:solidFill>
              <a:round/>
            </a:ln>
            <a:effectLst/>
          </c:spPr>
          <c:marker>
            <c:symbol val="none"/>
          </c:marker>
          <c:cat>
            <c:numRef>
              <c:f>'Māori Non-Māori'!$T$224:$AN$224</c:f>
              <c:numCache>
                <c:formatCode>0</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Non-Māori'!$T$226:$AN$226</c:f>
              <c:numCache>
                <c:formatCode>0.0</c:formatCode>
                <c:ptCount val="21"/>
                <c:pt idx="0">
                  <c:v>37</c:v>
                </c:pt>
                <c:pt idx="1">
                  <c:v>35.5</c:v>
                </c:pt>
                <c:pt idx="2">
                  <c:v>37.799999999999997</c:v>
                </c:pt>
                <c:pt idx="3">
                  <c:v>41.9</c:v>
                </c:pt>
                <c:pt idx="4">
                  <c:v>41.2</c:v>
                </c:pt>
                <c:pt idx="5">
                  <c:v>41.7</c:v>
                </c:pt>
                <c:pt idx="6">
                  <c:v>41.3</c:v>
                </c:pt>
                <c:pt idx="7">
                  <c:v>41.8</c:v>
                </c:pt>
                <c:pt idx="8">
                  <c:v>46.5</c:v>
                </c:pt>
                <c:pt idx="9">
                  <c:v>43.2</c:v>
                </c:pt>
                <c:pt idx="10">
                  <c:v>49.3</c:v>
                </c:pt>
                <c:pt idx="11">
                  <c:v>52.7</c:v>
                </c:pt>
                <c:pt idx="12">
                  <c:v>49.7</c:v>
                </c:pt>
                <c:pt idx="13">
                  <c:v>54.1</c:v>
                </c:pt>
                <c:pt idx="14">
                  <c:v>54.4</c:v>
                </c:pt>
                <c:pt idx="15">
                  <c:v>53.9</c:v>
                </c:pt>
                <c:pt idx="16">
                  <c:v>55</c:v>
                </c:pt>
                <c:pt idx="17">
                  <c:v>51.1</c:v>
                </c:pt>
                <c:pt idx="18">
                  <c:v>55.9</c:v>
                </c:pt>
                <c:pt idx="19">
                  <c:v>53.9</c:v>
                </c:pt>
                <c:pt idx="20">
                  <c:v>59.2</c:v>
                </c:pt>
              </c:numCache>
            </c:numRef>
          </c:val>
          <c:smooth val="0"/>
          <c:extLst>
            <c:ext xmlns:c16="http://schemas.microsoft.com/office/drawing/2014/chart" uri="{C3380CC4-5D6E-409C-BE32-E72D297353CC}">
              <c16:uniqueId val="{00000000-0889-4F39-BCFF-51B1F4E3A6FB}"/>
            </c:ext>
          </c:extLst>
        </c:ser>
        <c:ser>
          <c:idx val="5"/>
          <c:order val="1"/>
          <c:tx>
            <c:strRef>
              <c:f>'Māori Non-Māori'!$R$227</c:f>
              <c:strCache>
                <c:ptCount val="1"/>
                <c:pt idx="0">
                  <c:v>Poisoning by gases and vapours</c:v>
                </c:pt>
              </c:strCache>
            </c:strRef>
          </c:tx>
          <c:spPr>
            <a:ln w="22225" cap="rnd">
              <a:solidFill>
                <a:schemeClr val="bg1">
                  <a:lumMod val="50000"/>
                </a:schemeClr>
              </a:solidFill>
              <a:round/>
            </a:ln>
            <a:effectLst/>
          </c:spPr>
          <c:marker>
            <c:symbol val="none"/>
          </c:marker>
          <c:cat>
            <c:numRef>
              <c:f>'Māori Non-Māori'!$T$224:$AN$224</c:f>
              <c:numCache>
                <c:formatCode>0</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Non-Māori'!$T$227:$AN$227</c:f>
              <c:numCache>
                <c:formatCode>0.0</c:formatCode>
                <c:ptCount val="21"/>
                <c:pt idx="0">
                  <c:v>33.200000000000003</c:v>
                </c:pt>
                <c:pt idx="1">
                  <c:v>32.700000000000003</c:v>
                </c:pt>
                <c:pt idx="2">
                  <c:v>26.8</c:v>
                </c:pt>
                <c:pt idx="3">
                  <c:v>25.6</c:v>
                </c:pt>
                <c:pt idx="4">
                  <c:v>28</c:v>
                </c:pt>
                <c:pt idx="5">
                  <c:v>23.3</c:v>
                </c:pt>
                <c:pt idx="6">
                  <c:v>23.3</c:v>
                </c:pt>
                <c:pt idx="7">
                  <c:v>22.3</c:v>
                </c:pt>
                <c:pt idx="8">
                  <c:v>24</c:v>
                </c:pt>
                <c:pt idx="9">
                  <c:v>24.1</c:v>
                </c:pt>
                <c:pt idx="10">
                  <c:v>19.2</c:v>
                </c:pt>
                <c:pt idx="11">
                  <c:v>16.3</c:v>
                </c:pt>
                <c:pt idx="12">
                  <c:v>16.899999999999999</c:v>
                </c:pt>
                <c:pt idx="13">
                  <c:v>11</c:v>
                </c:pt>
                <c:pt idx="14">
                  <c:v>13.2</c:v>
                </c:pt>
                <c:pt idx="15">
                  <c:v>11.3</c:v>
                </c:pt>
                <c:pt idx="16">
                  <c:v>9.5</c:v>
                </c:pt>
                <c:pt idx="17">
                  <c:v>9.8000000000000007</c:v>
                </c:pt>
                <c:pt idx="18">
                  <c:v>9.4</c:v>
                </c:pt>
                <c:pt idx="19">
                  <c:v>10</c:v>
                </c:pt>
                <c:pt idx="20">
                  <c:v>9.8000000000000007</c:v>
                </c:pt>
              </c:numCache>
            </c:numRef>
          </c:val>
          <c:smooth val="0"/>
          <c:extLst>
            <c:ext xmlns:c16="http://schemas.microsoft.com/office/drawing/2014/chart" uri="{C3380CC4-5D6E-409C-BE32-E72D297353CC}">
              <c16:uniqueId val="{00000001-0889-4F39-BCFF-51B1F4E3A6FB}"/>
            </c:ext>
          </c:extLst>
        </c:ser>
        <c:ser>
          <c:idx val="6"/>
          <c:order val="2"/>
          <c:tx>
            <c:strRef>
              <c:f>'Māori Non-Māori'!$R$228</c:f>
              <c:strCache>
                <c:ptCount val="1"/>
                <c:pt idx="0">
                  <c:v>Poisoning by solids and liquids</c:v>
                </c:pt>
              </c:strCache>
            </c:strRef>
          </c:tx>
          <c:spPr>
            <a:ln w="22225" cap="rnd">
              <a:solidFill>
                <a:srgbClr val="4BACC6"/>
              </a:solidFill>
              <a:round/>
            </a:ln>
            <a:effectLst/>
          </c:spPr>
          <c:marker>
            <c:symbol val="none"/>
          </c:marker>
          <c:cat>
            <c:numRef>
              <c:f>'Māori Non-Māori'!$T$224:$AN$224</c:f>
              <c:numCache>
                <c:formatCode>0</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Non-Māori'!$T$228:$AN$228</c:f>
              <c:numCache>
                <c:formatCode>0.0</c:formatCode>
                <c:ptCount val="21"/>
                <c:pt idx="0">
                  <c:v>10.8</c:v>
                </c:pt>
                <c:pt idx="1">
                  <c:v>10.5</c:v>
                </c:pt>
                <c:pt idx="2">
                  <c:v>11.6</c:v>
                </c:pt>
                <c:pt idx="3">
                  <c:v>10.8</c:v>
                </c:pt>
                <c:pt idx="4">
                  <c:v>8.4</c:v>
                </c:pt>
                <c:pt idx="5">
                  <c:v>11.7</c:v>
                </c:pt>
                <c:pt idx="6">
                  <c:v>10.8</c:v>
                </c:pt>
                <c:pt idx="7">
                  <c:v>13.1</c:v>
                </c:pt>
                <c:pt idx="8">
                  <c:v>10.4</c:v>
                </c:pt>
                <c:pt idx="9">
                  <c:v>11.7</c:v>
                </c:pt>
                <c:pt idx="10">
                  <c:v>10.6</c:v>
                </c:pt>
                <c:pt idx="11">
                  <c:v>9.6999999999999993</c:v>
                </c:pt>
                <c:pt idx="12">
                  <c:v>12.1</c:v>
                </c:pt>
                <c:pt idx="13">
                  <c:v>12.8</c:v>
                </c:pt>
                <c:pt idx="14">
                  <c:v>13</c:v>
                </c:pt>
                <c:pt idx="15">
                  <c:v>14.1</c:v>
                </c:pt>
                <c:pt idx="16">
                  <c:v>14.4</c:v>
                </c:pt>
                <c:pt idx="17">
                  <c:v>15.4</c:v>
                </c:pt>
                <c:pt idx="18">
                  <c:v>14.4</c:v>
                </c:pt>
                <c:pt idx="19">
                  <c:v>12.6</c:v>
                </c:pt>
                <c:pt idx="20">
                  <c:v>9.5</c:v>
                </c:pt>
              </c:numCache>
            </c:numRef>
          </c:val>
          <c:smooth val="0"/>
          <c:extLst>
            <c:ext xmlns:c16="http://schemas.microsoft.com/office/drawing/2014/chart" uri="{C3380CC4-5D6E-409C-BE32-E72D297353CC}">
              <c16:uniqueId val="{00000002-0889-4F39-BCFF-51B1F4E3A6FB}"/>
            </c:ext>
          </c:extLst>
        </c:ser>
        <c:ser>
          <c:idx val="1"/>
          <c:order val="3"/>
          <c:tx>
            <c:strRef>
              <c:f>'Māori Non-Māori'!$R$229</c:f>
              <c:strCache>
                <c:ptCount val="1"/>
                <c:pt idx="0">
                  <c:v>Firearms and explosives</c:v>
                </c:pt>
              </c:strCache>
            </c:strRef>
          </c:tx>
          <c:spPr>
            <a:ln w="22225" cap="rnd">
              <a:solidFill>
                <a:srgbClr val="A7D6E3"/>
              </a:solidFill>
              <a:round/>
            </a:ln>
            <a:effectLst/>
          </c:spPr>
          <c:marker>
            <c:symbol val="none"/>
          </c:marker>
          <c:cat>
            <c:numRef>
              <c:f>'Māori Non-Māori'!$T$224:$AN$224</c:f>
              <c:numCache>
                <c:formatCode>0</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Non-Māori'!$T$229:$AN$229</c:f>
              <c:numCache>
                <c:formatCode>0.0</c:formatCode>
                <c:ptCount val="21"/>
                <c:pt idx="0">
                  <c:v>9.6999999999999993</c:v>
                </c:pt>
                <c:pt idx="1">
                  <c:v>10.5</c:v>
                </c:pt>
                <c:pt idx="2">
                  <c:v>13.3</c:v>
                </c:pt>
                <c:pt idx="3">
                  <c:v>10.3</c:v>
                </c:pt>
                <c:pt idx="4">
                  <c:v>8.6999999999999993</c:v>
                </c:pt>
                <c:pt idx="5">
                  <c:v>11</c:v>
                </c:pt>
                <c:pt idx="6">
                  <c:v>11.5</c:v>
                </c:pt>
                <c:pt idx="7">
                  <c:v>8.6999999999999993</c:v>
                </c:pt>
                <c:pt idx="8">
                  <c:v>9.1</c:v>
                </c:pt>
                <c:pt idx="9">
                  <c:v>9</c:v>
                </c:pt>
                <c:pt idx="10">
                  <c:v>10.1</c:v>
                </c:pt>
                <c:pt idx="11">
                  <c:v>10.4</c:v>
                </c:pt>
                <c:pt idx="12">
                  <c:v>9</c:v>
                </c:pt>
                <c:pt idx="13">
                  <c:v>11.7</c:v>
                </c:pt>
                <c:pt idx="14">
                  <c:v>8.8000000000000007</c:v>
                </c:pt>
                <c:pt idx="15">
                  <c:v>8.9</c:v>
                </c:pt>
                <c:pt idx="16">
                  <c:v>9.6999999999999993</c:v>
                </c:pt>
                <c:pt idx="17">
                  <c:v>11.2</c:v>
                </c:pt>
                <c:pt idx="18">
                  <c:v>9.6</c:v>
                </c:pt>
                <c:pt idx="19">
                  <c:v>9.6999999999999993</c:v>
                </c:pt>
                <c:pt idx="20">
                  <c:v>7.4</c:v>
                </c:pt>
              </c:numCache>
            </c:numRef>
          </c:val>
          <c:smooth val="0"/>
          <c:extLst>
            <c:ext xmlns:c16="http://schemas.microsoft.com/office/drawing/2014/chart" uri="{C3380CC4-5D6E-409C-BE32-E72D297353CC}">
              <c16:uniqueId val="{00000003-0889-4F39-BCFF-51B1F4E3A6FB}"/>
            </c:ext>
          </c:extLst>
        </c:ser>
        <c:dLbls>
          <c:showLegendKey val="0"/>
          <c:showVal val="0"/>
          <c:showCatName val="0"/>
          <c:showSerName val="0"/>
          <c:showPercent val="0"/>
          <c:showBubbleSize val="0"/>
        </c:dLbls>
        <c:smooth val="0"/>
        <c:axId val="451269896"/>
        <c:axId val="451719824"/>
      </c:lineChart>
      <c:catAx>
        <c:axId val="451269896"/>
        <c:scaling>
          <c:orientation val="minMax"/>
        </c:scaling>
        <c:delete val="0"/>
        <c:axPos val="b"/>
        <c:numFmt formatCode="0"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719824"/>
        <c:crosses val="autoZero"/>
        <c:auto val="1"/>
        <c:lblAlgn val="ctr"/>
        <c:lblOffset val="100"/>
        <c:tickLblSkip val="4"/>
        <c:noMultiLvlLbl val="0"/>
      </c:catAx>
      <c:valAx>
        <c:axId val="451719824"/>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269896"/>
        <c:crossesAt val="1"/>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265524444308498E-2"/>
          <c:y val="0.17706356270683557"/>
          <c:w val="0.89442918273702166"/>
          <c:h val="0.65425130682194144"/>
        </c:manualLayout>
      </c:layout>
      <c:barChart>
        <c:barDir val="col"/>
        <c:grouping val="clustered"/>
        <c:varyColors val="0"/>
        <c:ser>
          <c:idx val="0"/>
          <c:order val="0"/>
          <c:tx>
            <c:strRef>
              <c:f>'Quick facts'!$T$82</c:f>
              <c:strCache>
                <c:ptCount val="1"/>
                <c:pt idx="0">
                  <c:v>Male</c:v>
                </c:pt>
              </c:strCache>
            </c:strRef>
          </c:tx>
          <c:spPr>
            <a:solidFill>
              <a:schemeClr val="bg1">
                <a:lumMod val="50000"/>
              </a:schemeClr>
            </a:solidFill>
            <a:ln>
              <a:noFill/>
            </a:ln>
            <a:effectLst/>
          </c:spPr>
          <c:invertIfNegative val="0"/>
          <c:cat>
            <c:strRef>
              <c:f>'Quick facts'!$X$79:$AM$79</c:f>
              <c:strCache>
                <c:ptCount val="16"/>
                <c:pt idx="0">
                  <c:v>10–14</c:v>
                </c:pt>
                <c:pt idx="1">
                  <c:v>15–19</c:v>
                </c:pt>
                <c:pt idx="2">
                  <c:v>20–24</c:v>
                </c:pt>
                <c:pt idx="3">
                  <c:v>25–29</c:v>
                </c:pt>
                <c:pt idx="4">
                  <c:v>30–34</c:v>
                </c:pt>
                <c:pt idx="5">
                  <c:v>35–39</c:v>
                </c:pt>
                <c:pt idx="6">
                  <c:v>40–44</c:v>
                </c:pt>
                <c:pt idx="7">
                  <c:v>45–49</c:v>
                </c:pt>
                <c:pt idx="8">
                  <c:v>50–54</c:v>
                </c:pt>
                <c:pt idx="9">
                  <c:v>55–59</c:v>
                </c:pt>
                <c:pt idx="10">
                  <c:v>60–64</c:v>
                </c:pt>
                <c:pt idx="11">
                  <c:v>65–69</c:v>
                </c:pt>
                <c:pt idx="12">
                  <c:v>70–74</c:v>
                </c:pt>
                <c:pt idx="13">
                  <c:v>75–79</c:v>
                </c:pt>
                <c:pt idx="14">
                  <c:v>80–84</c:v>
                </c:pt>
                <c:pt idx="15">
                  <c:v>85+</c:v>
                </c:pt>
              </c:strCache>
            </c:strRef>
          </c:cat>
          <c:val>
            <c:numRef>
              <c:f>'Quick facts'!$X$82:$AM$82</c:f>
              <c:numCache>
                <c:formatCode>0.0</c:formatCode>
                <c:ptCount val="16"/>
                <c:pt idx="0">
                  <c:v>22.7</c:v>
                </c:pt>
                <c:pt idx="1">
                  <c:v>34.299999999999997</c:v>
                </c:pt>
                <c:pt idx="2">
                  <c:v>37.700000000000003</c:v>
                </c:pt>
                <c:pt idx="3">
                  <c:v>40.700000000000003</c:v>
                </c:pt>
                <c:pt idx="4">
                  <c:v>32.700000000000003</c:v>
                </c:pt>
                <c:pt idx="5">
                  <c:v>16.899999999999999</c:v>
                </c:pt>
                <c:pt idx="6">
                  <c:v>16</c:v>
                </c:pt>
                <c:pt idx="7">
                  <c:v>9.1</c:v>
                </c:pt>
                <c:pt idx="8">
                  <c:v>7</c:v>
                </c:pt>
                <c:pt idx="9">
                  <c:v>4.9000000000000004</c:v>
                </c:pt>
                <c:pt idx="10">
                  <c:v>2.2999999999999998</c:v>
                </c:pt>
                <c:pt idx="11">
                  <c:v>1.2</c:v>
                </c:pt>
                <c:pt idx="12">
                  <c:v>0.3</c:v>
                </c:pt>
                <c:pt idx="13">
                  <c:v>0.5</c:v>
                </c:pt>
                <c:pt idx="14">
                  <c:v>0.3</c:v>
                </c:pt>
                <c:pt idx="15">
                  <c:v>0.2</c:v>
                </c:pt>
              </c:numCache>
            </c:numRef>
          </c:val>
          <c:extLst>
            <c:ext xmlns:c16="http://schemas.microsoft.com/office/drawing/2014/chart" uri="{C3380CC4-5D6E-409C-BE32-E72D297353CC}">
              <c16:uniqueId val="{00000000-AB44-40CA-A821-54ABFFD477C9}"/>
            </c:ext>
          </c:extLst>
        </c:ser>
        <c:ser>
          <c:idx val="1"/>
          <c:order val="1"/>
          <c:tx>
            <c:strRef>
              <c:f>'Quick facts'!$T$83</c:f>
              <c:strCache>
                <c:ptCount val="1"/>
                <c:pt idx="0">
                  <c:v>Female</c:v>
                </c:pt>
              </c:strCache>
            </c:strRef>
          </c:tx>
          <c:spPr>
            <a:solidFill>
              <a:schemeClr val="accent1"/>
            </a:solidFill>
            <a:ln>
              <a:noFill/>
            </a:ln>
            <a:effectLst/>
          </c:spPr>
          <c:invertIfNegative val="0"/>
          <c:cat>
            <c:strRef>
              <c:f>'Quick facts'!$X$79:$AM$79</c:f>
              <c:strCache>
                <c:ptCount val="16"/>
                <c:pt idx="0">
                  <c:v>10–14</c:v>
                </c:pt>
                <c:pt idx="1">
                  <c:v>15–19</c:v>
                </c:pt>
                <c:pt idx="2">
                  <c:v>20–24</c:v>
                </c:pt>
                <c:pt idx="3">
                  <c:v>25–29</c:v>
                </c:pt>
                <c:pt idx="4">
                  <c:v>30–34</c:v>
                </c:pt>
                <c:pt idx="5">
                  <c:v>35–39</c:v>
                </c:pt>
                <c:pt idx="6">
                  <c:v>40–44</c:v>
                </c:pt>
                <c:pt idx="7">
                  <c:v>45–49</c:v>
                </c:pt>
                <c:pt idx="8">
                  <c:v>50–54</c:v>
                </c:pt>
                <c:pt idx="9">
                  <c:v>55–59</c:v>
                </c:pt>
                <c:pt idx="10">
                  <c:v>60–64</c:v>
                </c:pt>
                <c:pt idx="11">
                  <c:v>65–69</c:v>
                </c:pt>
                <c:pt idx="12">
                  <c:v>70–74</c:v>
                </c:pt>
                <c:pt idx="13">
                  <c:v>75–79</c:v>
                </c:pt>
                <c:pt idx="14">
                  <c:v>80–84</c:v>
                </c:pt>
                <c:pt idx="15">
                  <c:v>85+</c:v>
                </c:pt>
              </c:strCache>
            </c:strRef>
          </c:cat>
          <c:val>
            <c:numRef>
              <c:f>'Quick facts'!$X$83:$AM$83</c:f>
              <c:numCache>
                <c:formatCode>0.0</c:formatCode>
                <c:ptCount val="16"/>
                <c:pt idx="0">
                  <c:v>21.4</c:v>
                </c:pt>
                <c:pt idx="1">
                  <c:v>20.8</c:v>
                </c:pt>
                <c:pt idx="2">
                  <c:v>29.6</c:v>
                </c:pt>
                <c:pt idx="3">
                  <c:v>34</c:v>
                </c:pt>
                <c:pt idx="4">
                  <c:v>15.9</c:v>
                </c:pt>
                <c:pt idx="5">
                  <c:v>11.2</c:v>
                </c:pt>
                <c:pt idx="6">
                  <c:v>11.5</c:v>
                </c:pt>
                <c:pt idx="7">
                  <c:v>6</c:v>
                </c:pt>
                <c:pt idx="8">
                  <c:v>2.6</c:v>
                </c:pt>
                <c:pt idx="9">
                  <c:v>2.2999999999999998</c:v>
                </c:pt>
                <c:pt idx="10">
                  <c:v>0.6</c:v>
                </c:pt>
                <c:pt idx="11">
                  <c:v>0.4</c:v>
                </c:pt>
                <c:pt idx="12">
                  <c:v>0.2</c:v>
                </c:pt>
                <c:pt idx="13">
                  <c:v>0.1</c:v>
                </c:pt>
                <c:pt idx="14">
                  <c:v>0</c:v>
                </c:pt>
                <c:pt idx="15">
                  <c:v>0</c:v>
                </c:pt>
              </c:numCache>
            </c:numRef>
          </c:val>
          <c:extLst>
            <c:ext xmlns:c16="http://schemas.microsoft.com/office/drawing/2014/chart" uri="{C3380CC4-5D6E-409C-BE32-E72D297353CC}">
              <c16:uniqueId val="{00000001-AB44-40CA-A821-54ABFFD477C9}"/>
            </c:ext>
          </c:extLst>
        </c:ser>
        <c:dLbls>
          <c:showLegendKey val="0"/>
          <c:showVal val="0"/>
          <c:showCatName val="0"/>
          <c:showSerName val="0"/>
          <c:showPercent val="0"/>
          <c:showBubbleSize val="0"/>
        </c:dLbls>
        <c:gapWidth val="59"/>
        <c:overlap val="-10"/>
        <c:axId val="348406888"/>
        <c:axId val="348407280"/>
      </c:barChart>
      <c:catAx>
        <c:axId val="348406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8407280"/>
        <c:crosses val="autoZero"/>
        <c:auto val="1"/>
        <c:lblAlgn val="ctr"/>
        <c:lblOffset val="100"/>
        <c:noMultiLvlLbl val="0"/>
      </c:catAx>
      <c:valAx>
        <c:axId val="348407280"/>
        <c:scaling>
          <c:orientation val="minMax"/>
          <c:max val="6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8406888"/>
        <c:crosses val="autoZero"/>
        <c:crossBetween val="between"/>
      </c:valAx>
      <c:spPr>
        <a:noFill/>
        <a:ln>
          <a:noFill/>
        </a:ln>
        <a:effectLst/>
      </c:spPr>
    </c:plotArea>
    <c:legend>
      <c:legendPos val="b"/>
      <c:layout>
        <c:manualLayout>
          <c:xMode val="edge"/>
          <c:yMode val="edge"/>
          <c:x val="0.63611557989291856"/>
          <c:y val="2.1676702176933772E-3"/>
          <c:w val="0.27509555555555554"/>
          <c:h val="9.921944444444445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76154806491885"/>
          <c:y val="0.16592833333333334"/>
          <c:w val="0.83240812240812245"/>
          <c:h val="0.69697666666666669"/>
        </c:manualLayout>
      </c:layout>
      <c:lineChart>
        <c:grouping val="standard"/>
        <c:varyColors val="0"/>
        <c:ser>
          <c:idx val="0"/>
          <c:order val="0"/>
          <c:tx>
            <c:strRef>
              <c:f>'Māori Non-Māori'!$R$235</c:f>
              <c:strCache>
                <c:ptCount val="1"/>
                <c:pt idx="0">
                  <c:v>Hanging, strangulation and suffocation</c:v>
                </c:pt>
              </c:strCache>
            </c:strRef>
          </c:tx>
          <c:spPr>
            <a:ln w="22225" cap="rnd">
              <a:solidFill>
                <a:schemeClr val="tx1"/>
              </a:solidFill>
              <a:round/>
            </a:ln>
            <a:effectLst/>
          </c:spPr>
          <c:marker>
            <c:symbol val="none"/>
          </c:marker>
          <c:cat>
            <c:numRef>
              <c:f>'Māori Non-Māori'!$T$224:$AN$224</c:f>
              <c:numCache>
                <c:formatCode>0</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Non-Māori'!$T$235:$AN$235</c:f>
              <c:numCache>
                <c:formatCode>0.0</c:formatCode>
                <c:ptCount val="21"/>
                <c:pt idx="0">
                  <c:v>38.799999999999997</c:v>
                </c:pt>
                <c:pt idx="1">
                  <c:v>35.700000000000003</c:v>
                </c:pt>
                <c:pt idx="2">
                  <c:v>36.9</c:v>
                </c:pt>
                <c:pt idx="3">
                  <c:v>42.5</c:v>
                </c:pt>
                <c:pt idx="4">
                  <c:v>43.6</c:v>
                </c:pt>
                <c:pt idx="5">
                  <c:v>43.1</c:v>
                </c:pt>
                <c:pt idx="6">
                  <c:v>41.2</c:v>
                </c:pt>
                <c:pt idx="7">
                  <c:v>43.1</c:v>
                </c:pt>
                <c:pt idx="8">
                  <c:v>47.2</c:v>
                </c:pt>
                <c:pt idx="9">
                  <c:v>44.9</c:v>
                </c:pt>
                <c:pt idx="10">
                  <c:v>49.7</c:v>
                </c:pt>
                <c:pt idx="11">
                  <c:v>57</c:v>
                </c:pt>
                <c:pt idx="12">
                  <c:v>50.2</c:v>
                </c:pt>
                <c:pt idx="13">
                  <c:v>56.5</c:v>
                </c:pt>
                <c:pt idx="14">
                  <c:v>55.9</c:v>
                </c:pt>
                <c:pt idx="15">
                  <c:v>56.4</c:v>
                </c:pt>
                <c:pt idx="16">
                  <c:v>57</c:v>
                </c:pt>
                <c:pt idx="17">
                  <c:v>53</c:v>
                </c:pt>
                <c:pt idx="18">
                  <c:v>58.8</c:v>
                </c:pt>
                <c:pt idx="19">
                  <c:v>56.5</c:v>
                </c:pt>
                <c:pt idx="20">
                  <c:v>60.8</c:v>
                </c:pt>
              </c:numCache>
            </c:numRef>
          </c:val>
          <c:smooth val="0"/>
          <c:extLst>
            <c:ext xmlns:c16="http://schemas.microsoft.com/office/drawing/2014/chart" uri="{C3380CC4-5D6E-409C-BE32-E72D297353CC}">
              <c16:uniqueId val="{00000000-1AD8-4ADF-A6E8-DA8C6AE00733}"/>
            </c:ext>
          </c:extLst>
        </c:ser>
        <c:ser>
          <c:idx val="5"/>
          <c:order val="1"/>
          <c:tx>
            <c:strRef>
              <c:f>'Māori Non-Māori'!$R$236</c:f>
              <c:strCache>
                <c:ptCount val="1"/>
                <c:pt idx="0">
                  <c:v>Poisoning by gases and vapours</c:v>
                </c:pt>
              </c:strCache>
            </c:strRef>
          </c:tx>
          <c:spPr>
            <a:ln w="22225" cap="rnd">
              <a:solidFill>
                <a:schemeClr val="bg1">
                  <a:lumMod val="50000"/>
                </a:schemeClr>
              </a:solidFill>
              <a:round/>
            </a:ln>
            <a:effectLst/>
          </c:spPr>
          <c:marker>
            <c:symbol val="none"/>
          </c:marker>
          <c:cat>
            <c:numRef>
              <c:f>'Māori Non-Māori'!$T$224:$AN$224</c:f>
              <c:numCache>
                <c:formatCode>0</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Non-Māori'!$T$236:$AN$236</c:f>
              <c:numCache>
                <c:formatCode>0.0</c:formatCode>
                <c:ptCount val="21"/>
                <c:pt idx="0">
                  <c:v>32.9</c:v>
                </c:pt>
                <c:pt idx="1">
                  <c:v>35.700000000000003</c:v>
                </c:pt>
                <c:pt idx="2">
                  <c:v>28.5</c:v>
                </c:pt>
                <c:pt idx="3">
                  <c:v>28</c:v>
                </c:pt>
                <c:pt idx="4">
                  <c:v>27.4</c:v>
                </c:pt>
                <c:pt idx="5">
                  <c:v>24.7</c:v>
                </c:pt>
                <c:pt idx="6">
                  <c:v>24.3</c:v>
                </c:pt>
                <c:pt idx="7">
                  <c:v>22.7</c:v>
                </c:pt>
                <c:pt idx="8">
                  <c:v>26.4</c:v>
                </c:pt>
                <c:pt idx="9">
                  <c:v>25.6</c:v>
                </c:pt>
                <c:pt idx="10">
                  <c:v>20.5</c:v>
                </c:pt>
                <c:pt idx="11">
                  <c:v>15</c:v>
                </c:pt>
                <c:pt idx="12">
                  <c:v>19.5</c:v>
                </c:pt>
                <c:pt idx="13">
                  <c:v>11</c:v>
                </c:pt>
                <c:pt idx="14">
                  <c:v>14.9</c:v>
                </c:pt>
                <c:pt idx="15">
                  <c:v>12.8</c:v>
                </c:pt>
                <c:pt idx="16">
                  <c:v>10.8</c:v>
                </c:pt>
                <c:pt idx="17">
                  <c:v>11.7</c:v>
                </c:pt>
                <c:pt idx="18">
                  <c:v>9.6</c:v>
                </c:pt>
                <c:pt idx="19">
                  <c:v>10.7</c:v>
                </c:pt>
                <c:pt idx="20">
                  <c:v>9.9</c:v>
                </c:pt>
              </c:numCache>
            </c:numRef>
          </c:val>
          <c:smooth val="0"/>
          <c:extLst>
            <c:ext xmlns:c16="http://schemas.microsoft.com/office/drawing/2014/chart" uri="{C3380CC4-5D6E-409C-BE32-E72D297353CC}">
              <c16:uniqueId val="{00000001-1AD8-4ADF-A6E8-DA8C6AE00733}"/>
            </c:ext>
          </c:extLst>
        </c:ser>
        <c:ser>
          <c:idx val="6"/>
          <c:order val="2"/>
          <c:tx>
            <c:strRef>
              <c:f>'Māori Non-Māori'!$R$237</c:f>
              <c:strCache>
                <c:ptCount val="1"/>
                <c:pt idx="0">
                  <c:v>Poisoning by solids and liquids</c:v>
                </c:pt>
              </c:strCache>
            </c:strRef>
          </c:tx>
          <c:spPr>
            <a:ln w="22225" cap="rnd">
              <a:solidFill>
                <a:srgbClr val="4BACC6"/>
              </a:solidFill>
              <a:round/>
            </a:ln>
            <a:effectLst/>
          </c:spPr>
          <c:marker>
            <c:symbol val="none"/>
          </c:marker>
          <c:cat>
            <c:numRef>
              <c:f>'Māori Non-Māori'!$T$224:$AN$224</c:f>
              <c:numCache>
                <c:formatCode>0</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Non-Māori'!$T$237:$AN$237</c:f>
              <c:numCache>
                <c:formatCode>0.0</c:formatCode>
                <c:ptCount val="21"/>
                <c:pt idx="0">
                  <c:v>7.3</c:v>
                </c:pt>
                <c:pt idx="1">
                  <c:v>5.5</c:v>
                </c:pt>
                <c:pt idx="2">
                  <c:v>7.8</c:v>
                </c:pt>
                <c:pt idx="3">
                  <c:v>5.5</c:v>
                </c:pt>
                <c:pt idx="4">
                  <c:v>5.5</c:v>
                </c:pt>
                <c:pt idx="5">
                  <c:v>7.8</c:v>
                </c:pt>
                <c:pt idx="6">
                  <c:v>8.1</c:v>
                </c:pt>
                <c:pt idx="7">
                  <c:v>9.9</c:v>
                </c:pt>
                <c:pt idx="8">
                  <c:v>6.4</c:v>
                </c:pt>
                <c:pt idx="9">
                  <c:v>8.5</c:v>
                </c:pt>
                <c:pt idx="10">
                  <c:v>6.7</c:v>
                </c:pt>
                <c:pt idx="11">
                  <c:v>5.2</c:v>
                </c:pt>
                <c:pt idx="12">
                  <c:v>6.2</c:v>
                </c:pt>
                <c:pt idx="13">
                  <c:v>8.9</c:v>
                </c:pt>
                <c:pt idx="14">
                  <c:v>7.6</c:v>
                </c:pt>
                <c:pt idx="15">
                  <c:v>9.8000000000000007</c:v>
                </c:pt>
                <c:pt idx="16">
                  <c:v>8.6999999999999993</c:v>
                </c:pt>
                <c:pt idx="17">
                  <c:v>10</c:v>
                </c:pt>
                <c:pt idx="18">
                  <c:v>9.6</c:v>
                </c:pt>
                <c:pt idx="19">
                  <c:v>6.5</c:v>
                </c:pt>
                <c:pt idx="20">
                  <c:v>4.8</c:v>
                </c:pt>
              </c:numCache>
            </c:numRef>
          </c:val>
          <c:smooth val="0"/>
          <c:extLst>
            <c:ext xmlns:c16="http://schemas.microsoft.com/office/drawing/2014/chart" uri="{C3380CC4-5D6E-409C-BE32-E72D297353CC}">
              <c16:uniqueId val="{00000002-1AD8-4ADF-A6E8-DA8C6AE00733}"/>
            </c:ext>
          </c:extLst>
        </c:ser>
        <c:ser>
          <c:idx val="1"/>
          <c:order val="3"/>
          <c:tx>
            <c:strRef>
              <c:f>'Māori Non-Māori'!$R$238</c:f>
              <c:strCache>
                <c:ptCount val="1"/>
                <c:pt idx="0">
                  <c:v>Firearms and explosives</c:v>
                </c:pt>
              </c:strCache>
            </c:strRef>
          </c:tx>
          <c:spPr>
            <a:ln w="22225" cap="rnd">
              <a:solidFill>
                <a:srgbClr val="A7D6E3"/>
              </a:solidFill>
              <a:round/>
            </a:ln>
            <a:effectLst/>
          </c:spPr>
          <c:marker>
            <c:symbol val="none"/>
          </c:marker>
          <c:cat>
            <c:numRef>
              <c:f>'Māori Non-Māori'!$T$224:$AN$224</c:f>
              <c:numCache>
                <c:formatCode>0</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Non-Māori'!$T$238:$AN$238</c:f>
              <c:numCache>
                <c:formatCode>0.0</c:formatCode>
                <c:ptCount val="21"/>
                <c:pt idx="0">
                  <c:v>12.1</c:v>
                </c:pt>
                <c:pt idx="1">
                  <c:v>12.5</c:v>
                </c:pt>
                <c:pt idx="2">
                  <c:v>17</c:v>
                </c:pt>
                <c:pt idx="3">
                  <c:v>12.6</c:v>
                </c:pt>
                <c:pt idx="4">
                  <c:v>10.1</c:v>
                </c:pt>
                <c:pt idx="5">
                  <c:v>13.9</c:v>
                </c:pt>
                <c:pt idx="6">
                  <c:v>14.2</c:v>
                </c:pt>
                <c:pt idx="7">
                  <c:v>10.9</c:v>
                </c:pt>
                <c:pt idx="8">
                  <c:v>11</c:v>
                </c:pt>
                <c:pt idx="9">
                  <c:v>11.5</c:v>
                </c:pt>
                <c:pt idx="10">
                  <c:v>11.5</c:v>
                </c:pt>
                <c:pt idx="11">
                  <c:v>12.4</c:v>
                </c:pt>
                <c:pt idx="12">
                  <c:v>11.8</c:v>
                </c:pt>
                <c:pt idx="13">
                  <c:v>14.9</c:v>
                </c:pt>
                <c:pt idx="14">
                  <c:v>11.7</c:v>
                </c:pt>
                <c:pt idx="15">
                  <c:v>10.8</c:v>
                </c:pt>
                <c:pt idx="16">
                  <c:v>12.4</c:v>
                </c:pt>
                <c:pt idx="17">
                  <c:v>15</c:v>
                </c:pt>
                <c:pt idx="18">
                  <c:v>11.8</c:v>
                </c:pt>
                <c:pt idx="19">
                  <c:v>12</c:v>
                </c:pt>
                <c:pt idx="20">
                  <c:v>9.9</c:v>
                </c:pt>
              </c:numCache>
            </c:numRef>
          </c:val>
          <c:smooth val="0"/>
          <c:extLst>
            <c:ext xmlns:c16="http://schemas.microsoft.com/office/drawing/2014/chart" uri="{C3380CC4-5D6E-409C-BE32-E72D297353CC}">
              <c16:uniqueId val="{00000003-1AD8-4ADF-A6E8-DA8C6AE00733}"/>
            </c:ext>
          </c:extLst>
        </c:ser>
        <c:dLbls>
          <c:showLegendKey val="0"/>
          <c:showVal val="0"/>
          <c:showCatName val="0"/>
          <c:showSerName val="0"/>
          <c:showPercent val="0"/>
          <c:showBubbleSize val="0"/>
        </c:dLbls>
        <c:smooth val="0"/>
        <c:axId val="451720216"/>
        <c:axId val="451717080"/>
      </c:lineChart>
      <c:catAx>
        <c:axId val="451720216"/>
        <c:scaling>
          <c:orientation val="minMax"/>
        </c:scaling>
        <c:delete val="0"/>
        <c:axPos val="b"/>
        <c:numFmt formatCode="0"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717080"/>
        <c:crosses val="autoZero"/>
        <c:auto val="1"/>
        <c:lblAlgn val="ctr"/>
        <c:lblOffset val="100"/>
        <c:tickLblSkip val="4"/>
        <c:noMultiLvlLbl val="0"/>
      </c:catAx>
      <c:valAx>
        <c:axId val="451717080"/>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720216"/>
        <c:crossesAt val="1"/>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76154806491885"/>
          <c:y val="0.16592833333333334"/>
          <c:w val="0.83240812240812245"/>
          <c:h val="0.69697666666666669"/>
        </c:manualLayout>
      </c:layout>
      <c:lineChart>
        <c:grouping val="standard"/>
        <c:varyColors val="0"/>
        <c:ser>
          <c:idx val="0"/>
          <c:order val="0"/>
          <c:tx>
            <c:strRef>
              <c:f>'Māori Non-Māori'!$R$244</c:f>
              <c:strCache>
                <c:ptCount val="1"/>
                <c:pt idx="0">
                  <c:v>Hanging, strangulation and suffocation</c:v>
                </c:pt>
              </c:strCache>
            </c:strRef>
          </c:tx>
          <c:spPr>
            <a:ln w="22225" cap="rnd">
              <a:solidFill>
                <a:schemeClr val="tx1"/>
              </a:solidFill>
              <a:round/>
            </a:ln>
            <a:effectLst/>
          </c:spPr>
          <c:marker>
            <c:symbol val="none"/>
          </c:marker>
          <c:cat>
            <c:numRef>
              <c:f>'Māori Non-Māori'!$T$224:$AN$224</c:f>
              <c:numCache>
                <c:formatCode>0</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Non-Māori'!$T$244:$AN$244</c:f>
              <c:numCache>
                <c:formatCode>0.0</c:formatCode>
                <c:ptCount val="21"/>
                <c:pt idx="0">
                  <c:v>29.9</c:v>
                </c:pt>
                <c:pt idx="1">
                  <c:v>34.700000000000003</c:v>
                </c:pt>
                <c:pt idx="2">
                  <c:v>40.700000000000003</c:v>
                </c:pt>
                <c:pt idx="3">
                  <c:v>40.200000000000003</c:v>
                </c:pt>
                <c:pt idx="4">
                  <c:v>30.6</c:v>
                </c:pt>
                <c:pt idx="5">
                  <c:v>37.1</c:v>
                </c:pt>
                <c:pt idx="6">
                  <c:v>41.5</c:v>
                </c:pt>
                <c:pt idx="7">
                  <c:v>38.5</c:v>
                </c:pt>
                <c:pt idx="8">
                  <c:v>44</c:v>
                </c:pt>
                <c:pt idx="9">
                  <c:v>38.1</c:v>
                </c:pt>
                <c:pt idx="10">
                  <c:v>48.1</c:v>
                </c:pt>
                <c:pt idx="11">
                  <c:v>39.200000000000003</c:v>
                </c:pt>
                <c:pt idx="12">
                  <c:v>48.1</c:v>
                </c:pt>
                <c:pt idx="13">
                  <c:v>45.2</c:v>
                </c:pt>
                <c:pt idx="14">
                  <c:v>50.4</c:v>
                </c:pt>
                <c:pt idx="15">
                  <c:v>45.3</c:v>
                </c:pt>
                <c:pt idx="16">
                  <c:v>49.1</c:v>
                </c:pt>
                <c:pt idx="17">
                  <c:v>45.9</c:v>
                </c:pt>
                <c:pt idx="18">
                  <c:v>47.1</c:v>
                </c:pt>
                <c:pt idx="19">
                  <c:v>46.2</c:v>
                </c:pt>
                <c:pt idx="20">
                  <c:v>54.3</c:v>
                </c:pt>
              </c:numCache>
            </c:numRef>
          </c:val>
          <c:smooth val="0"/>
          <c:extLst>
            <c:ext xmlns:c16="http://schemas.microsoft.com/office/drawing/2014/chart" uri="{C3380CC4-5D6E-409C-BE32-E72D297353CC}">
              <c16:uniqueId val="{00000000-2996-426C-82DC-9E818CA2F4DB}"/>
            </c:ext>
          </c:extLst>
        </c:ser>
        <c:ser>
          <c:idx val="5"/>
          <c:order val="1"/>
          <c:tx>
            <c:strRef>
              <c:f>'Māori Non-Māori'!$R$245</c:f>
              <c:strCache>
                <c:ptCount val="1"/>
                <c:pt idx="0">
                  <c:v>Poisoning by gases and vapours</c:v>
                </c:pt>
              </c:strCache>
            </c:strRef>
          </c:tx>
          <c:spPr>
            <a:ln w="22225" cap="rnd">
              <a:solidFill>
                <a:schemeClr val="bg1">
                  <a:lumMod val="50000"/>
                </a:schemeClr>
              </a:solidFill>
              <a:round/>
            </a:ln>
            <a:effectLst/>
          </c:spPr>
          <c:marker>
            <c:symbol val="none"/>
          </c:marker>
          <c:cat>
            <c:numRef>
              <c:f>'Māori Non-Māori'!$T$224:$AN$224</c:f>
              <c:numCache>
                <c:formatCode>0</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Non-Māori'!$T$245:$AN$245</c:f>
              <c:numCache>
                <c:formatCode>0.0</c:formatCode>
                <c:ptCount val="21"/>
                <c:pt idx="0">
                  <c:v>34.5</c:v>
                </c:pt>
                <c:pt idx="1">
                  <c:v>21.1</c:v>
                </c:pt>
                <c:pt idx="2">
                  <c:v>21.3</c:v>
                </c:pt>
                <c:pt idx="3">
                  <c:v>18.8</c:v>
                </c:pt>
                <c:pt idx="4">
                  <c:v>30.6</c:v>
                </c:pt>
                <c:pt idx="5">
                  <c:v>18.600000000000001</c:v>
                </c:pt>
                <c:pt idx="6">
                  <c:v>20.2</c:v>
                </c:pt>
                <c:pt idx="7">
                  <c:v>21.3</c:v>
                </c:pt>
                <c:pt idx="8">
                  <c:v>15.5</c:v>
                </c:pt>
                <c:pt idx="9">
                  <c:v>20</c:v>
                </c:pt>
                <c:pt idx="10">
                  <c:v>15.4</c:v>
                </c:pt>
                <c:pt idx="11">
                  <c:v>20.6</c:v>
                </c:pt>
                <c:pt idx="12">
                  <c:v>9.3000000000000007</c:v>
                </c:pt>
                <c:pt idx="13">
                  <c:v>10.8</c:v>
                </c:pt>
                <c:pt idx="14">
                  <c:v>8.5</c:v>
                </c:pt>
                <c:pt idx="15">
                  <c:v>5.8</c:v>
                </c:pt>
                <c:pt idx="16">
                  <c:v>5.6</c:v>
                </c:pt>
                <c:pt idx="17">
                  <c:v>4.5999999999999996</c:v>
                </c:pt>
                <c:pt idx="18">
                  <c:v>8.6999999999999993</c:v>
                </c:pt>
                <c:pt idx="19">
                  <c:v>7.7</c:v>
                </c:pt>
                <c:pt idx="20">
                  <c:v>9.5</c:v>
                </c:pt>
              </c:numCache>
            </c:numRef>
          </c:val>
          <c:smooth val="0"/>
          <c:extLst>
            <c:ext xmlns:c16="http://schemas.microsoft.com/office/drawing/2014/chart" uri="{C3380CC4-5D6E-409C-BE32-E72D297353CC}">
              <c16:uniqueId val="{00000001-2996-426C-82DC-9E818CA2F4DB}"/>
            </c:ext>
          </c:extLst>
        </c:ser>
        <c:ser>
          <c:idx val="6"/>
          <c:order val="2"/>
          <c:tx>
            <c:strRef>
              <c:f>'Māori Non-Māori'!$R$246</c:f>
              <c:strCache>
                <c:ptCount val="1"/>
                <c:pt idx="0">
                  <c:v>Poisoning by solids and liquids</c:v>
                </c:pt>
              </c:strCache>
            </c:strRef>
          </c:tx>
          <c:spPr>
            <a:ln w="22225" cap="rnd">
              <a:solidFill>
                <a:srgbClr val="4BACC6"/>
              </a:solidFill>
              <a:round/>
            </a:ln>
            <a:effectLst/>
          </c:spPr>
          <c:marker>
            <c:symbol val="none"/>
          </c:marker>
          <c:cat>
            <c:numRef>
              <c:f>'Māori Non-Māori'!$T$224:$AN$224</c:f>
              <c:numCache>
                <c:formatCode>0</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Non-Māori'!$T$246:$AN$246</c:f>
              <c:numCache>
                <c:formatCode>0.0</c:formatCode>
                <c:ptCount val="21"/>
                <c:pt idx="0">
                  <c:v>25.3</c:v>
                </c:pt>
                <c:pt idx="1">
                  <c:v>29.5</c:v>
                </c:pt>
                <c:pt idx="2">
                  <c:v>24.1</c:v>
                </c:pt>
                <c:pt idx="3">
                  <c:v>25.9</c:v>
                </c:pt>
                <c:pt idx="4">
                  <c:v>20.8</c:v>
                </c:pt>
                <c:pt idx="5">
                  <c:v>24.7</c:v>
                </c:pt>
                <c:pt idx="6">
                  <c:v>19.100000000000001</c:v>
                </c:pt>
                <c:pt idx="7">
                  <c:v>21.3</c:v>
                </c:pt>
                <c:pt idx="8">
                  <c:v>25</c:v>
                </c:pt>
                <c:pt idx="9">
                  <c:v>21</c:v>
                </c:pt>
                <c:pt idx="10">
                  <c:v>22.1</c:v>
                </c:pt>
                <c:pt idx="11">
                  <c:v>23.7</c:v>
                </c:pt>
                <c:pt idx="12">
                  <c:v>29.6</c:v>
                </c:pt>
                <c:pt idx="13">
                  <c:v>26.9</c:v>
                </c:pt>
                <c:pt idx="14">
                  <c:v>27.4</c:v>
                </c:pt>
                <c:pt idx="15">
                  <c:v>29.1</c:v>
                </c:pt>
                <c:pt idx="16">
                  <c:v>31.5</c:v>
                </c:pt>
                <c:pt idx="17">
                  <c:v>30.3</c:v>
                </c:pt>
                <c:pt idx="18">
                  <c:v>28.8</c:v>
                </c:pt>
                <c:pt idx="19">
                  <c:v>30.8</c:v>
                </c:pt>
                <c:pt idx="20">
                  <c:v>23.8</c:v>
                </c:pt>
              </c:numCache>
            </c:numRef>
          </c:val>
          <c:smooth val="0"/>
          <c:extLst>
            <c:ext xmlns:c16="http://schemas.microsoft.com/office/drawing/2014/chart" uri="{C3380CC4-5D6E-409C-BE32-E72D297353CC}">
              <c16:uniqueId val="{00000002-2996-426C-82DC-9E818CA2F4DB}"/>
            </c:ext>
          </c:extLst>
        </c:ser>
        <c:ser>
          <c:idx val="1"/>
          <c:order val="3"/>
          <c:tx>
            <c:strRef>
              <c:f>'Māori Non-Māori'!$R$247</c:f>
              <c:strCache>
                <c:ptCount val="1"/>
                <c:pt idx="0">
                  <c:v>Firearms and explosives</c:v>
                </c:pt>
              </c:strCache>
            </c:strRef>
          </c:tx>
          <c:spPr>
            <a:ln w="22225" cap="rnd">
              <a:solidFill>
                <a:srgbClr val="A7D6E3"/>
              </a:solidFill>
              <a:round/>
            </a:ln>
            <a:effectLst/>
          </c:spPr>
          <c:marker>
            <c:symbol val="none"/>
          </c:marker>
          <c:cat>
            <c:numRef>
              <c:f>'Māori Non-Māori'!$T$224:$AN$224</c:f>
              <c:numCache>
                <c:formatCode>0</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Non-Māori'!$T$247:$AN$247</c:f>
              <c:numCache>
                <c:formatCode>0.0</c:formatCode>
                <c:ptCount val="21"/>
                <c:pt idx="0">
                  <c:v>0</c:v>
                </c:pt>
                <c:pt idx="1">
                  <c:v>3.2</c:v>
                </c:pt>
                <c:pt idx="2">
                  <c:v>0.9</c:v>
                </c:pt>
                <c:pt idx="3">
                  <c:v>3.6</c:v>
                </c:pt>
                <c:pt idx="4">
                  <c:v>2.8</c:v>
                </c:pt>
                <c:pt idx="5">
                  <c:v>1</c:v>
                </c:pt>
                <c:pt idx="6">
                  <c:v>3.2</c:v>
                </c:pt>
                <c:pt idx="7">
                  <c:v>3.3</c:v>
                </c:pt>
                <c:pt idx="8">
                  <c:v>2.4</c:v>
                </c:pt>
                <c:pt idx="9">
                  <c:v>1.9</c:v>
                </c:pt>
                <c:pt idx="10">
                  <c:v>5.8</c:v>
                </c:pt>
                <c:pt idx="11">
                  <c:v>4.0999999999999996</c:v>
                </c:pt>
                <c:pt idx="12">
                  <c:v>0.9</c:v>
                </c:pt>
                <c:pt idx="13">
                  <c:v>0</c:v>
                </c:pt>
                <c:pt idx="14">
                  <c:v>0.9</c:v>
                </c:pt>
                <c:pt idx="15">
                  <c:v>2.2999999999999998</c:v>
                </c:pt>
                <c:pt idx="16">
                  <c:v>1.9</c:v>
                </c:pt>
                <c:pt idx="17">
                  <c:v>0.9</c:v>
                </c:pt>
                <c:pt idx="18">
                  <c:v>2.9</c:v>
                </c:pt>
                <c:pt idx="19">
                  <c:v>2.9</c:v>
                </c:pt>
                <c:pt idx="20">
                  <c:v>0</c:v>
                </c:pt>
              </c:numCache>
            </c:numRef>
          </c:val>
          <c:smooth val="0"/>
          <c:extLst>
            <c:ext xmlns:c16="http://schemas.microsoft.com/office/drawing/2014/chart" uri="{C3380CC4-5D6E-409C-BE32-E72D297353CC}">
              <c16:uniqueId val="{00000003-2996-426C-82DC-9E818CA2F4DB}"/>
            </c:ext>
          </c:extLst>
        </c:ser>
        <c:dLbls>
          <c:showLegendKey val="0"/>
          <c:showVal val="0"/>
          <c:showCatName val="0"/>
          <c:showSerName val="0"/>
          <c:showPercent val="0"/>
          <c:showBubbleSize val="0"/>
        </c:dLbls>
        <c:smooth val="0"/>
        <c:axId val="451717864"/>
        <c:axId val="451717472"/>
      </c:lineChart>
      <c:catAx>
        <c:axId val="451717864"/>
        <c:scaling>
          <c:orientation val="minMax"/>
        </c:scaling>
        <c:delete val="0"/>
        <c:axPos val="b"/>
        <c:numFmt formatCode="0"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717472"/>
        <c:crosses val="autoZero"/>
        <c:auto val="1"/>
        <c:lblAlgn val="ctr"/>
        <c:lblOffset val="100"/>
        <c:tickLblSkip val="4"/>
        <c:noMultiLvlLbl val="0"/>
      </c:catAx>
      <c:valAx>
        <c:axId val="451717472"/>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717864"/>
        <c:crossesAt val="1"/>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87369171446162"/>
          <c:y val="0.15843170234454637"/>
          <c:w val="0.84646155341693397"/>
          <c:h val="0.73165698267074419"/>
        </c:manualLayout>
      </c:layout>
      <c:lineChart>
        <c:grouping val="standard"/>
        <c:varyColors val="0"/>
        <c:ser>
          <c:idx val="3"/>
          <c:order val="0"/>
          <c:tx>
            <c:strRef>
              <c:f>'Māori Non-Māori'!$O$9</c:f>
              <c:strCache>
                <c:ptCount val="1"/>
                <c:pt idx="0">
                  <c:v>Māori</c:v>
                </c:pt>
              </c:strCache>
            </c:strRef>
          </c:tx>
          <c:spPr>
            <a:ln w="22225" cap="rnd">
              <a:solidFill>
                <a:schemeClr val="bg1">
                  <a:lumMod val="50000"/>
                </a:schemeClr>
              </a:solidFill>
              <a:round/>
            </a:ln>
            <a:effectLst/>
          </c:spPr>
          <c:marker>
            <c:symbol val="none"/>
          </c:marker>
          <c:trendline>
            <c:spPr>
              <a:ln w="19050" cap="rnd">
                <a:solidFill>
                  <a:schemeClr val="bg1">
                    <a:lumMod val="50000"/>
                  </a:schemeClr>
                </a:solidFill>
                <a:prstDash val="sysDot"/>
              </a:ln>
              <a:effectLst/>
            </c:spPr>
            <c:trendlineType val="movingAvg"/>
            <c:period val="5"/>
            <c:dispRSqr val="0"/>
            <c:dispEq val="0"/>
          </c:trendline>
          <c:cat>
            <c:numRef>
              <c:f>'Māori Non-Māori'!$S$10:$AM$10</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Non-Māori'!$S$18:$AM$18</c:f>
              <c:numCache>
                <c:formatCode>0.0</c:formatCode>
                <c:ptCount val="21"/>
                <c:pt idx="0">
                  <c:v>9.0066061781584406</c:v>
                </c:pt>
                <c:pt idx="1">
                  <c:v>9.7792096693832598</c:v>
                </c:pt>
                <c:pt idx="2">
                  <c:v>8.5337610468083493</c:v>
                </c:pt>
                <c:pt idx="3">
                  <c:v>6.5325578987774104</c:v>
                </c:pt>
                <c:pt idx="4">
                  <c:v>3.9576666859530998</c:v>
                </c:pt>
                <c:pt idx="5">
                  <c:v>6.6998382352426704</c:v>
                </c:pt>
                <c:pt idx="6">
                  <c:v>6.4896231886298903</c:v>
                </c:pt>
                <c:pt idx="7">
                  <c:v>6.4102244752664204</c:v>
                </c:pt>
                <c:pt idx="8">
                  <c:v>8.6787187808636208</c:v>
                </c:pt>
                <c:pt idx="9">
                  <c:v>8.7267571514896503</c:v>
                </c:pt>
                <c:pt idx="10">
                  <c:v>10.6723123955334</c:v>
                </c:pt>
                <c:pt idx="11">
                  <c:v>7.2545885050603403</c:v>
                </c:pt>
                <c:pt idx="12">
                  <c:v>8.8796426541518301</c:v>
                </c:pt>
                <c:pt idx="13">
                  <c:v>7.3206868063360204</c:v>
                </c:pt>
                <c:pt idx="14">
                  <c:v>8.74468389486562</c:v>
                </c:pt>
                <c:pt idx="15">
                  <c:v>9.3323745071337907</c:v>
                </c:pt>
                <c:pt idx="16">
                  <c:v>10.376266848783301</c:v>
                </c:pt>
                <c:pt idx="17">
                  <c:v>11.129535195000299</c:v>
                </c:pt>
                <c:pt idx="18">
                  <c:v>8.0088287466587804</c:v>
                </c:pt>
                <c:pt idx="19">
                  <c:v>11.215062247293901</c:v>
                </c:pt>
                <c:pt idx="20">
                  <c:v>10.4255863001727</c:v>
                </c:pt>
              </c:numCache>
            </c:numRef>
          </c:val>
          <c:smooth val="0"/>
          <c:extLst>
            <c:ext xmlns:c16="http://schemas.microsoft.com/office/drawing/2014/chart" uri="{C3380CC4-5D6E-409C-BE32-E72D297353CC}">
              <c16:uniqueId val="{00000001-9301-46BA-B22B-675744F795A1}"/>
            </c:ext>
          </c:extLst>
        </c:ser>
        <c:ser>
          <c:idx val="0"/>
          <c:order val="1"/>
          <c:tx>
            <c:strRef>
              <c:f>'Māori Non-Māori'!$O$20</c:f>
              <c:strCache>
                <c:ptCount val="1"/>
                <c:pt idx="0">
                  <c:v>Non-Māori</c:v>
                </c:pt>
              </c:strCache>
            </c:strRef>
          </c:tx>
          <c:spPr>
            <a:ln w="22225" cap="rnd">
              <a:solidFill>
                <a:schemeClr val="accent1"/>
              </a:solidFill>
              <a:round/>
            </a:ln>
            <a:effectLst/>
          </c:spPr>
          <c:marker>
            <c:symbol val="none"/>
          </c:marker>
          <c:trendline>
            <c:spPr>
              <a:ln w="19050" cap="rnd">
                <a:solidFill>
                  <a:srgbClr val="5B9BD5"/>
                </a:solidFill>
                <a:prstDash val="sysDot"/>
              </a:ln>
              <a:effectLst/>
            </c:spPr>
            <c:trendlineType val="movingAvg"/>
            <c:period val="5"/>
            <c:dispRSqr val="0"/>
            <c:dispEq val="0"/>
          </c:trendline>
          <c:val>
            <c:numRef>
              <c:f>'Māori Non-Māori'!$S$29:$AM$29</c:f>
              <c:numCache>
                <c:formatCode>0.0</c:formatCode>
                <c:ptCount val="21"/>
                <c:pt idx="0">
                  <c:v>5.2986962640135697</c:v>
                </c:pt>
                <c:pt idx="1">
                  <c:v>5.6892468332060497</c:v>
                </c:pt>
                <c:pt idx="2">
                  <c:v>6.1878498162513402</c:v>
                </c:pt>
                <c:pt idx="3">
                  <c:v>6.4624543900880198</c:v>
                </c:pt>
                <c:pt idx="4">
                  <c:v>4.1381655103116204</c:v>
                </c:pt>
                <c:pt idx="5">
                  <c:v>5.3611446727339196</c:v>
                </c:pt>
                <c:pt idx="6">
                  <c:v>5.26343516708328</c:v>
                </c:pt>
                <c:pt idx="7">
                  <c:v>6.4039999122093398</c:v>
                </c:pt>
                <c:pt idx="8">
                  <c:v>4.5051607691466504</c:v>
                </c:pt>
                <c:pt idx="9">
                  <c:v>5.2590011370533496</c:v>
                </c:pt>
                <c:pt idx="10">
                  <c:v>5.2009651380039701</c:v>
                </c:pt>
                <c:pt idx="11">
                  <c:v>4.6012421251756503</c:v>
                </c:pt>
                <c:pt idx="12">
                  <c:v>5.4589151940525902</c:v>
                </c:pt>
                <c:pt idx="13">
                  <c:v>4.4437437379171101</c:v>
                </c:pt>
                <c:pt idx="14">
                  <c:v>5.9134650848101904</c:v>
                </c:pt>
                <c:pt idx="15">
                  <c:v>4.1499902954002099</c:v>
                </c:pt>
                <c:pt idx="16">
                  <c:v>5.1528651892542001</c:v>
                </c:pt>
                <c:pt idx="17">
                  <c:v>5.2765407142672398</c:v>
                </c:pt>
                <c:pt idx="18">
                  <c:v>4.8294233213266304</c:v>
                </c:pt>
                <c:pt idx="19">
                  <c:v>4.7608957245198003</c:v>
                </c:pt>
                <c:pt idx="20">
                  <c:v>4.8570007876246901</c:v>
                </c:pt>
              </c:numCache>
            </c:numRef>
          </c:val>
          <c:smooth val="0"/>
          <c:extLst>
            <c:ext xmlns:c16="http://schemas.microsoft.com/office/drawing/2014/chart" uri="{C3380CC4-5D6E-409C-BE32-E72D297353CC}">
              <c16:uniqueId val="{00000003-9301-46BA-B22B-675744F795A1}"/>
            </c:ext>
          </c:extLst>
        </c:ser>
        <c:dLbls>
          <c:showLegendKey val="0"/>
          <c:showVal val="0"/>
          <c:showCatName val="0"/>
          <c:showSerName val="0"/>
          <c:showPercent val="0"/>
          <c:showBubbleSize val="0"/>
        </c:dLbls>
        <c:smooth val="0"/>
        <c:axId val="451722568"/>
        <c:axId val="451722176"/>
      </c:lineChart>
      <c:catAx>
        <c:axId val="451722568"/>
        <c:scaling>
          <c:orientation val="minMax"/>
        </c:scaling>
        <c:delete val="0"/>
        <c:axPos val="b"/>
        <c:numFmt formatCode="General"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722176"/>
        <c:crossesAt val="0"/>
        <c:auto val="1"/>
        <c:lblAlgn val="ctr"/>
        <c:lblOffset val="100"/>
        <c:tickLblSkip val="4"/>
        <c:noMultiLvlLbl val="0"/>
      </c:catAx>
      <c:valAx>
        <c:axId val="451722176"/>
        <c:scaling>
          <c:orientation val="minMax"/>
          <c:max val="4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722568"/>
        <c:crosses val="autoZero"/>
        <c:crossBetween val="between"/>
        <c:majorUnit val="10"/>
      </c:valAx>
      <c:spPr>
        <a:noFill/>
        <a:ln>
          <a:noFill/>
        </a:ln>
        <a:effectLst/>
      </c:spPr>
    </c:plotArea>
    <c:legend>
      <c:legendPos val="t"/>
      <c:legendEntry>
        <c:idx val="2"/>
        <c:delete val="1"/>
      </c:legendEntry>
      <c:legendEntry>
        <c:idx val="3"/>
        <c:delete val="1"/>
      </c:legendEntry>
      <c:layout>
        <c:manualLayout>
          <c:xMode val="edge"/>
          <c:yMode val="edge"/>
          <c:x val="0.65895370370370354"/>
          <c:y val="1.9418960244648318E-2"/>
          <c:w val="0.33538477366255148"/>
          <c:h val="0.1779306829765545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4"/>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587615692775247E-2"/>
          <c:y val="0.19635015290519875"/>
          <c:w val="0.84795789507465436"/>
          <c:h val="0.69373853211009173"/>
        </c:manualLayout>
      </c:layout>
      <c:lineChart>
        <c:grouping val="standard"/>
        <c:varyColors val="0"/>
        <c:ser>
          <c:idx val="0"/>
          <c:order val="0"/>
          <c:tx>
            <c:strRef>
              <c:f>'Māori Non-Māori'!$O$46</c:f>
              <c:strCache>
                <c:ptCount val="1"/>
                <c:pt idx="0">
                  <c:v>Māori</c:v>
                </c:pt>
              </c:strCache>
            </c:strRef>
          </c:tx>
          <c:spPr>
            <a:ln w="22225" cap="rnd">
              <a:solidFill>
                <a:schemeClr val="bg1">
                  <a:lumMod val="65000"/>
                </a:schemeClr>
              </a:solidFill>
              <a:round/>
            </a:ln>
            <a:effectLst/>
          </c:spPr>
          <c:marker>
            <c:symbol val="none"/>
          </c:marker>
          <c:trendline>
            <c:spPr>
              <a:ln w="19050" cap="rnd">
                <a:solidFill>
                  <a:schemeClr val="accent3"/>
                </a:solidFill>
                <a:prstDash val="sysDot"/>
              </a:ln>
              <a:effectLst/>
            </c:spPr>
            <c:trendlineType val="movingAvg"/>
            <c:period val="5"/>
            <c:dispRSqr val="0"/>
            <c:dispEq val="0"/>
          </c:trendline>
          <c:cat>
            <c:numRef>
              <c:f>'Māori Non-Māori'!$S$47:$AM$47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Non-Māori'!$S$74:$AM$74</c:f>
              <c:numCache>
                <c:formatCode>0.0</c:formatCode>
                <c:ptCount val="21"/>
                <c:pt idx="0">
                  <c:v>16.997167138810202</c:v>
                </c:pt>
                <c:pt idx="1">
                  <c:v>17.0680826853783</c:v>
                </c:pt>
                <c:pt idx="2">
                  <c:v>24.823372159633401</c:v>
                </c:pt>
                <c:pt idx="3">
                  <c:v>19.275250578257499</c:v>
                </c:pt>
                <c:pt idx="4">
                  <c:v>7.7489345215032897</c:v>
                </c:pt>
                <c:pt idx="5">
                  <c:v>17.241379310344801</c:v>
                </c:pt>
                <c:pt idx="6">
                  <c:v>18.793459875963201</c:v>
                </c:pt>
                <c:pt idx="7">
                  <c:v>20.106013525863599</c:v>
                </c:pt>
                <c:pt idx="8">
                  <c:v>24.857954545454501</c:v>
                </c:pt>
                <c:pt idx="9">
                  <c:v>18.9753320683112</c:v>
                </c:pt>
                <c:pt idx="10">
                  <c:v>13.552430967304799</c:v>
                </c:pt>
                <c:pt idx="11">
                  <c:v>16.686133822793298</c:v>
                </c:pt>
                <c:pt idx="12">
                  <c:v>29.6247531270573</c:v>
                </c:pt>
                <c:pt idx="13">
                  <c:v>17.889087656529501</c:v>
                </c:pt>
                <c:pt idx="14">
                  <c:v>24.0731824747232</c:v>
                </c:pt>
                <c:pt idx="15">
                  <c:v>25.412960609911099</c:v>
                </c:pt>
                <c:pt idx="16">
                  <c:v>37.7299166797673</c:v>
                </c:pt>
                <c:pt idx="17">
                  <c:v>31.172069825436399</c:v>
                </c:pt>
                <c:pt idx="18">
                  <c:v>12.405024034734099</c:v>
                </c:pt>
                <c:pt idx="19">
                  <c:v>33.747507286393599</c:v>
                </c:pt>
                <c:pt idx="20">
                  <c:v>16.714784987083998</c:v>
                </c:pt>
              </c:numCache>
            </c:numRef>
          </c:val>
          <c:smooth val="0"/>
          <c:extLst>
            <c:ext xmlns:c16="http://schemas.microsoft.com/office/drawing/2014/chart" uri="{C3380CC4-5D6E-409C-BE32-E72D297353CC}">
              <c16:uniqueId val="{00000001-B8E6-4586-A8F8-EA314A147873}"/>
            </c:ext>
          </c:extLst>
        </c:ser>
        <c:ser>
          <c:idx val="2"/>
          <c:order val="1"/>
          <c:tx>
            <c:strRef>
              <c:f>'Māori Non-Māori'!$O$80</c:f>
              <c:strCache>
                <c:ptCount val="1"/>
                <c:pt idx="0">
                  <c:v>Non-Māori</c:v>
                </c:pt>
              </c:strCache>
            </c:strRef>
          </c:tx>
          <c:spPr>
            <a:ln w="22225" cap="rnd">
              <a:solidFill>
                <a:schemeClr val="accent1"/>
              </a:solidFill>
              <a:round/>
            </a:ln>
            <a:effectLst/>
          </c:spPr>
          <c:marker>
            <c:symbol val="none"/>
          </c:marker>
          <c:trendline>
            <c:spPr>
              <a:ln w="19050" cap="rnd">
                <a:solidFill>
                  <a:schemeClr val="accent3"/>
                </a:solidFill>
                <a:prstDash val="sysDot"/>
              </a:ln>
              <a:effectLst/>
            </c:spPr>
            <c:trendlineType val="movingAvg"/>
            <c:period val="5"/>
            <c:dispRSqr val="0"/>
            <c:dispEq val="0"/>
          </c:trendline>
          <c:cat>
            <c:numRef>
              <c:f>'Māori Non-Māori'!$S$47:$AM$47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Non-Māori'!$S$109:$AM$109</c:f>
              <c:numCache>
                <c:formatCode>0.0</c:formatCode>
                <c:ptCount val="21"/>
                <c:pt idx="0">
                  <c:v>13.1824173826083</c:v>
                </c:pt>
                <c:pt idx="1">
                  <c:v>9.2357423227891893</c:v>
                </c:pt>
                <c:pt idx="2">
                  <c:v>10.315562432597201</c:v>
                </c:pt>
                <c:pt idx="3">
                  <c:v>12.808956781631</c:v>
                </c:pt>
                <c:pt idx="4">
                  <c:v>5.2338583051815197</c:v>
                </c:pt>
                <c:pt idx="5">
                  <c:v>6.5950631241756197</c:v>
                </c:pt>
                <c:pt idx="6">
                  <c:v>9.1049804242920906</c:v>
                </c:pt>
                <c:pt idx="7">
                  <c:v>8.7623220153340604</c:v>
                </c:pt>
                <c:pt idx="8">
                  <c:v>7.2933201767557598</c:v>
                </c:pt>
                <c:pt idx="9">
                  <c:v>5.9194114413766901</c:v>
                </c:pt>
                <c:pt idx="10">
                  <c:v>6.6552972006156201</c:v>
                </c:pt>
                <c:pt idx="11">
                  <c:v>5.3926245488862197</c:v>
                </c:pt>
                <c:pt idx="12">
                  <c:v>8.3156625504137001</c:v>
                </c:pt>
                <c:pt idx="13">
                  <c:v>4.1414727076948603</c:v>
                </c:pt>
                <c:pt idx="14">
                  <c:v>7.7961511632678198</c:v>
                </c:pt>
                <c:pt idx="15">
                  <c:v>7.7693723164996902</c:v>
                </c:pt>
                <c:pt idx="16">
                  <c:v>6.96407357338905</c:v>
                </c:pt>
                <c:pt idx="17">
                  <c:v>7.3625654450261804</c:v>
                </c:pt>
                <c:pt idx="18">
                  <c:v>5.2491318743438597</c:v>
                </c:pt>
                <c:pt idx="19">
                  <c:v>7.5381868676849804</c:v>
                </c:pt>
                <c:pt idx="20">
                  <c:v>5.859375</c:v>
                </c:pt>
              </c:numCache>
            </c:numRef>
          </c:val>
          <c:smooth val="0"/>
          <c:extLst>
            <c:ext xmlns:c16="http://schemas.microsoft.com/office/drawing/2014/chart" uri="{C3380CC4-5D6E-409C-BE32-E72D297353CC}">
              <c16:uniqueId val="{00000003-B8E6-4586-A8F8-EA314A147873}"/>
            </c:ext>
          </c:extLst>
        </c:ser>
        <c:dLbls>
          <c:showLegendKey val="0"/>
          <c:showVal val="0"/>
          <c:showCatName val="0"/>
          <c:showSerName val="0"/>
          <c:showPercent val="0"/>
          <c:showBubbleSize val="0"/>
        </c:dLbls>
        <c:smooth val="0"/>
        <c:axId val="451721000"/>
        <c:axId val="451719432"/>
      </c:lineChart>
      <c:catAx>
        <c:axId val="4517210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719432"/>
        <c:crosses val="autoZero"/>
        <c:auto val="1"/>
        <c:lblAlgn val="ctr"/>
        <c:lblOffset val="100"/>
        <c:tickLblSkip val="4"/>
        <c:noMultiLvlLbl val="0"/>
      </c:catAx>
      <c:valAx>
        <c:axId val="451719432"/>
        <c:scaling>
          <c:orientation val="minMax"/>
          <c:max val="7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72100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39506172839515E-2"/>
          <c:y val="0.1368664627930683"/>
          <c:w val="0.87273388203017832"/>
          <c:h val="0.70049031600407741"/>
        </c:manualLayout>
      </c:layout>
      <c:lineChart>
        <c:grouping val="standard"/>
        <c:varyColors val="0"/>
        <c:ser>
          <c:idx val="1"/>
          <c:order val="0"/>
          <c:tx>
            <c:strRef>
              <c:f>'Māori Non-Māori'!$O$132</c:f>
              <c:strCache>
                <c:ptCount val="1"/>
                <c:pt idx="0">
                  <c:v>Māori</c:v>
                </c:pt>
              </c:strCache>
            </c:strRef>
          </c:tx>
          <c:spPr>
            <a:ln w="22225" cap="rnd">
              <a:solidFill>
                <a:schemeClr val="bg1">
                  <a:lumMod val="50000"/>
                </a:schemeClr>
              </a:solidFill>
              <a:prstDash val="solid"/>
              <a:round/>
            </a:ln>
            <a:effectLst/>
          </c:spPr>
          <c:marker>
            <c:symbol val="none"/>
          </c:marker>
          <c:cat>
            <c:numRef>
              <c:f>'Māori Non-Māori'!$S$133:$AB$133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'Māori Non-Māori'!$S$144:$AB$144</c:f>
              <c:numCache>
                <c:formatCode>0.0</c:formatCode>
                <c:ptCount val="10"/>
                <c:pt idx="0">
                  <c:v>18.388081375555899</c:v>
                </c:pt>
                <c:pt idx="1">
                  <c:v>15.677335095772801</c:v>
                </c:pt>
                <c:pt idx="2">
                  <c:v>13.2947520863601</c:v>
                </c:pt>
                <c:pt idx="3">
                  <c:v>11.7392941235848</c:v>
                </c:pt>
                <c:pt idx="4">
                  <c:v>12.3556696064809</c:v>
                </c:pt>
                <c:pt idx="5">
                  <c:v>15.2135127829612</c:v>
                </c:pt>
                <c:pt idx="6">
                  <c:v>8.8540522689585792</c:v>
                </c:pt>
                <c:pt idx="7">
                  <c:v>17.531322991444199</c:v>
                </c:pt>
                <c:pt idx="8">
                  <c:v>15.776487158670401</c:v>
                </c:pt>
                <c:pt idx="9">
                  <c:v>19.699267196382799</c:v>
                </c:pt>
              </c:numCache>
            </c:numRef>
          </c:val>
          <c:smooth val="0"/>
          <c:extLst>
            <c:ext xmlns:c16="http://schemas.microsoft.com/office/drawing/2014/chart" uri="{C3380CC4-5D6E-409C-BE32-E72D297353CC}">
              <c16:uniqueId val="{00000000-F820-4E44-981E-D6E18D032432}"/>
            </c:ext>
          </c:extLst>
        </c:ser>
        <c:ser>
          <c:idx val="0"/>
          <c:order val="1"/>
          <c:tx>
            <c:strRef>
              <c:f>'Māori Non-Māori'!$O$149</c:f>
              <c:strCache>
                <c:ptCount val="1"/>
                <c:pt idx="0">
                  <c:v>Non-Māori</c:v>
                </c:pt>
              </c:strCache>
            </c:strRef>
          </c:tx>
          <c:spPr>
            <a:ln w="22225" cap="rnd">
              <a:solidFill>
                <a:schemeClr val="accent1"/>
              </a:solidFill>
              <a:round/>
            </a:ln>
            <a:effectLst/>
          </c:spPr>
          <c:marker>
            <c:symbol val="none"/>
          </c:marker>
          <c:cat>
            <c:numRef>
              <c:f>'Māori Non-Māori'!$S$133:$AB$133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'Māori Non-Māori'!$S$161:$AB$161</c:f>
              <c:numCache>
                <c:formatCode>0.0</c:formatCode>
                <c:ptCount val="10"/>
                <c:pt idx="0">
                  <c:v>11.080984410546</c:v>
                </c:pt>
                <c:pt idx="1">
                  <c:v>11.173808666885</c:v>
                </c:pt>
                <c:pt idx="2">
                  <c:v>9.1279852968133408</c:v>
                </c:pt>
                <c:pt idx="3">
                  <c:v>10.527981699193599</c:v>
                </c:pt>
                <c:pt idx="4">
                  <c:v>10.666353724075799</c:v>
                </c:pt>
                <c:pt idx="5">
                  <c:v>12.2450346228781</c:v>
                </c:pt>
                <c:pt idx="6">
                  <c:v>9.7238612561748106</c:v>
                </c:pt>
                <c:pt idx="7">
                  <c:v>9.05209822465598</c:v>
                </c:pt>
                <c:pt idx="8">
                  <c:v>8.3806808558893309</c:v>
                </c:pt>
                <c:pt idx="9">
                  <c:v>8.9536734505989806</c:v>
                </c:pt>
              </c:numCache>
            </c:numRef>
          </c:val>
          <c:smooth val="0"/>
          <c:extLst>
            <c:ext xmlns:c16="http://schemas.microsoft.com/office/drawing/2014/chart" uri="{C3380CC4-5D6E-409C-BE32-E72D297353CC}">
              <c16:uniqueId val="{00000001-F820-4E44-981E-D6E18D032432}"/>
            </c:ext>
          </c:extLst>
        </c:ser>
        <c:dLbls>
          <c:showLegendKey val="0"/>
          <c:showVal val="0"/>
          <c:showCatName val="0"/>
          <c:showSerName val="0"/>
          <c:showPercent val="0"/>
          <c:showBubbleSize val="0"/>
        </c:dLbls>
        <c:smooth val="0"/>
        <c:axId val="451721784"/>
        <c:axId val="451721392"/>
      </c:lineChart>
      <c:catAx>
        <c:axId val="45172178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721392"/>
        <c:crosses val="autoZero"/>
        <c:auto val="1"/>
        <c:lblAlgn val="ctr"/>
        <c:lblOffset val="100"/>
        <c:tickLblSkip val="3"/>
        <c:noMultiLvlLbl val="0"/>
      </c:catAx>
      <c:valAx>
        <c:axId val="451721392"/>
        <c:scaling>
          <c:orientation val="minMax"/>
          <c:max val="25"/>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7217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39506172839515E-2"/>
          <c:y val="0.1368664627930683"/>
          <c:w val="0.87273388203017832"/>
          <c:h val="0.70049031600407741"/>
        </c:manualLayout>
      </c:layout>
      <c:lineChart>
        <c:grouping val="standard"/>
        <c:varyColors val="0"/>
        <c:ser>
          <c:idx val="1"/>
          <c:order val="0"/>
          <c:tx>
            <c:strRef>
              <c:f>'Māori Non-Māori'!$O$132</c:f>
              <c:strCache>
                <c:ptCount val="1"/>
                <c:pt idx="0">
                  <c:v>Māori</c:v>
                </c:pt>
              </c:strCache>
            </c:strRef>
          </c:tx>
          <c:spPr>
            <a:ln w="22225" cap="rnd">
              <a:solidFill>
                <a:schemeClr val="bg1">
                  <a:lumMod val="50000"/>
                </a:schemeClr>
              </a:solidFill>
              <a:prstDash val="solid"/>
              <a:round/>
            </a:ln>
            <a:effectLst/>
          </c:spPr>
          <c:marker>
            <c:symbol val="none"/>
          </c:marker>
          <c:cat>
            <c:numRef>
              <c:f>'Māori Non-Māori'!$S$133:$AB$133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'Māori Non-Māori'!$S$146:$AB$146</c:f>
              <c:numCache>
                <c:formatCode>0.0</c:formatCode>
                <c:ptCount val="10"/>
                <c:pt idx="0">
                  <c:v>19.169053604398101</c:v>
                </c:pt>
                <c:pt idx="1">
                  <c:v>16.099910181965601</c:v>
                </c:pt>
                <c:pt idx="2">
                  <c:v>14.498638527004401</c:v>
                </c:pt>
                <c:pt idx="3">
                  <c:v>21.5974219861146</c:v>
                </c:pt>
                <c:pt idx="4">
                  <c:v>21.835288706363301</c:v>
                </c:pt>
                <c:pt idx="5">
                  <c:v>18.144466542874301</c:v>
                </c:pt>
                <c:pt idx="6">
                  <c:v>20.706632827755101</c:v>
                </c:pt>
                <c:pt idx="7">
                  <c:v>15.7634164322589</c:v>
                </c:pt>
                <c:pt idx="8">
                  <c:v>21.655423371134301</c:v>
                </c:pt>
                <c:pt idx="9">
                  <c:v>25.117743254056101</c:v>
                </c:pt>
              </c:numCache>
            </c:numRef>
          </c:val>
          <c:smooth val="0"/>
          <c:extLst>
            <c:ext xmlns:c16="http://schemas.microsoft.com/office/drawing/2014/chart" uri="{C3380CC4-5D6E-409C-BE32-E72D297353CC}">
              <c16:uniqueId val="{00000000-C9F8-47BD-AD89-DB1C96620480}"/>
            </c:ext>
          </c:extLst>
        </c:ser>
        <c:ser>
          <c:idx val="0"/>
          <c:order val="1"/>
          <c:tx>
            <c:strRef>
              <c:f>'Māori Non-Māori'!$O$149</c:f>
              <c:strCache>
                <c:ptCount val="1"/>
                <c:pt idx="0">
                  <c:v>Non-Māori</c:v>
                </c:pt>
              </c:strCache>
            </c:strRef>
          </c:tx>
          <c:spPr>
            <a:ln w="22225" cap="rnd">
              <a:solidFill>
                <a:schemeClr val="accent1"/>
              </a:solidFill>
              <a:round/>
            </a:ln>
            <a:effectLst/>
          </c:spPr>
          <c:marker>
            <c:symbol val="none"/>
          </c:marker>
          <c:cat>
            <c:numRef>
              <c:f>'Māori Non-Māori'!$S$133:$AB$133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'Māori Non-Māori'!$S$163:$AB$163</c:f>
              <c:numCache>
                <c:formatCode>0.0</c:formatCode>
                <c:ptCount val="10"/>
                <c:pt idx="0">
                  <c:v>12.587052355612199</c:v>
                </c:pt>
                <c:pt idx="1">
                  <c:v>12.896367785498301</c:v>
                </c:pt>
                <c:pt idx="2">
                  <c:v>15.407246316021901</c:v>
                </c:pt>
                <c:pt idx="3">
                  <c:v>11.9050077950544</c:v>
                </c:pt>
                <c:pt idx="4">
                  <c:v>13.367076753295001</c:v>
                </c:pt>
                <c:pt idx="5">
                  <c:v>13.792419367632601</c:v>
                </c:pt>
                <c:pt idx="6">
                  <c:v>13.1094925994683</c:v>
                </c:pt>
                <c:pt idx="7">
                  <c:v>15.6118360483781</c:v>
                </c:pt>
                <c:pt idx="8">
                  <c:v>12.470200233423901</c:v>
                </c:pt>
                <c:pt idx="9">
                  <c:v>12.177398547017299</c:v>
                </c:pt>
              </c:numCache>
            </c:numRef>
          </c:val>
          <c:smooth val="0"/>
          <c:extLst>
            <c:ext xmlns:c16="http://schemas.microsoft.com/office/drawing/2014/chart" uri="{C3380CC4-5D6E-409C-BE32-E72D297353CC}">
              <c16:uniqueId val="{00000001-C9F8-47BD-AD89-DB1C96620480}"/>
            </c:ext>
          </c:extLst>
        </c:ser>
        <c:dLbls>
          <c:showLegendKey val="0"/>
          <c:showVal val="0"/>
          <c:showCatName val="0"/>
          <c:showSerName val="0"/>
          <c:showPercent val="0"/>
          <c:showBubbleSize val="0"/>
        </c:dLbls>
        <c:smooth val="0"/>
        <c:axId val="451723352"/>
        <c:axId val="451723744"/>
      </c:lineChart>
      <c:catAx>
        <c:axId val="451723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723744"/>
        <c:crosses val="autoZero"/>
        <c:auto val="1"/>
        <c:lblAlgn val="ctr"/>
        <c:lblOffset val="100"/>
        <c:tickLblSkip val="3"/>
        <c:noMultiLvlLbl val="0"/>
      </c:catAx>
      <c:valAx>
        <c:axId val="451723744"/>
        <c:scaling>
          <c:orientation val="minMax"/>
          <c:max val="25"/>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723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470425437507993E-2"/>
          <c:y val="0.17638023150183699"/>
          <c:w val="0.69266484245439475"/>
          <c:h val="0.68475335313920571"/>
        </c:manualLayout>
      </c:layout>
      <c:lineChart>
        <c:grouping val="standard"/>
        <c:varyColors val="0"/>
        <c:ser>
          <c:idx val="4"/>
          <c:order val="0"/>
          <c:tx>
            <c:v>Quintile 5</c:v>
          </c:tx>
          <c:spPr>
            <a:ln w="22225" cap="rnd">
              <a:solidFill>
                <a:schemeClr val="bg1">
                  <a:lumMod val="50000"/>
                </a:schemeClr>
              </a:solidFill>
              <a:round/>
            </a:ln>
            <a:effectLst/>
          </c:spPr>
          <c:marker>
            <c:symbol val="none"/>
          </c:marker>
          <c:cat>
            <c:numRef>
              <c:f>'Māori Non-Māori'!$S$133:$AB$133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'Māori Non-Māori'!$S$146:$AB$146</c:f>
              <c:numCache>
                <c:formatCode>0.0</c:formatCode>
                <c:ptCount val="10"/>
                <c:pt idx="0">
                  <c:v>19.169053604398101</c:v>
                </c:pt>
                <c:pt idx="1">
                  <c:v>16.099910181965601</c:v>
                </c:pt>
                <c:pt idx="2">
                  <c:v>14.498638527004401</c:v>
                </c:pt>
                <c:pt idx="3">
                  <c:v>21.5974219861146</c:v>
                </c:pt>
                <c:pt idx="4">
                  <c:v>21.835288706363301</c:v>
                </c:pt>
                <c:pt idx="5">
                  <c:v>18.144466542874301</c:v>
                </c:pt>
                <c:pt idx="6">
                  <c:v>20.706632827755101</c:v>
                </c:pt>
                <c:pt idx="7">
                  <c:v>15.7634164322589</c:v>
                </c:pt>
                <c:pt idx="8">
                  <c:v>21.655423371134301</c:v>
                </c:pt>
                <c:pt idx="9">
                  <c:v>25.117743254056101</c:v>
                </c:pt>
              </c:numCache>
            </c:numRef>
          </c:val>
          <c:smooth val="0"/>
          <c:extLst>
            <c:ext xmlns:c16="http://schemas.microsoft.com/office/drawing/2014/chart" uri="{C3380CC4-5D6E-409C-BE32-E72D297353CC}">
              <c16:uniqueId val="{00000000-A764-4794-BD41-79EA33E69665}"/>
            </c:ext>
          </c:extLst>
        </c:ser>
        <c:ser>
          <c:idx val="0"/>
          <c:order val="1"/>
          <c:tx>
            <c:v>Quintile 4</c:v>
          </c:tx>
          <c:spPr>
            <a:ln w="22225" cap="rnd">
              <a:solidFill>
                <a:schemeClr val="bg1">
                  <a:lumMod val="75000"/>
                </a:schemeClr>
              </a:solidFill>
              <a:prstDash val="solid"/>
              <a:round/>
            </a:ln>
            <a:effectLst/>
          </c:spPr>
          <c:marker>
            <c:symbol val="none"/>
          </c:marker>
          <c:cat>
            <c:numRef>
              <c:f>'Māori Non-Māori'!$S$133:$AB$133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'Māori Non-Māori'!$S$145:$AB$145</c:f>
              <c:numCache>
                <c:formatCode>0.0</c:formatCode>
                <c:ptCount val="10"/>
                <c:pt idx="0">
                  <c:v>11.358463125385599</c:v>
                </c:pt>
                <c:pt idx="1">
                  <c:v>13.3027935406478</c:v>
                </c:pt>
                <c:pt idx="2">
                  <c:v>12.5866132128183</c:v>
                </c:pt>
                <c:pt idx="3">
                  <c:v>12.8928666096258</c:v>
                </c:pt>
                <c:pt idx="4">
                  <c:v>12.891795717896899</c:v>
                </c:pt>
                <c:pt idx="5">
                  <c:v>21.7493772047203</c:v>
                </c:pt>
                <c:pt idx="6">
                  <c:v>17.802485127361699</c:v>
                </c:pt>
                <c:pt idx="7">
                  <c:v>12.808920001561599</c:v>
                </c:pt>
                <c:pt idx="8">
                  <c:v>17.3470124378421</c:v>
                </c:pt>
                <c:pt idx="9">
                  <c:v>23.524847716637598</c:v>
                </c:pt>
              </c:numCache>
            </c:numRef>
          </c:val>
          <c:smooth val="0"/>
          <c:extLst>
            <c:ext xmlns:c16="http://schemas.microsoft.com/office/drawing/2014/chart" uri="{C3380CC4-5D6E-409C-BE32-E72D297353CC}">
              <c16:uniqueId val="{00000001-A764-4794-BD41-79EA33E69665}"/>
            </c:ext>
          </c:extLst>
        </c:ser>
        <c:ser>
          <c:idx val="1"/>
          <c:order val="2"/>
          <c:tx>
            <c:v>Quintile 3</c:v>
          </c:tx>
          <c:spPr>
            <a:ln w="22225" cap="rnd">
              <a:solidFill>
                <a:schemeClr val="accent1">
                  <a:lumMod val="60000"/>
                  <a:lumOff val="40000"/>
                </a:schemeClr>
              </a:solidFill>
              <a:prstDash val="solid"/>
              <a:round/>
            </a:ln>
            <a:effectLst/>
          </c:spPr>
          <c:marker>
            <c:symbol val="none"/>
          </c:marker>
          <c:cat>
            <c:numRef>
              <c:f>'Māori Non-Māori'!$S$133:$AB$133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'Māori Non-Māori'!$S$144:$AB$144</c:f>
              <c:numCache>
                <c:formatCode>0.0</c:formatCode>
                <c:ptCount val="10"/>
                <c:pt idx="0">
                  <c:v>18.388081375555899</c:v>
                </c:pt>
                <c:pt idx="1">
                  <c:v>15.677335095772801</c:v>
                </c:pt>
                <c:pt idx="2">
                  <c:v>13.2947520863601</c:v>
                </c:pt>
                <c:pt idx="3">
                  <c:v>11.7392941235848</c:v>
                </c:pt>
                <c:pt idx="4">
                  <c:v>12.3556696064809</c:v>
                </c:pt>
                <c:pt idx="5">
                  <c:v>15.2135127829612</c:v>
                </c:pt>
                <c:pt idx="6">
                  <c:v>8.8540522689585792</c:v>
                </c:pt>
                <c:pt idx="7">
                  <c:v>17.531322991444199</c:v>
                </c:pt>
                <c:pt idx="8">
                  <c:v>15.776487158670401</c:v>
                </c:pt>
                <c:pt idx="9">
                  <c:v>19.699267196382799</c:v>
                </c:pt>
              </c:numCache>
            </c:numRef>
          </c:val>
          <c:smooth val="0"/>
          <c:extLst>
            <c:ext xmlns:c16="http://schemas.microsoft.com/office/drawing/2014/chart" uri="{C3380CC4-5D6E-409C-BE32-E72D297353CC}">
              <c16:uniqueId val="{00000002-A764-4794-BD41-79EA33E69665}"/>
            </c:ext>
          </c:extLst>
        </c:ser>
        <c:ser>
          <c:idx val="2"/>
          <c:order val="3"/>
          <c:tx>
            <c:v>Quintile 2</c:v>
          </c:tx>
          <c:spPr>
            <a:ln w="22225" cap="rnd">
              <a:solidFill>
                <a:srgbClr val="4BACC6"/>
              </a:solidFill>
              <a:prstDash val="solid"/>
              <a:round/>
            </a:ln>
            <a:effectLst/>
          </c:spPr>
          <c:marker>
            <c:symbol val="none"/>
          </c:marker>
          <c:cat>
            <c:numRef>
              <c:f>'Māori Non-Māori'!$S$133:$AB$133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'Māori Non-Māori'!$S$143:$AB$143</c:f>
              <c:numCache>
                <c:formatCode>0.0</c:formatCode>
                <c:ptCount val="10"/>
                <c:pt idx="0">
                  <c:v>8.1565810584055303</c:v>
                </c:pt>
                <c:pt idx="1">
                  <c:v>9.4013724061805295</c:v>
                </c:pt>
                <c:pt idx="2">
                  <c:v>11.764406152372301</c:v>
                </c:pt>
                <c:pt idx="3">
                  <c:v>13.234319650344901</c:v>
                </c:pt>
                <c:pt idx="4">
                  <c:v>21.6531984067813</c:v>
                </c:pt>
                <c:pt idx="5">
                  <c:v>16.637221219970201</c:v>
                </c:pt>
                <c:pt idx="6">
                  <c:v>12.8935925880459</c:v>
                </c:pt>
                <c:pt idx="7">
                  <c:v>5.1624947243936603</c:v>
                </c:pt>
                <c:pt idx="8">
                  <c:v>17.293197461414</c:v>
                </c:pt>
                <c:pt idx="9">
                  <c:v>7.5043656916213797</c:v>
                </c:pt>
              </c:numCache>
            </c:numRef>
          </c:val>
          <c:smooth val="0"/>
          <c:extLst>
            <c:ext xmlns:c16="http://schemas.microsoft.com/office/drawing/2014/chart" uri="{C3380CC4-5D6E-409C-BE32-E72D297353CC}">
              <c16:uniqueId val="{00000003-A764-4794-BD41-79EA33E69665}"/>
            </c:ext>
          </c:extLst>
        </c:ser>
        <c:dLbls>
          <c:showLegendKey val="0"/>
          <c:showVal val="0"/>
          <c:showCatName val="0"/>
          <c:showSerName val="0"/>
          <c:showPercent val="0"/>
          <c:showBubbleSize val="0"/>
        </c:dLbls>
        <c:smooth val="0"/>
        <c:axId val="451551712"/>
        <c:axId val="451554456"/>
      </c:lineChart>
      <c:catAx>
        <c:axId val="451551712"/>
        <c:scaling>
          <c:orientation val="minMax"/>
        </c:scaling>
        <c:delete val="0"/>
        <c:axPos val="b"/>
        <c:numFmt formatCode="General"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554456"/>
        <c:crosses val="autoZero"/>
        <c:auto val="1"/>
        <c:lblAlgn val="ctr"/>
        <c:lblOffset val="100"/>
        <c:tickLblSkip val="1"/>
        <c:noMultiLvlLbl val="0"/>
      </c:catAx>
      <c:valAx>
        <c:axId val="451554456"/>
        <c:scaling>
          <c:orientation val="minMax"/>
          <c:max val="25"/>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551712"/>
        <c:crosses val="autoZero"/>
        <c:crossBetween val="between"/>
      </c:valAx>
      <c:spPr>
        <a:noFill/>
        <a:ln>
          <a:noFill/>
        </a:ln>
        <a:effectLst/>
      </c:spPr>
    </c:plotArea>
    <c:legend>
      <c:legendPos val="r"/>
      <c:layout>
        <c:manualLayout>
          <c:xMode val="edge"/>
          <c:yMode val="edge"/>
          <c:x val="0.78100348258706465"/>
          <c:y val="6.4317777777777765E-2"/>
          <c:w val="0.21064610281923715"/>
          <c:h val="0.351353333333333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94818261853867E-2"/>
          <c:y val="0.21086111111111111"/>
          <c:w val="0.89563264987916114"/>
          <c:h val="0.63917231265581465"/>
        </c:manualLayout>
      </c:layout>
      <c:lineChart>
        <c:grouping val="standard"/>
        <c:varyColors val="0"/>
        <c:ser>
          <c:idx val="0"/>
          <c:order val="0"/>
          <c:tx>
            <c:strRef>
              <c:f>'Age Sex'!$O$11</c:f>
              <c:strCache>
                <c:ptCount val="1"/>
                <c:pt idx="0">
                  <c:v>Male</c:v>
                </c:pt>
              </c:strCache>
            </c:strRef>
          </c:tx>
          <c:spPr>
            <a:ln w="22225" cap="rnd">
              <a:solidFill>
                <a:schemeClr val="bg1">
                  <a:lumMod val="65000"/>
                </a:schemeClr>
              </a:solidFill>
              <a:round/>
            </a:ln>
            <a:effectLst/>
          </c:spPr>
          <c:marker>
            <c:symbol val="none"/>
          </c:marker>
          <c:errBars>
            <c:errDir val="y"/>
            <c:errBarType val="both"/>
            <c:errValType val="cust"/>
            <c:noEndCap val="0"/>
            <c:plus>
              <c:numRef>
                <c:f>'Age Sex'!$BI$10:$CC$10</c:f>
                <c:numCache>
                  <c:formatCode>General</c:formatCode>
                  <c:ptCount val="21"/>
                  <c:pt idx="0">
                    <c:v>2.2000000000000002</c:v>
                  </c:pt>
                  <c:pt idx="1">
                    <c:v>2.2000000000000002</c:v>
                  </c:pt>
                  <c:pt idx="2">
                    <c:v>2.2000000000000002</c:v>
                  </c:pt>
                  <c:pt idx="3">
                    <c:v>2</c:v>
                  </c:pt>
                  <c:pt idx="4">
                    <c:v>2</c:v>
                  </c:pt>
                  <c:pt idx="5">
                    <c:v>2</c:v>
                  </c:pt>
                  <c:pt idx="6">
                    <c:v>1.9</c:v>
                  </c:pt>
                  <c:pt idx="7">
                    <c:v>1.9</c:v>
                  </c:pt>
                  <c:pt idx="8">
                    <c:v>1.9</c:v>
                  </c:pt>
                  <c:pt idx="9">
                    <c:v>1.9</c:v>
                  </c:pt>
                  <c:pt idx="10">
                    <c:v>1.8</c:v>
                  </c:pt>
                  <c:pt idx="11">
                    <c:v>1.8</c:v>
                  </c:pt>
                  <c:pt idx="12">
                    <c:v>1.8</c:v>
                  </c:pt>
                  <c:pt idx="13">
                    <c:v>1.8</c:v>
                  </c:pt>
                  <c:pt idx="14">
                    <c:v>1.8</c:v>
                  </c:pt>
                  <c:pt idx="15">
                    <c:v>1.8</c:v>
                  </c:pt>
                  <c:pt idx="16">
                    <c:v>1.8</c:v>
                  </c:pt>
                  <c:pt idx="17">
                    <c:v>1.6</c:v>
                  </c:pt>
                  <c:pt idx="18">
                    <c:v>1.7</c:v>
                  </c:pt>
                  <c:pt idx="19">
                    <c:v>1.6</c:v>
                  </c:pt>
                  <c:pt idx="20">
                    <c:v>1.6</c:v>
                  </c:pt>
                </c:numCache>
              </c:numRef>
            </c:plus>
            <c:minus>
              <c:numRef>
                <c:f>'Age Sex'!$BI$10:$CC$10</c:f>
                <c:numCache>
                  <c:formatCode>General</c:formatCode>
                  <c:ptCount val="21"/>
                  <c:pt idx="0">
                    <c:v>2.2000000000000002</c:v>
                  </c:pt>
                  <c:pt idx="1">
                    <c:v>2.2000000000000002</c:v>
                  </c:pt>
                  <c:pt idx="2">
                    <c:v>2.2000000000000002</c:v>
                  </c:pt>
                  <c:pt idx="3">
                    <c:v>2</c:v>
                  </c:pt>
                  <c:pt idx="4">
                    <c:v>2</c:v>
                  </c:pt>
                  <c:pt idx="5">
                    <c:v>2</c:v>
                  </c:pt>
                  <c:pt idx="6">
                    <c:v>1.9</c:v>
                  </c:pt>
                  <c:pt idx="7">
                    <c:v>1.9</c:v>
                  </c:pt>
                  <c:pt idx="8">
                    <c:v>1.9</c:v>
                  </c:pt>
                  <c:pt idx="9">
                    <c:v>1.9</c:v>
                  </c:pt>
                  <c:pt idx="10">
                    <c:v>1.8</c:v>
                  </c:pt>
                  <c:pt idx="11">
                    <c:v>1.8</c:v>
                  </c:pt>
                  <c:pt idx="12">
                    <c:v>1.8</c:v>
                  </c:pt>
                  <c:pt idx="13">
                    <c:v>1.8</c:v>
                  </c:pt>
                  <c:pt idx="14">
                    <c:v>1.8</c:v>
                  </c:pt>
                  <c:pt idx="15">
                    <c:v>1.8</c:v>
                  </c:pt>
                  <c:pt idx="16">
                    <c:v>1.8</c:v>
                  </c:pt>
                  <c:pt idx="17">
                    <c:v>1.6</c:v>
                  </c:pt>
                  <c:pt idx="18">
                    <c:v>1.7</c:v>
                  </c:pt>
                  <c:pt idx="19">
                    <c:v>1.6</c:v>
                  </c:pt>
                  <c:pt idx="20">
                    <c:v>1.6</c:v>
                  </c:pt>
                </c:numCache>
              </c:numRef>
            </c:minus>
            <c:spPr>
              <a:noFill/>
              <a:ln w="9525" cap="flat" cmpd="sng" algn="ctr">
                <a:solidFill>
                  <a:schemeClr val="tx1">
                    <a:lumMod val="65000"/>
                    <a:lumOff val="35000"/>
                  </a:schemeClr>
                </a:solidFill>
                <a:round/>
              </a:ln>
              <a:effectLst/>
            </c:spPr>
          </c:errBars>
          <c:cat>
            <c:numRef>
              <c:f>'Age Sex'!$R$8:$AL$8</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'Age Sex'!$R$15:$AL$15</c:f>
              <c:numCache>
                <c:formatCode>0.0</c:formatCode>
                <c:ptCount val="21"/>
                <c:pt idx="0">
                  <c:v>22.945293453419598</c:v>
                </c:pt>
                <c:pt idx="1">
                  <c:v>23.553351547621599</c:v>
                </c:pt>
                <c:pt idx="2">
                  <c:v>23.5842826835054</c:v>
                </c:pt>
                <c:pt idx="3">
                  <c:v>20.2680561278816</c:v>
                </c:pt>
                <c:pt idx="4">
                  <c:v>19.947436156558702</c:v>
                </c:pt>
                <c:pt idx="5">
                  <c:v>20.356398349177098</c:v>
                </c:pt>
                <c:pt idx="6">
                  <c:v>18.167720892576899</c:v>
                </c:pt>
                <c:pt idx="7">
                  <c:v>18.574084657112099</c:v>
                </c:pt>
                <c:pt idx="8">
                  <c:v>18.725315817265901</c:v>
                </c:pt>
                <c:pt idx="9">
                  <c:v>18.722380905625801</c:v>
                </c:pt>
                <c:pt idx="10">
                  <c:v>18.521171460464299</c:v>
                </c:pt>
                <c:pt idx="11">
                  <c:v>17.981880281474702</c:v>
                </c:pt>
                <c:pt idx="12">
                  <c:v>17.700121249097698</c:v>
                </c:pt>
                <c:pt idx="13">
                  <c:v>18.249471294450601</c:v>
                </c:pt>
                <c:pt idx="14">
                  <c:v>17.638688314312301</c:v>
                </c:pt>
                <c:pt idx="15">
                  <c:v>17.402217133944198</c:v>
                </c:pt>
                <c:pt idx="16">
                  <c:v>18.558588062938799</c:v>
                </c:pt>
                <c:pt idx="17">
                  <c:v>15.8972409761442</c:v>
                </c:pt>
                <c:pt idx="18">
                  <c:v>16.4366760918771</c:v>
                </c:pt>
                <c:pt idx="19">
                  <c:v>16.433078219363999</c:v>
                </c:pt>
                <c:pt idx="20">
                  <c:v>16.990960917875199</c:v>
                </c:pt>
              </c:numCache>
            </c:numRef>
          </c:val>
          <c:smooth val="0"/>
          <c:extLst>
            <c:ext xmlns:c16="http://schemas.microsoft.com/office/drawing/2014/chart" uri="{C3380CC4-5D6E-409C-BE32-E72D297353CC}">
              <c16:uniqueId val="{00000000-891D-4BAE-A374-103D129F99F4}"/>
            </c:ext>
          </c:extLst>
        </c:ser>
        <c:ser>
          <c:idx val="1"/>
          <c:order val="1"/>
          <c:tx>
            <c:strRef>
              <c:f>'Age Sex'!$O$12</c:f>
              <c:strCache>
                <c:ptCount val="1"/>
                <c:pt idx="0">
                  <c:v>Female</c:v>
                </c:pt>
              </c:strCache>
            </c:strRef>
          </c:tx>
          <c:spPr>
            <a:ln w="22225" cap="rnd">
              <a:solidFill>
                <a:schemeClr val="accent1"/>
              </a:solidFill>
              <a:round/>
            </a:ln>
            <a:effectLst/>
          </c:spPr>
          <c:marker>
            <c:symbol val="none"/>
          </c:marker>
          <c:errBars>
            <c:errDir val="y"/>
            <c:errBarType val="both"/>
            <c:errValType val="cust"/>
            <c:noEndCap val="0"/>
            <c:plus>
              <c:numRef>
                <c:f>'Age Sex'!$BI$12:$CC$12</c:f>
                <c:numCache>
                  <c:formatCode>General</c:formatCode>
                  <c:ptCount val="21"/>
                  <c:pt idx="0">
                    <c:v>1.1000000000000001</c:v>
                  </c:pt>
                  <c:pt idx="1">
                    <c:v>1.1000000000000001</c:v>
                  </c:pt>
                  <c:pt idx="2">
                    <c:v>1.2</c:v>
                  </c:pt>
                  <c:pt idx="3">
                    <c:v>1.1000000000000001</c:v>
                  </c:pt>
                  <c:pt idx="4">
                    <c:v>0.9</c:v>
                  </c:pt>
                  <c:pt idx="5">
                    <c:v>1.1000000000000001</c:v>
                  </c:pt>
                  <c:pt idx="6">
                    <c:v>1</c:v>
                  </c:pt>
                  <c:pt idx="7">
                    <c:v>1.1000000000000001</c:v>
                  </c:pt>
                  <c:pt idx="8">
                    <c:v>1</c:v>
                  </c:pt>
                  <c:pt idx="9">
                    <c:v>1</c:v>
                  </c:pt>
                  <c:pt idx="10">
                    <c:v>1</c:v>
                  </c:pt>
                  <c:pt idx="11">
                    <c:v>0.9</c:v>
                  </c:pt>
                  <c:pt idx="12">
                    <c:v>1</c:v>
                  </c:pt>
                  <c:pt idx="13">
                    <c:v>0.9</c:v>
                  </c:pt>
                  <c:pt idx="14">
                    <c:v>1.1000000000000001</c:v>
                  </c:pt>
                  <c:pt idx="15">
                    <c:v>0.9</c:v>
                  </c:pt>
                  <c:pt idx="16">
                    <c:v>1</c:v>
                  </c:pt>
                  <c:pt idx="17">
                    <c:v>1</c:v>
                  </c:pt>
                  <c:pt idx="18">
                    <c:v>0.9</c:v>
                  </c:pt>
                  <c:pt idx="19">
                    <c:v>1</c:v>
                  </c:pt>
                  <c:pt idx="20">
                    <c:v>1</c:v>
                  </c:pt>
                </c:numCache>
              </c:numRef>
            </c:plus>
            <c:minus>
              <c:numRef>
                <c:f>'Age Sex'!$BI$12:$CC$12</c:f>
                <c:numCache>
                  <c:formatCode>General</c:formatCode>
                  <c:ptCount val="21"/>
                  <c:pt idx="0">
                    <c:v>1.1000000000000001</c:v>
                  </c:pt>
                  <c:pt idx="1">
                    <c:v>1.1000000000000001</c:v>
                  </c:pt>
                  <c:pt idx="2">
                    <c:v>1.2</c:v>
                  </c:pt>
                  <c:pt idx="3">
                    <c:v>1.1000000000000001</c:v>
                  </c:pt>
                  <c:pt idx="4">
                    <c:v>0.9</c:v>
                  </c:pt>
                  <c:pt idx="5">
                    <c:v>1.1000000000000001</c:v>
                  </c:pt>
                  <c:pt idx="6">
                    <c:v>1</c:v>
                  </c:pt>
                  <c:pt idx="7">
                    <c:v>1.1000000000000001</c:v>
                  </c:pt>
                  <c:pt idx="8">
                    <c:v>1</c:v>
                  </c:pt>
                  <c:pt idx="9">
                    <c:v>1</c:v>
                  </c:pt>
                  <c:pt idx="10">
                    <c:v>1</c:v>
                  </c:pt>
                  <c:pt idx="11">
                    <c:v>0.9</c:v>
                  </c:pt>
                  <c:pt idx="12">
                    <c:v>1</c:v>
                  </c:pt>
                  <c:pt idx="13">
                    <c:v>0.9</c:v>
                  </c:pt>
                  <c:pt idx="14">
                    <c:v>1.1000000000000001</c:v>
                  </c:pt>
                  <c:pt idx="15">
                    <c:v>0.9</c:v>
                  </c:pt>
                  <c:pt idx="16">
                    <c:v>1</c:v>
                  </c:pt>
                  <c:pt idx="17">
                    <c:v>1</c:v>
                  </c:pt>
                  <c:pt idx="18">
                    <c:v>0.9</c:v>
                  </c:pt>
                  <c:pt idx="19">
                    <c:v>1</c:v>
                  </c:pt>
                  <c:pt idx="20">
                    <c:v>1</c:v>
                  </c:pt>
                </c:numCache>
              </c:numRef>
            </c:minus>
            <c:spPr>
              <a:noFill/>
              <a:ln w="9525" cap="flat" cmpd="sng" algn="ctr">
                <a:solidFill>
                  <a:schemeClr val="tx1">
                    <a:lumMod val="65000"/>
                    <a:lumOff val="35000"/>
                  </a:schemeClr>
                </a:solidFill>
                <a:round/>
              </a:ln>
              <a:effectLst/>
            </c:spPr>
          </c:errBars>
          <c:cat>
            <c:numRef>
              <c:f>'Age Sex'!$R$8:$AL$8</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'Age Sex'!$R$16:$AL$16</c:f>
              <c:numCache>
                <c:formatCode>0.0</c:formatCode>
                <c:ptCount val="21"/>
                <c:pt idx="0">
                  <c:v>5.8886653384406102</c:v>
                </c:pt>
                <c:pt idx="1">
                  <c:v>6.2967087648044799</c:v>
                </c:pt>
                <c:pt idx="2">
                  <c:v>6.7999900162587199</c:v>
                </c:pt>
                <c:pt idx="3">
                  <c:v>6.7167156494892</c:v>
                </c:pt>
                <c:pt idx="4">
                  <c:v>4.1665204234231998</c:v>
                </c:pt>
                <c:pt idx="5">
                  <c:v>5.8286706673737303</c:v>
                </c:pt>
                <c:pt idx="6">
                  <c:v>5.6012768971608997</c:v>
                </c:pt>
                <c:pt idx="7">
                  <c:v>6.6355676799870498</c:v>
                </c:pt>
                <c:pt idx="8">
                  <c:v>5.3216551470799702</c:v>
                </c:pt>
                <c:pt idx="9">
                  <c:v>5.9861646575977696</c:v>
                </c:pt>
                <c:pt idx="10">
                  <c:v>6.2050827070238999</c:v>
                </c:pt>
                <c:pt idx="11">
                  <c:v>5.16144825407138</c:v>
                </c:pt>
                <c:pt idx="12">
                  <c:v>6.26512973729122</c:v>
                </c:pt>
                <c:pt idx="13">
                  <c:v>5.08858477285475</c:v>
                </c:pt>
                <c:pt idx="14">
                  <c:v>6.5442717734968303</c:v>
                </c:pt>
                <c:pt idx="15">
                  <c:v>5.2036444183005299</c:v>
                </c:pt>
                <c:pt idx="16">
                  <c:v>6.37288192291782</c:v>
                </c:pt>
                <c:pt idx="17">
                  <c:v>6.4674511523826501</c:v>
                </c:pt>
                <c:pt idx="18">
                  <c:v>5.4860225639845002</c:v>
                </c:pt>
                <c:pt idx="19">
                  <c:v>6.0611481326862204</c:v>
                </c:pt>
                <c:pt idx="20">
                  <c:v>5.8550315461954598</c:v>
                </c:pt>
              </c:numCache>
            </c:numRef>
          </c:val>
          <c:smooth val="0"/>
          <c:extLst>
            <c:ext xmlns:c16="http://schemas.microsoft.com/office/drawing/2014/chart" uri="{C3380CC4-5D6E-409C-BE32-E72D297353CC}">
              <c16:uniqueId val="{00000001-891D-4BAE-A374-103D129F99F4}"/>
            </c:ext>
          </c:extLst>
        </c:ser>
        <c:dLbls>
          <c:showLegendKey val="0"/>
          <c:showVal val="0"/>
          <c:showCatName val="0"/>
          <c:showSerName val="0"/>
          <c:showPercent val="0"/>
          <c:showBubbleSize val="0"/>
        </c:dLbls>
        <c:smooth val="0"/>
        <c:axId val="451549360"/>
        <c:axId val="451550928"/>
      </c:lineChart>
      <c:catAx>
        <c:axId val="45154936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550928"/>
        <c:crosses val="autoZero"/>
        <c:auto val="1"/>
        <c:lblAlgn val="ctr"/>
        <c:lblOffset val="100"/>
        <c:tickLblSkip val="2"/>
        <c:noMultiLvlLbl val="0"/>
      </c:catAx>
      <c:valAx>
        <c:axId val="451550928"/>
        <c:scaling>
          <c:orientation val="minMax"/>
          <c:max val="3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549360"/>
        <c:crosses val="autoZero"/>
        <c:crossBetween val="between"/>
        <c:majorUnit val="5"/>
      </c:valAx>
      <c:spPr>
        <a:noFill/>
        <a:ln>
          <a:noFill/>
        </a:ln>
        <a:effectLst/>
      </c:spPr>
    </c:plotArea>
    <c:legend>
      <c:legendPos val="r"/>
      <c:layout>
        <c:manualLayout>
          <c:xMode val="edge"/>
          <c:yMode val="edge"/>
          <c:x val="0.8707554945054945"/>
          <c:y val="4.5939873881800854E-2"/>
          <c:w val="0.1292445054945055"/>
          <c:h val="0.185492300923889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24445830409814E-2"/>
          <c:y val="0.19210277777777779"/>
          <c:w val="0.85561153197082596"/>
          <c:h val="0.65135277777777767"/>
        </c:manualLayout>
      </c:layout>
      <c:lineChart>
        <c:grouping val="standard"/>
        <c:varyColors val="0"/>
        <c:ser>
          <c:idx val="0"/>
          <c:order val="0"/>
          <c:tx>
            <c:strRef>
              <c:f>'Age Sex'!$P$44</c:f>
              <c:strCache>
                <c:ptCount val="1"/>
                <c:pt idx="0">
                  <c:v>15–24</c:v>
                </c:pt>
              </c:strCache>
            </c:strRef>
          </c:tx>
          <c:spPr>
            <a:ln w="22225" cap="rnd">
              <a:solidFill>
                <a:schemeClr val="bg1">
                  <a:lumMod val="50000"/>
                </a:schemeClr>
              </a:solidFill>
              <a:round/>
            </a:ln>
            <a:effectLst/>
          </c:spPr>
          <c:marker>
            <c:symbol val="none"/>
          </c:marker>
          <c:cat>
            <c:numRef>
              <c:f>'Age Sex'!$R$27:$AL$27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'Age Sex'!$R$44:$AL$44</c:f>
              <c:numCache>
                <c:formatCode>0.0</c:formatCode>
                <c:ptCount val="21"/>
                <c:pt idx="0">
                  <c:v>25.939160877215301</c:v>
                </c:pt>
                <c:pt idx="1">
                  <c:v>26.072267920093999</c:v>
                </c:pt>
                <c:pt idx="2">
                  <c:v>25.885507840142999</c:v>
                </c:pt>
                <c:pt idx="3">
                  <c:v>22.429977004561401</c:v>
                </c:pt>
                <c:pt idx="4">
                  <c:v>18.1519087866583</c:v>
                </c:pt>
                <c:pt idx="5">
                  <c:v>20.573822616242101</c:v>
                </c:pt>
                <c:pt idx="6">
                  <c:v>17.376823661441598</c:v>
                </c:pt>
                <c:pt idx="7">
                  <c:v>17.088949727099902</c:v>
                </c:pt>
                <c:pt idx="8">
                  <c:v>19.449941991401101</c:v>
                </c:pt>
                <c:pt idx="9">
                  <c:v>18.311326143197899</c:v>
                </c:pt>
                <c:pt idx="10">
                  <c:v>19.688621961913299</c:v>
                </c:pt>
                <c:pt idx="11">
                  <c:v>15.499274502044599</c:v>
                </c:pt>
                <c:pt idx="12">
                  <c:v>19.949549074242</c:v>
                </c:pt>
                <c:pt idx="13">
                  <c:v>19.004554539794899</c:v>
                </c:pt>
                <c:pt idx="14">
                  <c:v>17.966397979994198</c:v>
                </c:pt>
                <c:pt idx="15">
                  <c:v>21.036742034943501</c:v>
                </c:pt>
                <c:pt idx="16">
                  <c:v>23.7019954517793</c:v>
                </c:pt>
                <c:pt idx="17">
                  <c:v>17.659692944077602</c:v>
                </c:pt>
                <c:pt idx="18">
                  <c:v>13.8953942232631</c:v>
                </c:pt>
                <c:pt idx="19">
                  <c:v>16.906299500426499</c:v>
                </c:pt>
                <c:pt idx="20">
                  <c:v>16.765212184716699</c:v>
                </c:pt>
              </c:numCache>
            </c:numRef>
          </c:val>
          <c:smooth val="0"/>
          <c:extLst>
            <c:ext xmlns:c16="http://schemas.microsoft.com/office/drawing/2014/chart" uri="{C3380CC4-5D6E-409C-BE32-E72D297353CC}">
              <c16:uniqueId val="{00000000-199D-4D52-A223-2110B19AB32B}"/>
            </c:ext>
          </c:extLst>
        </c:ser>
        <c:ser>
          <c:idx val="3"/>
          <c:order val="1"/>
          <c:tx>
            <c:strRef>
              <c:f>'Age Sex'!$P$45</c:f>
              <c:strCache>
                <c:ptCount val="1"/>
                <c:pt idx="0">
                  <c:v>25–44</c:v>
                </c:pt>
              </c:strCache>
            </c:strRef>
          </c:tx>
          <c:spPr>
            <a:ln w="22225" cap="rnd">
              <a:solidFill>
                <a:schemeClr val="bg1">
                  <a:lumMod val="75000"/>
                </a:schemeClr>
              </a:solidFill>
              <a:prstDash val="solid"/>
              <a:round/>
            </a:ln>
            <a:effectLst/>
          </c:spPr>
          <c:marker>
            <c:symbol val="none"/>
          </c:marker>
          <c:cat>
            <c:numRef>
              <c:f>'Age Sex'!$R$27:$AL$27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'Age Sex'!$R$45:$AL$45</c:f>
              <c:numCache>
                <c:formatCode>0.0</c:formatCode>
                <c:ptCount val="21"/>
                <c:pt idx="0">
                  <c:v>19.3440451709595</c:v>
                </c:pt>
                <c:pt idx="1">
                  <c:v>21.971419988842602</c:v>
                </c:pt>
                <c:pt idx="2">
                  <c:v>21.256978947907601</c:v>
                </c:pt>
                <c:pt idx="3">
                  <c:v>20.093713660305099</c:v>
                </c:pt>
                <c:pt idx="4">
                  <c:v>17.950391644908599</c:v>
                </c:pt>
                <c:pt idx="5">
                  <c:v>20.687267376438999</c:v>
                </c:pt>
                <c:pt idx="6">
                  <c:v>18.3301492229049</c:v>
                </c:pt>
                <c:pt idx="7">
                  <c:v>18.4775204359673</c:v>
                </c:pt>
                <c:pt idx="8">
                  <c:v>17.0137125444388</c:v>
                </c:pt>
                <c:pt idx="9">
                  <c:v>18.5221208251224</c:v>
                </c:pt>
                <c:pt idx="10">
                  <c:v>17.510023854235399</c:v>
                </c:pt>
                <c:pt idx="11">
                  <c:v>18.0761233928799</c:v>
                </c:pt>
                <c:pt idx="12">
                  <c:v>15.5447937752496</c:v>
                </c:pt>
                <c:pt idx="13">
                  <c:v>14.832724591457</c:v>
                </c:pt>
                <c:pt idx="14">
                  <c:v>17.109007591584799</c:v>
                </c:pt>
                <c:pt idx="15">
                  <c:v>14.112065383017001</c:v>
                </c:pt>
                <c:pt idx="16">
                  <c:v>16.230649749559301</c:v>
                </c:pt>
                <c:pt idx="17">
                  <c:v>14.073795641494099</c:v>
                </c:pt>
                <c:pt idx="18">
                  <c:v>16.415679565934902</c:v>
                </c:pt>
                <c:pt idx="19">
                  <c:v>14.6091421140189</c:v>
                </c:pt>
                <c:pt idx="20">
                  <c:v>16.400029520053099</c:v>
                </c:pt>
              </c:numCache>
            </c:numRef>
          </c:val>
          <c:smooth val="0"/>
          <c:extLst>
            <c:ext xmlns:c16="http://schemas.microsoft.com/office/drawing/2014/chart" uri="{C3380CC4-5D6E-409C-BE32-E72D297353CC}">
              <c16:uniqueId val="{00000001-199D-4D52-A223-2110B19AB32B}"/>
            </c:ext>
          </c:extLst>
        </c:ser>
        <c:ser>
          <c:idx val="1"/>
          <c:order val="2"/>
          <c:tx>
            <c:strRef>
              <c:f>'Age Sex'!$P$46</c:f>
              <c:strCache>
                <c:ptCount val="1"/>
                <c:pt idx="0">
                  <c:v>45–64</c:v>
                </c:pt>
              </c:strCache>
            </c:strRef>
          </c:tx>
          <c:spPr>
            <a:ln w="22225" cap="rnd">
              <a:solidFill>
                <a:schemeClr val="accent1"/>
              </a:solidFill>
              <a:round/>
            </a:ln>
            <a:effectLst/>
          </c:spPr>
          <c:marker>
            <c:symbol val="none"/>
          </c:marker>
          <c:cat>
            <c:numRef>
              <c:f>'Age Sex'!$R$27:$AL$27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'Age Sex'!$R$46:$AL$46</c:f>
              <c:numCache>
                <c:formatCode>0.0</c:formatCode>
                <c:ptCount val="21"/>
                <c:pt idx="0">
                  <c:v>13.689805121597701</c:v>
                </c:pt>
                <c:pt idx="1">
                  <c:v>13.2947524829905</c:v>
                </c:pt>
                <c:pt idx="2">
                  <c:v>14.4382385348987</c:v>
                </c:pt>
                <c:pt idx="3">
                  <c:v>12.805358550039401</c:v>
                </c:pt>
                <c:pt idx="4">
                  <c:v>12.338580224729901</c:v>
                </c:pt>
                <c:pt idx="5">
                  <c:v>10.7217359889053</c:v>
                </c:pt>
                <c:pt idx="6">
                  <c:v>12.760575468076</c:v>
                </c:pt>
                <c:pt idx="7">
                  <c:v>14.759744164434499</c:v>
                </c:pt>
                <c:pt idx="8">
                  <c:v>12.500662111340599</c:v>
                </c:pt>
                <c:pt idx="9">
                  <c:v>13.998970663921799</c:v>
                </c:pt>
                <c:pt idx="10">
                  <c:v>14.119060731988201</c:v>
                </c:pt>
                <c:pt idx="11">
                  <c:v>13.8509559110417</c:v>
                </c:pt>
                <c:pt idx="12">
                  <c:v>15.090829710901501</c:v>
                </c:pt>
                <c:pt idx="13">
                  <c:v>14.740238068750701</c:v>
                </c:pt>
                <c:pt idx="14">
                  <c:v>14.628650347998301</c:v>
                </c:pt>
                <c:pt idx="15">
                  <c:v>13.4247409025006</c:v>
                </c:pt>
                <c:pt idx="16">
                  <c:v>13.0385034991086</c:v>
                </c:pt>
                <c:pt idx="17">
                  <c:v>16.0695468914647</c:v>
                </c:pt>
                <c:pt idx="18">
                  <c:v>14.301067813063399</c:v>
                </c:pt>
                <c:pt idx="19">
                  <c:v>14.701608629502401</c:v>
                </c:pt>
                <c:pt idx="20">
                  <c:v>14.3873996668181</c:v>
                </c:pt>
              </c:numCache>
            </c:numRef>
          </c:val>
          <c:smooth val="0"/>
          <c:extLst>
            <c:ext xmlns:c16="http://schemas.microsoft.com/office/drawing/2014/chart" uri="{C3380CC4-5D6E-409C-BE32-E72D297353CC}">
              <c16:uniqueId val="{00000002-199D-4D52-A223-2110B19AB32B}"/>
            </c:ext>
          </c:extLst>
        </c:ser>
        <c:ser>
          <c:idx val="2"/>
          <c:order val="3"/>
          <c:tx>
            <c:strRef>
              <c:f>'Age Sex'!$P$47</c:f>
              <c:strCache>
                <c:ptCount val="1"/>
                <c:pt idx="0">
                  <c:v>65+</c:v>
                </c:pt>
              </c:strCache>
            </c:strRef>
          </c:tx>
          <c:spPr>
            <a:ln w="22225" cap="rnd">
              <a:solidFill>
                <a:schemeClr val="accent1">
                  <a:lumMod val="40000"/>
                  <a:lumOff val="60000"/>
                </a:schemeClr>
              </a:solidFill>
              <a:prstDash val="solid"/>
              <a:round/>
            </a:ln>
            <a:effectLst/>
          </c:spPr>
          <c:marker>
            <c:symbol val="none"/>
          </c:marker>
          <c:cat>
            <c:numRef>
              <c:f>'Age Sex'!$R$27:$AL$27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'Age Sex'!$R$47:$AL$47</c:f>
              <c:numCache>
                <c:formatCode>0.0</c:formatCode>
                <c:ptCount val="21"/>
                <c:pt idx="0">
                  <c:v>15.353121801433</c:v>
                </c:pt>
                <c:pt idx="1">
                  <c:v>12.387594053954899</c:v>
                </c:pt>
                <c:pt idx="2">
                  <c:v>14.481603837625</c:v>
                </c:pt>
                <c:pt idx="3">
                  <c:v>11.6169965595818</c:v>
                </c:pt>
                <c:pt idx="4">
                  <c:v>10.364979600838</c:v>
                </c:pt>
                <c:pt idx="5">
                  <c:v>13.900653765122399</c:v>
                </c:pt>
                <c:pt idx="6">
                  <c:v>10.268697586856099</c:v>
                </c:pt>
                <c:pt idx="7">
                  <c:v>14.086283744008099</c:v>
                </c:pt>
                <c:pt idx="8">
                  <c:v>11.345820612261701</c:v>
                </c:pt>
                <c:pt idx="9">
                  <c:v>9.6622247272434496</c:v>
                </c:pt>
                <c:pt idx="10">
                  <c:v>9.97125931139656</c:v>
                </c:pt>
                <c:pt idx="11">
                  <c:v>9.5254424568021197</c:v>
                </c:pt>
                <c:pt idx="12">
                  <c:v>9.5243431004538106</c:v>
                </c:pt>
                <c:pt idx="13">
                  <c:v>9.8484433988072393</c:v>
                </c:pt>
                <c:pt idx="14">
                  <c:v>10.1162481142959</c:v>
                </c:pt>
                <c:pt idx="15">
                  <c:v>7.7496684864036398</c:v>
                </c:pt>
                <c:pt idx="16">
                  <c:v>9.4530498523997508</c:v>
                </c:pt>
                <c:pt idx="17">
                  <c:v>8.9415446518385995</c:v>
                </c:pt>
                <c:pt idx="18">
                  <c:v>9.2238158926347804</c:v>
                </c:pt>
                <c:pt idx="19">
                  <c:v>9.6410560664491296</c:v>
                </c:pt>
                <c:pt idx="20">
                  <c:v>9.0194562556371594</c:v>
                </c:pt>
              </c:numCache>
            </c:numRef>
          </c:val>
          <c:smooth val="0"/>
          <c:extLst>
            <c:ext xmlns:c16="http://schemas.microsoft.com/office/drawing/2014/chart" uri="{C3380CC4-5D6E-409C-BE32-E72D297353CC}">
              <c16:uniqueId val="{00000003-199D-4D52-A223-2110B19AB32B}"/>
            </c:ext>
          </c:extLst>
        </c:ser>
        <c:dLbls>
          <c:showLegendKey val="0"/>
          <c:showVal val="0"/>
          <c:showCatName val="0"/>
          <c:showSerName val="0"/>
          <c:showPercent val="0"/>
          <c:showBubbleSize val="0"/>
        </c:dLbls>
        <c:smooth val="0"/>
        <c:axId val="451547792"/>
        <c:axId val="451554064"/>
      </c:lineChart>
      <c:catAx>
        <c:axId val="45154779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554064"/>
        <c:crosses val="autoZero"/>
        <c:auto val="1"/>
        <c:lblAlgn val="ctr"/>
        <c:lblOffset val="100"/>
        <c:tickLblSkip val="2"/>
        <c:noMultiLvlLbl val="0"/>
      </c:catAx>
      <c:valAx>
        <c:axId val="451554064"/>
        <c:scaling>
          <c:orientation val="minMax"/>
          <c:max val="3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547792"/>
        <c:crosses val="autoZero"/>
        <c:crossBetween val="between"/>
        <c:majorUnit val="5"/>
      </c:valAx>
      <c:spPr>
        <a:noFill/>
        <a:ln w="25400">
          <a:noFill/>
        </a:ln>
        <a:effectLst/>
      </c:spPr>
    </c:plotArea>
    <c:legend>
      <c:legendPos val="r"/>
      <c:layout>
        <c:manualLayout>
          <c:xMode val="edge"/>
          <c:yMode val="edge"/>
          <c:x val="0.84136734006734004"/>
          <c:y val="2.9974878140232464E-2"/>
          <c:w val="0.15863269230769231"/>
          <c:h val="0.362820370370370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orientation="landscape"/>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900" b="1">
                <a:solidFill>
                  <a:sysClr val="windowText" lastClr="000000"/>
                </a:solidFill>
              </a:rPr>
              <a:t>65+ years</a:t>
            </a:r>
          </a:p>
        </c:rich>
      </c:tx>
      <c:layout>
        <c:manualLayout>
          <c:xMode val="edge"/>
          <c:yMode val="edge"/>
          <c:x val="0.38938030465721263"/>
          <c:y val="4.211047533995090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2067980191493777"/>
          <c:y val="0.17097350355839042"/>
          <c:w val="0.82727438433313905"/>
          <c:h val="0.66546388888888885"/>
        </c:manualLayout>
      </c:layout>
      <c:lineChart>
        <c:grouping val="standard"/>
        <c:varyColors val="0"/>
        <c:ser>
          <c:idx val="0"/>
          <c:order val="0"/>
          <c:tx>
            <c:strRef>
              <c:f>'Age Sex'!$O$49</c:f>
              <c:strCache>
                <c:ptCount val="1"/>
                <c:pt idx="0">
                  <c:v>Male</c:v>
                </c:pt>
              </c:strCache>
            </c:strRef>
          </c:tx>
          <c:spPr>
            <a:ln w="22225" cap="rnd">
              <a:solidFill>
                <a:schemeClr val="bg1">
                  <a:lumMod val="50000"/>
                </a:schemeClr>
              </a:solidFill>
              <a:round/>
            </a:ln>
            <a:effectLst/>
          </c:spPr>
          <c:marker>
            <c:symbol val="none"/>
          </c:marker>
          <c:trendline>
            <c:spPr>
              <a:ln w="19050" cap="rnd">
                <a:solidFill>
                  <a:schemeClr val="bg1">
                    <a:lumMod val="50000"/>
                  </a:schemeClr>
                </a:solidFill>
                <a:prstDash val="sysDot"/>
              </a:ln>
              <a:effectLst/>
            </c:spPr>
            <c:trendlineType val="movingAvg"/>
            <c:period val="5"/>
            <c:dispRSqr val="0"/>
            <c:dispEq val="0"/>
          </c:trendline>
          <c:cat>
            <c:numRef>
              <c:f>'Age Sex'!$R$27:$AL$27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'Age Sex'!$R$52:$AL$52</c:f>
              <c:numCache>
                <c:formatCode>0.0</c:formatCode>
                <c:ptCount val="21"/>
                <c:pt idx="0">
                  <c:v>28.5529576554251</c:v>
                </c:pt>
                <c:pt idx="1">
                  <c:v>24.361826077745999</c:v>
                </c:pt>
                <c:pt idx="2">
                  <c:v>25.019546520719299</c:v>
                </c:pt>
                <c:pt idx="3">
                  <c:v>18.4729064039409</c:v>
                </c:pt>
                <c:pt idx="4">
                  <c:v>20.708116571544</c:v>
                </c:pt>
                <c:pt idx="5">
                  <c:v>23.830801310694099</c:v>
                </c:pt>
                <c:pt idx="6">
                  <c:v>17.5378769425635</c:v>
                </c:pt>
                <c:pt idx="7">
                  <c:v>21.930870083432701</c:v>
                </c:pt>
                <c:pt idx="8">
                  <c:v>21.446221269056799</c:v>
                </c:pt>
                <c:pt idx="9">
                  <c:v>14.4783277531445</c:v>
                </c:pt>
                <c:pt idx="10">
                  <c:v>14.4167758846658</c:v>
                </c:pt>
                <c:pt idx="11">
                  <c:v>17.793594306049801</c:v>
                </c:pt>
                <c:pt idx="12">
                  <c:v>14.890800794176</c:v>
                </c:pt>
                <c:pt idx="13">
                  <c:v>16.489703989704001</c:v>
                </c:pt>
                <c:pt idx="14">
                  <c:v>16.766093500214399</c:v>
                </c:pt>
                <c:pt idx="15">
                  <c:v>11.676082862523501</c:v>
                </c:pt>
                <c:pt idx="16">
                  <c:v>15.527389593038</c:v>
                </c:pt>
                <c:pt idx="17">
                  <c:v>16.625103906899401</c:v>
                </c:pt>
                <c:pt idx="18">
                  <c:v>16.2817743811264</c:v>
                </c:pt>
                <c:pt idx="19">
                  <c:v>15.671474717753499</c:v>
                </c:pt>
                <c:pt idx="20">
                  <c:v>15.698103915291799</c:v>
                </c:pt>
              </c:numCache>
            </c:numRef>
          </c:val>
          <c:smooth val="0"/>
          <c:extLst>
            <c:ext xmlns:c16="http://schemas.microsoft.com/office/drawing/2014/chart" uri="{C3380CC4-5D6E-409C-BE32-E72D297353CC}">
              <c16:uniqueId val="{00000001-7179-42C8-A68B-B8781C4EEDBC}"/>
            </c:ext>
          </c:extLst>
        </c:ser>
        <c:ser>
          <c:idx val="1"/>
          <c:order val="1"/>
          <c:tx>
            <c:strRef>
              <c:f>'Age Sex'!$O$54</c:f>
              <c:strCache>
                <c:ptCount val="1"/>
                <c:pt idx="0">
                  <c:v>Female</c:v>
                </c:pt>
              </c:strCache>
            </c:strRef>
          </c:tx>
          <c:spPr>
            <a:ln w="22225" cap="rnd">
              <a:solidFill>
                <a:schemeClr val="accent1"/>
              </a:solidFill>
              <a:round/>
            </a:ln>
            <a:effectLst/>
          </c:spPr>
          <c:marker>
            <c:symbol val="none"/>
          </c:marker>
          <c:trendline>
            <c:spPr>
              <a:ln w="22225" cap="rnd">
                <a:solidFill>
                  <a:schemeClr val="accent2"/>
                </a:solidFill>
                <a:prstDash val="sysDot"/>
              </a:ln>
              <a:effectLst/>
            </c:spPr>
            <c:trendlineType val="movingAvg"/>
            <c:period val="5"/>
            <c:dispRSqr val="0"/>
            <c:dispEq val="0"/>
          </c:trendline>
          <c:cat>
            <c:numRef>
              <c:f>'Age Sex'!$R$27:$AL$27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'Age Sex'!$R$57:$AL$57</c:f>
              <c:numCache>
                <c:formatCode>0.0</c:formatCode>
                <c:ptCount val="21"/>
                <c:pt idx="0">
                  <c:v>5.3219797764768497</c:v>
                </c:pt>
                <c:pt idx="1">
                  <c:v>3.2375556454876602</c:v>
                </c:pt>
                <c:pt idx="2">
                  <c:v>6.3979526551503501</c:v>
                </c:pt>
                <c:pt idx="3">
                  <c:v>6.3303659742828904</c:v>
                </c:pt>
                <c:pt idx="4">
                  <c:v>2.3488881929220198</c:v>
                </c:pt>
                <c:pt idx="5">
                  <c:v>6.1773676692019599</c:v>
                </c:pt>
                <c:pt idx="6">
                  <c:v>4.5754375262134399</c:v>
                </c:pt>
                <c:pt idx="7">
                  <c:v>7.8982999849556199</c:v>
                </c:pt>
                <c:pt idx="8">
                  <c:v>3.33123588851464</c:v>
                </c:pt>
                <c:pt idx="9">
                  <c:v>5.8025676361790097</c:v>
                </c:pt>
                <c:pt idx="10">
                  <c:v>6.3701029833315603</c:v>
                </c:pt>
                <c:pt idx="11">
                  <c:v>2.7696036004846798</c:v>
                </c:pt>
                <c:pt idx="12">
                  <c:v>5.1070784106772003</c:v>
                </c:pt>
                <c:pt idx="13">
                  <c:v>4.3381052491073504</c:v>
                </c:pt>
                <c:pt idx="14">
                  <c:v>4.5607062579405104</c:v>
                </c:pt>
                <c:pt idx="15">
                  <c:v>4.4406381831446096</c:v>
                </c:pt>
                <c:pt idx="16">
                  <c:v>4.2935565982764397</c:v>
                </c:pt>
                <c:pt idx="17">
                  <c:v>2.36987883994431</c:v>
                </c:pt>
                <c:pt idx="18">
                  <c:v>3.1469931910511</c:v>
                </c:pt>
                <c:pt idx="19">
                  <c:v>4.42575791104227</c:v>
                </c:pt>
                <c:pt idx="20">
                  <c:v>3.2110459982339199</c:v>
                </c:pt>
              </c:numCache>
            </c:numRef>
          </c:val>
          <c:smooth val="0"/>
          <c:extLst>
            <c:ext xmlns:c16="http://schemas.microsoft.com/office/drawing/2014/chart" uri="{C3380CC4-5D6E-409C-BE32-E72D297353CC}">
              <c16:uniqueId val="{00000003-7179-42C8-A68B-B8781C4EEDBC}"/>
            </c:ext>
          </c:extLst>
        </c:ser>
        <c:dLbls>
          <c:showLegendKey val="0"/>
          <c:showVal val="0"/>
          <c:showCatName val="0"/>
          <c:showSerName val="0"/>
          <c:showPercent val="0"/>
          <c:showBubbleSize val="0"/>
        </c:dLbls>
        <c:smooth val="0"/>
        <c:axId val="451548184"/>
        <c:axId val="451550144"/>
      </c:lineChart>
      <c:catAx>
        <c:axId val="45154818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550144"/>
        <c:crosses val="autoZero"/>
        <c:auto val="1"/>
        <c:lblAlgn val="ctr"/>
        <c:lblOffset val="100"/>
        <c:tickLblSkip val="4"/>
        <c:noMultiLvlLbl val="0"/>
      </c:catAx>
      <c:valAx>
        <c:axId val="451550144"/>
        <c:scaling>
          <c:orientation val="minMax"/>
          <c:max val="5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548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6321885621603E-2"/>
          <c:y val="0.11509605416969937"/>
          <c:w val="0.88789371513453352"/>
          <c:h val="0.71127680742015664"/>
        </c:manualLayout>
      </c:layout>
      <c:barChart>
        <c:barDir val="col"/>
        <c:grouping val="clustered"/>
        <c:varyColors val="0"/>
        <c:ser>
          <c:idx val="0"/>
          <c:order val="0"/>
          <c:tx>
            <c:strRef>
              <c:f>'Quick facts'!$T$86</c:f>
              <c:strCache>
                <c:ptCount val="1"/>
                <c:pt idx="0">
                  <c:v>Māori male </c:v>
                </c:pt>
              </c:strCache>
            </c:strRef>
          </c:tx>
          <c:spPr>
            <a:solidFill>
              <a:schemeClr val="bg1">
                <a:lumMod val="50000"/>
              </a:schemeClr>
            </a:solidFill>
            <a:ln>
              <a:noFill/>
            </a:ln>
            <a:effectLst/>
          </c:spPr>
          <c:invertIfNegative val="0"/>
          <c:cat>
            <c:strRef>
              <c:f>'Quick facts'!$X$79:$AM$79</c:f>
              <c:strCache>
                <c:ptCount val="16"/>
                <c:pt idx="0">
                  <c:v>10–14</c:v>
                </c:pt>
                <c:pt idx="1">
                  <c:v>15–19</c:v>
                </c:pt>
                <c:pt idx="2">
                  <c:v>20–24</c:v>
                </c:pt>
                <c:pt idx="3">
                  <c:v>25–29</c:v>
                </c:pt>
                <c:pt idx="4">
                  <c:v>30–34</c:v>
                </c:pt>
                <c:pt idx="5">
                  <c:v>35–39</c:v>
                </c:pt>
                <c:pt idx="6">
                  <c:v>40–44</c:v>
                </c:pt>
                <c:pt idx="7">
                  <c:v>45–49</c:v>
                </c:pt>
                <c:pt idx="8">
                  <c:v>50–54</c:v>
                </c:pt>
                <c:pt idx="9">
                  <c:v>55–59</c:v>
                </c:pt>
                <c:pt idx="10">
                  <c:v>60–64</c:v>
                </c:pt>
                <c:pt idx="11">
                  <c:v>65–69</c:v>
                </c:pt>
                <c:pt idx="12">
                  <c:v>70–74</c:v>
                </c:pt>
                <c:pt idx="13">
                  <c:v>75–79</c:v>
                </c:pt>
                <c:pt idx="14">
                  <c:v>80–84</c:v>
                </c:pt>
                <c:pt idx="15">
                  <c:v>85+</c:v>
                </c:pt>
              </c:strCache>
            </c:strRef>
          </c:cat>
          <c:val>
            <c:numRef>
              <c:f>'Quick facts'!$X$86:$AM$86</c:f>
              <c:numCache>
                <c:formatCode>0.0</c:formatCode>
                <c:ptCount val="16"/>
                <c:pt idx="0">
                  <c:v>40</c:v>
                </c:pt>
                <c:pt idx="1">
                  <c:v>53.1</c:v>
                </c:pt>
                <c:pt idx="2">
                  <c:v>53.1</c:v>
                </c:pt>
                <c:pt idx="3">
                  <c:v>41.5</c:v>
                </c:pt>
                <c:pt idx="4">
                  <c:v>29.5</c:v>
                </c:pt>
                <c:pt idx="5">
                  <c:v>32.299999999999997</c:v>
                </c:pt>
                <c:pt idx="6">
                  <c:v>6.8</c:v>
                </c:pt>
                <c:pt idx="7">
                  <c:v>7.6</c:v>
                </c:pt>
                <c:pt idx="8">
                  <c:v>3.6</c:v>
                </c:pt>
                <c:pt idx="9">
                  <c:v>1.1000000000000001</c:v>
                </c:pt>
                <c:pt idx="10">
                  <c:v>0.5</c:v>
                </c:pt>
                <c:pt idx="11">
                  <c:v>0.5</c:v>
                </c:pt>
                <c:pt idx="12">
                  <c:v>0</c:v>
                </c:pt>
                <c:pt idx="13">
                  <c:v>0.5</c:v>
                </c:pt>
                <c:pt idx="14">
                  <c:v>0</c:v>
                </c:pt>
                <c:pt idx="15">
                  <c:v>0.8</c:v>
                </c:pt>
              </c:numCache>
            </c:numRef>
          </c:val>
          <c:extLst>
            <c:ext xmlns:c16="http://schemas.microsoft.com/office/drawing/2014/chart" uri="{C3380CC4-5D6E-409C-BE32-E72D297353CC}">
              <c16:uniqueId val="{00000000-B890-473F-8554-924A65DE6EC7}"/>
            </c:ext>
          </c:extLst>
        </c:ser>
        <c:ser>
          <c:idx val="1"/>
          <c:order val="1"/>
          <c:tx>
            <c:strRef>
              <c:f>'Quick facts'!$T$87</c:f>
              <c:strCache>
                <c:ptCount val="1"/>
                <c:pt idx="0">
                  <c:v>Māori female </c:v>
                </c:pt>
              </c:strCache>
            </c:strRef>
          </c:tx>
          <c:spPr>
            <a:solidFill>
              <a:schemeClr val="accent1"/>
            </a:solidFill>
            <a:ln>
              <a:noFill/>
            </a:ln>
            <a:effectLst/>
          </c:spPr>
          <c:invertIfNegative val="0"/>
          <c:cat>
            <c:strRef>
              <c:f>'Quick facts'!$X$79:$AM$79</c:f>
              <c:strCache>
                <c:ptCount val="16"/>
                <c:pt idx="0">
                  <c:v>10–14</c:v>
                </c:pt>
                <c:pt idx="1">
                  <c:v>15–19</c:v>
                </c:pt>
                <c:pt idx="2">
                  <c:v>20–24</c:v>
                </c:pt>
                <c:pt idx="3">
                  <c:v>25–29</c:v>
                </c:pt>
                <c:pt idx="4">
                  <c:v>30–34</c:v>
                </c:pt>
                <c:pt idx="5">
                  <c:v>35–39</c:v>
                </c:pt>
                <c:pt idx="6">
                  <c:v>40–44</c:v>
                </c:pt>
                <c:pt idx="7">
                  <c:v>45–49</c:v>
                </c:pt>
                <c:pt idx="8">
                  <c:v>50–54</c:v>
                </c:pt>
                <c:pt idx="9">
                  <c:v>55–59</c:v>
                </c:pt>
                <c:pt idx="10">
                  <c:v>60–64</c:v>
                </c:pt>
                <c:pt idx="11">
                  <c:v>65–69</c:v>
                </c:pt>
                <c:pt idx="12">
                  <c:v>70–74</c:v>
                </c:pt>
                <c:pt idx="13">
                  <c:v>75–79</c:v>
                </c:pt>
                <c:pt idx="14">
                  <c:v>80–84</c:v>
                </c:pt>
                <c:pt idx="15">
                  <c:v>85+</c:v>
                </c:pt>
              </c:strCache>
            </c:strRef>
          </c:cat>
          <c:val>
            <c:numRef>
              <c:f>'Quick facts'!$X$87:$AM$87</c:f>
              <c:numCache>
                <c:formatCode>0.0</c:formatCode>
                <c:ptCount val="16"/>
                <c:pt idx="0">
                  <c:v>40</c:v>
                </c:pt>
                <c:pt idx="1">
                  <c:v>27.3</c:v>
                </c:pt>
                <c:pt idx="2">
                  <c:v>27.8</c:v>
                </c:pt>
                <c:pt idx="3">
                  <c:v>57.1</c:v>
                </c:pt>
                <c:pt idx="4">
                  <c:v>16.7</c:v>
                </c:pt>
                <c:pt idx="5">
                  <c:v>11.5</c:v>
                </c:pt>
                <c:pt idx="6">
                  <c:v>0</c:v>
                </c:pt>
                <c:pt idx="7">
                  <c:v>7.7</c:v>
                </c:pt>
                <c:pt idx="8">
                  <c:v>1.1000000000000001</c:v>
                </c:pt>
                <c:pt idx="9">
                  <c:v>1.4</c:v>
                </c:pt>
                <c:pt idx="10">
                  <c:v>0.7</c:v>
                </c:pt>
                <c:pt idx="11">
                  <c:v>0</c:v>
                </c:pt>
                <c:pt idx="12">
                  <c:v>0</c:v>
                </c:pt>
                <c:pt idx="13">
                  <c:v>0</c:v>
                </c:pt>
                <c:pt idx="14">
                  <c:v>0</c:v>
                </c:pt>
                <c:pt idx="15">
                  <c:v>0</c:v>
                </c:pt>
              </c:numCache>
            </c:numRef>
          </c:val>
          <c:extLst>
            <c:ext xmlns:c16="http://schemas.microsoft.com/office/drawing/2014/chart" uri="{C3380CC4-5D6E-409C-BE32-E72D297353CC}">
              <c16:uniqueId val="{00000001-B890-473F-8554-924A65DE6EC7}"/>
            </c:ext>
          </c:extLst>
        </c:ser>
        <c:dLbls>
          <c:showLegendKey val="0"/>
          <c:showVal val="0"/>
          <c:showCatName val="0"/>
          <c:showSerName val="0"/>
          <c:showPercent val="0"/>
          <c:showBubbleSize val="0"/>
        </c:dLbls>
        <c:gapWidth val="59"/>
        <c:overlap val="-10"/>
        <c:axId val="348408064"/>
        <c:axId val="348411200"/>
      </c:barChart>
      <c:catAx>
        <c:axId val="34840806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8411200"/>
        <c:crosses val="autoZero"/>
        <c:auto val="1"/>
        <c:lblAlgn val="ctr"/>
        <c:lblOffset val="100"/>
        <c:noMultiLvlLbl val="0"/>
      </c:catAx>
      <c:valAx>
        <c:axId val="348411200"/>
        <c:scaling>
          <c:orientation val="minMax"/>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8408064"/>
        <c:crosses val="autoZero"/>
        <c:crossBetween val="between"/>
      </c:valAx>
      <c:spPr>
        <a:noFill/>
        <a:ln>
          <a:noFill/>
        </a:ln>
        <a:effectLst/>
      </c:spPr>
    </c:plotArea>
    <c:legend>
      <c:legendPos val="b"/>
      <c:layout>
        <c:manualLayout>
          <c:xMode val="edge"/>
          <c:yMode val="edge"/>
          <c:x val="0.46497217847769023"/>
          <c:y val="1.772398537519058E-3"/>
          <c:w val="0.47336913580246914"/>
          <c:h val="9.921944444444444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900" b="1">
                <a:solidFill>
                  <a:sysClr val="windowText" lastClr="000000"/>
                </a:solidFill>
              </a:rPr>
              <a:t>15–24 years</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16952380952381"/>
          <c:y val="0.26875416357708642"/>
          <c:w val="0.8088251185975126"/>
          <c:h val="0.58881254193001653"/>
        </c:manualLayout>
      </c:layout>
      <c:lineChart>
        <c:grouping val="standard"/>
        <c:varyColors val="0"/>
        <c:ser>
          <c:idx val="0"/>
          <c:order val="0"/>
          <c:tx>
            <c:strRef>
              <c:f>'Age Sex'!$O$49</c:f>
              <c:strCache>
                <c:ptCount val="1"/>
                <c:pt idx="0">
                  <c:v>Male</c:v>
                </c:pt>
              </c:strCache>
            </c:strRef>
          </c:tx>
          <c:spPr>
            <a:ln w="22225" cap="rnd">
              <a:solidFill>
                <a:schemeClr val="bg1">
                  <a:lumMod val="50000"/>
                </a:schemeClr>
              </a:solidFill>
              <a:round/>
            </a:ln>
            <a:effectLst/>
          </c:spPr>
          <c:marker>
            <c:symbol val="none"/>
          </c:marker>
          <c:trendline>
            <c:spPr>
              <a:ln w="19050" cap="rnd">
                <a:solidFill>
                  <a:schemeClr val="bg1">
                    <a:lumMod val="50000"/>
                  </a:schemeClr>
                </a:solidFill>
                <a:prstDash val="sysDot"/>
              </a:ln>
              <a:effectLst/>
            </c:spPr>
            <c:trendlineType val="movingAvg"/>
            <c:period val="5"/>
            <c:dispRSqr val="0"/>
            <c:dispEq val="0"/>
          </c:trendline>
          <c:cat>
            <c:numRef>
              <c:f>'Age Sex'!$R$27:$AL$27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'Age Sex'!$R$49:$AL$49</c:f>
              <c:numCache>
                <c:formatCode>0.0</c:formatCode>
                <c:ptCount val="21"/>
                <c:pt idx="0">
                  <c:v>37.722292078318702</c:v>
                </c:pt>
                <c:pt idx="1">
                  <c:v>41.037187681580498</c:v>
                </c:pt>
                <c:pt idx="2">
                  <c:v>38.3282966020491</c:v>
                </c:pt>
                <c:pt idx="3">
                  <c:v>30.613006794594199</c:v>
                </c:pt>
                <c:pt idx="4">
                  <c:v>30.326856115916001</c:v>
                </c:pt>
                <c:pt idx="5">
                  <c:v>32.200755052187397</c:v>
                </c:pt>
                <c:pt idx="6">
                  <c:v>23.606838829673102</c:v>
                </c:pt>
                <c:pt idx="7">
                  <c:v>23.062889401397499</c:v>
                </c:pt>
                <c:pt idx="8">
                  <c:v>27.974384900573</c:v>
                </c:pt>
                <c:pt idx="9">
                  <c:v>27.9273887891482</c:v>
                </c:pt>
                <c:pt idx="10">
                  <c:v>31.150604977538801</c:v>
                </c:pt>
                <c:pt idx="11">
                  <c:v>23.2421107764829</c:v>
                </c:pt>
                <c:pt idx="12">
                  <c:v>27.1899364476184</c:v>
                </c:pt>
                <c:pt idx="13">
                  <c:v>30.900338277387501</c:v>
                </c:pt>
                <c:pt idx="14">
                  <c:v>24.6945255123312</c:v>
                </c:pt>
                <c:pt idx="15">
                  <c:v>30.454920373072799</c:v>
                </c:pt>
                <c:pt idx="16">
                  <c:v>33.785917271866097</c:v>
                </c:pt>
                <c:pt idx="17">
                  <c:v>22.8189178206371</c:v>
                </c:pt>
                <c:pt idx="18">
                  <c:v>20.7096086493071</c:v>
                </c:pt>
                <c:pt idx="19">
                  <c:v>20.629494282683002</c:v>
                </c:pt>
                <c:pt idx="20">
                  <c:v>24.838262476894599</c:v>
                </c:pt>
              </c:numCache>
            </c:numRef>
          </c:val>
          <c:smooth val="0"/>
          <c:extLst>
            <c:ext xmlns:c16="http://schemas.microsoft.com/office/drawing/2014/chart" uri="{C3380CC4-5D6E-409C-BE32-E72D297353CC}">
              <c16:uniqueId val="{00000001-2519-4500-B4AC-8C440144777C}"/>
            </c:ext>
          </c:extLst>
        </c:ser>
        <c:ser>
          <c:idx val="1"/>
          <c:order val="1"/>
          <c:tx>
            <c:strRef>
              <c:f>'Age Sex'!$O$54</c:f>
              <c:strCache>
                <c:ptCount val="1"/>
                <c:pt idx="0">
                  <c:v>Female</c:v>
                </c:pt>
              </c:strCache>
            </c:strRef>
          </c:tx>
          <c:spPr>
            <a:ln w="22225" cap="rnd">
              <a:solidFill>
                <a:schemeClr val="accent1"/>
              </a:solidFill>
              <a:round/>
            </a:ln>
            <a:effectLst/>
          </c:spPr>
          <c:marker>
            <c:symbol val="none"/>
          </c:marker>
          <c:trendline>
            <c:spPr>
              <a:ln w="22225" cap="rnd">
                <a:solidFill>
                  <a:schemeClr val="accent2"/>
                </a:solidFill>
                <a:prstDash val="sysDot"/>
              </a:ln>
              <a:effectLst/>
            </c:spPr>
            <c:trendlineType val="movingAvg"/>
            <c:period val="5"/>
            <c:dispRSqr val="0"/>
            <c:dispEq val="0"/>
          </c:trendline>
          <c:cat>
            <c:numRef>
              <c:f>'Age Sex'!$R$27:$AL$27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'Age Sex'!$R$54:$AL$54</c:f>
              <c:numCache>
                <c:formatCode>0.0</c:formatCode>
                <c:ptCount val="21"/>
                <c:pt idx="0">
                  <c:v>13.922473803766399</c:v>
                </c:pt>
                <c:pt idx="1">
                  <c:v>10.7694592988711</c:v>
                </c:pt>
                <c:pt idx="2">
                  <c:v>13.1757265472067</c:v>
                </c:pt>
                <c:pt idx="3">
                  <c:v>14.0861156584307</c:v>
                </c:pt>
                <c:pt idx="4">
                  <c:v>5.7297834141869401</c:v>
                </c:pt>
                <c:pt idx="5">
                  <c:v>8.6963097398669102</c:v>
                </c:pt>
                <c:pt idx="6">
                  <c:v>10.994246344413099</c:v>
                </c:pt>
                <c:pt idx="7">
                  <c:v>10.955612100650299</c:v>
                </c:pt>
                <c:pt idx="8">
                  <c:v>10.711447427525</c:v>
                </c:pt>
                <c:pt idx="9">
                  <c:v>8.4895408856289105</c:v>
                </c:pt>
                <c:pt idx="10">
                  <c:v>8.01496126102057</c:v>
                </c:pt>
                <c:pt idx="11">
                  <c:v>7.64119601328904</c:v>
                </c:pt>
                <c:pt idx="12">
                  <c:v>12.6132704882663</c:v>
                </c:pt>
                <c:pt idx="13">
                  <c:v>6.9318369367882502</c:v>
                </c:pt>
                <c:pt idx="14">
                  <c:v>11.1103849421606</c:v>
                </c:pt>
                <c:pt idx="15">
                  <c:v>11.381743683132299</c:v>
                </c:pt>
                <c:pt idx="16">
                  <c:v>13.3238008579228</c:v>
                </c:pt>
                <c:pt idx="17">
                  <c:v>12.3120787973043</c:v>
                </c:pt>
                <c:pt idx="18">
                  <c:v>6.7275348390197003</c:v>
                </c:pt>
                <c:pt idx="19">
                  <c:v>12.9239692346488</c:v>
                </c:pt>
                <c:pt idx="20">
                  <c:v>8.07930145116684</c:v>
                </c:pt>
              </c:numCache>
            </c:numRef>
          </c:val>
          <c:smooth val="0"/>
          <c:extLst>
            <c:ext xmlns:c16="http://schemas.microsoft.com/office/drawing/2014/chart" uri="{C3380CC4-5D6E-409C-BE32-E72D297353CC}">
              <c16:uniqueId val="{00000003-2519-4500-B4AC-8C440144777C}"/>
            </c:ext>
          </c:extLst>
        </c:ser>
        <c:dLbls>
          <c:showLegendKey val="0"/>
          <c:showVal val="0"/>
          <c:showCatName val="0"/>
          <c:showSerName val="0"/>
          <c:showPercent val="0"/>
          <c:showBubbleSize val="0"/>
        </c:dLbls>
        <c:smooth val="0"/>
        <c:axId val="451548576"/>
        <c:axId val="451548968"/>
      </c:lineChart>
      <c:catAx>
        <c:axId val="451548576"/>
        <c:scaling>
          <c:orientation val="minMax"/>
        </c:scaling>
        <c:delete val="0"/>
        <c:axPos val="b"/>
        <c:numFmt formatCode="General"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548968"/>
        <c:crossesAt val="0"/>
        <c:auto val="1"/>
        <c:lblAlgn val="ctr"/>
        <c:lblOffset val="100"/>
        <c:tickLblSkip val="4"/>
        <c:noMultiLvlLbl val="0"/>
      </c:catAx>
      <c:valAx>
        <c:axId val="451548968"/>
        <c:scaling>
          <c:orientation val="minMax"/>
          <c:max val="5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548576"/>
        <c:crosses val="autoZero"/>
        <c:crossBetween val="between"/>
        <c:majorUnit val="10"/>
      </c:valAx>
      <c:spPr>
        <a:noFill/>
        <a:ln>
          <a:noFill/>
        </a:ln>
        <a:effectLst/>
      </c:spPr>
    </c:plotArea>
    <c:legend>
      <c:legendPos val="t"/>
      <c:legendEntry>
        <c:idx val="2"/>
        <c:delete val="1"/>
      </c:legendEntry>
      <c:legendEntry>
        <c:idx val="3"/>
        <c:delete val="1"/>
      </c:legendEntry>
      <c:layout>
        <c:manualLayout>
          <c:xMode val="edge"/>
          <c:yMode val="edge"/>
          <c:x val="0.72399854601831382"/>
          <c:y val="9.6750350152419284E-2"/>
          <c:w val="0.27331379086483676"/>
          <c:h val="0.162801219354307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900" b="1">
                <a:solidFill>
                  <a:sysClr val="windowText" lastClr="000000"/>
                </a:solidFill>
              </a:rPr>
              <a:t>25–44 years</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429201447120571"/>
          <c:y val="0.24649060527625127"/>
          <c:w val="0.81941843366322098"/>
          <c:h val="0.59696467404976605"/>
        </c:manualLayout>
      </c:layout>
      <c:lineChart>
        <c:grouping val="standard"/>
        <c:varyColors val="0"/>
        <c:ser>
          <c:idx val="0"/>
          <c:order val="0"/>
          <c:tx>
            <c:strRef>
              <c:f>'Age Sex'!$O$49</c:f>
              <c:strCache>
                <c:ptCount val="1"/>
                <c:pt idx="0">
                  <c:v>Male</c:v>
                </c:pt>
              </c:strCache>
            </c:strRef>
          </c:tx>
          <c:spPr>
            <a:ln w="22225" cap="rnd">
              <a:solidFill>
                <a:schemeClr val="bg1">
                  <a:lumMod val="50000"/>
                </a:schemeClr>
              </a:solidFill>
              <a:round/>
            </a:ln>
            <a:effectLst/>
          </c:spPr>
          <c:marker>
            <c:symbol val="none"/>
          </c:marker>
          <c:trendline>
            <c:spPr>
              <a:ln w="19050" cap="rnd">
                <a:solidFill>
                  <a:schemeClr val="bg1">
                    <a:lumMod val="50000"/>
                  </a:schemeClr>
                </a:solidFill>
                <a:prstDash val="sysDot"/>
              </a:ln>
              <a:effectLst/>
            </c:spPr>
            <c:trendlineType val="movingAvg"/>
            <c:period val="5"/>
            <c:dispRSqr val="0"/>
            <c:dispEq val="0"/>
          </c:trendline>
          <c:cat>
            <c:numRef>
              <c:f>'Age Sex'!$R$27:$AL$27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'Age Sex'!$R$50:$AL$50</c:f>
              <c:numCache>
                <c:formatCode>0.0</c:formatCode>
                <c:ptCount val="21"/>
                <c:pt idx="0">
                  <c:v>33.369424377429503</c:v>
                </c:pt>
                <c:pt idx="1">
                  <c:v>35.230399803691299</c:v>
                </c:pt>
                <c:pt idx="2">
                  <c:v>34.094485435535198</c:v>
                </c:pt>
                <c:pt idx="3">
                  <c:v>31.6316668131096</c:v>
                </c:pt>
                <c:pt idx="4">
                  <c:v>30.2703085447239</c:v>
                </c:pt>
                <c:pt idx="5">
                  <c:v>33.795865817895702</c:v>
                </c:pt>
                <c:pt idx="6">
                  <c:v>29.545778157482602</c:v>
                </c:pt>
                <c:pt idx="7">
                  <c:v>28.730567208375899</c:v>
                </c:pt>
                <c:pt idx="8">
                  <c:v>28.260487976127799</c:v>
                </c:pt>
                <c:pt idx="9">
                  <c:v>28.278854091651599</c:v>
                </c:pt>
                <c:pt idx="10">
                  <c:v>25.852972212451601</c:v>
                </c:pt>
                <c:pt idx="11">
                  <c:v>29.127756103588901</c:v>
                </c:pt>
                <c:pt idx="12">
                  <c:v>23.638140940193701</c:v>
                </c:pt>
                <c:pt idx="13">
                  <c:v>23.565116486655398</c:v>
                </c:pt>
                <c:pt idx="14">
                  <c:v>26.170033519152501</c:v>
                </c:pt>
                <c:pt idx="15">
                  <c:v>23.499213680157599</c:v>
                </c:pt>
                <c:pt idx="16">
                  <c:v>26.0701524101218</c:v>
                </c:pt>
                <c:pt idx="17">
                  <c:v>20.807476089654699</c:v>
                </c:pt>
                <c:pt idx="18">
                  <c:v>25.150453606395399</c:v>
                </c:pt>
                <c:pt idx="19">
                  <c:v>23.9192681053146</c:v>
                </c:pt>
                <c:pt idx="20">
                  <c:v>24.103696461981901</c:v>
                </c:pt>
              </c:numCache>
            </c:numRef>
          </c:val>
          <c:smooth val="0"/>
          <c:extLst>
            <c:ext xmlns:c16="http://schemas.microsoft.com/office/drawing/2014/chart" uri="{C3380CC4-5D6E-409C-BE32-E72D297353CC}">
              <c16:uniqueId val="{00000001-4B62-4C85-976E-4F5E877B6C2C}"/>
            </c:ext>
          </c:extLst>
        </c:ser>
        <c:ser>
          <c:idx val="1"/>
          <c:order val="1"/>
          <c:tx>
            <c:strRef>
              <c:f>'Age Sex'!$O$54</c:f>
              <c:strCache>
                <c:ptCount val="1"/>
                <c:pt idx="0">
                  <c:v>Female</c:v>
                </c:pt>
              </c:strCache>
            </c:strRef>
          </c:tx>
          <c:spPr>
            <a:ln w="22225" cap="rnd">
              <a:solidFill>
                <a:schemeClr val="accent1"/>
              </a:solidFill>
              <a:round/>
            </a:ln>
            <a:effectLst/>
          </c:spPr>
          <c:marker>
            <c:symbol val="none"/>
          </c:marker>
          <c:trendline>
            <c:spPr>
              <a:ln w="22225" cap="rnd">
                <a:solidFill>
                  <a:schemeClr val="accent2"/>
                </a:solidFill>
                <a:prstDash val="sysDot"/>
              </a:ln>
              <a:effectLst/>
            </c:spPr>
            <c:trendlineType val="movingAvg"/>
            <c:period val="5"/>
            <c:dispRSqr val="0"/>
            <c:dispEq val="0"/>
          </c:trendline>
          <c:cat>
            <c:numRef>
              <c:f>'Age Sex'!$R$27:$AL$27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'Age Sex'!$R$55:$AL$55</c:f>
              <c:numCache>
                <c:formatCode>0.0</c:formatCode>
                <c:ptCount val="21"/>
                <c:pt idx="0">
                  <c:v>5.8194266153187799</c:v>
                </c:pt>
                <c:pt idx="1">
                  <c:v>9.2497603471182792</c:v>
                </c:pt>
                <c:pt idx="2">
                  <c:v>9.0082575694386495</c:v>
                </c:pt>
                <c:pt idx="3">
                  <c:v>9.1593391953104195</c:v>
                </c:pt>
                <c:pt idx="4">
                  <c:v>6.3395672411204398</c:v>
                </c:pt>
                <c:pt idx="5">
                  <c:v>8.3884172734288498</c:v>
                </c:pt>
                <c:pt idx="6">
                  <c:v>7.8309840381219002</c:v>
                </c:pt>
                <c:pt idx="7">
                  <c:v>8.8953315981945806</c:v>
                </c:pt>
                <c:pt idx="8">
                  <c:v>6.5392600827216398</c:v>
                </c:pt>
                <c:pt idx="9">
                  <c:v>9.4612009200202305</c:v>
                </c:pt>
                <c:pt idx="10">
                  <c:v>9.7785165990319296</c:v>
                </c:pt>
                <c:pt idx="11">
                  <c:v>7.8448036347590202</c:v>
                </c:pt>
                <c:pt idx="12">
                  <c:v>8.05722272465675</c:v>
                </c:pt>
                <c:pt idx="13">
                  <c:v>6.7636675574911704</c:v>
                </c:pt>
                <c:pt idx="14">
                  <c:v>8.7568567840856506</c:v>
                </c:pt>
                <c:pt idx="15">
                  <c:v>5.4831848996410999</c:v>
                </c:pt>
                <c:pt idx="16">
                  <c:v>7.1972550004184503</c:v>
                </c:pt>
                <c:pt idx="17">
                  <c:v>7.8847153953262099</c:v>
                </c:pt>
                <c:pt idx="18">
                  <c:v>8.3223755388738194</c:v>
                </c:pt>
                <c:pt idx="19">
                  <c:v>5.8878367106618903</c:v>
                </c:pt>
                <c:pt idx="20">
                  <c:v>9.1020870926017601</c:v>
                </c:pt>
              </c:numCache>
            </c:numRef>
          </c:val>
          <c:smooth val="0"/>
          <c:extLst>
            <c:ext xmlns:c16="http://schemas.microsoft.com/office/drawing/2014/chart" uri="{C3380CC4-5D6E-409C-BE32-E72D297353CC}">
              <c16:uniqueId val="{00000003-4B62-4C85-976E-4F5E877B6C2C}"/>
            </c:ext>
          </c:extLst>
        </c:ser>
        <c:dLbls>
          <c:showLegendKey val="0"/>
          <c:showVal val="0"/>
          <c:showCatName val="0"/>
          <c:showSerName val="0"/>
          <c:showPercent val="0"/>
          <c:showBubbleSize val="0"/>
        </c:dLbls>
        <c:smooth val="0"/>
        <c:axId val="451552496"/>
        <c:axId val="451552888"/>
      </c:lineChart>
      <c:catAx>
        <c:axId val="451552496"/>
        <c:scaling>
          <c:orientation val="minMax"/>
        </c:scaling>
        <c:delete val="0"/>
        <c:axPos val="b"/>
        <c:numFmt formatCode="General"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552888"/>
        <c:crossesAt val="0"/>
        <c:auto val="1"/>
        <c:lblAlgn val="ctr"/>
        <c:lblOffset val="100"/>
        <c:tickLblSkip val="4"/>
        <c:noMultiLvlLbl val="0"/>
      </c:catAx>
      <c:valAx>
        <c:axId val="451552888"/>
        <c:scaling>
          <c:orientation val="minMax"/>
          <c:max val="5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552496"/>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900" b="1">
                <a:solidFill>
                  <a:sysClr val="windowText" lastClr="000000"/>
                </a:solidFill>
              </a:rPr>
              <a:t>45–64 years</a:t>
            </a:r>
          </a:p>
        </c:rich>
      </c:tx>
      <c:layout>
        <c:manualLayout>
          <c:xMode val="edge"/>
          <c:yMode val="edge"/>
          <c:x val="0.33933116972249516"/>
          <c:y val="5.6669400699912519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473815378755889"/>
          <c:y val="0.17093611111111112"/>
          <c:w val="0.81529801842552729"/>
          <c:h val="0.67251944444444445"/>
        </c:manualLayout>
      </c:layout>
      <c:lineChart>
        <c:grouping val="standard"/>
        <c:varyColors val="0"/>
        <c:ser>
          <c:idx val="0"/>
          <c:order val="0"/>
          <c:tx>
            <c:strRef>
              <c:f>'Age Sex'!$O$49</c:f>
              <c:strCache>
                <c:ptCount val="1"/>
                <c:pt idx="0">
                  <c:v>Male</c:v>
                </c:pt>
              </c:strCache>
            </c:strRef>
          </c:tx>
          <c:spPr>
            <a:ln w="22225" cap="rnd">
              <a:solidFill>
                <a:schemeClr val="bg1">
                  <a:lumMod val="50000"/>
                </a:schemeClr>
              </a:solidFill>
              <a:round/>
            </a:ln>
            <a:effectLst/>
          </c:spPr>
          <c:marker>
            <c:symbol val="none"/>
          </c:marker>
          <c:trendline>
            <c:spPr>
              <a:ln w="19050" cap="rnd">
                <a:solidFill>
                  <a:schemeClr val="bg1">
                    <a:lumMod val="50000"/>
                  </a:schemeClr>
                </a:solidFill>
                <a:prstDash val="sysDot"/>
              </a:ln>
              <a:effectLst/>
            </c:spPr>
            <c:trendlineType val="movingAvg"/>
            <c:period val="5"/>
            <c:dispRSqr val="0"/>
            <c:dispEq val="0"/>
          </c:trendline>
          <c:cat>
            <c:numRef>
              <c:f>'Age Sex'!$R$27:$AL$27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'Age Sex'!$R$51:$AL$51</c:f>
              <c:numCache>
                <c:formatCode>0.0</c:formatCode>
                <c:ptCount val="21"/>
                <c:pt idx="0">
                  <c:v>21.494975549465298</c:v>
                </c:pt>
                <c:pt idx="1">
                  <c:v>19.856303069889002</c:v>
                </c:pt>
                <c:pt idx="2">
                  <c:v>22.886786695148</c:v>
                </c:pt>
                <c:pt idx="3">
                  <c:v>20.56338726061</c:v>
                </c:pt>
                <c:pt idx="4">
                  <c:v>19.333011116481401</c:v>
                </c:pt>
                <c:pt idx="5">
                  <c:v>15.3052814994467</c:v>
                </c:pt>
                <c:pt idx="6">
                  <c:v>20.089030932541899</c:v>
                </c:pt>
                <c:pt idx="7">
                  <c:v>22.124383282816002</c:v>
                </c:pt>
                <c:pt idx="8">
                  <c:v>18.883714941739399</c:v>
                </c:pt>
                <c:pt idx="9">
                  <c:v>21.927992648901501</c:v>
                </c:pt>
                <c:pt idx="10">
                  <c:v>22.397328609533101</c:v>
                </c:pt>
                <c:pt idx="11">
                  <c:v>20.267853594563402</c:v>
                </c:pt>
                <c:pt idx="12">
                  <c:v>24.221050999845001</c:v>
                </c:pt>
                <c:pt idx="13">
                  <c:v>22.752265746463902</c:v>
                </c:pt>
                <c:pt idx="14">
                  <c:v>21.966566141703002</c:v>
                </c:pt>
                <c:pt idx="15">
                  <c:v>21.4970786021387</c:v>
                </c:pt>
                <c:pt idx="16">
                  <c:v>19.170029028901101</c:v>
                </c:pt>
                <c:pt idx="17">
                  <c:v>23.546885471571699</c:v>
                </c:pt>
                <c:pt idx="18">
                  <c:v>21.489971346704898</c:v>
                </c:pt>
                <c:pt idx="19">
                  <c:v>22.1094150733148</c:v>
                </c:pt>
                <c:pt idx="20">
                  <c:v>22.152064328199401</c:v>
                </c:pt>
              </c:numCache>
            </c:numRef>
          </c:val>
          <c:smooth val="0"/>
          <c:extLst>
            <c:ext xmlns:c16="http://schemas.microsoft.com/office/drawing/2014/chart" uri="{C3380CC4-5D6E-409C-BE32-E72D297353CC}">
              <c16:uniqueId val="{00000001-034B-4C92-930E-B95138344674}"/>
            </c:ext>
          </c:extLst>
        </c:ser>
        <c:ser>
          <c:idx val="1"/>
          <c:order val="1"/>
          <c:tx>
            <c:strRef>
              <c:f>'Age Sex'!$O$54</c:f>
              <c:strCache>
                <c:ptCount val="1"/>
                <c:pt idx="0">
                  <c:v>Female</c:v>
                </c:pt>
              </c:strCache>
            </c:strRef>
          </c:tx>
          <c:spPr>
            <a:ln w="22225" cap="rnd">
              <a:solidFill>
                <a:schemeClr val="accent1"/>
              </a:solidFill>
              <a:round/>
            </a:ln>
            <a:effectLst/>
          </c:spPr>
          <c:marker>
            <c:symbol val="none"/>
          </c:marker>
          <c:trendline>
            <c:spPr>
              <a:ln w="22225" cap="rnd">
                <a:solidFill>
                  <a:schemeClr val="accent2"/>
                </a:solidFill>
                <a:prstDash val="sysDot"/>
              </a:ln>
              <a:effectLst/>
            </c:spPr>
            <c:trendlineType val="movingAvg"/>
            <c:period val="5"/>
            <c:dispRSqr val="0"/>
            <c:dispEq val="0"/>
          </c:trendline>
          <c:cat>
            <c:numRef>
              <c:f>'Age Sex'!$R$27:$AL$27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'Age Sex'!$R$56:$AL$56</c:f>
              <c:numCache>
                <c:formatCode>0.0</c:formatCode>
                <c:ptCount val="21"/>
                <c:pt idx="0">
                  <c:v>5.8997050147492596</c:v>
                </c:pt>
                <c:pt idx="1">
                  <c:v>6.7625562462610898</c:v>
                </c:pt>
                <c:pt idx="2">
                  <c:v>6.05540697381036</c:v>
                </c:pt>
                <c:pt idx="3">
                  <c:v>5.1403813673414396</c:v>
                </c:pt>
                <c:pt idx="4">
                  <c:v>5.4634424438215596</c:v>
                </c:pt>
                <c:pt idx="5">
                  <c:v>6.2302420564413801</c:v>
                </c:pt>
                <c:pt idx="6">
                  <c:v>5.5867170216094202</c:v>
                </c:pt>
                <c:pt idx="7">
                  <c:v>7.5651140170755404</c:v>
                </c:pt>
                <c:pt idx="8">
                  <c:v>6.2768071974055903</c:v>
                </c:pt>
                <c:pt idx="9">
                  <c:v>6.2923720212722802</c:v>
                </c:pt>
                <c:pt idx="10">
                  <c:v>6.1083743842364502</c:v>
                </c:pt>
                <c:pt idx="11">
                  <c:v>7.6637161359543198</c:v>
                </c:pt>
                <c:pt idx="12">
                  <c:v>6.3251106894370697</c:v>
                </c:pt>
                <c:pt idx="13">
                  <c:v>7.0749582758870897</c:v>
                </c:pt>
                <c:pt idx="14">
                  <c:v>7.6322328718494896</c:v>
                </c:pt>
                <c:pt idx="15">
                  <c:v>5.7582578652567697</c:v>
                </c:pt>
                <c:pt idx="16">
                  <c:v>7.2452517724990901</c:v>
                </c:pt>
                <c:pt idx="17">
                  <c:v>9.0334236675700108</c:v>
                </c:pt>
                <c:pt idx="18">
                  <c:v>7.5585789871504199</c:v>
                </c:pt>
                <c:pt idx="19">
                  <c:v>7.7741204492449203</c:v>
                </c:pt>
                <c:pt idx="20">
                  <c:v>7.1517968889683496</c:v>
                </c:pt>
              </c:numCache>
            </c:numRef>
          </c:val>
          <c:smooth val="0"/>
          <c:extLst>
            <c:ext xmlns:c16="http://schemas.microsoft.com/office/drawing/2014/chart" uri="{C3380CC4-5D6E-409C-BE32-E72D297353CC}">
              <c16:uniqueId val="{00000003-034B-4C92-930E-B95138344674}"/>
            </c:ext>
          </c:extLst>
        </c:ser>
        <c:dLbls>
          <c:showLegendKey val="0"/>
          <c:showVal val="0"/>
          <c:showCatName val="0"/>
          <c:showSerName val="0"/>
          <c:showPercent val="0"/>
          <c:showBubbleSize val="0"/>
        </c:dLbls>
        <c:smooth val="0"/>
        <c:axId val="451724136"/>
        <c:axId val="452699744"/>
      </c:lineChart>
      <c:catAx>
        <c:axId val="4517241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2699744"/>
        <c:crosses val="autoZero"/>
        <c:auto val="1"/>
        <c:lblAlgn val="ctr"/>
        <c:lblOffset val="100"/>
        <c:tickLblSkip val="4"/>
        <c:noMultiLvlLbl val="0"/>
      </c:catAx>
      <c:valAx>
        <c:axId val="452699744"/>
        <c:scaling>
          <c:orientation val="minMax"/>
          <c:max val="5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1724136"/>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NZ" sz="1000" b="1">
                <a:solidFill>
                  <a:sysClr val="windowText" lastClr="000000"/>
                </a:solidFill>
              </a:rPr>
              <a:t>Total population</a:t>
            </a:r>
          </a:p>
        </c:rich>
      </c:tx>
      <c:overlay val="0"/>
      <c:spPr>
        <a:noFill/>
        <a:ln>
          <a:noFill/>
        </a:ln>
        <a:effectLst/>
      </c:spPr>
      <c:txPr>
        <a:bodyPr rot="0" spcFirstLastPara="1" vertOverflow="ellipsis" vert="horz" wrap="square" anchor="ctr" anchorCtr="1"/>
        <a:lstStyle/>
        <a:p>
          <a:pPr>
            <a:defRPr sz="10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2467372612906148E-2"/>
          <c:y val="0.15653722222222222"/>
          <c:w val="0.8852876480541455"/>
          <c:h val="0.70374777777777775"/>
        </c:manualLayout>
      </c:layout>
      <c:lineChart>
        <c:grouping val="standard"/>
        <c:varyColors val="0"/>
        <c:ser>
          <c:idx val="4"/>
          <c:order val="0"/>
          <c:tx>
            <c:strRef>
              <c:f>Deprivation!$N$36</c:f>
              <c:strCache>
                <c:ptCount val="1"/>
                <c:pt idx="0">
                  <c:v>5</c:v>
                </c:pt>
              </c:strCache>
            </c:strRef>
          </c:tx>
          <c:spPr>
            <a:ln w="22225" cap="rnd">
              <a:solidFill>
                <a:schemeClr val="bg1">
                  <a:lumMod val="50000"/>
                </a:schemeClr>
              </a:solidFill>
              <a:round/>
            </a:ln>
            <a:effectLst/>
          </c:spPr>
          <c:marker>
            <c:symbol val="none"/>
          </c:marker>
          <c:errBars>
            <c:errDir val="y"/>
            <c:errBarType val="both"/>
            <c:errValType val="cust"/>
            <c:noEndCap val="0"/>
            <c:plus>
              <c:numRef>
                <c:f>Deprivation!$AV$33:$BJ$33</c:f>
                <c:numCache>
                  <c:formatCode>General</c:formatCode>
                  <c:ptCount val="15"/>
                  <c:pt idx="0">
                    <c:v>2.7</c:v>
                  </c:pt>
                  <c:pt idx="1">
                    <c:v>2.6</c:v>
                  </c:pt>
                  <c:pt idx="2">
                    <c:v>2.7</c:v>
                  </c:pt>
                  <c:pt idx="3">
                    <c:v>2.7</c:v>
                  </c:pt>
                  <c:pt idx="4">
                    <c:v>2.8</c:v>
                  </c:pt>
                  <c:pt idx="5">
                    <c:v>2.9</c:v>
                  </c:pt>
                  <c:pt idx="6">
                    <c:v>2.6</c:v>
                  </c:pt>
                  <c:pt idx="7">
                    <c:v>2.5</c:v>
                  </c:pt>
                  <c:pt idx="8">
                    <c:v>2.7</c:v>
                  </c:pt>
                  <c:pt idx="9">
                    <c:v>2.6</c:v>
                  </c:pt>
                  <c:pt idx="10">
                    <c:v>2.7</c:v>
                  </c:pt>
                  <c:pt idx="11">
                    <c:v>2.6</c:v>
                  </c:pt>
                  <c:pt idx="12">
                    <c:v>2.6</c:v>
                  </c:pt>
                  <c:pt idx="13">
                    <c:v>2.6</c:v>
                  </c:pt>
                  <c:pt idx="14">
                    <c:v>2.6</c:v>
                  </c:pt>
                </c:numCache>
              </c:numRef>
            </c:plus>
            <c:minus>
              <c:numRef>
                <c:f>Deprivation!$AV$33:$BJ$33</c:f>
                <c:numCache>
                  <c:formatCode>General</c:formatCode>
                  <c:ptCount val="15"/>
                  <c:pt idx="0">
                    <c:v>2.7</c:v>
                  </c:pt>
                  <c:pt idx="1">
                    <c:v>2.6</c:v>
                  </c:pt>
                  <c:pt idx="2">
                    <c:v>2.7</c:v>
                  </c:pt>
                  <c:pt idx="3">
                    <c:v>2.7</c:v>
                  </c:pt>
                  <c:pt idx="4">
                    <c:v>2.8</c:v>
                  </c:pt>
                  <c:pt idx="5">
                    <c:v>2.9</c:v>
                  </c:pt>
                  <c:pt idx="6">
                    <c:v>2.6</c:v>
                  </c:pt>
                  <c:pt idx="7">
                    <c:v>2.5</c:v>
                  </c:pt>
                  <c:pt idx="8">
                    <c:v>2.7</c:v>
                  </c:pt>
                  <c:pt idx="9">
                    <c:v>2.6</c:v>
                  </c:pt>
                  <c:pt idx="10">
                    <c:v>2.7</c:v>
                  </c:pt>
                  <c:pt idx="11">
                    <c:v>2.6</c:v>
                  </c:pt>
                  <c:pt idx="12">
                    <c:v>2.6</c:v>
                  </c:pt>
                  <c:pt idx="13">
                    <c:v>2.6</c:v>
                  </c:pt>
                  <c:pt idx="14">
                    <c:v>2.6</c:v>
                  </c:pt>
                </c:numCache>
              </c:numRef>
            </c:minus>
            <c:spPr>
              <a:noFill/>
              <a:ln w="9525" cap="flat" cmpd="sng" algn="ctr">
                <a:solidFill>
                  <a:schemeClr val="tx1">
                    <a:lumMod val="65000"/>
                    <a:lumOff val="35000"/>
                  </a:schemeClr>
                </a:solidFill>
                <a:round/>
              </a:ln>
              <a:effectLst/>
            </c:spPr>
          </c:errBars>
          <c:cat>
            <c:numRef>
              <c:f>Deprivation!$P$9:$Y$9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Deprivation!$P$36:$Y$36</c:f>
              <c:numCache>
                <c:formatCode>0.0</c:formatCode>
                <c:ptCount val="10"/>
                <c:pt idx="0">
                  <c:v>14.712819146531</c:v>
                </c:pt>
                <c:pt idx="1">
                  <c:v>14.0640790028423</c:v>
                </c:pt>
                <c:pt idx="2">
                  <c:v>15.354556077231001</c:v>
                </c:pt>
                <c:pt idx="3">
                  <c:v>14.8468642902606</c:v>
                </c:pt>
                <c:pt idx="4">
                  <c:v>16.064547267627098</c:v>
                </c:pt>
                <c:pt idx="5">
                  <c:v>15.5911311839955</c:v>
                </c:pt>
                <c:pt idx="6">
                  <c:v>15.6036784873721</c:v>
                </c:pt>
                <c:pt idx="7">
                  <c:v>16.0320135548914</c:v>
                </c:pt>
                <c:pt idx="8">
                  <c:v>15.3504235304689</c:v>
                </c:pt>
                <c:pt idx="9">
                  <c:v>16.0742810429599</c:v>
                </c:pt>
              </c:numCache>
            </c:numRef>
          </c:val>
          <c:smooth val="0"/>
          <c:extLst>
            <c:ext xmlns:c16="http://schemas.microsoft.com/office/drawing/2014/chart" uri="{C3380CC4-5D6E-409C-BE32-E72D297353CC}">
              <c16:uniqueId val="{00000000-CCFF-4465-A711-5D2F33163FCD}"/>
            </c:ext>
          </c:extLst>
        </c:ser>
        <c:ser>
          <c:idx val="0"/>
          <c:order val="1"/>
          <c:tx>
            <c:strRef>
              <c:f>Deprivation!$N$32</c:f>
              <c:strCache>
                <c:ptCount val="1"/>
                <c:pt idx="0">
                  <c:v>1</c:v>
                </c:pt>
              </c:strCache>
            </c:strRef>
          </c:tx>
          <c:spPr>
            <a:ln w="22225" cap="rnd">
              <a:solidFill>
                <a:schemeClr val="accent1"/>
              </a:solidFill>
              <a:prstDash val="solid"/>
              <a:round/>
            </a:ln>
            <a:effectLst/>
          </c:spPr>
          <c:marker>
            <c:symbol val="none"/>
          </c:marker>
          <c:errBars>
            <c:errDir val="y"/>
            <c:errBarType val="both"/>
            <c:errValType val="cust"/>
            <c:noEndCap val="0"/>
            <c:plus>
              <c:numRef>
                <c:f>Deprivation!$AV$30:$BJ$30</c:f>
                <c:numCache>
                  <c:formatCode>General</c:formatCode>
                  <c:ptCount val="15"/>
                  <c:pt idx="0">
                    <c:v>2.2000000000000002</c:v>
                  </c:pt>
                  <c:pt idx="1">
                    <c:v>1.9</c:v>
                  </c:pt>
                  <c:pt idx="2">
                    <c:v>1.9</c:v>
                  </c:pt>
                  <c:pt idx="3">
                    <c:v>1.9</c:v>
                  </c:pt>
                  <c:pt idx="4">
                    <c:v>2</c:v>
                  </c:pt>
                  <c:pt idx="5">
                    <c:v>1.9</c:v>
                  </c:pt>
                  <c:pt idx="6">
                    <c:v>1.8</c:v>
                  </c:pt>
                  <c:pt idx="7">
                    <c:v>2.1</c:v>
                  </c:pt>
                  <c:pt idx="8">
                    <c:v>1.8</c:v>
                  </c:pt>
                  <c:pt idx="9">
                    <c:v>2.1</c:v>
                  </c:pt>
                  <c:pt idx="10">
                    <c:v>1.8</c:v>
                  </c:pt>
                  <c:pt idx="11">
                    <c:v>1.6</c:v>
                  </c:pt>
                  <c:pt idx="12">
                    <c:v>1.6</c:v>
                  </c:pt>
                  <c:pt idx="13">
                    <c:v>1.6</c:v>
                  </c:pt>
                  <c:pt idx="14">
                    <c:v>1.8</c:v>
                  </c:pt>
                </c:numCache>
              </c:numRef>
            </c:plus>
            <c:minus>
              <c:numRef>
                <c:f>Deprivation!$AV$30:$BJ$30</c:f>
                <c:numCache>
                  <c:formatCode>General</c:formatCode>
                  <c:ptCount val="15"/>
                  <c:pt idx="0">
                    <c:v>2.2000000000000002</c:v>
                  </c:pt>
                  <c:pt idx="1">
                    <c:v>1.9</c:v>
                  </c:pt>
                  <c:pt idx="2">
                    <c:v>1.9</c:v>
                  </c:pt>
                  <c:pt idx="3">
                    <c:v>1.9</c:v>
                  </c:pt>
                  <c:pt idx="4">
                    <c:v>2</c:v>
                  </c:pt>
                  <c:pt idx="5">
                    <c:v>1.9</c:v>
                  </c:pt>
                  <c:pt idx="6">
                    <c:v>1.8</c:v>
                  </c:pt>
                  <c:pt idx="7">
                    <c:v>2.1</c:v>
                  </c:pt>
                  <c:pt idx="8">
                    <c:v>1.8</c:v>
                  </c:pt>
                  <c:pt idx="9">
                    <c:v>2.1</c:v>
                  </c:pt>
                  <c:pt idx="10">
                    <c:v>1.8</c:v>
                  </c:pt>
                  <c:pt idx="11">
                    <c:v>1.6</c:v>
                  </c:pt>
                  <c:pt idx="12">
                    <c:v>1.6</c:v>
                  </c:pt>
                  <c:pt idx="13">
                    <c:v>1.6</c:v>
                  </c:pt>
                  <c:pt idx="14">
                    <c:v>1.8</c:v>
                  </c:pt>
                </c:numCache>
              </c:numRef>
            </c:minus>
            <c:spPr>
              <a:noFill/>
              <a:ln w="9525" cap="flat" cmpd="sng" algn="ctr">
                <a:solidFill>
                  <a:schemeClr val="tx1">
                    <a:lumMod val="65000"/>
                    <a:lumOff val="35000"/>
                  </a:schemeClr>
                </a:solidFill>
                <a:round/>
              </a:ln>
              <a:effectLst/>
            </c:spPr>
          </c:errBars>
          <c:cat>
            <c:numRef>
              <c:f>Deprivation!$P$9:$Y$9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Deprivation!$P$32:$Y$32</c:f>
              <c:numCache>
                <c:formatCode>0.0</c:formatCode>
                <c:ptCount val="10"/>
                <c:pt idx="0">
                  <c:v>7.8368796841505901</c:v>
                </c:pt>
                <c:pt idx="1">
                  <c:v>9.8455520002290502</c:v>
                </c:pt>
                <c:pt idx="2">
                  <c:v>7.9860259733649004</c:v>
                </c:pt>
                <c:pt idx="3">
                  <c:v>10.1349018099747</c:v>
                </c:pt>
                <c:pt idx="4">
                  <c:v>8.0826555842724197</c:v>
                </c:pt>
                <c:pt idx="5">
                  <c:v>5.8150688207643197</c:v>
                </c:pt>
                <c:pt idx="6">
                  <c:v>6.73253886110823</c:v>
                </c:pt>
                <c:pt idx="7">
                  <c:v>6.6139183761554001</c:v>
                </c:pt>
                <c:pt idx="8">
                  <c:v>8.0896312487476205</c:v>
                </c:pt>
                <c:pt idx="9">
                  <c:v>6.9981720419792799</c:v>
                </c:pt>
              </c:numCache>
            </c:numRef>
          </c:val>
          <c:smooth val="0"/>
          <c:extLst>
            <c:ext xmlns:c16="http://schemas.microsoft.com/office/drawing/2014/chart" uri="{C3380CC4-5D6E-409C-BE32-E72D297353CC}">
              <c16:uniqueId val="{00000001-CCFF-4465-A711-5D2F33163FCD}"/>
            </c:ext>
          </c:extLst>
        </c:ser>
        <c:dLbls>
          <c:showLegendKey val="0"/>
          <c:showVal val="0"/>
          <c:showCatName val="0"/>
          <c:showSerName val="0"/>
          <c:showPercent val="0"/>
          <c:showBubbleSize val="0"/>
        </c:dLbls>
        <c:smooth val="0"/>
        <c:axId val="452698568"/>
        <c:axId val="452703272"/>
      </c:lineChart>
      <c:catAx>
        <c:axId val="45269856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2703272"/>
        <c:crosses val="autoZero"/>
        <c:auto val="1"/>
        <c:lblAlgn val="ctr"/>
        <c:lblOffset val="100"/>
        <c:noMultiLvlLbl val="0"/>
      </c:catAx>
      <c:valAx>
        <c:axId val="452703272"/>
        <c:scaling>
          <c:orientation val="minMax"/>
          <c:max val="3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2698568"/>
        <c:crosses val="autoZero"/>
        <c:crossBetween val="between"/>
        <c:majorUnit val="5"/>
      </c:valAx>
      <c:spPr>
        <a:noFill/>
        <a:ln>
          <a:noFill/>
        </a:ln>
        <a:effectLst/>
      </c:spPr>
    </c:plotArea>
    <c:legend>
      <c:legendPos val="r"/>
      <c:layout>
        <c:manualLayout>
          <c:xMode val="edge"/>
          <c:yMode val="edge"/>
          <c:x val="0.88390371506475796"/>
          <c:y val="4.5635000000000002E-2"/>
          <c:w val="9.4144171779141098E-2"/>
          <c:h val="0.226813333333333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NZ" sz="1000" b="1">
                <a:solidFill>
                  <a:sysClr val="windowText" lastClr="000000"/>
                </a:solidFill>
              </a:rPr>
              <a:t>Males</a:t>
            </a:r>
          </a:p>
        </c:rich>
      </c:tx>
      <c:overlay val="0"/>
      <c:spPr>
        <a:noFill/>
        <a:ln>
          <a:noFill/>
        </a:ln>
        <a:effectLst/>
      </c:spPr>
      <c:txPr>
        <a:bodyPr rot="0" spcFirstLastPara="1" vertOverflow="ellipsis" vert="horz" wrap="square" anchor="ctr" anchorCtr="1"/>
        <a:lstStyle/>
        <a:p>
          <a:pPr>
            <a:defRPr sz="10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2467419042290422E-2"/>
          <c:y val="0.17660833333333334"/>
          <c:w val="0.8657183026584867"/>
          <c:h val="0.68940651833578448"/>
        </c:manualLayout>
      </c:layout>
      <c:lineChart>
        <c:grouping val="standard"/>
        <c:varyColors val="0"/>
        <c:ser>
          <c:idx val="3"/>
          <c:order val="0"/>
          <c:tx>
            <c:strRef>
              <c:f>Deprivation!$N$42</c:f>
              <c:strCache>
                <c:ptCount val="1"/>
                <c:pt idx="0">
                  <c:v>5</c:v>
                </c:pt>
              </c:strCache>
            </c:strRef>
          </c:tx>
          <c:spPr>
            <a:ln w="22225" cap="rnd">
              <a:solidFill>
                <a:schemeClr val="bg1">
                  <a:lumMod val="50000"/>
                </a:schemeClr>
              </a:solidFill>
              <a:round/>
            </a:ln>
            <a:effectLst/>
          </c:spPr>
          <c:marker>
            <c:symbol val="none"/>
          </c:marker>
          <c:cat>
            <c:numRef>
              <c:f>Deprivation!$P$9:$Y$9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Deprivation!$P$42:$Y$42</c:f>
              <c:numCache>
                <c:formatCode>0.0</c:formatCode>
                <c:ptCount val="10"/>
                <c:pt idx="0">
                  <c:v>23.2431358648392</c:v>
                </c:pt>
                <c:pt idx="1">
                  <c:v>22.000250981121599</c:v>
                </c:pt>
                <c:pt idx="2">
                  <c:v>24.881574896415898</c:v>
                </c:pt>
                <c:pt idx="3">
                  <c:v>21.9325783022839</c:v>
                </c:pt>
                <c:pt idx="4">
                  <c:v>22.542784776259801</c:v>
                </c:pt>
                <c:pt idx="5">
                  <c:v>22.331571256110301</c:v>
                </c:pt>
                <c:pt idx="6">
                  <c:v>21.510814033369101</c:v>
                </c:pt>
                <c:pt idx="7">
                  <c:v>23.8597128321342</c:v>
                </c:pt>
                <c:pt idx="8">
                  <c:v>22.636918747205399</c:v>
                </c:pt>
                <c:pt idx="9">
                  <c:v>23.8130206354015</c:v>
                </c:pt>
              </c:numCache>
            </c:numRef>
          </c:val>
          <c:smooth val="0"/>
          <c:extLst>
            <c:ext xmlns:c16="http://schemas.microsoft.com/office/drawing/2014/chart" uri="{C3380CC4-5D6E-409C-BE32-E72D297353CC}">
              <c16:uniqueId val="{00000000-4B8A-4F1F-91BD-81440561036E}"/>
            </c:ext>
          </c:extLst>
        </c:ser>
        <c:ser>
          <c:idx val="4"/>
          <c:order val="1"/>
          <c:tx>
            <c:strRef>
              <c:f>Deprivation!$N$41</c:f>
              <c:strCache>
                <c:ptCount val="1"/>
                <c:pt idx="0">
                  <c:v>4</c:v>
                </c:pt>
              </c:strCache>
            </c:strRef>
          </c:tx>
          <c:spPr>
            <a:ln w="22225" cap="rnd">
              <a:solidFill>
                <a:schemeClr val="bg1">
                  <a:lumMod val="75000"/>
                </a:schemeClr>
              </a:solidFill>
              <a:prstDash val="solid"/>
              <a:round/>
            </a:ln>
            <a:effectLst/>
          </c:spPr>
          <c:marker>
            <c:symbol val="none"/>
          </c:marker>
          <c:cat>
            <c:numRef>
              <c:f>Deprivation!$P$9:$Y$9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Deprivation!$P$41:$Y$41</c:f>
              <c:numCache>
                <c:formatCode>0.0</c:formatCode>
                <c:ptCount val="10"/>
                <c:pt idx="0">
                  <c:v>20.099156960381102</c:v>
                </c:pt>
                <c:pt idx="1">
                  <c:v>18.758767968392899</c:v>
                </c:pt>
                <c:pt idx="2">
                  <c:v>22.008575617776099</c:v>
                </c:pt>
                <c:pt idx="3">
                  <c:v>19.758547312996701</c:v>
                </c:pt>
                <c:pt idx="4">
                  <c:v>15.145499660123701</c:v>
                </c:pt>
                <c:pt idx="5">
                  <c:v>22.4574835839713</c:v>
                </c:pt>
                <c:pt idx="6">
                  <c:v>17.298751296226801</c:v>
                </c:pt>
                <c:pt idx="7">
                  <c:v>19.917192811807801</c:v>
                </c:pt>
                <c:pt idx="8">
                  <c:v>19.284999089191</c:v>
                </c:pt>
                <c:pt idx="9">
                  <c:v>25.566757306723702</c:v>
                </c:pt>
              </c:numCache>
            </c:numRef>
          </c:val>
          <c:smooth val="0"/>
          <c:extLst>
            <c:ext xmlns:c16="http://schemas.microsoft.com/office/drawing/2014/chart" uri="{C3380CC4-5D6E-409C-BE32-E72D297353CC}">
              <c16:uniqueId val="{00000001-4B8A-4F1F-91BD-81440561036E}"/>
            </c:ext>
          </c:extLst>
        </c:ser>
        <c:ser>
          <c:idx val="2"/>
          <c:order val="2"/>
          <c:tx>
            <c:strRef>
              <c:f>Deprivation!$N$40</c:f>
              <c:strCache>
                <c:ptCount val="1"/>
                <c:pt idx="0">
                  <c:v>3</c:v>
                </c:pt>
              </c:strCache>
            </c:strRef>
          </c:tx>
          <c:spPr>
            <a:ln w="22225" cap="rnd">
              <a:solidFill>
                <a:schemeClr val="accent1">
                  <a:lumMod val="60000"/>
                  <a:lumOff val="40000"/>
                </a:schemeClr>
              </a:solidFill>
              <a:round/>
            </a:ln>
            <a:effectLst/>
          </c:spPr>
          <c:marker>
            <c:symbol val="none"/>
          </c:marker>
          <c:cat>
            <c:numRef>
              <c:f>Deprivation!$P$9:$Y$9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Deprivation!$P$40:$Y$40</c:f>
              <c:numCache>
                <c:formatCode>0.0</c:formatCode>
                <c:ptCount val="10"/>
                <c:pt idx="0">
                  <c:v>18.999903182903601</c:v>
                </c:pt>
                <c:pt idx="1">
                  <c:v>16.2948414480312</c:v>
                </c:pt>
                <c:pt idx="2">
                  <c:v>14.769474357958099</c:v>
                </c:pt>
                <c:pt idx="3">
                  <c:v>16.768718439865602</c:v>
                </c:pt>
                <c:pt idx="4">
                  <c:v>19.0319542103353</c:v>
                </c:pt>
                <c:pt idx="5">
                  <c:v>21.841854529688</c:v>
                </c:pt>
                <c:pt idx="6">
                  <c:v>14.5565056681946</c:v>
                </c:pt>
                <c:pt idx="7">
                  <c:v>15.486617317140601</c:v>
                </c:pt>
                <c:pt idx="8">
                  <c:v>13.055623124427999</c:v>
                </c:pt>
                <c:pt idx="9">
                  <c:v>14.0212373132489</c:v>
                </c:pt>
              </c:numCache>
            </c:numRef>
          </c:val>
          <c:smooth val="0"/>
          <c:extLst>
            <c:ext xmlns:c16="http://schemas.microsoft.com/office/drawing/2014/chart" uri="{C3380CC4-5D6E-409C-BE32-E72D297353CC}">
              <c16:uniqueId val="{00000002-4B8A-4F1F-91BD-81440561036E}"/>
            </c:ext>
          </c:extLst>
        </c:ser>
        <c:ser>
          <c:idx val="0"/>
          <c:order val="3"/>
          <c:tx>
            <c:strRef>
              <c:f>Deprivation!$N$39</c:f>
              <c:strCache>
                <c:ptCount val="1"/>
                <c:pt idx="0">
                  <c:v>2</c:v>
                </c:pt>
              </c:strCache>
            </c:strRef>
          </c:tx>
          <c:spPr>
            <a:ln w="22225" cap="rnd">
              <a:solidFill>
                <a:srgbClr val="4BACC6"/>
              </a:solidFill>
              <a:prstDash val="solid"/>
              <a:round/>
            </a:ln>
            <a:effectLst/>
          </c:spPr>
          <c:marker>
            <c:symbol val="none"/>
          </c:marker>
          <c:cat>
            <c:numRef>
              <c:f>Deprivation!$P$9:$Y$9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Deprivation!$P$39:$Y$39</c:f>
              <c:numCache>
                <c:formatCode>0.0</c:formatCode>
                <c:ptCount val="10"/>
                <c:pt idx="0">
                  <c:v>11.6028861834361</c:v>
                </c:pt>
                <c:pt idx="1">
                  <c:v>13.7450566156518</c:v>
                </c:pt>
                <c:pt idx="2">
                  <c:v>15.6322775264307</c:v>
                </c:pt>
                <c:pt idx="3">
                  <c:v>12.5788110241902</c:v>
                </c:pt>
                <c:pt idx="4">
                  <c:v>14.540831325937299</c:v>
                </c:pt>
                <c:pt idx="5">
                  <c:v>13.6769389350941</c:v>
                </c:pt>
                <c:pt idx="6">
                  <c:v>11.615740197445501</c:v>
                </c:pt>
                <c:pt idx="7">
                  <c:v>10.781463058969599</c:v>
                </c:pt>
                <c:pt idx="8">
                  <c:v>13.9128564839435</c:v>
                </c:pt>
                <c:pt idx="9">
                  <c:v>11.818560868545401</c:v>
                </c:pt>
              </c:numCache>
            </c:numRef>
          </c:val>
          <c:smooth val="0"/>
          <c:extLst>
            <c:ext xmlns:c16="http://schemas.microsoft.com/office/drawing/2014/chart" uri="{C3380CC4-5D6E-409C-BE32-E72D297353CC}">
              <c16:uniqueId val="{00000003-4B8A-4F1F-91BD-81440561036E}"/>
            </c:ext>
          </c:extLst>
        </c:ser>
        <c:ser>
          <c:idx val="1"/>
          <c:order val="4"/>
          <c:tx>
            <c:strRef>
              <c:f>Deprivation!$N$38</c:f>
              <c:strCache>
                <c:ptCount val="1"/>
                <c:pt idx="0">
                  <c:v>1</c:v>
                </c:pt>
              </c:strCache>
            </c:strRef>
          </c:tx>
          <c:spPr>
            <a:ln w="22225" cap="rnd">
              <a:solidFill>
                <a:schemeClr val="accent1"/>
              </a:solidFill>
              <a:prstDash val="solid"/>
              <a:round/>
            </a:ln>
            <a:effectLst/>
          </c:spPr>
          <c:marker>
            <c:symbol val="none"/>
          </c:marker>
          <c:cat>
            <c:numRef>
              <c:f>Deprivation!$P$9:$Y$9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Deprivation!$P$38:$Y$38</c:f>
              <c:numCache>
                <c:formatCode>0.0</c:formatCode>
                <c:ptCount val="10"/>
                <c:pt idx="0">
                  <c:v>12.5941055922708</c:v>
                </c:pt>
                <c:pt idx="1">
                  <c:v>14.8510810707393</c:v>
                </c:pt>
                <c:pt idx="2">
                  <c:v>13.672965099776199</c:v>
                </c:pt>
                <c:pt idx="3">
                  <c:v>14.145474507651899</c:v>
                </c:pt>
                <c:pt idx="4">
                  <c:v>13.239357279649701</c:v>
                </c:pt>
                <c:pt idx="5">
                  <c:v>10.046935011885701</c:v>
                </c:pt>
                <c:pt idx="6">
                  <c:v>10.1047073133151</c:v>
                </c:pt>
                <c:pt idx="7">
                  <c:v>10.623591071432999</c:v>
                </c:pt>
                <c:pt idx="8">
                  <c:v>12.2381526035751</c:v>
                </c:pt>
                <c:pt idx="9">
                  <c:v>10.058569821738599</c:v>
                </c:pt>
              </c:numCache>
            </c:numRef>
          </c:val>
          <c:smooth val="0"/>
          <c:extLst>
            <c:ext xmlns:c16="http://schemas.microsoft.com/office/drawing/2014/chart" uri="{C3380CC4-5D6E-409C-BE32-E72D297353CC}">
              <c16:uniqueId val="{00000004-4B8A-4F1F-91BD-81440561036E}"/>
            </c:ext>
          </c:extLst>
        </c:ser>
        <c:dLbls>
          <c:showLegendKey val="0"/>
          <c:showVal val="0"/>
          <c:showCatName val="0"/>
          <c:showSerName val="0"/>
          <c:showPercent val="0"/>
          <c:showBubbleSize val="0"/>
        </c:dLbls>
        <c:smooth val="0"/>
        <c:axId val="452702488"/>
        <c:axId val="452704448"/>
      </c:lineChart>
      <c:catAx>
        <c:axId val="4527024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2704448"/>
        <c:crosses val="autoZero"/>
        <c:auto val="1"/>
        <c:lblAlgn val="ctr"/>
        <c:lblOffset val="100"/>
        <c:tickLblSkip val="1"/>
        <c:noMultiLvlLbl val="0"/>
      </c:catAx>
      <c:valAx>
        <c:axId val="452704448"/>
        <c:scaling>
          <c:orientation val="minMax"/>
          <c:max val="3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2702488"/>
        <c:crosses val="autoZero"/>
        <c:crossBetween val="between"/>
        <c:majorUnit val="5"/>
      </c:valAx>
      <c:spPr>
        <a:noFill/>
        <a:ln>
          <a:noFill/>
        </a:ln>
        <a:effectLst/>
      </c:spPr>
    </c:plotArea>
    <c:legend>
      <c:legendPos val="r"/>
      <c:layout>
        <c:manualLayout>
          <c:xMode val="edge"/>
          <c:yMode val="edge"/>
          <c:x val="0.89392825494205863"/>
          <c:y val="1.0984110857110603E-2"/>
          <c:w val="0.10607174505794138"/>
          <c:h val="0.444807058692131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467419042290422E-2"/>
          <c:y val="0.17660833333333334"/>
          <c:w val="0.8657183026584867"/>
          <c:h val="0.68940651833578448"/>
        </c:manualLayout>
      </c:layout>
      <c:lineChart>
        <c:grouping val="standard"/>
        <c:varyColors val="0"/>
        <c:ser>
          <c:idx val="3"/>
          <c:order val="0"/>
          <c:tx>
            <c:strRef>
              <c:f>Deprivation!$N$95</c:f>
              <c:strCache>
                <c:ptCount val="1"/>
                <c:pt idx="0">
                  <c:v>5</c:v>
                </c:pt>
              </c:strCache>
            </c:strRef>
          </c:tx>
          <c:spPr>
            <a:ln w="22225" cap="rnd">
              <a:solidFill>
                <a:schemeClr val="bg1">
                  <a:lumMod val="50000"/>
                </a:schemeClr>
              </a:solidFill>
              <a:round/>
            </a:ln>
            <a:effectLst/>
          </c:spPr>
          <c:marker>
            <c:symbol val="none"/>
          </c:marker>
          <c:cat>
            <c:numRef>
              <c:f>Deprivation!$P$65:$Y$65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Deprivation!$P$95:$Y$95</c:f>
              <c:numCache>
                <c:formatCode>0.0</c:formatCode>
                <c:ptCount val="10"/>
                <c:pt idx="0">
                  <c:v>18.026957145990401</c:v>
                </c:pt>
                <c:pt idx="1">
                  <c:v>23.3578439517098</c:v>
                </c:pt>
                <c:pt idx="2">
                  <c:v>24.542902156326701</c:v>
                </c:pt>
                <c:pt idx="3">
                  <c:v>27.469658845595099</c:v>
                </c:pt>
                <c:pt idx="4">
                  <c:v>33.218839515595199</c:v>
                </c:pt>
                <c:pt idx="5">
                  <c:v>31.7937605176486</c:v>
                </c:pt>
                <c:pt idx="6">
                  <c:v>30.272525876177799</c:v>
                </c:pt>
                <c:pt idx="7">
                  <c:v>20.013974613699801</c:v>
                </c:pt>
                <c:pt idx="8">
                  <c:v>22.026800919296701</c:v>
                </c:pt>
                <c:pt idx="9">
                  <c:v>16.069093561460601</c:v>
                </c:pt>
              </c:numCache>
            </c:numRef>
          </c:val>
          <c:smooth val="0"/>
          <c:extLst>
            <c:ext xmlns:c16="http://schemas.microsoft.com/office/drawing/2014/chart" uri="{C3380CC4-5D6E-409C-BE32-E72D297353CC}">
              <c16:uniqueId val="{00000000-FDE3-4E2D-AFE2-B10D0C33ECA1}"/>
            </c:ext>
          </c:extLst>
        </c:ser>
        <c:ser>
          <c:idx val="4"/>
          <c:order val="1"/>
          <c:tx>
            <c:strRef>
              <c:f>Deprivation!$N$94</c:f>
              <c:strCache>
                <c:ptCount val="1"/>
                <c:pt idx="0">
                  <c:v>4</c:v>
                </c:pt>
              </c:strCache>
            </c:strRef>
          </c:tx>
          <c:spPr>
            <a:ln w="22225" cap="rnd">
              <a:solidFill>
                <a:schemeClr val="bg1">
                  <a:lumMod val="75000"/>
                </a:schemeClr>
              </a:solidFill>
              <a:prstDash val="solid"/>
              <a:round/>
            </a:ln>
            <a:effectLst/>
          </c:spPr>
          <c:marker>
            <c:symbol val="none"/>
          </c:marker>
          <c:cat>
            <c:numRef>
              <c:f>Deprivation!$P$65:$Y$65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Deprivation!$P$94:$Y$94</c:f>
              <c:numCache>
                <c:formatCode>0.0</c:formatCode>
                <c:ptCount val="10"/>
                <c:pt idx="0">
                  <c:v>15.5687798971916</c:v>
                </c:pt>
                <c:pt idx="1">
                  <c:v>18.676491685595298</c:v>
                </c:pt>
                <c:pt idx="2">
                  <c:v>22.421879796150002</c:v>
                </c:pt>
                <c:pt idx="3">
                  <c:v>19.059862588335498</c:v>
                </c:pt>
                <c:pt idx="4">
                  <c:v>16.622611796462301</c:v>
                </c:pt>
                <c:pt idx="5">
                  <c:v>29.369879840171301</c:v>
                </c:pt>
                <c:pt idx="6">
                  <c:v>19.448647880211901</c:v>
                </c:pt>
                <c:pt idx="7">
                  <c:v>11.001748481031401</c:v>
                </c:pt>
                <c:pt idx="8">
                  <c:v>19.2942432646615</c:v>
                </c:pt>
                <c:pt idx="9">
                  <c:v>30.1635655844998</c:v>
                </c:pt>
              </c:numCache>
            </c:numRef>
          </c:val>
          <c:smooth val="0"/>
          <c:extLst>
            <c:ext xmlns:c16="http://schemas.microsoft.com/office/drawing/2014/chart" uri="{C3380CC4-5D6E-409C-BE32-E72D297353CC}">
              <c16:uniqueId val="{00000001-FDE3-4E2D-AFE2-B10D0C33ECA1}"/>
            </c:ext>
          </c:extLst>
        </c:ser>
        <c:ser>
          <c:idx val="2"/>
          <c:order val="2"/>
          <c:tx>
            <c:strRef>
              <c:f>Deprivation!$N$93</c:f>
              <c:strCache>
                <c:ptCount val="1"/>
                <c:pt idx="0">
                  <c:v>3</c:v>
                </c:pt>
              </c:strCache>
            </c:strRef>
          </c:tx>
          <c:spPr>
            <a:ln w="22225" cap="rnd">
              <a:solidFill>
                <a:schemeClr val="accent1">
                  <a:lumMod val="60000"/>
                  <a:lumOff val="40000"/>
                </a:schemeClr>
              </a:solidFill>
              <a:round/>
            </a:ln>
            <a:effectLst/>
          </c:spPr>
          <c:marker>
            <c:symbol val="none"/>
          </c:marker>
          <c:cat>
            <c:numRef>
              <c:f>Deprivation!$P$65:$Y$65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Deprivation!$P$93:$Y$93</c:f>
              <c:numCache>
                <c:formatCode>0.0</c:formatCode>
                <c:ptCount val="10"/>
                <c:pt idx="0">
                  <c:v>17.939118145817702</c:v>
                </c:pt>
                <c:pt idx="1">
                  <c:v>17.077779442394402</c:v>
                </c:pt>
                <c:pt idx="2">
                  <c:v>18.6698371957295</c:v>
                </c:pt>
                <c:pt idx="3">
                  <c:v>16.283162914851601</c:v>
                </c:pt>
                <c:pt idx="4">
                  <c:v>21.241494334554901</c:v>
                </c:pt>
                <c:pt idx="5">
                  <c:v>25.4102857361258</c:v>
                </c:pt>
                <c:pt idx="6">
                  <c:v>14.305039354457501</c:v>
                </c:pt>
                <c:pt idx="7">
                  <c:v>14.856473338669799</c:v>
                </c:pt>
                <c:pt idx="8">
                  <c:v>11.2618063840156</c:v>
                </c:pt>
                <c:pt idx="9">
                  <c:v>11.847932712490501</c:v>
                </c:pt>
              </c:numCache>
            </c:numRef>
          </c:val>
          <c:smooth val="0"/>
          <c:extLst>
            <c:ext xmlns:c16="http://schemas.microsoft.com/office/drawing/2014/chart" uri="{C3380CC4-5D6E-409C-BE32-E72D297353CC}">
              <c16:uniqueId val="{00000002-FDE3-4E2D-AFE2-B10D0C33ECA1}"/>
            </c:ext>
          </c:extLst>
        </c:ser>
        <c:ser>
          <c:idx val="0"/>
          <c:order val="3"/>
          <c:tx>
            <c:strRef>
              <c:f>Deprivation!$N$92</c:f>
              <c:strCache>
                <c:ptCount val="1"/>
                <c:pt idx="0">
                  <c:v>2</c:v>
                </c:pt>
              </c:strCache>
            </c:strRef>
          </c:tx>
          <c:spPr>
            <a:ln w="22225" cap="rnd">
              <a:solidFill>
                <a:srgbClr val="4BACC6"/>
              </a:solidFill>
              <a:prstDash val="solid"/>
              <a:round/>
            </a:ln>
            <a:effectLst/>
          </c:spPr>
          <c:marker>
            <c:symbol val="none"/>
          </c:marker>
          <c:cat>
            <c:numRef>
              <c:f>Deprivation!$P$65:$Y$65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Deprivation!$P$92:$Y$92</c:f>
              <c:numCache>
                <c:formatCode>0.0</c:formatCode>
                <c:ptCount val="10"/>
                <c:pt idx="0">
                  <c:v>10.156028828145599</c:v>
                </c:pt>
                <c:pt idx="1">
                  <c:v>16.609489598435299</c:v>
                </c:pt>
                <c:pt idx="2">
                  <c:v>11.0101774329999</c:v>
                </c:pt>
                <c:pt idx="3">
                  <c:v>11.7754172294279</c:v>
                </c:pt>
                <c:pt idx="4">
                  <c:v>17.0852915043818</c:v>
                </c:pt>
                <c:pt idx="5">
                  <c:v>14.3523465558831</c:v>
                </c:pt>
                <c:pt idx="6">
                  <c:v>9.8086002178118505</c:v>
                </c:pt>
                <c:pt idx="7">
                  <c:v>10.508134071104299</c:v>
                </c:pt>
                <c:pt idx="8">
                  <c:v>12.816836929314</c:v>
                </c:pt>
                <c:pt idx="9">
                  <c:v>9.2381248361934691</c:v>
                </c:pt>
              </c:numCache>
            </c:numRef>
          </c:val>
          <c:smooth val="0"/>
          <c:extLst>
            <c:ext xmlns:c16="http://schemas.microsoft.com/office/drawing/2014/chart" uri="{C3380CC4-5D6E-409C-BE32-E72D297353CC}">
              <c16:uniqueId val="{00000003-FDE3-4E2D-AFE2-B10D0C33ECA1}"/>
            </c:ext>
          </c:extLst>
        </c:ser>
        <c:ser>
          <c:idx val="1"/>
          <c:order val="4"/>
          <c:tx>
            <c:strRef>
              <c:f>Deprivation!$N$91</c:f>
              <c:strCache>
                <c:ptCount val="1"/>
                <c:pt idx="0">
                  <c:v>1</c:v>
                </c:pt>
              </c:strCache>
            </c:strRef>
          </c:tx>
          <c:spPr>
            <a:ln w="22225" cap="rnd">
              <a:solidFill>
                <a:schemeClr val="accent1"/>
              </a:solidFill>
              <a:prstDash val="solid"/>
              <a:round/>
            </a:ln>
            <a:effectLst/>
          </c:spPr>
          <c:marker>
            <c:symbol val="none"/>
          </c:marker>
          <c:cat>
            <c:numRef>
              <c:f>Deprivation!$P$65:$Y$65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Deprivation!$P$91:$Y$91</c:f>
              <c:numCache>
                <c:formatCode>0.0</c:formatCode>
                <c:ptCount val="10"/>
                <c:pt idx="0">
                  <c:v>11.780941947049399</c:v>
                </c:pt>
                <c:pt idx="1">
                  <c:v>17.6573444097845</c:v>
                </c:pt>
                <c:pt idx="2">
                  <c:v>15.6176130791048</c:v>
                </c:pt>
                <c:pt idx="3">
                  <c:v>10.0563462654691</c:v>
                </c:pt>
                <c:pt idx="4">
                  <c:v>9.9989165622484499</c:v>
                </c:pt>
                <c:pt idx="5">
                  <c:v>9.9822790655776394</c:v>
                </c:pt>
                <c:pt idx="6">
                  <c:v>7.2217854410360403</c:v>
                </c:pt>
                <c:pt idx="7">
                  <c:v>9.7656237803958401</c:v>
                </c:pt>
                <c:pt idx="8">
                  <c:v>15.6144781512393</c:v>
                </c:pt>
                <c:pt idx="9">
                  <c:v>13.658011362969001</c:v>
                </c:pt>
              </c:numCache>
            </c:numRef>
          </c:val>
          <c:smooth val="0"/>
          <c:extLst>
            <c:ext xmlns:c16="http://schemas.microsoft.com/office/drawing/2014/chart" uri="{C3380CC4-5D6E-409C-BE32-E72D297353CC}">
              <c16:uniqueId val="{00000004-FDE3-4E2D-AFE2-B10D0C33ECA1}"/>
            </c:ext>
          </c:extLst>
        </c:ser>
        <c:dLbls>
          <c:showLegendKey val="0"/>
          <c:showVal val="0"/>
          <c:showCatName val="0"/>
          <c:showSerName val="0"/>
          <c:showPercent val="0"/>
          <c:showBubbleSize val="0"/>
        </c:dLbls>
        <c:smooth val="0"/>
        <c:axId val="452700920"/>
        <c:axId val="452701312"/>
      </c:lineChart>
      <c:catAx>
        <c:axId val="45270092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2701312"/>
        <c:crosses val="autoZero"/>
        <c:auto val="1"/>
        <c:lblAlgn val="ctr"/>
        <c:lblOffset val="100"/>
        <c:tickLblSkip val="3"/>
        <c:noMultiLvlLbl val="0"/>
      </c:catAx>
      <c:valAx>
        <c:axId val="452701312"/>
        <c:scaling>
          <c:orientation val="minMax"/>
          <c:max val="4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2700920"/>
        <c:crosses val="autoZero"/>
        <c:crossBetween val="between"/>
        <c:majorUnit val="5"/>
      </c:valAx>
      <c:spPr>
        <a:noFill/>
        <a:ln>
          <a:noFill/>
        </a:ln>
        <a:effectLst/>
      </c:spPr>
    </c:plotArea>
    <c:legend>
      <c:legendPos val="r"/>
      <c:layout>
        <c:manualLayout>
          <c:xMode val="edge"/>
          <c:yMode val="edge"/>
          <c:x val="0.83576288616572914"/>
          <c:y val="1.0984251968503939E-2"/>
          <c:w val="0.14186575706256688"/>
          <c:h val="0.302062691131498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467419042290422E-2"/>
          <c:y val="0.17660833333333334"/>
          <c:w val="0.8657183026584867"/>
          <c:h val="0.68940651833578448"/>
        </c:manualLayout>
      </c:layout>
      <c:lineChart>
        <c:grouping val="standard"/>
        <c:varyColors val="0"/>
        <c:ser>
          <c:idx val="3"/>
          <c:order val="0"/>
          <c:tx>
            <c:strRef>
              <c:f>Deprivation!$N$101</c:f>
              <c:strCache>
                <c:ptCount val="1"/>
                <c:pt idx="0">
                  <c:v>5</c:v>
                </c:pt>
              </c:strCache>
            </c:strRef>
          </c:tx>
          <c:spPr>
            <a:ln w="22225" cap="rnd">
              <a:solidFill>
                <a:schemeClr val="bg1">
                  <a:lumMod val="50000"/>
                </a:schemeClr>
              </a:solidFill>
              <a:round/>
            </a:ln>
            <a:effectLst/>
          </c:spPr>
          <c:marker>
            <c:symbol val="none"/>
          </c:marker>
          <c:cat>
            <c:numRef>
              <c:f>Deprivation!$P$65:$Y$65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Deprivation!$P$101:$Y$101</c:f>
              <c:numCache>
                <c:formatCode>0.0</c:formatCode>
                <c:ptCount val="10"/>
                <c:pt idx="0">
                  <c:v>25.915722478530501</c:v>
                </c:pt>
                <c:pt idx="1">
                  <c:v>22.912910444206499</c:v>
                </c:pt>
                <c:pt idx="2">
                  <c:v>22.980220853362599</c:v>
                </c:pt>
                <c:pt idx="3">
                  <c:v>20.571696514574999</c:v>
                </c:pt>
                <c:pt idx="4">
                  <c:v>23.413397538986899</c:v>
                </c:pt>
                <c:pt idx="5">
                  <c:v>19.967310634898599</c:v>
                </c:pt>
                <c:pt idx="6">
                  <c:v>20.9127707375795</c:v>
                </c:pt>
                <c:pt idx="7">
                  <c:v>25.9834222562009</c:v>
                </c:pt>
                <c:pt idx="8">
                  <c:v>23.1272051079739</c:v>
                </c:pt>
                <c:pt idx="9">
                  <c:v>27.428910728142899</c:v>
                </c:pt>
              </c:numCache>
            </c:numRef>
          </c:val>
          <c:smooth val="0"/>
          <c:extLst>
            <c:ext xmlns:c16="http://schemas.microsoft.com/office/drawing/2014/chart" uri="{C3380CC4-5D6E-409C-BE32-E72D297353CC}">
              <c16:uniqueId val="{00000000-DC3B-4A25-A017-39D22B931FAA}"/>
            </c:ext>
          </c:extLst>
        </c:ser>
        <c:ser>
          <c:idx val="4"/>
          <c:order val="1"/>
          <c:tx>
            <c:strRef>
              <c:f>Deprivation!$N$100</c:f>
              <c:strCache>
                <c:ptCount val="1"/>
                <c:pt idx="0">
                  <c:v>4</c:v>
                </c:pt>
              </c:strCache>
            </c:strRef>
          </c:tx>
          <c:spPr>
            <a:ln w="22225" cap="rnd">
              <a:solidFill>
                <a:schemeClr val="bg1">
                  <a:lumMod val="75000"/>
                </a:schemeClr>
              </a:solidFill>
              <a:prstDash val="solid"/>
              <a:round/>
            </a:ln>
            <a:effectLst/>
          </c:spPr>
          <c:marker>
            <c:symbol val="none"/>
          </c:marker>
          <c:cat>
            <c:numRef>
              <c:f>Deprivation!$P$65:$Y$65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Deprivation!$P$100:$Y$100</c:f>
              <c:numCache>
                <c:formatCode>0.0</c:formatCode>
                <c:ptCount val="10"/>
                <c:pt idx="0">
                  <c:v>18.059075582843999</c:v>
                </c:pt>
                <c:pt idx="1">
                  <c:v>16.895748974619899</c:v>
                </c:pt>
                <c:pt idx="2">
                  <c:v>17.372435993773699</c:v>
                </c:pt>
                <c:pt idx="3">
                  <c:v>17.297876759946501</c:v>
                </c:pt>
                <c:pt idx="4">
                  <c:v>14.017735082138</c:v>
                </c:pt>
                <c:pt idx="5">
                  <c:v>20.550488387618401</c:v>
                </c:pt>
                <c:pt idx="6">
                  <c:v>13.727006596395499</c:v>
                </c:pt>
                <c:pt idx="7">
                  <c:v>19.877099220504601</c:v>
                </c:pt>
                <c:pt idx="8">
                  <c:v>15.66469047484</c:v>
                </c:pt>
                <c:pt idx="9">
                  <c:v>23.539152912239</c:v>
                </c:pt>
              </c:numCache>
            </c:numRef>
          </c:val>
          <c:smooth val="0"/>
          <c:extLst>
            <c:ext xmlns:c16="http://schemas.microsoft.com/office/drawing/2014/chart" uri="{C3380CC4-5D6E-409C-BE32-E72D297353CC}">
              <c16:uniqueId val="{00000001-DC3B-4A25-A017-39D22B931FAA}"/>
            </c:ext>
          </c:extLst>
        </c:ser>
        <c:ser>
          <c:idx val="2"/>
          <c:order val="2"/>
          <c:tx>
            <c:strRef>
              <c:f>Deprivation!$N$99</c:f>
              <c:strCache>
                <c:ptCount val="1"/>
                <c:pt idx="0">
                  <c:v>3</c:v>
                </c:pt>
              </c:strCache>
            </c:strRef>
          </c:tx>
          <c:spPr>
            <a:ln w="22225" cap="rnd">
              <a:solidFill>
                <a:schemeClr val="accent1">
                  <a:lumMod val="60000"/>
                  <a:lumOff val="40000"/>
                </a:schemeClr>
              </a:solidFill>
              <a:round/>
            </a:ln>
            <a:effectLst/>
          </c:spPr>
          <c:marker>
            <c:symbol val="none"/>
          </c:marker>
          <c:cat>
            <c:numRef>
              <c:f>Deprivation!$P$65:$Y$65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Deprivation!$P$99:$Y$99</c:f>
              <c:numCache>
                <c:formatCode>0.0</c:formatCode>
                <c:ptCount val="10"/>
                <c:pt idx="0">
                  <c:v>17.7327187488089</c:v>
                </c:pt>
                <c:pt idx="1">
                  <c:v>13.693937194311401</c:v>
                </c:pt>
                <c:pt idx="2">
                  <c:v>12.9099007011847</c:v>
                </c:pt>
                <c:pt idx="3">
                  <c:v>15.275189025334999</c:v>
                </c:pt>
                <c:pt idx="4">
                  <c:v>11.2250458390719</c:v>
                </c:pt>
                <c:pt idx="5">
                  <c:v>15.9266886219936</c:v>
                </c:pt>
                <c:pt idx="6">
                  <c:v>12.6051108228083</c:v>
                </c:pt>
                <c:pt idx="7">
                  <c:v>14.1023989403629</c:v>
                </c:pt>
                <c:pt idx="8">
                  <c:v>12.1494704103147</c:v>
                </c:pt>
                <c:pt idx="9">
                  <c:v>14.923692686015301</c:v>
                </c:pt>
              </c:numCache>
            </c:numRef>
          </c:val>
          <c:smooth val="0"/>
          <c:extLst>
            <c:ext xmlns:c16="http://schemas.microsoft.com/office/drawing/2014/chart" uri="{C3380CC4-5D6E-409C-BE32-E72D297353CC}">
              <c16:uniqueId val="{00000002-DC3B-4A25-A017-39D22B931FAA}"/>
            </c:ext>
          </c:extLst>
        </c:ser>
        <c:ser>
          <c:idx val="0"/>
          <c:order val="3"/>
          <c:tx>
            <c:strRef>
              <c:f>Deprivation!$N$98</c:f>
              <c:strCache>
                <c:ptCount val="1"/>
                <c:pt idx="0">
                  <c:v>2</c:v>
                </c:pt>
              </c:strCache>
            </c:strRef>
          </c:tx>
          <c:spPr>
            <a:ln w="22225" cap="rnd">
              <a:solidFill>
                <a:srgbClr val="4BACC6"/>
              </a:solidFill>
              <a:prstDash val="solid"/>
              <a:round/>
            </a:ln>
            <a:effectLst/>
          </c:spPr>
          <c:marker>
            <c:symbol val="none"/>
          </c:marker>
          <c:cat>
            <c:numRef>
              <c:f>Deprivation!$P$65:$Y$65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Deprivation!$P$98:$Y$98</c:f>
              <c:numCache>
                <c:formatCode>0.0</c:formatCode>
                <c:ptCount val="10"/>
                <c:pt idx="0">
                  <c:v>12.7894311448789</c:v>
                </c:pt>
                <c:pt idx="1">
                  <c:v>10.8004022216293</c:v>
                </c:pt>
                <c:pt idx="2">
                  <c:v>12.930916649572801</c:v>
                </c:pt>
                <c:pt idx="3">
                  <c:v>13.8633531553544</c:v>
                </c:pt>
                <c:pt idx="4">
                  <c:v>10.153947571105199</c:v>
                </c:pt>
                <c:pt idx="5">
                  <c:v>11.517774124728399</c:v>
                </c:pt>
                <c:pt idx="6">
                  <c:v>11.1265212735501</c:v>
                </c:pt>
                <c:pt idx="7">
                  <c:v>10.580746570703401</c:v>
                </c:pt>
                <c:pt idx="8">
                  <c:v>12.014280318837001</c:v>
                </c:pt>
                <c:pt idx="9">
                  <c:v>8.8656129027003008</c:v>
                </c:pt>
              </c:numCache>
            </c:numRef>
          </c:val>
          <c:smooth val="0"/>
          <c:extLst>
            <c:ext xmlns:c16="http://schemas.microsoft.com/office/drawing/2014/chart" uri="{C3380CC4-5D6E-409C-BE32-E72D297353CC}">
              <c16:uniqueId val="{00000003-DC3B-4A25-A017-39D22B931FAA}"/>
            </c:ext>
          </c:extLst>
        </c:ser>
        <c:ser>
          <c:idx val="1"/>
          <c:order val="4"/>
          <c:tx>
            <c:strRef>
              <c:f>Deprivation!$N$97</c:f>
              <c:strCache>
                <c:ptCount val="1"/>
                <c:pt idx="0">
                  <c:v>1</c:v>
                </c:pt>
              </c:strCache>
            </c:strRef>
          </c:tx>
          <c:spPr>
            <a:ln w="22225" cap="rnd">
              <a:solidFill>
                <a:schemeClr val="accent1"/>
              </a:solidFill>
              <a:prstDash val="solid"/>
              <a:round/>
            </a:ln>
            <a:effectLst/>
          </c:spPr>
          <c:marker>
            <c:symbol val="none"/>
          </c:marker>
          <c:cat>
            <c:numRef>
              <c:f>Deprivation!$P$65:$Y$65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Deprivation!$P$97:$Y$97</c:f>
              <c:numCache>
                <c:formatCode>0.0</c:formatCode>
                <c:ptCount val="10"/>
                <c:pt idx="0">
                  <c:v>12.149812140638801</c:v>
                </c:pt>
                <c:pt idx="1">
                  <c:v>10.4945048331157</c:v>
                </c:pt>
                <c:pt idx="2">
                  <c:v>8.3495916612372696</c:v>
                </c:pt>
                <c:pt idx="3">
                  <c:v>15.8243637928763</c:v>
                </c:pt>
                <c:pt idx="4">
                  <c:v>11.3851673282244</c:v>
                </c:pt>
                <c:pt idx="5">
                  <c:v>8.7270022479196694</c:v>
                </c:pt>
                <c:pt idx="6">
                  <c:v>7.8428840678284901</c:v>
                </c:pt>
                <c:pt idx="7">
                  <c:v>9.1534807636980595</c:v>
                </c:pt>
                <c:pt idx="8">
                  <c:v>9.4477166720078092</c:v>
                </c:pt>
                <c:pt idx="9">
                  <c:v>6.5980302502600097</c:v>
                </c:pt>
              </c:numCache>
            </c:numRef>
          </c:val>
          <c:smooth val="0"/>
          <c:extLst>
            <c:ext xmlns:c16="http://schemas.microsoft.com/office/drawing/2014/chart" uri="{C3380CC4-5D6E-409C-BE32-E72D297353CC}">
              <c16:uniqueId val="{00000004-DC3B-4A25-A017-39D22B931FAA}"/>
            </c:ext>
          </c:extLst>
        </c:ser>
        <c:dLbls>
          <c:showLegendKey val="0"/>
          <c:showVal val="0"/>
          <c:showCatName val="0"/>
          <c:showSerName val="0"/>
          <c:showPercent val="0"/>
          <c:showBubbleSize val="0"/>
        </c:dLbls>
        <c:smooth val="0"/>
        <c:axId val="452699352"/>
        <c:axId val="452701704"/>
      </c:lineChart>
      <c:catAx>
        <c:axId val="452699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2701704"/>
        <c:crosses val="autoZero"/>
        <c:auto val="1"/>
        <c:lblAlgn val="ctr"/>
        <c:lblOffset val="100"/>
        <c:tickLblSkip val="3"/>
        <c:noMultiLvlLbl val="0"/>
      </c:catAx>
      <c:valAx>
        <c:axId val="452701704"/>
        <c:scaling>
          <c:orientation val="minMax"/>
          <c:max val="4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2699352"/>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467419042290422E-2"/>
          <c:y val="0.17660833333333334"/>
          <c:w val="0.8657183026584867"/>
          <c:h val="0.68940651833578448"/>
        </c:manualLayout>
      </c:layout>
      <c:lineChart>
        <c:grouping val="standard"/>
        <c:varyColors val="0"/>
        <c:ser>
          <c:idx val="3"/>
          <c:order val="0"/>
          <c:tx>
            <c:strRef>
              <c:f>Deprivation!$N$107</c:f>
              <c:strCache>
                <c:ptCount val="1"/>
                <c:pt idx="0">
                  <c:v>5</c:v>
                </c:pt>
              </c:strCache>
            </c:strRef>
          </c:tx>
          <c:spPr>
            <a:ln w="22225" cap="rnd">
              <a:solidFill>
                <a:schemeClr val="bg1">
                  <a:lumMod val="50000"/>
                </a:schemeClr>
              </a:solidFill>
              <a:round/>
            </a:ln>
            <a:effectLst/>
          </c:spPr>
          <c:marker>
            <c:symbol val="none"/>
          </c:marker>
          <c:cat>
            <c:numRef>
              <c:f>Deprivation!$P$65:$Y$65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Deprivation!$P$107:$Y$107</c:f>
              <c:numCache>
                <c:formatCode>0.0</c:formatCode>
                <c:ptCount val="10"/>
                <c:pt idx="0">
                  <c:v>16.499475182030999</c:v>
                </c:pt>
                <c:pt idx="1">
                  <c:v>12.475582038755901</c:v>
                </c:pt>
                <c:pt idx="2">
                  <c:v>16.8337113337709</c:v>
                </c:pt>
                <c:pt idx="3">
                  <c:v>17.1580379944476</c:v>
                </c:pt>
                <c:pt idx="4">
                  <c:v>13.6235726323133</c:v>
                </c:pt>
                <c:pt idx="5">
                  <c:v>15.6695562381692</c:v>
                </c:pt>
                <c:pt idx="6">
                  <c:v>19.793319766457898</c:v>
                </c:pt>
                <c:pt idx="7">
                  <c:v>20.064911214163399</c:v>
                </c:pt>
                <c:pt idx="8">
                  <c:v>19.275225052220598</c:v>
                </c:pt>
                <c:pt idx="9">
                  <c:v>22.556988756146399</c:v>
                </c:pt>
              </c:numCache>
            </c:numRef>
          </c:val>
          <c:smooth val="0"/>
          <c:extLst>
            <c:ext xmlns:c16="http://schemas.microsoft.com/office/drawing/2014/chart" uri="{C3380CC4-5D6E-409C-BE32-E72D297353CC}">
              <c16:uniqueId val="{00000000-9900-419C-AC17-68C563CF328C}"/>
            </c:ext>
          </c:extLst>
        </c:ser>
        <c:ser>
          <c:idx val="4"/>
          <c:order val="1"/>
          <c:tx>
            <c:strRef>
              <c:f>Deprivation!$N$106</c:f>
              <c:strCache>
                <c:ptCount val="1"/>
                <c:pt idx="0">
                  <c:v>4</c:v>
                </c:pt>
              </c:strCache>
            </c:strRef>
          </c:tx>
          <c:spPr>
            <a:ln w="22225" cap="rnd">
              <a:solidFill>
                <a:schemeClr val="bg1">
                  <a:lumMod val="75000"/>
                </a:schemeClr>
              </a:solidFill>
              <a:prstDash val="solid"/>
              <a:round/>
            </a:ln>
            <a:effectLst/>
          </c:spPr>
          <c:marker>
            <c:symbol val="none"/>
          </c:marker>
          <c:cat>
            <c:numRef>
              <c:f>Deprivation!$P$65:$Y$65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Deprivation!$P$106:$Y$106</c:f>
              <c:numCache>
                <c:formatCode>0.0</c:formatCode>
                <c:ptCount val="10"/>
                <c:pt idx="0">
                  <c:v>16.8574199864481</c:v>
                </c:pt>
                <c:pt idx="1">
                  <c:v>15.3289440096198</c:v>
                </c:pt>
                <c:pt idx="2">
                  <c:v>22.720631399735002</c:v>
                </c:pt>
                <c:pt idx="3">
                  <c:v>16.7969263326627</c:v>
                </c:pt>
                <c:pt idx="4">
                  <c:v>13.0256196799048</c:v>
                </c:pt>
                <c:pt idx="5">
                  <c:v>18.376466860299701</c:v>
                </c:pt>
                <c:pt idx="6">
                  <c:v>17.207570453768401</c:v>
                </c:pt>
                <c:pt idx="7">
                  <c:v>19.406573028414101</c:v>
                </c:pt>
                <c:pt idx="8">
                  <c:v>17.7067769755526</c:v>
                </c:pt>
                <c:pt idx="9">
                  <c:v>18.8329799944777</c:v>
                </c:pt>
              </c:numCache>
            </c:numRef>
          </c:val>
          <c:smooth val="0"/>
          <c:extLst>
            <c:ext xmlns:c16="http://schemas.microsoft.com/office/drawing/2014/chart" uri="{C3380CC4-5D6E-409C-BE32-E72D297353CC}">
              <c16:uniqueId val="{00000001-9900-419C-AC17-68C563CF328C}"/>
            </c:ext>
          </c:extLst>
        </c:ser>
        <c:ser>
          <c:idx val="2"/>
          <c:order val="2"/>
          <c:tx>
            <c:strRef>
              <c:f>Deprivation!$N$99</c:f>
              <c:strCache>
                <c:ptCount val="1"/>
                <c:pt idx="0">
                  <c:v>3</c:v>
                </c:pt>
              </c:strCache>
            </c:strRef>
          </c:tx>
          <c:spPr>
            <a:ln w="22225" cap="rnd">
              <a:solidFill>
                <a:schemeClr val="accent1">
                  <a:lumMod val="60000"/>
                  <a:lumOff val="40000"/>
                </a:schemeClr>
              </a:solidFill>
              <a:round/>
            </a:ln>
            <a:effectLst/>
          </c:spPr>
          <c:marker>
            <c:symbol val="none"/>
          </c:marker>
          <c:cat>
            <c:numRef>
              <c:f>Deprivation!$P$65:$Y$65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Deprivation!$P$105:$X$105</c:f>
              <c:numCache>
                <c:formatCode>0.0</c:formatCode>
                <c:ptCount val="9"/>
                <c:pt idx="0">
                  <c:v>16.898953744977302</c:v>
                </c:pt>
                <c:pt idx="1">
                  <c:v>18.360229324573801</c:v>
                </c:pt>
                <c:pt idx="2">
                  <c:v>11.3287242061726</c:v>
                </c:pt>
                <c:pt idx="3">
                  <c:v>12.4815703580578</c:v>
                </c:pt>
                <c:pt idx="4">
                  <c:v>16.8368978272429</c:v>
                </c:pt>
                <c:pt idx="5">
                  <c:v>14.4370924253983</c:v>
                </c:pt>
                <c:pt idx="6">
                  <c:v>11.612468791183399</c:v>
                </c:pt>
                <c:pt idx="7">
                  <c:v>12.7827877561602</c:v>
                </c:pt>
                <c:pt idx="8">
                  <c:v>14.3491558498981</c:v>
                </c:pt>
              </c:numCache>
            </c:numRef>
          </c:val>
          <c:smooth val="0"/>
          <c:extLst>
            <c:ext xmlns:c16="http://schemas.microsoft.com/office/drawing/2014/chart" uri="{C3380CC4-5D6E-409C-BE32-E72D297353CC}">
              <c16:uniqueId val="{00000002-9900-419C-AC17-68C563CF328C}"/>
            </c:ext>
          </c:extLst>
        </c:ser>
        <c:ser>
          <c:idx val="0"/>
          <c:order val="3"/>
          <c:tx>
            <c:strRef>
              <c:f>Deprivation!$N$104</c:f>
              <c:strCache>
                <c:ptCount val="1"/>
                <c:pt idx="0">
                  <c:v>2</c:v>
                </c:pt>
              </c:strCache>
            </c:strRef>
          </c:tx>
          <c:spPr>
            <a:ln w="22225" cap="rnd">
              <a:solidFill>
                <a:srgbClr val="4BACC6"/>
              </a:solidFill>
              <a:prstDash val="solid"/>
              <a:round/>
            </a:ln>
            <a:effectLst/>
          </c:spPr>
          <c:marker>
            <c:symbol val="none"/>
          </c:marker>
          <c:cat>
            <c:numRef>
              <c:f>Deprivation!$P$65:$Y$65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Deprivation!$P$104:$Y$104</c:f>
              <c:numCache>
                <c:formatCode>0.0</c:formatCode>
                <c:ptCount val="10"/>
                <c:pt idx="0">
                  <c:v>9.8596506814562996</c:v>
                </c:pt>
                <c:pt idx="1">
                  <c:v>12.6387700991577</c:v>
                </c:pt>
                <c:pt idx="2">
                  <c:v>14.479067118393999</c:v>
                </c:pt>
                <c:pt idx="3">
                  <c:v>12.971305078521601</c:v>
                </c:pt>
                <c:pt idx="4">
                  <c:v>9.8864789617812594</c:v>
                </c:pt>
                <c:pt idx="5">
                  <c:v>11.0276812039756</c:v>
                </c:pt>
                <c:pt idx="6">
                  <c:v>14.1523911696958</c:v>
                </c:pt>
                <c:pt idx="7">
                  <c:v>11.174325986053599</c:v>
                </c:pt>
                <c:pt idx="8">
                  <c:v>14.9607001533436</c:v>
                </c:pt>
                <c:pt idx="9">
                  <c:v>10.072154417831401</c:v>
                </c:pt>
              </c:numCache>
            </c:numRef>
          </c:val>
          <c:smooth val="0"/>
          <c:extLst>
            <c:ext xmlns:c16="http://schemas.microsoft.com/office/drawing/2014/chart" uri="{C3380CC4-5D6E-409C-BE32-E72D297353CC}">
              <c16:uniqueId val="{00000003-9900-419C-AC17-68C563CF328C}"/>
            </c:ext>
          </c:extLst>
        </c:ser>
        <c:ser>
          <c:idx val="1"/>
          <c:order val="4"/>
          <c:tx>
            <c:strRef>
              <c:f>Deprivation!$N$103</c:f>
              <c:strCache>
                <c:ptCount val="1"/>
                <c:pt idx="0">
                  <c:v>1</c:v>
                </c:pt>
              </c:strCache>
            </c:strRef>
          </c:tx>
          <c:spPr>
            <a:ln w="22225" cap="rnd">
              <a:solidFill>
                <a:schemeClr val="accent1"/>
              </a:solidFill>
              <a:prstDash val="solid"/>
              <a:round/>
            </a:ln>
            <a:effectLst/>
          </c:spPr>
          <c:marker>
            <c:symbol val="none"/>
          </c:marker>
          <c:cat>
            <c:numRef>
              <c:f>Deprivation!$P$65:$Y$65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Deprivation!$P$103:$Y$103</c:f>
              <c:numCache>
                <c:formatCode>0.0</c:formatCode>
                <c:ptCount val="10"/>
                <c:pt idx="0">
                  <c:v>7.9149757874847104</c:v>
                </c:pt>
                <c:pt idx="1">
                  <c:v>12.7042958120834</c:v>
                </c:pt>
                <c:pt idx="2">
                  <c:v>9.4056632822046495</c:v>
                </c:pt>
                <c:pt idx="3">
                  <c:v>12.328896914508899</c:v>
                </c:pt>
                <c:pt idx="4">
                  <c:v>11.771349410784699</c:v>
                </c:pt>
                <c:pt idx="5">
                  <c:v>6.2006799575216904</c:v>
                </c:pt>
                <c:pt idx="6">
                  <c:v>13.722666242449399</c:v>
                </c:pt>
                <c:pt idx="7">
                  <c:v>7.4853703338470501</c:v>
                </c:pt>
                <c:pt idx="8">
                  <c:v>8.4400846005149202</c:v>
                </c:pt>
                <c:pt idx="9">
                  <c:v>9.6898671304373192</c:v>
                </c:pt>
              </c:numCache>
            </c:numRef>
          </c:val>
          <c:smooth val="0"/>
          <c:extLst>
            <c:ext xmlns:c16="http://schemas.microsoft.com/office/drawing/2014/chart" uri="{C3380CC4-5D6E-409C-BE32-E72D297353CC}">
              <c16:uniqueId val="{00000004-9900-419C-AC17-68C563CF328C}"/>
            </c:ext>
          </c:extLst>
        </c:ser>
        <c:dLbls>
          <c:showLegendKey val="0"/>
          <c:showVal val="0"/>
          <c:showCatName val="0"/>
          <c:showSerName val="0"/>
          <c:showPercent val="0"/>
          <c:showBubbleSize val="0"/>
        </c:dLbls>
        <c:smooth val="0"/>
        <c:axId val="452702096"/>
        <c:axId val="452702880"/>
      </c:lineChart>
      <c:catAx>
        <c:axId val="4527020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2702880"/>
        <c:crosses val="autoZero"/>
        <c:auto val="1"/>
        <c:lblAlgn val="ctr"/>
        <c:lblOffset val="100"/>
        <c:tickLblSkip val="3"/>
        <c:noMultiLvlLbl val="0"/>
      </c:catAx>
      <c:valAx>
        <c:axId val="452702880"/>
        <c:scaling>
          <c:orientation val="minMax"/>
          <c:max val="4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2702096"/>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467419042290422E-2"/>
          <c:y val="0.17660833333333334"/>
          <c:w val="0.8657183026584867"/>
          <c:h val="0.68940651833578448"/>
        </c:manualLayout>
      </c:layout>
      <c:lineChart>
        <c:grouping val="standard"/>
        <c:varyColors val="0"/>
        <c:ser>
          <c:idx val="4"/>
          <c:order val="0"/>
          <c:tx>
            <c:strRef>
              <c:f>Deprivation!$N$112</c:f>
              <c:strCache>
                <c:ptCount val="1"/>
                <c:pt idx="0">
                  <c:v>4</c:v>
                </c:pt>
              </c:strCache>
            </c:strRef>
          </c:tx>
          <c:spPr>
            <a:ln w="22225" cap="rnd">
              <a:solidFill>
                <a:schemeClr val="bg1">
                  <a:lumMod val="75000"/>
                </a:schemeClr>
              </a:solidFill>
              <a:prstDash val="solid"/>
              <a:round/>
            </a:ln>
            <a:effectLst/>
          </c:spPr>
          <c:marker>
            <c:symbol val="none"/>
          </c:marker>
          <c:cat>
            <c:numRef>
              <c:f>Deprivation!$P$65:$Y$65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Deprivation!$P$112:$Y$112</c:f>
              <c:numCache>
                <c:formatCode>0.0</c:formatCode>
                <c:ptCount val="10"/>
                <c:pt idx="0">
                  <c:v>13.154865748729501</c:v>
                </c:pt>
                <c:pt idx="1">
                  <c:v>6.8855576901865101</c:v>
                </c:pt>
                <c:pt idx="2">
                  <c:v>10.9220681739436</c:v>
                </c:pt>
                <c:pt idx="3">
                  <c:v>12.741884980701499</c:v>
                </c:pt>
                <c:pt idx="4">
                  <c:v>6.60402821934386</c:v>
                </c:pt>
                <c:pt idx="5">
                  <c:v>7.9527013153643802</c:v>
                </c:pt>
                <c:pt idx="6">
                  <c:v>4.6041006591166402</c:v>
                </c:pt>
                <c:pt idx="7">
                  <c:v>12.5640601634059</c:v>
                </c:pt>
                <c:pt idx="8">
                  <c:v>11.4108332755892</c:v>
                </c:pt>
                <c:pt idx="9">
                  <c:v>7.5753523579375397</c:v>
                </c:pt>
              </c:numCache>
            </c:numRef>
          </c:val>
          <c:smooth val="0"/>
          <c:extLst>
            <c:ext xmlns:c16="http://schemas.microsoft.com/office/drawing/2014/chart" uri="{C3380CC4-5D6E-409C-BE32-E72D297353CC}">
              <c16:uniqueId val="{00000000-62D9-4B3D-A7F6-29876EF9DB83}"/>
            </c:ext>
          </c:extLst>
        </c:ser>
        <c:ser>
          <c:idx val="2"/>
          <c:order val="1"/>
          <c:tx>
            <c:strRef>
              <c:f>Deprivation!$N$111</c:f>
              <c:strCache>
                <c:ptCount val="1"/>
                <c:pt idx="0">
                  <c:v>3</c:v>
                </c:pt>
              </c:strCache>
            </c:strRef>
          </c:tx>
          <c:spPr>
            <a:ln w="22225" cap="rnd">
              <a:solidFill>
                <a:schemeClr val="accent1">
                  <a:lumMod val="60000"/>
                  <a:lumOff val="40000"/>
                </a:schemeClr>
              </a:solidFill>
              <a:round/>
            </a:ln>
            <a:effectLst/>
          </c:spPr>
          <c:marker>
            <c:symbol val="none"/>
          </c:marker>
          <c:cat>
            <c:numRef>
              <c:f>Deprivation!$P$65:$Y$65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Deprivation!$P$111:$Y$111</c:f>
              <c:numCache>
                <c:formatCode>0.0</c:formatCode>
                <c:ptCount val="10"/>
                <c:pt idx="0">
                  <c:v>6.1920360643504297</c:v>
                </c:pt>
                <c:pt idx="1">
                  <c:v>10.419338263835201</c:v>
                </c:pt>
                <c:pt idx="2">
                  <c:v>7.6258764907202803</c:v>
                </c:pt>
                <c:pt idx="3">
                  <c:v>12.031282125541701</c:v>
                </c:pt>
                <c:pt idx="4">
                  <c:v>10.853505567093</c:v>
                </c:pt>
                <c:pt idx="5">
                  <c:v>12.853786246412399</c:v>
                </c:pt>
                <c:pt idx="6">
                  <c:v>18.580178916540699</c:v>
                </c:pt>
                <c:pt idx="7">
                  <c:v>8.9425133850629308</c:v>
                </c:pt>
                <c:pt idx="8">
                  <c:v>7.9069198940264203</c:v>
                </c:pt>
                <c:pt idx="9">
                  <c:v>13.8824745112838</c:v>
                </c:pt>
              </c:numCache>
            </c:numRef>
          </c:val>
          <c:smooth val="0"/>
          <c:extLst>
            <c:ext xmlns:c16="http://schemas.microsoft.com/office/drawing/2014/chart" uri="{C3380CC4-5D6E-409C-BE32-E72D297353CC}">
              <c16:uniqueId val="{00000001-62D9-4B3D-A7F6-29876EF9DB83}"/>
            </c:ext>
          </c:extLst>
        </c:ser>
        <c:ser>
          <c:idx val="0"/>
          <c:order val="2"/>
          <c:tx>
            <c:strRef>
              <c:f>Deprivation!$N$110</c:f>
              <c:strCache>
                <c:ptCount val="1"/>
                <c:pt idx="0">
                  <c:v>2</c:v>
                </c:pt>
              </c:strCache>
            </c:strRef>
          </c:tx>
          <c:spPr>
            <a:ln w="22225" cap="rnd">
              <a:solidFill>
                <a:srgbClr val="4BACC6"/>
              </a:solidFill>
              <a:prstDash val="solid"/>
              <a:round/>
            </a:ln>
            <a:effectLst/>
          </c:spPr>
          <c:marker>
            <c:symbol val="none"/>
          </c:marker>
          <c:cat>
            <c:numRef>
              <c:f>Deprivation!$P$65:$Y$65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Deprivation!$P$110:$Y$110</c:f>
              <c:numCache>
                <c:formatCode>0.0</c:formatCode>
                <c:ptCount val="10"/>
                <c:pt idx="0">
                  <c:v>9.2347855074547596</c:v>
                </c:pt>
                <c:pt idx="1">
                  <c:v>10.879457234614501</c:v>
                </c:pt>
                <c:pt idx="2">
                  <c:v>7.9607469030300404</c:v>
                </c:pt>
                <c:pt idx="3">
                  <c:v>9.3563239638140008</c:v>
                </c:pt>
                <c:pt idx="4">
                  <c:v>6.6094495499466497</c:v>
                </c:pt>
                <c:pt idx="5">
                  <c:v>11.119693883237501</c:v>
                </c:pt>
                <c:pt idx="6">
                  <c:v>8.4105504861635794</c:v>
                </c:pt>
                <c:pt idx="7">
                  <c:v>5.1494834144112698</c:v>
                </c:pt>
                <c:pt idx="8">
                  <c:v>8.5119967639644702</c:v>
                </c:pt>
                <c:pt idx="9">
                  <c:v>7.5345797223612099</c:v>
                </c:pt>
              </c:numCache>
            </c:numRef>
          </c:val>
          <c:smooth val="0"/>
          <c:extLst>
            <c:ext xmlns:c16="http://schemas.microsoft.com/office/drawing/2014/chart" uri="{C3380CC4-5D6E-409C-BE32-E72D297353CC}">
              <c16:uniqueId val="{00000002-62D9-4B3D-A7F6-29876EF9DB83}"/>
            </c:ext>
          </c:extLst>
        </c:ser>
        <c:ser>
          <c:idx val="1"/>
          <c:order val="3"/>
          <c:tx>
            <c:strRef>
              <c:f>Deprivation!$N$109</c:f>
              <c:strCache>
                <c:ptCount val="1"/>
                <c:pt idx="0">
                  <c:v>1</c:v>
                </c:pt>
              </c:strCache>
            </c:strRef>
          </c:tx>
          <c:spPr>
            <a:ln w="22225" cap="rnd">
              <a:solidFill>
                <a:schemeClr val="accent1"/>
              </a:solidFill>
              <a:prstDash val="solid"/>
              <a:round/>
            </a:ln>
            <a:effectLst/>
          </c:spPr>
          <c:marker>
            <c:symbol val="none"/>
          </c:marker>
          <c:cat>
            <c:numRef>
              <c:f>Deprivation!$P$65:$Y$65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Deprivation!$P$109:$Y$109</c:f>
              <c:numCache>
                <c:formatCode>0.0</c:formatCode>
                <c:ptCount val="10"/>
                <c:pt idx="0">
                  <c:v>8.9156128849945198</c:v>
                </c:pt>
                <c:pt idx="1">
                  <c:v>7.7832339926645204</c:v>
                </c:pt>
                <c:pt idx="2">
                  <c:v>12.3359667452475</c:v>
                </c:pt>
                <c:pt idx="3">
                  <c:v>9.4553636332856392</c:v>
                </c:pt>
                <c:pt idx="4">
                  <c:v>5.8427897892515697</c:v>
                </c:pt>
                <c:pt idx="5">
                  <c:v>4.0076916080608296</c:v>
                </c:pt>
                <c:pt idx="6">
                  <c:v>6.9351193276698302</c:v>
                </c:pt>
                <c:pt idx="7">
                  <c:v>7.4094708277048502</c:v>
                </c:pt>
                <c:pt idx="8">
                  <c:v>12.85592725844</c:v>
                </c:pt>
                <c:pt idx="9">
                  <c:v>7.5871376066496099</c:v>
                </c:pt>
              </c:numCache>
            </c:numRef>
          </c:val>
          <c:smooth val="0"/>
          <c:extLst>
            <c:ext xmlns:c16="http://schemas.microsoft.com/office/drawing/2014/chart" uri="{C3380CC4-5D6E-409C-BE32-E72D297353CC}">
              <c16:uniqueId val="{00000003-62D9-4B3D-A7F6-29876EF9DB83}"/>
            </c:ext>
          </c:extLst>
        </c:ser>
        <c:dLbls>
          <c:showLegendKey val="0"/>
          <c:showVal val="0"/>
          <c:showCatName val="0"/>
          <c:showSerName val="0"/>
          <c:showPercent val="0"/>
          <c:showBubbleSize val="0"/>
        </c:dLbls>
        <c:smooth val="0"/>
        <c:axId val="452704840"/>
        <c:axId val="452697784"/>
      </c:lineChart>
      <c:catAx>
        <c:axId val="4527048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2697784"/>
        <c:crosses val="autoZero"/>
        <c:auto val="1"/>
        <c:lblAlgn val="ctr"/>
        <c:lblOffset val="100"/>
        <c:tickLblSkip val="3"/>
        <c:noMultiLvlLbl val="0"/>
      </c:catAx>
      <c:valAx>
        <c:axId val="452697784"/>
        <c:scaling>
          <c:orientation val="minMax"/>
          <c:max val="4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2704840"/>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NZ" sz="1000" b="1">
                <a:solidFill>
                  <a:sysClr val="windowText" lastClr="000000"/>
                </a:solidFill>
              </a:rPr>
              <a:t>Total population</a:t>
            </a:r>
          </a:p>
        </c:rich>
      </c:tx>
      <c:overlay val="0"/>
      <c:spPr>
        <a:noFill/>
        <a:ln>
          <a:noFill/>
        </a:ln>
        <a:effectLst/>
      </c:spPr>
      <c:txPr>
        <a:bodyPr rot="0" spcFirstLastPara="1" vertOverflow="ellipsis" vert="horz" wrap="square" anchor="ctr" anchorCtr="1"/>
        <a:lstStyle/>
        <a:p>
          <a:pPr>
            <a:defRPr sz="10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2467419042290422E-2"/>
          <c:y val="0.17660833333333334"/>
          <c:w val="0.8657183026584867"/>
          <c:h val="0.68940651833578448"/>
        </c:manualLayout>
      </c:layout>
      <c:lineChart>
        <c:grouping val="standard"/>
        <c:varyColors val="0"/>
        <c:ser>
          <c:idx val="3"/>
          <c:order val="0"/>
          <c:tx>
            <c:strRef>
              <c:f>Deprivation!$N$15</c:f>
              <c:strCache>
                <c:ptCount val="1"/>
                <c:pt idx="0">
                  <c:v>5</c:v>
                </c:pt>
              </c:strCache>
            </c:strRef>
          </c:tx>
          <c:spPr>
            <a:ln w="22225" cap="rnd">
              <a:solidFill>
                <a:schemeClr val="bg1">
                  <a:lumMod val="50000"/>
                </a:schemeClr>
              </a:solidFill>
              <a:round/>
            </a:ln>
            <a:effectLst/>
          </c:spPr>
          <c:marker>
            <c:symbol val="none"/>
          </c:marker>
          <c:cat>
            <c:numRef>
              <c:f>Deprivation!$P$9:$Y$9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Deprivation!$P$36:$Y$36</c:f>
              <c:numCache>
                <c:formatCode>0.0</c:formatCode>
                <c:ptCount val="10"/>
                <c:pt idx="0">
                  <c:v>14.712819146531</c:v>
                </c:pt>
                <c:pt idx="1">
                  <c:v>14.0640790028423</c:v>
                </c:pt>
                <c:pt idx="2">
                  <c:v>15.354556077231001</c:v>
                </c:pt>
                <c:pt idx="3">
                  <c:v>14.8468642902606</c:v>
                </c:pt>
                <c:pt idx="4">
                  <c:v>16.064547267627098</c:v>
                </c:pt>
                <c:pt idx="5">
                  <c:v>15.5911311839955</c:v>
                </c:pt>
                <c:pt idx="6">
                  <c:v>15.6036784873721</c:v>
                </c:pt>
                <c:pt idx="7">
                  <c:v>16.0320135548914</c:v>
                </c:pt>
                <c:pt idx="8">
                  <c:v>15.3504235304689</c:v>
                </c:pt>
                <c:pt idx="9">
                  <c:v>16.0742810429599</c:v>
                </c:pt>
              </c:numCache>
            </c:numRef>
          </c:val>
          <c:smooth val="0"/>
          <c:extLst>
            <c:ext xmlns:c16="http://schemas.microsoft.com/office/drawing/2014/chart" uri="{C3380CC4-5D6E-409C-BE32-E72D297353CC}">
              <c16:uniqueId val="{00000000-BA0C-404A-B3AA-9D262E34B412}"/>
            </c:ext>
          </c:extLst>
        </c:ser>
        <c:ser>
          <c:idx val="4"/>
          <c:order val="1"/>
          <c:tx>
            <c:strRef>
              <c:f>Deprivation!$N$14</c:f>
              <c:strCache>
                <c:ptCount val="1"/>
                <c:pt idx="0">
                  <c:v>4</c:v>
                </c:pt>
              </c:strCache>
            </c:strRef>
          </c:tx>
          <c:spPr>
            <a:ln w="22225" cap="rnd">
              <a:solidFill>
                <a:schemeClr val="bg1">
                  <a:lumMod val="75000"/>
                </a:schemeClr>
              </a:solidFill>
              <a:prstDash val="solid"/>
              <a:round/>
            </a:ln>
            <a:effectLst/>
          </c:spPr>
          <c:marker>
            <c:symbol val="none"/>
          </c:marker>
          <c:cat>
            <c:numRef>
              <c:f>Deprivation!$P$9:$Y$9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Deprivation!$P$35:$Y$35</c:f>
              <c:numCache>
                <c:formatCode>0.0</c:formatCode>
                <c:ptCount val="10"/>
                <c:pt idx="0">
                  <c:v>12.225496208264399</c:v>
                </c:pt>
                <c:pt idx="1">
                  <c:v>11.6112566860872</c:v>
                </c:pt>
                <c:pt idx="2">
                  <c:v>14.455050464133199</c:v>
                </c:pt>
                <c:pt idx="3">
                  <c:v>12.4646116325319</c:v>
                </c:pt>
                <c:pt idx="4">
                  <c:v>10.0472677723016</c:v>
                </c:pt>
                <c:pt idx="5">
                  <c:v>15.5604979085784</c:v>
                </c:pt>
                <c:pt idx="6">
                  <c:v>11.2169143637633</c:v>
                </c:pt>
                <c:pt idx="7">
                  <c:v>12.681549789960799</c:v>
                </c:pt>
                <c:pt idx="8">
                  <c:v>12.7057478317943</c:v>
                </c:pt>
                <c:pt idx="9">
                  <c:v>16.4348489088026</c:v>
                </c:pt>
              </c:numCache>
            </c:numRef>
          </c:val>
          <c:smooth val="0"/>
          <c:extLst>
            <c:ext xmlns:c16="http://schemas.microsoft.com/office/drawing/2014/chart" uri="{C3380CC4-5D6E-409C-BE32-E72D297353CC}">
              <c16:uniqueId val="{00000001-BA0C-404A-B3AA-9D262E34B412}"/>
            </c:ext>
          </c:extLst>
        </c:ser>
        <c:ser>
          <c:idx val="2"/>
          <c:order val="2"/>
          <c:tx>
            <c:strRef>
              <c:f>Deprivation!$N$13</c:f>
              <c:strCache>
                <c:ptCount val="1"/>
                <c:pt idx="0">
                  <c:v>3</c:v>
                </c:pt>
              </c:strCache>
            </c:strRef>
          </c:tx>
          <c:spPr>
            <a:ln w="22225" cap="rnd">
              <a:solidFill>
                <a:schemeClr val="accent1">
                  <a:lumMod val="60000"/>
                  <a:lumOff val="40000"/>
                </a:schemeClr>
              </a:solidFill>
              <a:round/>
            </a:ln>
            <a:effectLst/>
          </c:spPr>
          <c:marker>
            <c:symbol val="none"/>
          </c:marker>
          <c:cat>
            <c:numRef>
              <c:f>Deprivation!$P$9:$Y$9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Deprivation!$P$34:$Y$34</c:f>
              <c:numCache>
                <c:formatCode>0.0</c:formatCode>
                <c:ptCount val="10"/>
                <c:pt idx="0">
                  <c:v>12.2118090894897</c:v>
                </c:pt>
                <c:pt idx="1">
                  <c:v>11.7800727004485</c:v>
                </c:pt>
                <c:pt idx="2">
                  <c:v>9.8737223189076193</c:v>
                </c:pt>
                <c:pt idx="3">
                  <c:v>10.834254585669999</c:v>
                </c:pt>
                <c:pt idx="4">
                  <c:v>11.2842380302409</c:v>
                </c:pt>
                <c:pt idx="5">
                  <c:v>13.046970507755301</c:v>
                </c:pt>
                <c:pt idx="6">
                  <c:v>9.8841200333031196</c:v>
                </c:pt>
                <c:pt idx="7">
                  <c:v>10.115508598999501</c:v>
                </c:pt>
                <c:pt idx="8">
                  <c:v>9.4029098009381809</c:v>
                </c:pt>
                <c:pt idx="9">
                  <c:v>10.4222070455105</c:v>
                </c:pt>
              </c:numCache>
            </c:numRef>
          </c:val>
          <c:smooth val="0"/>
          <c:extLst>
            <c:ext xmlns:c16="http://schemas.microsoft.com/office/drawing/2014/chart" uri="{C3380CC4-5D6E-409C-BE32-E72D297353CC}">
              <c16:uniqueId val="{00000002-BA0C-404A-B3AA-9D262E34B412}"/>
            </c:ext>
          </c:extLst>
        </c:ser>
        <c:ser>
          <c:idx val="0"/>
          <c:order val="3"/>
          <c:tx>
            <c:strRef>
              <c:f>Deprivation!$N$12</c:f>
              <c:strCache>
                <c:ptCount val="1"/>
                <c:pt idx="0">
                  <c:v>2</c:v>
                </c:pt>
              </c:strCache>
            </c:strRef>
          </c:tx>
          <c:spPr>
            <a:ln w="22225" cap="rnd">
              <a:solidFill>
                <a:srgbClr val="4BACC6"/>
              </a:solidFill>
              <a:prstDash val="solid"/>
              <a:round/>
            </a:ln>
            <a:effectLst/>
          </c:spPr>
          <c:marker>
            <c:symbol val="none"/>
          </c:marker>
          <c:cat>
            <c:numRef>
              <c:f>Deprivation!$P$9:$Y$9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Deprivation!$P$33:$Y$33</c:f>
              <c:numCache>
                <c:formatCode>0.0</c:formatCode>
                <c:ptCount val="10"/>
                <c:pt idx="0">
                  <c:v>7.8887909690839697</c:v>
                </c:pt>
                <c:pt idx="1">
                  <c:v>9.2358257009264193</c:v>
                </c:pt>
                <c:pt idx="2">
                  <c:v>9.5258859884151494</c:v>
                </c:pt>
                <c:pt idx="3">
                  <c:v>9.4076427688804802</c:v>
                </c:pt>
                <c:pt idx="4">
                  <c:v>8.6197586162676494</c:v>
                </c:pt>
                <c:pt idx="5">
                  <c:v>9.2460799535926093</c:v>
                </c:pt>
                <c:pt idx="6">
                  <c:v>8.3528893937719104</c:v>
                </c:pt>
                <c:pt idx="7">
                  <c:v>7.53145948142501</c:v>
                </c:pt>
                <c:pt idx="8">
                  <c:v>9.2412333875110004</c:v>
                </c:pt>
                <c:pt idx="9">
                  <c:v>6.81785683314083</c:v>
                </c:pt>
              </c:numCache>
            </c:numRef>
          </c:val>
          <c:smooth val="0"/>
          <c:extLst>
            <c:ext xmlns:c16="http://schemas.microsoft.com/office/drawing/2014/chart" uri="{C3380CC4-5D6E-409C-BE32-E72D297353CC}">
              <c16:uniqueId val="{00000003-BA0C-404A-B3AA-9D262E34B412}"/>
            </c:ext>
          </c:extLst>
        </c:ser>
        <c:ser>
          <c:idx val="1"/>
          <c:order val="4"/>
          <c:tx>
            <c:strRef>
              <c:f>Deprivation!$N$11</c:f>
              <c:strCache>
                <c:ptCount val="1"/>
                <c:pt idx="0">
                  <c:v>1</c:v>
                </c:pt>
              </c:strCache>
            </c:strRef>
          </c:tx>
          <c:spPr>
            <a:ln w="22225" cap="rnd">
              <a:solidFill>
                <a:schemeClr val="accent1"/>
              </a:solidFill>
              <a:prstDash val="solid"/>
              <a:round/>
            </a:ln>
            <a:effectLst/>
          </c:spPr>
          <c:marker>
            <c:symbol val="none"/>
          </c:marker>
          <c:cat>
            <c:numRef>
              <c:f>Deprivation!$P$9:$Y$9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Deprivation!$P$32:$Y$32</c:f>
              <c:numCache>
                <c:formatCode>0.0</c:formatCode>
                <c:ptCount val="10"/>
                <c:pt idx="0">
                  <c:v>7.8368796841505901</c:v>
                </c:pt>
                <c:pt idx="1">
                  <c:v>9.8455520002290502</c:v>
                </c:pt>
                <c:pt idx="2">
                  <c:v>7.9860259733649004</c:v>
                </c:pt>
                <c:pt idx="3">
                  <c:v>10.1349018099747</c:v>
                </c:pt>
                <c:pt idx="4">
                  <c:v>8.0826555842724197</c:v>
                </c:pt>
                <c:pt idx="5">
                  <c:v>5.8150688207643197</c:v>
                </c:pt>
                <c:pt idx="6">
                  <c:v>6.73253886110823</c:v>
                </c:pt>
                <c:pt idx="7">
                  <c:v>6.6139183761554001</c:v>
                </c:pt>
                <c:pt idx="8">
                  <c:v>8.0896312487476205</c:v>
                </c:pt>
                <c:pt idx="9">
                  <c:v>6.9981720419792799</c:v>
                </c:pt>
              </c:numCache>
            </c:numRef>
          </c:val>
          <c:smooth val="0"/>
          <c:extLst>
            <c:ext xmlns:c16="http://schemas.microsoft.com/office/drawing/2014/chart" uri="{C3380CC4-5D6E-409C-BE32-E72D297353CC}">
              <c16:uniqueId val="{00000004-BA0C-404A-B3AA-9D262E34B412}"/>
            </c:ext>
          </c:extLst>
        </c:ser>
        <c:dLbls>
          <c:showLegendKey val="0"/>
          <c:showVal val="0"/>
          <c:showCatName val="0"/>
          <c:showSerName val="0"/>
          <c:showPercent val="0"/>
          <c:showBubbleSize val="0"/>
        </c:dLbls>
        <c:smooth val="0"/>
        <c:axId val="453403448"/>
        <c:axId val="453405408"/>
      </c:lineChart>
      <c:catAx>
        <c:axId val="4534034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3405408"/>
        <c:crosses val="autoZero"/>
        <c:auto val="1"/>
        <c:lblAlgn val="ctr"/>
        <c:lblOffset val="100"/>
        <c:noMultiLvlLbl val="0"/>
      </c:catAx>
      <c:valAx>
        <c:axId val="453405408"/>
        <c:scaling>
          <c:orientation val="minMax"/>
          <c:max val="3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3403448"/>
        <c:crosses val="autoZero"/>
        <c:crossBetween val="between"/>
        <c:majorUnit val="5"/>
      </c:valAx>
      <c:spPr>
        <a:noFill/>
        <a:ln>
          <a:noFill/>
        </a:ln>
        <a:effectLst/>
      </c:spPr>
    </c:plotArea>
    <c:legend>
      <c:legendPos val="r"/>
      <c:layout>
        <c:manualLayout>
          <c:xMode val="edge"/>
          <c:yMode val="edge"/>
          <c:x val="0.91585586518871509"/>
          <c:y val="2.4520564371077972E-2"/>
          <c:w val="7.9758624261887512E-2"/>
          <c:h val="0.502156494397591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709740597146166E-2"/>
          <c:y val="0.1785464777611562"/>
          <c:w val="0.91286847744252042"/>
          <c:h val="0.71192646896149481"/>
        </c:manualLayout>
      </c:layout>
      <c:barChart>
        <c:barDir val="col"/>
        <c:grouping val="clustered"/>
        <c:varyColors val="0"/>
        <c:ser>
          <c:idx val="0"/>
          <c:order val="0"/>
          <c:tx>
            <c:strRef>
              <c:f>'Quick facts'!$T$82</c:f>
              <c:strCache>
                <c:ptCount val="1"/>
                <c:pt idx="0">
                  <c:v>Male</c:v>
                </c:pt>
              </c:strCache>
            </c:strRef>
          </c:tx>
          <c:spPr>
            <a:solidFill>
              <a:schemeClr val="bg1">
                <a:lumMod val="50000"/>
              </a:schemeClr>
            </a:solidFill>
            <a:ln>
              <a:noFill/>
            </a:ln>
            <a:effectLst/>
          </c:spPr>
          <c:invertIfNegative val="0"/>
          <c:errBars>
            <c:errBarType val="both"/>
            <c:errValType val="cust"/>
            <c:noEndCap val="0"/>
            <c:plus>
              <c:numRef>
                <c:f>'Quick facts'!$BJ$100:$BY$100</c:f>
                <c:numCache>
                  <c:formatCode>General</c:formatCode>
                  <c:ptCount val="16"/>
                  <c:pt idx="0">
                    <c:v>2.9</c:v>
                  </c:pt>
                  <c:pt idx="1">
                    <c:v>4.0999999999999996</c:v>
                  </c:pt>
                  <c:pt idx="2">
                    <c:v>4.5999999999999996</c:v>
                  </c:pt>
                  <c:pt idx="3">
                    <c:v>4.8</c:v>
                  </c:pt>
                  <c:pt idx="4">
                    <c:v>4.5</c:v>
                  </c:pt>
                  <c:pt idx="5">
                    <c:v>4</c:v>
                  </c:pt>
                  <c:pt idx="6">
                    <c:v>4.7</c:v>
                  </c:pt>
                  <c:pt idx="7">
                    <c:v>4.3</c:v>
                  </c:pt>
                  <c:pt idx="8">
                    <c:v>4.3</c:v>
                  </c:pt>
                  <c:pt idx="9">
                    <c:v>4.5999999999999996</c:v>
                  </c:pt>
                  <c:pt idx="10">
                    <c:v>4</c:v>
                  </c:pt>
                  <c:pt idx="11">
                    <c:v>3.9</c:v>
                  </c:pt>
                  <c:pt idx="12">
                    <c:v>3.4</c:v>
                  </c:pt>
                  <c:pt idx="13">
                    <c:v>5.3</c:v>
                  </c:pt>
                  <c:pt idx="14">
                    <c:v>7</c:v>
                  </c:pt>
                  <c:pt idx="15">
                    <c:v>8.1999999999999993</c:v>
                  </c:pt>
                </c:numCache>
              </c:numRef>
            </c:plus>
            <c:minus>
              <c:numRef>
                <c:f>'Quick facts'!$BJ$100:$BY$100</c:f>
                <c:numCache>
                  <c:formatCode>General</c:formatCode>
                  <c:ptCount val="16"/>
                  <c:pt idx="0">
                    <c:v>2.9</c:v>
                  </c:pt>
                  <c:pt idx="1">
                    <c:v>4.0999999999999996</c:v>
                  </c:pt>
                  <c:pt idx="2">
                    <c:v>4.5999999999999996</c:v>
                  </c:pt>
                  <c:pt idx="3">
                    <c:v>4.8</c:v>
                  </c:pt>
                  <c:pt idx="4">
                    <c:v>4.5</c:v>
                  </c:pt>
                  <c:pt idx="5">
                    <c:v>4</c:v>
                  </c:pt>
                  <c:pt idx="6">
                    <c:v>4.7</c:v>
                  </c:pt>
                  <c:pt idx="7">
                    <c:v>4.3</c:v>
                  </c:pt>
                  <c:pt idx="8">
                    <c:v>4.3</c:v>
                  </c:pt>
                  <c:pt idx="9">
                    <c:v>4.5999999999999996</c:v>
                  </c:pt>
                  <c:pt idx="10">
                    <c:v>4</c:v>
                  </c:pt>
                  <c:pt idx="11">
                    <c:v>3.9</c:v>
                  </c:pt>
                  <c:pt idx="12">
                    <c:v>3.4</c:v>
                  </c:pt>
                  <c:pt idx="13">
                    <c:v>5.3</c:v>
                  </c:pt>
                  <c:pt idx="14">
                    <c:v>7</c:v>
                  </c:pt>
                  <c:pt idx="15">
                    <c:v>8.1999999999999993</c:v>
                  </c:pt>
                </c:numCache>
              </c:numRef>
            </c:minus>
            <c:spPr>
              <a:noFill/>
              <a:ln w="9525" cap="flat" cmpd="sng" algn="ctr">
                <a:solidFill>
                  <a:schemeClr val="tx1">
                    <a:lumMod val="65000"/>
                    <a:lumOff val="35000"/>
                  </a:schemeClr>
                </a:solidFill>
                <a:round/>
              </a:ln>
              <a:effectLst/>
            </c:spPr>
          </c:errBars>
          <c:cat>
            <c:strRef>
              <c:f>'Quick facts'!$X$79:$AM$79</c:f>
              <c:strCache>
                <c:ptCount val="16"/>
                <c:pt idx="0">
                  <c:v>10–14</c:v>
                </c:pt>
                <c:pt idx="1">
                  <c:v>15–19</c:v>
                </c:pt>
                <c:pt idx="2">
                  <c:v>20–24</c:v>
                </c:pt>
                <c:pt idx="3">
                  <c:v>25–29</c:v>
                </c:pt>
                <c:pt idx="4">
                  <c:v>30–34</c:v>
                </c:pt>
                <c:pt idx="5">
                  <c:v>35–39</c:v>
                </c:pt>
                <c:pt idx="6">
                  <c:v>40–44</c:v>
                </c:pt>
                <c:pt idx="7">
                  <c:v>45–49</c:v>
                </c:pt>
                <c:pt idx="8">
                  <c:v>50–54</c:v>
                </c:pt>
                <c:pt idx="9">
                  <c:v>55–59</c:v>
                </c:pt>
                <c:pt idx="10">
                  <c:v>60–64</c:v>
                </c:pt>
                <c:pt idx="11">
                  <c:v>65–69</c:v>
                </c:pt>
                <c:pt idx="12">
                  <c:v>70–74</c:v>
                </c:pt>
                <c:pt idx="13">
                  <c:v>75–79</c:v>
                </c:pt>
                <c:pt idx="14">
                  <c:v>80–84</c:v>
                </c:pt>
                <c:pt idx="15">
                  <c:v>85+</c:v>
                </c:pt>
              </c:strCache>
            </c:strRef>
          </c:cat>
          <c:val>
            <c:numRef>
              <c:f>'Quick facts'!$X$106:$AM$106</c:f>
              <c:numCache>
                <c:formatCode>0.0</c:formatCode>
                <c:ptCount val="16"/>
                <c:pt idx="0">
                  <c:v>3.3200531208499302</c:v>
                </c:pt>
                <c:pt idx="1">
                  <c:v>20.7544866316689</c:v>
                </c:pt>
                <c:pt idx="2">
                  <c:v>28.505646310711501</c:v>
                </c:pt>
                <c:pt idx="3">
                  <c:v>29.366850698931</c:v>
                </c:pt>
                <c:pt idx="4">
                  <c:v>25.4891154588041</c:v>
                </c:pt>
                <c:pt idx="5">
                  <c:v>16.428944813680801</c:v>
                </c:pt>
                <c:pt idx="6">
                  <c:v>23.620953174934002</c:v>
                </c:pt>
                <c:pt idx="7">
                  <c:v>20.3920536771477</c:v>
                </c:pt>
                <c:pt idx="8">
                  <c:v>24.140405819795099</c:v>
                </c:pt>
                <c:pt idx="9">
                  <c:v>25.130890052356001</c:v>
                </c:pt>
                <c:pt idx="10">
                  <c:v>18.433918409874199</c:v>
                </c:pt>
                <c:pt idx="11">
                  <c:v>14.9424277050189</c:v>
                </c:pt>
                <c:pt idx="12">
                  <c:v>7.2992700729926998</c:v>
                </c:pt>
                <c:pt idx="13">
                  <c:v>16.694490818030101</c:v>
                </c:pt>
                <c:pt idx="14">
                  <c:v>21.2145319543888</c:v>
                </c:pt>
                <c:pt idx="15">
                  <c:v>31.948881789137399</c:v>
                </c:pt>
              </c:numCache>
            </c:numRef>
          </c:val>
          <c:extLst>
            <c:ext xmlns:c16="http://schemas.microsoft.com/office/drawing/2014/chart" uri="{C3380CC4-5D6E-409C-BE32-E72D297353CC}">
              <c16:uniqueId val="{00000000-4E1A-41F6-BE4D-231DE488536F}"/>
            </c:ext>
          </c:extLst>
        </c:ser>
        <c:ser>
          <c:idx val="1"/>
          <c:order val="1"/>
          <c:tx>
            <c:strRef>
              <c:f>'Quick facts'!$T$83</c:f>
              <c:strCache>
                <c:ptCount val="1"/>
                <c:pt idx="0">
                  <c:v>Female</c:v>
                </c:pt>
              </c:strCache>
            </c:strRef>
          </c:tx>
          <c:spPr>
            <a:solidFill>
              <a:schemeClr val="accent1"/>
            </a:solidFill>
            <a:ln>
              <a:noFill/>
            </a:ln>
            <a:effectLst/>
          </c:spPr>
          <c:invertIfNegative val="0"/>
          <c:errBars>
            <c:errBarType val="both"/>
            <c:errValType val="cust"/>
            <c:noEndCap val="0"/>
            <c:plus>
              <c:numRef>
                <c:f>'Quick facts'!$BJ$102:$BS$102</c:f>
                <c:numCache>
                  <c:formatCode>General</c:formatCode>
                  <c:ptCount val="10"/>
                  <c:pt idx="0">
                    <c:v>0</c:v>
                  </c:pt>
                  <c:pt idx="1">
                    <c:v>4</c:v>
                  </c:pt>
                  <c:pt idx="2">
                    <c:v>4.7</c:v>
                  </c:pt>
                  <c:pt idx="3">
                    <c:v>4.9000000000000004</c:v>
                  </c:pt>
                  <c:pt idx="4">
                    <c:v>4.2</c:v>
                  </c:pt>
                  <c:pt idx="5">
                    <c:v>4.3</c:v>
                  </c:pt>
                  <c:pt idx="6">
                    <c:v>5.3</c:v>
                  </c:pt>
                  <c:pt idx="7">
                    <c:v>4.9000000000000004</c:v>
                  </c:pt>
                  <c:pt idx="8">
                    <c:v>4</c:v>
                  </c:pt>
                  <c:pt idx="9">
                    <c:v>4.4000000000000004</c:v>
                  </c:pt>
                </c:numCache>
              </c:numRef>
            </c:plus>
            <c:minus>
              <c:numRef>
                <c:f>'Quick facts'!$BJ$102:$BS$102</c:f>
                <c:numCache>
                  <c:formatCode>General</c:formatCode>
                  <c:ptCount val="10"/>
                  <c:pt idx="0">
                    <c:v>0</c:v>
                  </c:pt>
                  <c:pt idx="1">
                    <c:v>4</c:v>
                  </c:pt>
                  <c:pt idx="2">
                    <c:v>4.7</c:v>
                  </c:pt>
                  <c:pt idx="3">
                    <c:v>4.9000000000000004</c:v>
                  </c:pt>
                  <c:pt idx="4">
                    <c:v>4.2</c:v>
                  </c:pt>
                  <c:pt idx="5">
                    <c:v>4.3</c:v>
                  </c:pt>
                  <c:pt idx="6">
                    <c:v>5.3</c:v>
                  </c:pt>
                  <c:pt idx="7">
                    <c:v>4.9000000000000004</c:v>
                  </c:pt>
                  <c:pt idx="8">
                    <c:v>4</c:v>
                  </c:pt>
                  <c:pt idx="9">
                    <c:v>4.4000000000000004</c:v>
                  </c:pt>
                </c:numCache>
              </c:numRef>
            </c:minus>
            <c:spPr>
              <a:noFill/>
              <a:ln w="9525" cap="flat" cmpd="sng" algn="ctr">
                <a:solidFill>
                  <a:schemeClr val="tx1">
                    <a:lumMod val="65000"/>
                    <a:lumOff val="35000"/>
                  </a:schemeClr>
                </a:solidFill>
                <a:round/>
              </a:ln>
              <a:effectLst/>
            </c:spPr>
          </c:errBars>
          <c:cat>
            <c:strRef>
              <c:f>'Quick facts'!$X$79:$AM$79</c:f>
              <c:strCache>
                <c:ptCount val="16"/>
                <c:pt idx="0">
                  <c:v>10–14</c:v>
                </c:pt>
                <c:pt idx="1">
                  <c:v>15–19</c:v>
                </c:pt>
                <c:pt idx="2">
                  <c:v>20–24</c:v>
                </c:pt>
                <c:pt idx="3">
                  <c:v>25–29</c:v>
                </c:pt>
                <c:pt idx="4">
                  <c:v>30–34</c:v>
                </c:pt>
                <c:pt idx="5">
                  <c:v>35–39</c:v>
                </c:pt>
                <c:pt idx="6">
                  <c:v>40–44</c:v>
                </c:pt>
                <c:pt idx="7">
                  <c:v>45–49</c:v>
                </c:pt>
                <c:pt idx="8">
                  <c:v>50–54</c:v>
                </c:pt>
                <c:pt idx="9">
                  <c:v>55–59</c:v>
                </c:pt>
                <c:pt idx="10">
                  <c:v>60–64</c:v>
                </c:pt>
                <c:pt idx="11">
                  <c:v>65–69</c:v>
                </c:pt>
                <c:pt idx="12">
                  <c:v>70–74</c:v>
                </c:pt>
                <c:pt idx="13">
                  <c:v>75–79</c:v>
                </c:pt>
                <c:pt idx="14">
                  <c:v>80–84</c:v>
                </c:pt>
                <c:pt idx="15">
                  <c:v>85+</c:v>
                </c:pt>
              </c:strCache>
            </c:strRef>
          </c:cat>
          <c:val>
            <c:numRef>
              <c:f>'Quick facts'!$X$107:$AM$107</c:f>
              <c:numCache>
                <c:formatCode>0.0</c:formatCode>
                <c:ptCount val="16"/>
                <c:pt idx="0">
                  <c:v>0</c:v>
                </c:pt>
                <c:pt idx="1">
                  <c:v>6.4683053040103502</c:v>
                </c:pt>
                <c:pt idx="2">
                  <c:v>9.5688056934393906</c:v>
                </c:pt>
                <c:pt idx="3">
                  <c:v>10.6603494225644</c:v>
                </c:pt>
                <c:pt idx="4">
                  <c:v>7.1243523316062198</c:v>
                </c:pt>
                <c:pt idx="5">
                  <c:v>6.8808917635725599</c:v>
                </c:pt>
                <c:pt idx="6">
                  <c:v>11.4176974310181</c:v>
                </c:pt>
                <c:pt idx="7">
                  <c:v>10.2261790182868</c:v>
                </c:pt>
                <c:pt idx="8">
                  <c:v>6.7142769944454601</c:v>
                </c:pt>
                <c:pt idx="9">
                  <c:v>7.8575170246202202</c:v>
                </c:pt>
                <c:pt idx="10">
                  <c:v>0</c:v>
                </c:pt>
                <c:pt idx="11">
                  <c:v>0</c:v>
                </c:pt>
                <c:pt idx="12">
                  <c:v>0</c:v>
                </c:pt>
                <c:pt idx="13">
                  <c:v>0</c:v>
                </c:pt>
                <c:pt idx="14">
                  <c:v>0</c:v>
                </c:pt>
                <c:pt idx="15">
                  <c:v>0</c:v>
                </c:pt>
              </c:numCache>
            </c:numRef>
          </c:val>
          <c:extLst>
            <c:ext xmlns:c16="http://schemas.microsoft.com/office/drawing/2014/chart" uri="{C3380CC4-5D6E-409C-BE32-E72D297353CC}">
              <c16:uniqueId val="{00000001-4E1A-41F6-BE4D-231DE488536F}"/>
            </c:ext>
          </c:extLst>
        </c:ser>
        <c:dLbls>
          <c:showLegendKey val="0"/>
          <c:showVal val="0"/>
          <c:showCatName val="0"/>
          <c:showSerName val="0"/>
          <c:showPercent val="0"/>
          <c:showBubbleSize val="0"/>
        </c:dLbls>
        <c:gapWidth val="76"/>
        <c:overlap val="-13"/>
        <c:axId val="348411984"/>
        <c:axId val="160685608"/>
      </c:barChart>
      <c:catAx>
        <c:axId val="34841198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0685608"/>
        <c:crosses val="autoZero"/>
        <c:auto val="1"/>
        <c:lblAlgn val="ctr"/>
        <c:lblOffset val="100"/>
        <c:noMultiLvlLbl val="0"/>
      </c:catAx>
      <c:valAx>
        <c:axId val="160685608"/>
        <c:scaling>
          <c:orientation val="minMax"/>
          <c:max val="5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8411984"/>
        <c:crosses val="autoZero"/>
        <c:crossBetween val="between"/>
      </c:valAx>
      <c:spPr>
        <a:noFill/>
        <a:ln>
          <a:noFill/>
        </a:ln>
        <a:effectLst/>
      </c:spPr>
    </c:plotArea>
    <c:legend>
      <c:legendPos val="b"/>
      <c:layout>
        <c:manualLayout>
          <c:xMode val="edge"/>
          <c:yMode val="edge"/>
          <c:x val="0.80278206585014666"/>
          <c:y val="3.9800434428455059E-2"/>
          <c:w val="0.18632740319314067"/>
          <c:h val="9.921944444444445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1000" b="1"/>
              <a:t>Females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2467419042290422E-2"/>
          <c:y val="0.17660833333333334"/>
          <c:w val="0.8657183026584867"/>
          <c:h val="0.68940651833578448"/>
        </c:manualLayout>
      </c:layout>
      <c:lineChart>
        <c:grouping val="standard"/>
        <c:varyColors val="0"/>
        <c:ser>
          <c:idx val="3"/>
          <c:order val="0"/>
          <c:tx>
            <c:strRef>
              <c:f>Deprivation!$N$48</c:f>
              <c:strCache>
                <c:ptCount val="1"/>
                <c:pt idx="0">
                  <c:v>5</c:v>
                </c:pt>
              </c:strCache>
            </c:strRef>
          </c:tx>
          <c:spPr>
            <a:ln w="22225" cap="rnd">
              <a:solidFill>
                <a:schemeClr val="bg1">
                  <a:lumMod val="50000"/>
                </a:schemeClr>
              </a:solidFill>
              <a:round/>
            </a:ln>
            <a:effectLst/>
          </c:spPr>
          <c:marker>
            <c:symbol val="none"/>
          </c:marker>
          <c:cat>
            <c:numRef>
              <c:f>Deprivation!$P$9:$Y$9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Deprivation!$P$48:$Y$48</c:f>
              <c:numCache>
                <c:formatCode>0.0</c:formatCode>
                <c:ptCount val="10"/>
                <c:pt idx="0">
                  <c:v>6.78604023432323</c:v>
                </c:pt>
                <c:pt idx="1">
                  <c:v>6.8810283175385996</c:v>
                </c:pt>
                <c:pt idx="2">
                  <c:v>6.5983231739770396</c:v>
                </c:pt>
                <c:pt idx="3">
                  <c:v>8.3546213274244803</c:v>
                </c:pt>
                <c:pt idx="4">
                  <c:v>10.1980809872877</c:v>
                </c:pt>
                <c:pt idx="5">
                  <c:v>9.4963410912357702</c:v>
                </c:pt>
                <c:pt idx="6">
                  <c:v>10.227777888353501</c:v>
                </c:pt>
                <c:pt idx="7">
                  <c:v>8.9017753202935292</c:v>
                </c:pt>
                <c:pt idx="8">
                  <c:v>8.7248394367418296</c:v>
                </c:pt>
                <c:pt idx="9">
                  <c:v>8.9658136810318094</c:v>
                </c:pt>
              </c:numCache>
            </c:numRef>
          </c:val>
          <c:smooth val="0"/>
          <c:extLst>
            <c:ext xmlns:c16="http://schemas.microsoft.com/office/drawing/2014/chart" uri="{C3380CC4-5D6E-409C-BE32-E72D297353CC}">
              <c16:uniqueId val="{00000000-B872-4646-9CF6-5E5E0DAE1E51}"/>
            </c:ext>
          </c:extLst>
        </c:ser>
        <c:ser>
          <c:idx val="4"/>
          <c:order val="1"/>
          <c:tx>
            <c:strRef>
              <c:f>Deprivation!$N$47</c:f>
              <c:strCache>
                <c:ptCount val="1"/>
                <c:pt idx="0">
                  <c:v>4</c:v>
                </c:pt>
              </c:strCache>
            </c:strRef>
          </c:tx>
          <c:spPr>
            <a:ln w="22225" cap="rnd">
              <a:solidFill>
                <a:schemeClr val="bg1">
                  <a:lumMod val="75000"/>
                </a:schemeClr>
              </a:solidFill>
              <a:prstDash val="solid"/>
              <a:round/>
            </a:ln>
            <a:effectLst/>
          </c:spPr>
          <c:marker>
            <c:symbol val="none"/>
          </c:marker>
          <c:cat>
            <c:numRef>
              <c:f>Deprivation!$P$9:$Y$9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Deprivation!$P$47:$Y$47</c:f>
              <c:numCache>
                <c:formatCode>0.0</c:formatCode>
                <c:ptCount val="10"/>
                <c:pt idx="0">
                  <c:v>4.9567640127175396</c:v>
                </c:pt>
                <c:pt idx="1">
                  <c:v>4.8262497491326304</c:v>
                </c:pt>
                <c:pt idx="2">
                  <c:v>7.3510824533927499</c:v>
                </c:pt>
                <c:pt idx="3">
                  <c:v>5.6067155020755699</c:v>
                </c:pt>
                <c:pt idx="4">
                  <c:v>5.1852837425382301</c:v>
                </c:pt>
                <c:pt idx="5">
                  <c:v>8.9298192148046898</c:v>
                </c:pt>
                <c:pt idx="6">
                  <c:v>5.5573244121361203</c:v>
                </c:pt>
                <c:pt idx="7">
                  <c:v>5.8326773788982802</c:v>
                </c:pt>
                <c:pt idx="8">
                  <c:v>6.5254443714476604</c:v>
                </c:pt>
                <c:pt idx="9">
                  <c:v>7.4363431783067204</c:v>
                </c:pt>
              </c:numCache>
            </c:numRef>
          </c:val>
          <c:smooth val="0"/>
          <c:extLst>
            <c:ext xmlns:c16="http://schemas.microsoft.com/office/drawing/2014/chart" uri="{C3380CC4-5D6E-409C-BE32-E72D297353CC}">
              <c16:uniqueId val="{00000001-B872-4646-9CF6-5E5E0DAE1E51}"/>
            </c:ext>
          </c:extLst>
        </c:ser>
        <c:ser>
          <c:idx val="2"/>
          <c:order val="2"/>
          <c:tx>
            <c:strRef>
              <c:f>Deprivation!$N$46</c:f>
              <c:strCache>
                <c:ptCount val="1"/>
                <c:pt idx="0">
                  <c:v>3</c:v>
                </c:pt>
              </c:strCache>
            </c:strRef>
          </c:tx>
          <c:spPr>
            <a:ln w="22225" cap="rnd">
              <a:solidFill>
                <a:schemeClr val="accent1">
                  <a:lumMod val="60000"/>
                  <a:lumOff val="40000"/>
                </a:schemeClr>
              </a:solidFill>
              <a:round/>
            </a:ln>
            <a:effectLst/>
          </c:spPr>
          <c:marker>
            <c:symbol val="none"/>
          </c:marker>
          <c:cat>
            <c:numRef>
              <c:f>Deprivation!$P$9:$Y$9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Deprivation!$P$46:$Y$46</c:f>
              <c:numCache>
                <c:formatCode>0.0</c:formatCode>
                <c:ptCount val="10"/>
                <c:pt idx="0">
                  <c:v>5.7446892212915204</c:v>
                </c:pt>
                <c:pt idx="1">
                  <c:v>7.5691748656037197</c:v>
                </c:pt>
                <c:pt idx="2">
                  <c:v>5.2206184166965404</c:v>
                </c:pt>
                <c:pt idx="3">
                  <c:v>5.2396119815643303</c:v>
                </c:pt>
                <c:pt idx="4">
                  <c:v>3.8279008266893402</c:v>
                </c:pt>
                <c:pt idx="5">
                  <c:v>4.4674700999259302</c:v>
                </c:pt>
                <c:pt idx="6">
                  <c:v>5.5756498222800701</c:v>
                </c:pt>
                <c:pt idx="7">
                  <c:v>4.9801442476464199</c:v>
                </c:pt>
                <c:pt idx="8">
                  <c:v>5.8139183761925199</c:v>
                </c:pt>
                <c:pt idx="9">
                  <c:v>6.86467084851766</c:v>
                </c:pt>
              </c:numCache>
            </c:numRef>
          </c:val>
          <c:smooth val="0"/>
          <c:extLst>
            <c:ext xmlns:c16="http://schemas.microsoft.com/office/drawing/2014/chart" uri="{C3380CC4-5D6E-409C-BE32-E72D297353CC}">
              <c16:uniqueId val="{00000002-B872-4646-9CF6-5E5E0DAE1E51}"/>
            </c:ext>
          </c:extLst>
        </c:ser>
        <c:ser>
          <c:idx val="0"/>
          <c:order val="3"/>
          <c:tx>
            <c:strRef>
              <c:f>Deprivation!$N$45</c:f>
              <c:strCache>
                <c:ptCount val="1"/>
                <c:pt idx="0">
                  <c:v>2</c:v>
                </c:pt>
              </c:strCache>
            </c:strRef>
          </c:tx>
          <c:spPr>
            <a:ln w="22225" cap="rnd">
              <a:solidFill>
                <a:srgbClr val="4BACC6"/>
              </a:solidFill>
              <a:prstDash val="solid"/>
              <a:round/>
            </a:ln>
            <a:effectLst/>
          </c:spPr>
          <c:marker>
            <c:symbol val="none"/>
          </c:marker>
          <c:cat>
            <c:numRef>
              <c:f>Deprivation!$P$9:$Y$9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Deprivation!$P$45:$Y$45</c:f>
              <c:numCache>
                <c:formatCode>0.0</c:formatCode>
                <c:ptCount val="10"/>
                <c:pt idx="0">
                  <c:v>4.3903552637485497</c:v>
                </c:pt>
                <c:pt idx="1">
                  <c:v>4.92960345088603</c:v>
                </c:pt>
                <c:pt idx="2">
                  <c:v>3.6586615219409002</c:v>
                </c:pt>
                <c:pt idx="3">
                  <c:v>6.4808380547622102</c:v>
                </c:pt>
                <c:pt idx="4">
                  <c:v>2.9406434228190901</c:v>
                </c:pt>
                <c:pt idx="5">
                  <c:v>5.1035643666233099</c:v>
                </c:pt>
                <c:pt idx="6">
                  <c:v>5.2973793210445397</c:v>
                </c:pt>
                <c:pt idx="7">
                  <c:v>4.3764290323286197</c:v>
                </c:pt>
                <c:pt idx="8">
                  <c:v>4.7713286172606804</c:v>
                </c:pt>
                <c:pt idx="9">
                  <c:v>1.9696691396442301</c:v>
                </c:pt>
              </c:numCache>
            </c:numRef>
          </c:val>
          <c:smooth val="0"/>
          <c:extLst>
            <c:ext xmlns:c16="http://schemas.microsoft.com/office/drawing/2014/chart" uri="{C3380CC4-5D6E-409C-BE32-E72D297353CC}">
              <c16:uniqueId val="{00000003-B872-4646-9CF6-5E5E0DAE1E51}"/>
            </c:ext>
          </c:extLst>
        </c:ser>
        <c:ser>
          <c:idx val="1"/>
          <c:order val="4"/>
          <c:tx>
            <c:strRef>
              <c:f>Deprivation!$N$44</c:f>
              <c:strCache>
                <c:ptCount val="1"/>
                <c:pt idx="0">
                  <c:v>1</c:v>
                </c:pt>
              </c:strCache>
            </c:strRef>
          </c:tx>
          <c:spPr>
            <a:ln w="22225" cap="rnd">
              <a:solidFill>
                <a:schemeClr val="accent1"/>
              </a:solidFill>
              <a:prstDash val="solid"/>
              <a:round/>
            </a:ln>
            <a:effectLst/>
          </c:spPr>
          <c:marker>
            <c:symbol val="none"/>
          </c:marker>
          <c:cat>
            <c:numRef>
              <c:f>Deprivation!$P$9:$Y$9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Deprivation!$P$44:$Y$44</c:f>
              <c:numCache>
                <c:formatCode>0.0</c:formatCode>
                <c:ptCount val="10"/>
                <c:pt idx="0">
                  <c:v>3.21939072200857</c:v>
                </c:pt>
                <c:pt idx="1">
                  <c:v>4.8919643634299597</c:v>
                </c:pt>
                <c:pt idx="2">
                  <c:v>2.38907362919592</c:v>
                </c:pt>
                <c:pt idx="3">
                  <c:v>6.2730726130140999</c:v>
                </c:pt>
                <c:pt idx="4">
                  <c:v>3.1724695276464998</c:v>
                </c:pt>
                <c:pt idx="5">
                  <c:v>1.6745010318739699</c:v>
                </c:pt>
                <c:pt idx="6">
                  <c:v>3.4168305432326198</c:v>
                </c:pt>
                <c:pt idx="7">
                  <c:v>2.7543322496102798</c:v>
                </c:pt>
                <c:pt idx="8">
                  <c:v>4.0757342154773699</c:v>
                </c:pt>
                <c:pt idx="9">
                  <c:v>3.9704014255408602</c:v>
                </c:pt>
              </c:numCache>
            </c:numRef>
          </c:val>
          <c:smooth val="0"/>
          <c:extLst>
            <c:ext xmlns:c16="http://schemas.microsoft.com/office/drawing/2014/chart" uri="{C3380CC4-5D6E-409C-BE32-E72D297353CC}">
              <c16:uniqueId val="{00000004-B872-4646-9CF6-5E5E0DAE1E51}"/>
            </c:ext>
          </c:extLst>
        </c:ser>
        <c:dLbls>
          <c:showLegendKey val="0"/>
          <c:showVal val="0"/>
          <c:showCatName val="0"/>
          <c:showSerName val="0"/>
          <c:showPercent val="0"/>
          <c:showBubbleSize val="0"/>
        </c:dLbls>
        <c:smooth val="0"/>
        <c:axId val="453403840"/>
        <c:axId val="453398744"/>
      </c:lineChart>
      <c:catAx>
        <c:axId val="4534038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3398744"/>
        <c:crosses val="autoZero"/>
        <c:auto val="1"/>
        <c:lblAlgn val="ctr"/>
        <c:lblOffset val="100"/>
        <c:noMultiLvlLbl val="0"/>
      </c:catAx>
      <c:valAx>
        <c:axId val="453398744"/>
        <c:scaling>
          <c:orientation val="minMax"/>
          <c:max val="3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3403840"/>
        <c:crosses val="autoZero"/>
        <c:crossBetween val="between"/>
        <c:majorUnit val="5"/>
      </c:valAx>
      <c:spPr>
        <a:noFill/>
        <a:ln>
          <a:noFill/>
        </a:ln>
        <a:effectLst/>
      </c:spPr>
    </c:plotArea>
    <c:legend>
      <c:legendPos val="r"/>
      <c:layout>
        <c:manualLayout>
          <c:xMode val="edge"/>
          <c:yMode val="edge"/>
          <c:x val="0.89392825494205863"/>
          <c:y val="1.0984110857110603E-2"/>
          <c:w val="0.10607174505794138"/>
          <c:h val="0.366792704211465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b="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NZ" sz="1000" b="1">
                <a:solidFill>
                  <a:sysClr val="windowText" lastClr="000000"/>
                </a:solidFill>
              </a:rPr>
              <a:t>Total population, all ages</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1473448109864805E-2"/>
          <c:y val="0.14657637737239726"/>
          <c:w val="0.898046379614586"/>
          <c:h val="0.71632854247282096"/>
        </c:manualLayout>
      </c:layout>
      <c:lineChart>
        <c:grouping val="standard"/>
        <c:varyColors val="0"/>
        <c:ser>
          <c:idx val="0"/>
          <c:order val="0"/>
          <c:tx>
            <c:strRef>
              <c:f>Methods!$BM$23</c:f>
              <c:strCache>
                <c:ptCount val="1"/>
                <c:pt idx="0">
                  <c:v>Hanging, strangulation and suffocation</c:v>
                </c:pt>
              </c:strCache>
            </c:strRef>
          </c:tx>
          <c:spPr>
            <a:ln w="22225" cap="rnd">
              <a:solidFill>
                <a:schemeClr val="tx1"/>
              </a:solidFill>
              <a:round/>
            </a:ln>
            <a:effectLst/>
          </c:spPr>
          <c:marker>
            <c:symbol val="none"/>
          </c:marker>
          <c:cat>
            <c:numRef>
              <c:f>Methods!$T$13:$AN$13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Methods!$BO$23:$CI$23</c:f>
              <c:numCache>
                <c:formatCode>General</c:formatCode>
                <c:ptCount val="21"/>
                <c:pt idx="0">
                  <c:v>42.6</c:v>
                </c:pt>
                <c:pt idx="1">
                  <c:v>41.3</c:v>
                </c:pt>
                <c:pt idx="2">
                  <c:v>43.3</c:v>
                </c:pt>
                <c:pt idx="3">
                  <c:v>46.9</c:v>
                </c:pt>
                <c:pt idx="4">
                  <c:v>46.8</c:v>
                </c:pt>
                <c:pt idx="5">
                  <c:v>46.3</c:v>
                </c:pt>
                <c:pt idx="6">
                  <c:v>47.2</c:v>
                </c:pt>
                <c:pt idx="7">
                  <c:v>47.9</c:v>
                </c:pt>
                <c:pt idx="8">
                  <c:v>54.7</c:v>
                </c:pt>
                <c:pt idx="9">
                  <c:v>49.7</c:v>
                </c:pt>
                <c:pt idx="10">
                  <c:v>54.6</c:v>
                </c:pt>
                <c:pt idx="11">
                  <c:v>56.7</c:v>
                </c:pt>
                <c:pt idx="12">
                  <c:v>56</c:v>
                </c:pt>
                <c:pt idx="13">
                  <c:v>59</c:v>
                </c:pt>
                <c:pt idx="14">
                  <c:v>58.6</c:v>
                </c:pt>
                <c:pt idx="15">
                  <c:v>61</c:v>
                </c:pt>
                <c:pt idx="16">
                  <c:v>62.3</c:v>
                </c:pt>
                <c:pt idx="17">
                  <c:v>57.1</c:v>
                </c:pt>
                <c:pt idx="18">
                  <c:v>61</c:v>
                </c:pt>
                <c:pt idx="19">
                  <c:v>61.7</c:v>
                </c:pt>
                <c:pt idx="20">
                  <c:v>65.3</c:v>
                </c:pt>
              </c:numCache>
            </c:numRef>
          </c:val>
          <c:smooth val="0"/>
          <c:extLst>
            <c:ext xmlns:c16="http://schemas.microsoft.com/office/drawing/2014/chart" uri="{C3380CC4-5D6E-409C-BE32-E72D297353CC}">
              <c16:uniqueId val="{00000000-E4BF-45D5-ACE9-18D1BC9DF655}"/>
            </c:ext>
          </c:extLst>
        </c:ser>
        <c:ser>
          <c:idx val="5"/>
          <c:order val="1"/>
          <c:tx>
            <c:strRef>
              <c:f>Methods!$BM$24</c:f>
              <c:strCache>
                <c:ptCount val="1"/>
                <c:pt idx="0">
                  <c:v>Poisoning by gases and vapours</c:v>
                </c:pt>
              </c:strCache>
            </c:strRef>
          </c:tx>
          <c:spPr>
            <a:ln w="22225" cap="rnd">
              <a:solidFill>
                <a:schemeClr val="bg1">
                  <a:lumMod val="50000"/>
                </a:schemeClr>
              </a:solidFill>
              <a:round/>
            </a:ln>
            <a:effectLst/>
          </c:spPr>
          <c:marker>
            <c:symbol val="none"/>
          </c:marker>
          <c:cat>
            <c:numRef>
              <c:f>Methods!$T$13:$AN$13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Methods!$BO$24:$CI$24</c:f>
              <c:numCache>
                <c:formatCode>General</c:formatCode>
                <c:ptCount val="21"/>
                <c:pt idx="0">
                  <c:v>29.1</c:v>
                </c:pt>
                <c:pt idx="1">
                  <c:v>27.9</c:v>
                </c:pt>
                <c:pt idx="2">
                  <c:v>23.2</c:v>
                </c:pt>
                <c:pt idx="3">
                  <c:v>22.7</c:v>
                </c:pt>
                <c:pt idx="4">
                  <c:v>24.6</c:v>
                </c:pt>
                <c:pt idx="5">
                  <c:v>21.9</c:v>
                </c:pt>
                <c:pt idx="6">
                  <c:v>21.1</c:v>
                </c:pt>
                <c:pt idx="7">
                  <c:v>19.899999999999999</c:v>
                </c:pt>
                <c:pt idx="8">
                  <c:v>19.2</c:v>
                </c:pt>
                <c:pt idx="9">
                  <c:v>21.4</c:v>
                </c:pt>
                <c:pt idx="10">
                  <c:v>16.600000000000001</c:v>
                </c:pt>
                <c:pt idx="11">
                  <c:v>14.4</c:v>
                </c:pt>
                <c:pt idx="12">
                  <c:v>14.5</c:v>
                </c:pt>
                <c:pt idx="13">
                  <c:v>9.8000000000000007</c:v>
                </c:pt>
                <c:pt idx="14">
                  <c:v>11.4</c:v>
                </c:pt>
                <c:pt idx="15">
                  <c:v>9.6999999999999993</c:v>
                </c:pt>
                <c:pt idx="16">
                  <c:v>7.8</c:v>
                </c:pt>
                <c:pt idx="17">
                  <c:v>8.8000000000000007</c:v>
                </c:pt>
                <c:pt idx="18">
                  <c:v>8</c:v>
                </c:pt>
                <c:pt idx="19">
                  <c:v>8.5</c:v>
                </c:pt>
                <c:pt idx="20">
                  <c:v>7.9</c:v>
                </c:pt>
              </c:numCache>
            </c:numRef>
          </c:val>
          <c:smooth val="0"/>
          <c:extLst>
            <c:ext xmlns:c16="http://schemas.microsoft.com/office/drawing/2014/chart" uri="{C3380CC4-5D6E-409C-BE32-E72D297353CC}">
              <c16:uniqueId val="{00000001-E4BF-45D5-ACE9-18D1BC9DF655}"/>
            </c:ext>
          </c:extLst>
        </c:ser>
        <c:ser>
          <c:idx val="6"/>
          <c:order val="2"/>
          <c:tx>
            <c:strRef>
              <c:f>Methods!$BM$25</c:f>
              <c:strCache>
                <c:ptCount val="1"/>
                <c:pt idx="0">
                  <c:v>Poisoning by solids and liquids</c:v>
                </c:pt>
              </c:strCache>
            </c:strRef>
          </c:tx>
          <c:spPr>
            <a:ln w="22225" cap="rnd">
              <a:solidFill>
                <a:srgbClr val="4BACC6"/>
              </a:solidFill>
              <a:round/>
            </a:ln>
            <a:effectLst/>
          </c:spPr>
          <c:marker>
            <c:symbol val="none"/>
          </c:marker>
          <c:cat>
            <c:numRef>
              <c:f>Methods!$T$13:$AN$13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Methods!$BO$25:$CI$25</c:f>
              <c:numCache>
                <c:formatCode>General</c:formatCode>
                <c:ptCount val="21"/>
                <c:pt idx="0">
                  <c:v>10.9</c:v>
                </c:pt>
                <c:pt idx="1">
                  <c:v>10.5</c:v>
                </c:pt>
                <c:pt idx="2">
                  <c:v>11.1</c:v>
                </c:pt>
                <c:pt idx="3">
                  <c:v>10.1</c:v>
                </c:pt>
                <c:pt idx="4">
                  <c:v>7.8</c:v>
                </c:pt>
                <c:pt idx="5">
                  <c:v>10.6</c:v>
                </c:pt>
                <c:pt idx="6">
                  <c:v>10</c:v>
                </c:pt>
                <c:pt idx="7">
                  <c:v>11.1</c:v>
                </c:pt>
                <c:pt idx="8">
                  <c:v>9.3000000000000007</c:v>
                </c:pt>
                <c:pt idx="9">
                  <c:v>9.9</c:v>
                </c:pt>
                <c:pt idx="10">
                  <c:v>9.4</c:v>
                </c:pt>
                <c:pt idx="11">
                  <c:v>9.6</c:v>
                </c:pt>
                <c:pt idx="12">
                  <c:v>10.6</c:v>
                </c:pt>
                <c:pt idx="13">
                  <c:v>11.5</c:v>
                </c:pt>
                <c:pt idx="14">
                  <c:v>12.5</c:v>
                </c:pt>
                <c:pt idx="15">
                  <c:v>11.5</c:v>
                </c:pt>
                <c:pt idx="16">
                  <c:v>11.7</c:v>
                </c:pt>
                <c:pt idx="17">
                  <c:v>13.5</c:v>
                </c:pt>
                <c:pt idx="18">
                  <c:v>13.1</c:v>
                </c:pt>
                <c:pt idx="19">
                  <c:v>10.199999999999999</c:v>
                </c:pt>
                <c:pt idx="20">
                  <c:v>8.6999999999999993</c:v>
                </c:pt>
              </c:numCache>
            </c:numRef>
          </c:val>
          <c:smooth val="0"/>
          <c:extLst>
            <c:ext xmlns:c16="http://schemas.microsoft.com/office/drawing/2014/chart" uri="{C3380CC4-5D6E-409C-BE32-E72D297353CC}">
              <c16:uniqueId val="{00000002-E4BF-45D5-ACE9-18D1BC9DF655}"/>
            </c:ext>
          </c:extLst>
        </c:ser>
        <c:ser>
          <c:idx val="1"/>
          <c:order val="3"/>
          <c:tx>
            <c:strRef>
              <c:f>Methods!$BM$26</c:f>
              <c:strCache>
                <c:ptCount val="1"/>
                <c:pt idx="0">
                  <c:v>Firearms and explosives</c:v>
                </c:pt>
              </c:strCache>
            </c:strRef>
          </c:tx>
          <c:spPr>
            <a:ln w="22225" cap="rnd">
              <a:solidFill>
                <a:srgbClr val="A7D6E3"/>
              </a:solidFill>
              <a:round/>
            </a:ln>
            <a:effectLst/>
          </c:spPr>
          <c:marker>
            <c:symbol val="none"/>
          </c:marker>
          <c:cat>
            <c:numRef>
              <c:f>Methods!$T$13:$AN$13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Methods!$BO$26:$CI$26</c:f>
              <c:numCache>
                <c:formatCode>General</c:formatCode>
                <c:ptCount val="21"/>
                <c:pt idx="0">
                  <c:v>8.6999999999999993</c:v>
                </c:pt>
                <c:pt idx="1">
                  <c:v>10</c:v>
                </c:pt>
                <c:pt idx="2">
                  <c:v>12.5</c:v>
                </c:pt>
                <c:pt idx="3">
                  <c:v>9.1</c:v>
                </c:pt>
                <c:pt idx="4">
                  <c:v>8.1</c:v>
                </c:pt>
                <c:pt idx="5">
                  <c:v>10</c:v>
                </c:pt>
                <c:pt idx="6">
                  <c:v>10.4</c:v>
                </c:pt>
                <c:pt idx="7">
                  <c:v>8</c:v>
                </c:pt>
                <c:pt idx="8">
                  <c:v>7.9</c:v>
                </c:pt>
                <c:pt idx="9">
                  <c:v>8.5</c:v>
                </c:pt>
                <c:pt idx="10">
                  <c:v>9.1999999999999993</c:v>
                </c:pt>
                <c:pt idx="11">
                  <c:v>9.6</c:v>
                </c:pt>
                <c:pt idx="12">
                  <c:v>8.1</c:v>
                </c:pt>
                <c:pt idx="13">
                  <c:v>10.4</c:v>
                </c:pt>
                <c:pt idx="14">
                  <c:v>7.9</c:v>
                </c:pt>
                <c:pt idx="15">
                  <c:v>7.3</c:v>
                </c:pt>
                <c:pt idx="16">
                  <c:v>8.6</c:v>
                </c:pt>
                <c:pt idx="17">
                  <c:v>9.4</c:v>
                </c:pt>
                <c:pt idx="18">
                  <c:v>8</c:v>
                </c:pt>
                <c:pt idx="19">
                  <c:v>7.7</c:v>
                </c:pt>
                <c:pt idx="20">
                  <c:v>6.1</c:v>
                </c:pt>
              </c:numCache>
            </c:numRef>
          </c:val>
          <c:smooth val="0"/>
          <c:extLst>
            <c:ext xmlns:c16="http://schemas.microsoft.com/office/drawing/2014/chart" uri="{C3380CC4-5D6E-409C-BE32-E72D297353CC}">
              <c16:uniqueId val="{00000003-E4BF-45D5-ACE9-18D1BC9DF655}"/>
            </c:ext>
          </c:extLst>
        </c:ser>
        <c:ser>
          <c:idx val="8"/>
          <c:order val="4"/>
          <c:tx>
            <c:strRef>
              <c:f>Methods!$BM$27</c:f>
              <c:strCache>
                <c:ptCount val="1"/>
                <c:pt idx="0">
                  <c:v>Jumping from a high place</c:v>
                </c:pt>
              </c:strCache>
            </c:strRef>
          </c:tx>
          <c:spPr>
            <a:ln w="22225" cap="rnd">
              <a:solidFill>
                <a:schemeClr val="tx1"/>
              </a:solidFill>
              <a:prstDash val="sysDash"/>
              <a:round/>
            </a:ln>
            <a:effectLst/>
          </c:spPr>
          <c:marker>
            <c:symbol val="none"/>
          </c:marker>
          <c:cat>
            <c:numRef>
              <c:f>Methods!$T$13:$AN$13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Methods!$BO$27:$CI$27</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4-E4BF-45D5-ACE9-18D1BC9DF655}"/>
            </c:ext>
          </c:extLst>
        </c:ser>
        <c:ser>
          <c:idx val="9"/>
          <c:order val="5"/>
          <c:tx>
            <c:strRef>
              <c:f>Methods!$BM$28</c:f>
              <c:strCache>
                <c:ptCount val="1"/>
                <c:pt idx="0">
                  <c:v>Submersion (drowning)</c:v>
                </c:pt>
              </c:strCache>
            </c:strRef>
          </c:tx>
          <c:spPr>
            <a:ln w="22225" cap="rnd">
              <a:solidFill>
                <a:srgbClr val="2B8CBE"/>
              </a:solidFill>
              <a:prstDash val="sysDash"/>
              <a:round/>
            </a:ln>
            <a:effectLst/>
          </c:spPr>
          <c:marker>
            <c:symbol val="none"/>
          </c:marker>
          <c:cat>
            <c:numRef>
              <c:f>Methods!$T$13:$AN$13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Methods!$BO$28:$CI$28</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5-E4BF-45D5-ACE9-18D1BC9DF655}"/>
            </c:ext>
          </c:extLst>
        </c:ser>
        <c:ser>
          <c:idx val="10"/>
          <c:order val="6"/>
          <c:tx>
            <c:strRef>
              <c:f>Methods!$BM$29</c:f>
              <c:strCache>
                <c:ptCount val="1"/>
                <c:pt idx="0">
                  <c:v>Sharp object</c:v>
                </c:pt>
              </c:strCache>
            </c:strRef>
          </c:tx>
          <c:spPr>
            <a:ln w="22225" cap="rnd">
              <a:solidFill>
                <a:schemeClr val="bg1">
                  <a:lumMod val="50000"/>
                </a:schemeClr>
              </a:solidFill>
              <a:prstDash val="sysDash"/>
              <a:round/>
            </a:ln>
            <a:effectLst/>
          </c:spPr>
          <c:marker>
            <c:symbol val="none"/>
          </c:marker>
          <c:cat>
            <c:numRef>
              <c:f>Methods!$T$13:$AN$13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Methods!$BO$29:$CI$29</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6-E4BF-45D5-ACE9-18D1BC9DF655}"/>
            </c:ext>
          </c:extLst>
        </c:ser>
        <c:ser>
          <c:idx val="11"/>
          <c:order val="7"/>
          <c:tx>
            <c:strRef>
              <c:f>Methods!$BM$30</c:f>
              <c:strCache>
                <c:ptCount val="1"/>
                <c:pt idx="0">
                  <c:v>Other</c:v>
                </c:pt>
              </c:strCache>
            </c:strRef>
          </c:tx>
          <c:spPr>
            <a:ln w="22225" cap="rnd">
              <a:solidFill>
                <a:srgbClr val="A7D6E3"/>
              </a:solidFill>
              <a:prstDash val="sysDash"/>
              <a:round/>
            </a:ln>
            <a:effectLst/>
          </c:spPr>
          <c:marker>
            <c:symbol val="none"/>
          </c:marker>
          <c:cat>
            <c:numRef>
              <c:f>Methods!$T$13:$AN$13</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Methods!$BO$30:$CI$30</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7-E4BF-45D5-ACE9-18D1BC9DF655}"/>
            </c:ext>
          </c:extLst>
        </c:ser>
        <c:dLbls>
          <c:showLegendKey val="0"/>
          <c:showVal val="0"/>
          <c:showCatName val="0"/>
          <c:showSerName val="0"/>
          <c:showPercent val="0"/>
          <c:showBubbleSize val="0"/>
        </c:dLbls>
        <c:smooth val="0"/>
        <c:axId val="453401488"/>
        <c:axId val="453399136"/>
      </c:lineChart>
      <c:catAx>
        <c:axId val="4534014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3399136"/>
        <c:crosses val="autoZero"/>
        <c:auto val="1"/>
        <c:lblAlgn val="ctr"/>
        <c:lblOffset val="100"/>
        <c:tickLblSkip val="2"/>
        <c:noMultiLvlLbl val="0"/>
      </c:catAx>
      <c:valAx>
        <c:axId val="453399136"/>
        <c:scaling>
          <c:orientation val="minMax"/>
          <c:max val="8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3401488"/>
        <c:crossesAt val="1"/>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86385459533609"/>
          <c:y val="0.16859186105908394"/>
          <c:w val="0.82182990397805211"/>
          <c:h val="0.69431295760258815"/>
        </c:manualLayout>
      </c:layout>
      <c:lineChart>
        <c:grouping val="standard"/>
        <c:varyColors val="0"/>
        <c:ser>
          <c:idx val="0"/>
          <c:order val="0"/>
          <c:tx>
            <c:strRef>
              <c:f>Methods!$BM$32</c:f>
              <c:strCache>
                <c:ptCount val="1"/>
                <c:pt idx="0">
                  <c:v>Hanging, strangulation and suffocation</c:v>
                </c:pt>
              </c:strCache>
            </c:strRef>
          </c:tx>
          <c:spPr>
            <a:ln w="22225" cap="rnd">
              <a:solidFill>
                <a:schemeClr val="tx1"/>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Methods!$BO$32:$CI$32</c:f>
              <c:numCache>
                <c:formatCode>General</c:formatCode>
                <c:ptCount val="21"/>
                <c:pt idx="0">
                  <c:v>67.599999999999994</c:v>
                </c:pt>
                <c:pt idx="1">
                  <c:v>47.8</c:v>
                </c:pt>
                <c:pt idx="2">
                  <c:v>51</c:v>
                </c:pt>
                <c:pt idx="3">
                  <c:v>65.900000000000006</c:v>
                </c:pt>
                <c:pt idx="4">
                  <c:v>65.400000000000006</c:v>
                </c:pt>
                <c:pt idx="5">
                  <c:v>66.7</c:v>
                </c:pt>
                <c:pt idx="6">
                  <c:v>63.6</c:v>
                </c:pt>
                <c:pt idx="7">
                  <c:v>74.599999999999994</c:v>
                </c:pt>
                <c:pt idx="8">
                  <c:v>72.3</c:v>
                </c:pt>
                <c:pt idx="9">
                  <c:v>71.400000000000006</c:v>
                </c:pt>
                <c:pt idx="10">
                  <c:v>73.7</c:v>
                </c:pt>
                <c:pt idx="11">
                  <c:v>81.7</c:v>
                </c:pt>
                <c:pt idx="12">
                  <c:v>69.900000000000006</c:v>
                </c:pt>
                <c:pt idx="13">
                  <c:v>78.900000000000006</c:v>
                </c:pt>
                <c:pt idx="14">
                  <c:v>79.2</c:v>
                </c:pt>
                <c:pt idx="15">
                  <c:v>77.099999999999994</c:v>
                </c:pt>
                <c:pt idx="16">
                  <c:v>83.2</c:v>
                </c:pt>
                <c:pt idx="17">
                  <c:v>83.6</c:v>
                </c:pt>
                <c:pt idx="18">
                  <c:v>88.2</c:v>
                </c:pt>
                <c:pt idx="19">
                  <c:v>81.400000000000006</c:v>
                </c:pt>
                <c:pt idx="20">
                  <c:v>77.900000000000006</c:v>
                </c:pt>
              </c:numCache>
            </c:numRef>
          </c:val>
          <c:smooth val="0"/>
          <c:extLst>
            <c:ext xmlns:c16="http://schemas.microsoft.com/office/drawing/2014/chart" uri="{C3380CC4-5D6E-409C-BE32-E72D297353CC}">
              <c16:uniqueId val="{00000000-9F9E-4ABD-824F-D03B4DAA35EB}"/>
            </c:ext>
          </c:extLst>
        </c:ser>
        <c:ser>
          <c:idx val="5"/>
          <c:order val="1"/>
          <c:tx>
            <c:strRef>
              <c:f>Methods!$BM$33</c:f>
              <c:strCache>
                <c:ptCount val="1"/>
                <c:pt idx="0">
                  <c:v>Poisoning by gases and vapours</c:v>
                </c:pt>
              </c:strCache>
            </c:strRef>
          </c:tx>
          <c:spPr>
            <a:ln w="22225" cap="rnd">
              <a:solidFill>
                <a:schemeClr val="bg1">
                  <a:lumMod val="50000"/>
                </a:schemeClr>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Methods!$BO$33:$CI$33</c:f>
              <c:numCache>
                <c:formatCode>General</c:formatCode>
                <c:ptCount val="21"/>
                <c:pt idx="0">
                  <c:v>14.3</c:v>
                </c:pt>
                <c:pt idx="1">
                  <c:v>31</c:v>
                </c:pt>
                <c:pt idx="2">
                  <c:v>22.1</c:v>
                </c:pt>
                <c:pt idx="3">
                  <c:v>13.4</c:v>
                </c:pt>
                <c:pt idx="4">
                  <c:v>17.3</c:v>
                </c:pt>
                <c:pt idx="5">
                  <c:v>14.9</c:v>
                </c:pt>
                <c:pt idx="6">
                  <c:v>12.1</c:v>
                </c:pt>
                <c:pt idx="7">
                  <c:v>11.9</c:v>
                </c:pt>
                <c:pt idx="8">
                  <c:v>16.899999999999999</c:v>
                </c:pt>
                <c:pt idx="9">
                  <c:v>10.7</c:v>
                </c:pt>
                <c:pt idx="10">
                  <c:v>10.5</c:v>
                </c:pt>
                <c:pt idx="11">
                  <c:v>5.6</c:v>
                </c:pt>
                <c:pt idx="12">
                  <c:v>15.7</c:v>
                </c:pt>
                <c:pt idx="13">
                  <c:v>4.2</c:v>
                </c:pt>
                <c:pt idx="14">
                  <c:v>2.6</c:v>
                </c:pt>
                <c:pt idx="15">
                  <c:v>6.2</c:v>
                </c:pt>
                <c:pt idx="16">
                  <c:v>1.9</c:v>
                </c:pt>
                <c:pt idx="17">
                  <c:v>4.0999999999999996</c:v>
                </c:pt>
                <c:pt idx="18">
                  <c:v>2.9</c:v>
                </c:pt>
                <c:pt idx="19">
                  <c:v>4.3</c:v>
                </c:pt>
                <c:pt idx="20">
                  <c:v>4.7</c:v>
                </c:pt>
              </c:numCache>
            </c:numRef>
          </c:val>
          <c:smooth val="0"/>
          <c:extLst>
            <c:ext xmlns:c16="http://schemas.microsoft.com/office/drawing/2014/chart" uri="{C3380CC4-5D6E-409C-BE32-E72D297353CC}">
              <c16:uniqueId val="{00000001-9F9E-4ABD-824F-D03B4DAA35EB}"/>
            </c:ext>
          </c:extLst>
        </c:ser>
        <c:ser>
          <c:idx val="6"/>
          <c:order val="2"/>
          <c:tx>
            <c:strRef>
              <c:f>Methods!$BM$34</c:f>
              <c:strCache>
                <c:ptCount val="1"/>
                <c:pt idx="0">
                  <c:v>Poisoning by solids and liquids</c:v>
                </c:pt>
              </c:strCache>
            </c:strRef>
          </c:tx>
          <c:spPr>
            <a:ln w="22225" cap="rnd">
              <a:solidFill>
                <a:srgbClr val="4BACC6"/>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Methods!$BO$34:$CI$34</c:f>
              <c:numCache>
                <c:formatCode>General</c:formatCode>
                <c:ptCount val="21"/>
                <c:pt idx="0">
                  <c:v>5.7</c:v>
                </c:pt>
                <c:pt idx="1">
                  <c:v>5.3</c:v>
                </c:pt>
                <c:pt idx="2">
                  <c:v>2.9</c:v>
                </c:pt>
                <c:pt idx="3">
                  <c:v>3.7</c:v>
                </c:pt>
                <c:pt idx="4">
                  <c:v>#N/A</c:v>
                </c:pt>
                <c:pt idx="5">
                  <c:v>#N/A</c:v>
                </c:pt>
                <c:pt idx="6">
                  <c:v>3</c:v>
                </c:pt>
                <c:pt idx="7">
                  <c:v>#N/A</c:v>
                </c:pt>
                <c:pt idx="8">
                  <c:v>3.6</c:v>
                </c:pt>
                <c:pt idx="9">
                  <c:v>1.2</c:v>
                </c:pt>
                <c:pt idx="10">
                  <c:v>1.1000000000000001</c:v>
                </c:pt>
                <c:pt idx="11">
                  <c:v>#N/A</c:v>
                </c:pt>
                <c:pt idx="12">
                  <c:v>1.2</c:v>
                </c:pt>
                <c:pt idx="13">
                  <c:v>2.1</c:v>
                </c:pt>
                <c:pt idx="14">
                  <c:v>2.6</c:v>
                </c:pt>
                <c:pt idx="15">
                  <c:v>4.2</c:v>
                </c:pt>
                <c:pt idx="16">
                  <c:v>2.8</c:v>
                </c:pt>
                <c:pt idx="17">
                  <c:v>1.4</c:v>
                </c:pt>
                <c:pt idx="18">
                  <c:v>#N/A</c:v>
                </c:pt>
                <c:pt idx="19">
                  <c:v>1.4</c:v>
                </c:pt>
                <c:pt idx="20">
                  <c:v>2.2999999999999998</c:v>
                </c:pt>
              </c:numCache>
            </c:numRef>
          </c:val>
          <c:smooth val="0"/>
          <c:extLst>
            <c:ext xmlns:c16="http://schemas.microsoft.com/office/drawing/2014/chart" uri="{C3380CC4-5D6E-409C-BE32-E72D297353CC}">
              <c16:uniqueId val="{00000002-9F9E-4ABD-824F-D03B4DAA35EB}"/>
            </c:ext>
          </c:extLst>
        </c:ser>
        <c:ser>
          <c:idx val="1"/>
          <c:order val="3"/>
          <c:tx>
            <c:strRef>
              <c:f>Methods!$BM$35</c:f>
              <c:strCache>
                <c:ptCount val="1"/>
                <c:pt idx="0">
                  <c:v>Firearms and explosives</c:v>
                </c:pt>
              </c:strCache>
            </c:strRef>
          </c:tx>
          <c:spPr>
            <a:ln w="22225" cap="rnd">
              <a:solidFill>
                <a:srgbClr val="A7D6E3"/>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Methods!$BO$35:$CI$35</c:f>
              <c:numCache>
                <c:formatCode>General</c:formatCode>
                <c:ptCount val="21"/>
                <c:pt idx="0">
                  <c:v>7.6</c:v>
                </c:pt>
                <c:pt idx="1">
                  <c:v>10.6</c:v>
                </c:pt>
                <c:pt idx="2">
                  <c:v>14.4</c:v>
                </c:pt>
                <c:pt idx="3">
                  <c:v>3.7</c:v>
                </c:pt>
                <c:pt idx="4">
                  <c:v>3.7</c:v>
                </c:pt>
                <c:pt idx="5">
                  <c:v>5.7</c:v>
                </c:pt>
                <c:pt idx="6">
                  <c:v>7.6</c:v>
                </c:pt>
                <c:pt idx="7">
                  <c:v>3</c:v>
                </c:pt>
                <c:pt idx="8">
                  <c:v>2.4</c:v>
                </c:pt>
                <c:pt idx="9">
                  <c:v>10.7</c:v>
                </c:pt>
                <c:pt idx="10">
                  <c:v>5.3</c:v>
                </c:pt>
                <c:pt idx="11">
                  <c:v>5.6</c:v>
                </c:pt>
                <c:pt idx="12">
                  <c:v>6</c:v>
                </c:pt>
                <c:pt idx="13">
                  <c:v>9.5</c:v>
                </c:pt>
                <c:pt idx="14">
                  <c:v>5.2</c:v>
                </c:pt>
                <c:pt idx="15">
                  <c:v>4.2</c:v>
                </c:pt>
                <c:pt idx="16">
                  <c:v>8.4</c:v>
                </c:pt>
                <c:pt idx="17">
                  <c:v>6.8</c:v>
                </c:pt>
                <c:pt idx="18">
                  <c:v>2.9</c:v>
                </c:pt>
                <c:pt idx="19">
                  <c:v>2.9</c:v>
                </c:pt>
                <c:pt idx="20">
                  <c:v>3.5</c:v>
                </c:pt>
              </c:numCache>
            </c:numRef>
          </c:val>
          <c:smooth val="0"/>
          <c:extLst>
            <c:ext xmlns:c16="http://schemas.microsoft.com/office/drawing/2014/chart" uri="{C3380CC4-5D6E-409C-BE32-E72D297353CC}">
              <c16:uniqueId val="{00000003-9F9E-4ABD-824F-D03B4DAA35EB}"/>
            </c:ext>
          </c:extLst>
        </c:ser>
        <c:ser>
          <c:idx val="8"/>
          <c:order val="4"/>
          <c:tx>
            <c:strRef>
              <c:f>Methods!$BM$36</c:f>
              <c:strCache>
                <c:ptCount val="1"/>
                <c:pt idx="0">
                  <c:v>Jumping from a high place</c:v>
                </c:pt>
              </c:strCache>
            </c:strRef>
          </c:tx>
          <c:spPr>
            <a:ln w="22225" cap="rnd">
              <a:solidFill>
                <a:schemeClr val="tx1"/>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Methods!$BO$36:$CI$36</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4-9F9E-4ABD-824F-D03B4DAA35EB}"/>
            </c:ext>
          </c:extLst>
        </c:ser>
        <c:ser>
          <c:idx val="9"/>
          <c:order val="5"/>
          <c:tx>
            <c:strRef>
              <c:f>Methods!$BM$37</c:f>
              <c:strCache>
                <c:ptCount val="1"/>
                <c:pt idx="0">
                  <c:v>Submersion (drowning)</c:v>
                </c:pt>
              </c:strCache>
            </c:strRef>
          </c:tx>
          <c:spPr>
            <a:ln w="22225" cap="rnd">
              <a:solidFill>
                <a:srgbClr val="2B8CBE"/>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Methods!$BO$37:$CI$37</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5-9F9E-4ABD-824F-D03B4DAA35EB}"/>
            </c:ext>
          </c:extLst>
        </c:ser>
        <c:ser>
          <c:idx val="10"/>
          <c:order val="6"/>
          <c:tx>
            <c:strRef>
              <c:f>Methods!$BM$38</c:f>
              <c:strCache>
                <c:ptCount val="1"/>
                <c:pt idx="0">
                  <c:v>Sharp object</c:v>
                </c:pt>
              </c:strCache>
            </c:strRef>
          </c:tx>
          <c:spPr>
            <a:ln w="22225" cap="rnd">
              <a:solidFill>
                <a:schemeClr val="bg1">
                  <a:lumMod val="50000"/>
                </a:schemeClr>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Methods!$BO$38:$CI$38</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6-9F9E-4ABD-824F-D03B4DAA35EB}"/>
            </c:ext>
          </c:extLst>
        </c:ser>
        <c:ser>
          <c:idx val="11"/>
          <c:order val="7"/>
          <c:tx>
            <c:strRef>
              <c:f>Methods!$BM$39</c:f>
              <c:strCache>
                <c:ptCount val="1"/>
                <c:pt idx="0">
                  <c:v>Other</c:v>
                </c:pt>
              </c:strCache>
            </c:strRef>
          </c:tx>
          <c:spPr>
            <a:ln w="22225" cap="rnd">
              <a:solidFill>
                <a:srgbClr val="A7D6E3"/>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Methods!$BO$39:$CI$39</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7-9F9E-4ABD-824F-D03B4DAA35EB}"/>
            </c:ext>
          </c:extLst>
        </c:ser>
        <c:dLbls>
          <c:showLegendKey val="0"/>
          <c:showVal val="0"/>
          <c:showCatName val="0"/>
          <c:showSerName val="0"/>
          <c:showPercent val="0"/>
          <c:showBubbleSize val="0"/>
        </c:dLbls>
        <c:smooth val="0"/>
        <c:axId val="453405800"/>
        <c:axId val="453403056"/>
      </c:lineChart>
      <c:catAx>
        <c:axId val="4534058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3403056"/>
        <c:crosses val="autoZero"/>
        <c:auto val="1"/>
        <c:lblAlgn val="ctr"/>
        <c:lblOffset val="100"/>
        <c:tickLblSkip val="4"/>
        <c:noMultiLvlLbl val="0"/>
      </c:catAx>
      <c:valAx>
        <c:axId val="453403056"/>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3405800"/>
        <c:crossesAt val="1"/>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86385459533609"/>
          <c:y val="0.17579998864861798"/>
          <c:w val="0.82182990397805211"/>
          <c:h val="0.68710483001305411"/>
        </c:manualLayout>
      </c:layout>
      <c:lineChart>
        <c:grouping val="standard"/>
        <c:varyColors val="0"/>
        <c:ser>
          <c:idx val="0"/>
          <c:order val="0"/>
          <c:tx>
            <c:strRef>
              <c:f>Methods!$BM$41</c:f>
              <c:strCache>
                <c:ptCount val="1"/>
                <c:pt idx="0">
                  <c:v>Hanging, strangulation and suffocation</c:v>
                </c:pt>
              </c:strCache>
            </c:strRef>
          </c:tx>
          <c:spPr>
            <a:ln w="22225" cap="rnd">
              <a:solidFill>
                <a:schemeClr val="tx1"/>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Methods!$BO$41:$CI$41</c:f>
              <c:numCache>
                <c:formatCode>General</c:formatCode>
                <c:ptCount val="21"/>
                <c:pt idx="0">
                  <c:v>40.4</c:v>
                </c:pt>
                <c:pt idx="1">
                  <c:v>41.8</c:v>
                </c:pt>
                <c:pt idx="2">
                  <c:v>45.6</c:v>
                </c:pt>
                <c:pt idx="3">
                  <c:v>42.8</c:v>
                </c:pt>
                <c:pt idx="4">
                  <c:v>50.3</c:v>
                </c:pt>
                <c:pt idx="5">
                  <c:v>47.6</c:v>
                </c:pt>
                <c:pt idx="6">
                  <c:v>49.4</c:v>
                </c:pt>
                <c:pt idx="7">
                  <c:v>51.5</c:v>
                </c:pt>
                <c:pt idx="8">
                  <c:v>62.7</c:v>
                </c:pt>
                <c:pt idx="9">
                  <c:v>48.4</c:v>
                </c:pt>
                <c:pt idx="10">
                  <c:v>57.1</c:v>
                </c:pt>
                <c:pt idx="11">
                  <c:v>65.5</c:v>
                </c:pt>
                <c:pt idx="12">
                  <c:v>60.9</c:v>
                </c:pt>
                <c:pt idx="13">
                  <c:v>62.1</c:v>
                </c:pt>
                <c:pt idx="14">
                  <c:v>64.400000000000006</c:v>
                </c:pt>
                <c:pt idx="15">
                  <c:v>66.2</c:v>
                </c:pt>
                <c:pt idx="16">
                  <c:v>62.9</c:v>
                </c:pt>
                <c:pt idx="17">
                  <c:v>69.3</c:v>
                </c:pt>
                <c:pt idx="18">
                  <c:v>71.400000000000006</c:v>
                </c:pt>
                <c:pt idx="19">
                  <c:v>71.5</c:v>
                </c:pt>
                <c:pt idx="20">
                  <c:v>72.7</c:v>
                </c:pt>
              </c:numCache>
            </c:numRef>
          </c:val>
          <c:smooth val="0"/>
          <c:extLst>
            <c:ext xmlns:c16="http://schemas.microsoft.com/office/drawing/2014/chart" uri="{C3380CC4-5D6E-409C-BE32-E72D297353CC}">
              <c16:uniqueId val="{00000000-EA58-4478-B8EA-7A279ADAC698}"/>
            </c:ext>
          </c:extLst>
        </c:ser>
        <c:ser>
          <c:idx val="5"/>
          <c:order val="1"/>
          <c:tx>
            <c:strRef>
              <c:f>Methods!$BM$42</c:f>
              <c:strCache>
                <c:ptCount val="1"/>
                <c:pt idx="0">
                  <c:v>Poisoning by gases and vapours</c:v>
                </c:pt>
              </c:strCache>
            </c:strRef>
          </c:tx>
          <c:spPr>
            <a:ln w="22225" cap="rnd">
              <a:solidFill>
                <a:schemeClr val="bg1">
                  <a:lumMod val="50000"/>
                </a:schemeClr>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Methods!$BO$42:$CI$42</c:f>
              <c:numCache>
                <c:formatCode>General</c:formatCode>
                <c:ptCount val="21"/>
                <c:pt idx="0">
                  <c:v>36.200000000000003</c:v>
                </c:pt>
                <c:pt idx="1">
                  <c:v>31.8</c:v>
                </c:pt>
                <c:pt idx="2">
                  <c:v>25.1</c:v>
                </c:pt>
                <c:pt idx="3">
                  <c:v>31.7</c:v>
                </c:pt>
                <c:pt idx="4">
                  <c:v>23.4</c:v>
                </c:pt>
                <c:pt idx="5">
                  <c:v>23.8</c:v>
                </c:pt>
                <c:pt idx="6">
                  <c:v>24.7</c:v>
                </c:pt>
                <c:pt idx="7">
                  <c:v>21.5</c:v>
                </c:pt>
                <c:pt idx="8">
                  <c:v>19.899999999999999</c:v>
                </c:pt>
                <c:pt idx="9">
                  <c:v>28.6</c:v>
                </c:pt>
                <c:pt idx="10">
                  <c:v>16.3</c:v>
                </c:pt>
                <c:pt idx="11">
                  <c:v>13.9</c:v>
                </c:pt>
                <c:pt idx="12">
                  <c:v>19.5</c:v>
                </c:pt>
                <c:pt idx="13">
                  <c:v>12.1</c:v>
                </c:pt>
                <c:pt idx="14">
                  <c:v>14.4</c:v>
                </c:pt>
                <c:pt idx="15">
                  <c:v>13.8</c:v>
                </c:pt>
                <c:pt idx="16">
                  <c:v>11.2</c:v>
                </c:pt>
                <c:pt idx="17">
                  <c:v>11.4</c:v>
                </c:pt>
                <c:pt idx="18">
                  <c:v>10.7</c:v>
                </c:pt>
                <c:pt idx="19">
                  <c:v>11.7</c:v>
                </c:pt>
                <c:pt idx="20">
                  <c:v>7</c:v>
                </c:pt>
              </c:numCache>
            </c:numRef>
          </c:val>
          <c:smooth val="0"/>
          <c:extLst>
            <c:ext xmlns:c16="http://schemas.microsoft.com/office/drawing/2014/chart" uri="{C3380CC4-5D6E-409C-BE32-E72D297353CC}">
              <c16:uniqueId val="{00000001-EA58-4478-B8EA-7A279ADAC698}"/>
            </c:ext>
          </c:extLst>
        </c:ser>
        <c:ser>
          <c:idx val="6"/>
          <c:order val="2"/>
          <c:tx>
            <c:strRef>
              <c:f>Methods!$BM$43</c:f>
              <c:strCache>
                <c:ptCount val="1"/>
                <c:pt idx="0">
                  <c:v>Poisoning by solids and liquids</c:v>
                </c:pt>
              </c:strCache>
            </c:strRef>
          </c:tx>
          <c:spPr>
            <a:ln w="22225" cap="rnd">
              <a:solidFill>
                <a:srgbClr val="4BACC6"/>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Methods!$BO$43:$CI$43</c:f>
              <c:numCache>
                <c:formatCode>General</c:formatCode>
                <c:ptCount val="21"/>
                <c:pt idx="0">
                  <c:v>4.8</c:v>
                </c:pt>
                <c:pt idx="1">
                  <c:v>6</c:v>
                </c:pt>
                <c:pt idx="2">
                  <c:v>8.1999999999999993</c:v>
                </c:pt>
                <c:pt idx="3">
                  <c:v>5</c:v>
                </c:pt>
                <c:pt idx="4">
                  <c:v>5.8</c:v>
                </c:pt>
                <c:pt idx="5">
                  <c:v>7.4</c:v>
                </c:pt>
                <c:pt idx="6">
                  <c:v>7.2</c:v>
                </c:pt>
                <c:pt idx="7">
                  <c:v>8.6</c:v>
                </c:pt>
                <c:pt idx="8">
                  <c:v>6.2</c:v>
                </c:pt>
                <c:pt idx="9">
                  <c:v>6.2</c:v>
                </c:pt>
                <c:pt idx="10">
                  <c:v>6.1</c:v>
                </c:pt>
                <c:pt idx="11">
                  <c:v>2.4</c:v>
                </c:pt>
                <c:pt idx="12">
                  <c:v>4.5</c:v>
                </c:pt>
                <c:pt idx="13">
                  <c:v>8.3000000000000007</c:v>
                </c:pt>
                <c:pt idx="14">
                  <c:v>6.8</c:v>
                </c:pt>
                <c:pt idx="15">
                  <c:v>9.1999999999999993</c:v>
                </c:pt>
                <c:pt idx="16">
                  <c:v>6.3</c:v>
                </c:pt>
                <c:pt idx="17">
                  <c:v>7</c:v>
                </c:pt>
                <c:pt idx="18">
                  <c:v>5.7</c:v>
                </c:pt>
                <c:pt idx="19">
                  <c:v>2.2000000000000002</c:v>
                </c:pt>
                <c:pt idx="20">
                  <c:v>2.1</c:v>
                </c:pt>
              </c:numCache>
            </c:numRef>
          </c:val>
          <c:smooth val="0"/>
          <c:extLst>
            <c:ext xmlns:c16="http://schemas.microsoft.com/office/drawing/2014/chart" uri="{C3380CC4-5D6E-409C-BE32-E72D297353CC}">
              <c16:uniqueId val="{00000002-EA58-4478-B8EA-7A279ADAC698}"/>
            </c:ext>
          </c:extLst>
        </c:ser>
        <c:ser>
          <c:idx val="1"/>
          <c:order val="3"/>
          <c:tx>
            <c:strRef>
              <c:f>Methods!$BM$44</c:f>
              <c:strCache>
                <c:ptCount val="1"/>
                <c:pt idx="0">
                  <c:v>Firearms and explosives</c:v>
                </c:pt>
              </c:strCache>
            </c:strRef>
          </c:tx>
          <c:spPr>
            <a:ln w="22225" cap="rnd">
              <a:solidFill>
                <a:srgbClr val="A7D6E3"/>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Methods!$BO$44:$CI$44</c:f>
              <c:numCache>
                <c:formatCode>General</c:formatCode>
                <c:ptCount val="21"/>
                <c:pt idx="0">
                  <c:v>10.6</c:v>
                </c:pt>
                <c:pt idx="1">
                  <c:v>10.4</c:v>
                </c:pt>
                <c:pt idx="2">
                  <c:v>11.3</c:v>
                </c:pt>
                <c:pt idx="3">
                  <c:v>11.1</c:v>
                </c:pt>
                <c:pt idx="4">
                  <c:v>10.5</c:v>
                </c:pt>
                <c:pt idx="5">
                  <c:v>15.3</c:v>
                </c:pt>
                <c:pt idx="6">
                  <c:v>10.199999999999999</c:v>
                </c:pt>
                <c:pt idx="7">
                  <c:v>6.7</c:v>
                </c:pt>
                <c:pt idx="8">
                  <c:v>5.6</c:v>
                </c:pt>
                <c:pt idx="9">
                  <c:v>8.1</c:v>
                </c:pt>
                <c:pt idx="10">
                  <c:v>9.5</c:v>
                </c:pt>
                <c:pt idx="11">
                  <c:v>10.3</c:v>
                </c:pt>
                <c:pt idx="12">
                  <c:v>5.3</c:v>
                </c:pt>
                <c:pt idx="13">
                  <c:v>9.8000000000000007</c:v>
                </c:pt>
                <c:pt idx="14">
                  <c:v>8.9</c:v>
                </c:pt>
                <c:pt idx="15">
                  <c:v>3.1</c:v>
                </c:pt>
                <c:pt idx="16">
                  <c:v>7</c:v>
                </c:pt>
                <c:pt idx="17">
                  <c:v>5.3</c:v>
                </c:pt>
                <c:pt idx="18">
                  <c:v>5</c:v>
                </c:pt>
                <c:pt idx="19">
                  <c:v>5.8</c:v>
                </c:pt>
                <c:pt idx="20">
                  <c:v>7</c:v>
                </c:pt>
              </c:numCache>
            </c:numRef>
          </c:val>
          <c:smooth val="0"/>
          <c:extLst>
            <c:ext xmlns:c16="http://schemas.microsoft.com/office/drawing/2014/chart" uri="{C3380CC4-5D6E-409C-BE32-E72D297353CC}">
              <c16:uniqueId val="{00000003-EA58-4478-B8EA-7A279ADAC698}"/>
            </c:ext>
          </c:extLst>
        </c:ser>
        <c:ser>
          <c:idx val="8"/>
          <c:order val="4"/>
          <c:tx>
            <c:strRef>
              <c:f>Methods!$BM$45</c:f>
              <c:strCache>
                <c:ptCount val="1"/>
                <c:pt idx="0">
                  <c:v>Jumping from a high place</c:v>
                </c:pt>
              </c:strCache>
            </c:strRef>
          </c:tx>
          <c:spPr>
            <a:ln w="22225" cap="rnd">
              <a:solidFill>
                <a:schemeClr val="tx1"/>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Methods!$BO$45:$CI$45</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4-EA58-4478-B8EA-7A279ADAC698}"/>
            </c:ext>
          </c:extLst>
        </c:ser>
        <c:ser>
          <c:idx val="9"/>
          <c:order val="5"/>
          <c:tx>
            <c:strRef>
              <c:f>Methods!$BM$46</c:f>
              <c:strCache>
                <c:ptCount val="1"/>
                <c:pt idx="0">
                  <c:v>Submersion (drowning)</c:v>
                </c:pt>
              </c:strCache>
            </c:strRef>
          </c:tx>
          <c:spPr>
            <a:ln w="22225" cap="rnd">
              <a:solidFill>
                <a:srgbClr val="2B8CBE"/>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Methods!$BO$46:$CI$46</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5-EA58-4478-B8EA-7A279ADAC698}"/>
            </c:ext>
          </c:extLst>
        </c:ser>
        <c:ser>
          <c:idx val="10"/>
          <c:order val="6"/>
          <c:tx>
            <c:strRef>
              <c:f>Methods!$BM$47</c:f>
              <c:strCache>
                <c:ptCount val="1"/>
                <c:pt idx="0">
                  <c:v>Sharp object</c:v>
                </c:pt>
              </c:strCache>
            </c:strRef>
          </c:tx>
          <c:spPr>
            <a:ln w="22225" cap="rnd">
              <a:solidFill>
                <a:schemeClr val="bg1">
                  <a:lumMod val="50000"/>
                </a:schemeClr>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Methods!$BO$47:$CI$47</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6-EA58-4478-B8EA-7A279ADAC698}"/>
            </c:ext>
          </c:extLst>
        </c:ser>
        <c:ser>
          <c:idx val="11"/>
          <c:order val="7"/>
          <c:tx>
            <c:strRef>
              <c:f>Methods!$BM$48</c:f>
              <c:strCache>
                <c:ptCount val="1"/>
                <c:pt idx="0">
                  <c:v>Other</c:v>
                </c:pt>
              </c:strCache>
            </c:strRef>
          </c:tx>
          <c:spPr>
            <a:ln w="22225" cap="rnd">
              <a:solidFill>
                <a:srgbClr val="A7D6E3"/>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Methods!$BO$48:$CI$48</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7-EA58-4478-B8EA-7A279ADAC698}"/>
            </c:ext>
          </c:extLst>
        </c:ser>
        <c:dLbls>
          <c:showLegendKey val="0"/>
          <c:showVal val="0"/>
          <c:showCatName val="0"/>
          <c:showSerName val="0"/>
          <c:showPercent val="0"/>
          <c:showBubbleSize val="0"/>
        </c:dLbls>
        <c:smooth val="0"/>
        <c:axId val="453405016"/>
        <c:axId val="453399528"/>
      </c:lineChart>
      <c:catAx>
        <c:axId val="4534050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3399528"/>
        <c:crosses val="autoZero"/>
        <c:auto val="1"/>
        <c:lblAlgn val="ctr"/>
        <c:lblOffset val="100"/>
        <c:tickLblSkip val="4"/>
        <c:noMultiLvlLbl val="0"/>
      </c:catAx>
      <c:valAx>
        <c:axId val="453399528"/>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3405016"/>
        <c:crossesAt val="1"/>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86385459533609"/>
          <c:y val="0.17579998864861798"/>
          <c:w val="0.82182990397805211"/>
          <c:h val="0.68710483001305411"/>
        </c:manualLayout>
      </c:layout>
      <c:lineChart>
        <c:grouping val="standard"/>
        <c:varyColors val="0"/>
        <c:ser>
          <c:idx val="0"/>
          <c:order val="0"/>
          <c:tx>
            <c:strRef>
              <c:f>Methods!$BM$50</c:f>
              <c:strCache>
                <c:ptCount val="1"/>
                <c:pt idx="0">
                  <c:v>Hanging, strangulation and suffocation</c:v>
                </c:pt>
              </c:strCache>
            </c:strRef>
          </c:tx>
          <c:spPr>
            <a:ln w="22225" cap="rnd">
              <a:solidFill>
                <a:schemeClr val="tx1"/>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Methods!$BO$50:$CI$50</c:f>
              <c:numCache>
                <c:formatCode>General</c:formatCode>
                <c:ptCount val="21"/>
                <c:pt idx="0">
                  <c:v>31.2</c:v>
                </c:pt>
                <c:pt idx="1">
                  <c:v>38.200000000000003</c:v>
                </c:pt>
                <c:pt idx="2">
                  <c:v>27.8</c:v>
                </c:pt>
                <c:pt idx="3">
                  <c:v>41</c:v>
                </c:pt>
                <c:pt idx="4">
                  <c:v>36.200000000000003</c:v>
                </c:pt>
                <c:pt idx="5">
                  <c:v>32.299999999999997</c:v>
                </c:pt>
                <c:pt idx="6">
                  <c:v>42</c:v>
                </c:pt>
                <c:pt idx="7">
                  <c:v>36</c:v>
                </c:pt>
                <c:pt idx="8">
                  <c:v>36.4</c:v>
                </c:pt>
                <c:pt idx="9">
                  <c:v>38.1</c:v>
                </c:pt>
                <c:pt idx="10">
                  <c:v>40</c:v>
                </c:pt>
                <c:pt idx="11">
                  <c:v>49</c:v>
                </c:pt>
                <c:pt idx="12">
                  <c:v>48.8</c:v>
                </c:pt>
                <c:pt idx="13">
                  <c:v>50.8</c:v>
                </c:pt>
                <c:pt idx="14">
                  <c:v>50</c:v>
                </c:pt>
                <c:pt idx="15">
                  <c:v>52.1</c:v>
                </c:pt>
                <c:pt idx="16">
                  <c:v>52.4</c:v>
                </c:pt>
                <c:pt idx="17">
                  <c:v>40</c:v>
                </c:pt>
                <c:pt idx="18">
                  <c:v>47.5</c:v>
                </c:pt>
                <c:pt idx="19">
                  <c:v>55.2</c:v>
                </c:pt>
                <c:pt idx="20">
                  <c:v>62.2</c:v>
                </c:pt>
              </c:numCache>
            </c:numRef>
          </c:val>
          <c:smooth val="0"/>
          <c:extLst>
            <c:ext xmlns:c16="http://schemas.microsoft.com/office/drawing/2014/chart" uri="{C3380CC4-5D6E-409C-BE32-E72D297353CC}">
              <c16:uniqueId val="{00000000-D3F8-4DBB-BCF1-6F535E1B5C43}"/>
            </c:ext>
          </c:extLst>
        </c:ser>
        <c:ser>
          <c:idx val="5"/>
          <c:order val="1"/>
          <c:tx>
            <c:strRef>
              <c:f>Methods!$BM$51</c:f>
              <c:strCache>
                <c:ptCount val="1"/>
                <c:pt idx="0">
                  <c:v>Poisoning by gases and vapours</c:v>
                </c:pt>
              </c:strCache>
            </c:strRef>
          </c:tx>
          <c:spPr>
            <a:ln w="22225" cap="rnd">
              <a:solidFill>
                <a:schemeClr val="bg1">
                  <a:lumMod val="50000"/>
                </a:schemeClr>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Methods!$BO$51:$CI$51</c:f>
              <c:numCache>
                <c:formatCode>General</c:formatCode>
                <c:ptCount val="21"/>
                <c:pt idx="0">
                  <c:v>40</c:v>
                </c:pt>
                <c:pt idx="1">
                  <c:v>25</c:v>
                </c:pt>
                <c:pt idx="2">
                  <c:v>21.1</c:v>
                </c:pt>
                <c:pt idx="3">
                  <c:v>21.7</c:v>
                </c:pt>
                <c:pt idx="4">
                  <c:v>35</c:v>
                </c:pt>
                <c:pt idx="5">
                  <c:v>27.7</c:v>
                </c:pt>
                <c:pt idx="6">
                  <c:v>25</c:v>
                </c:pt>
                <c:pt idx="7">
                  <c:v>23</c:v>
                </c:pt>
                <c:pt idx="8">
                  <c:v>28.4</c:v>
                </c:pt>
                <c:pt idx="9">
                  <c:v>24.8</c:v>
                </c:pt>
                <c:pt idx="10">
                  <c:v>21.8</c:v>
                </c:pt>
                <c:pt idx="11">
                  <c:v>18.600000000000001</c:v>
                </c:pt>
                <c:pt idx="12">
                  <c:v>14.4</c:v>
                </c:pt>
                <c:pt idx="13">
                  <c:v>12.5</c:v>
                </c:pt>
                <c:pt idx="14">
                  <c:v>16.100000000000001</c:v>
                </c:pt>
                <c:pt idx="15">
                  <c:v>15.4</c:v>
                </c:pt>
                <c:pt idx="16">
                  <c:v>13.3</c:v>
                </c:pt>
                <c:pt idx="17">
                  <c:v>15.4</c:v>
                </c:pt>
                <c:pt idx="18">
                  <c:v>8.3000000000000007</c:v>
                </c:pt>
                <c:pt idx="19">
                  <c:v>13.6</c:v>
                </c:pt>
                <c:pt idx="20">
                  <c:v>9.4</c:v>
                </c:pt>
              </c:numCache>
            </c:numRef>
          </c:val>
          <c:smooth val="0"/>
          <c:extLst>
            <c:ext xmlns:c16="http://schemas.microsoft.com/office/drawing/2014/chart" uri="{C3380CC4-5D6E-409C-BE32-E72D297353CC}">
              <c16:uniqueId val="{00000001-D3F8-4DBB-BCF1-6F535E1B5C43}"/>
            </c:ext>
          </c:extLst>
        </c:ser>
        <c:ser>
          <c:idx val="6"/>
          <c:order val="2"/>
          <c:tx>
            <c:strRef>
              <c:f>Methods!$BM$52</c:f>
              <c:strCache>
                <c:ptCount val="1"/>
                <c:pt idx="0">
                  <c:v>Poisoning by solids and liquids</c:v>
                </c:pt>
              </c:strCache>
            </c:strRef>
          </c:tx>
          <c:spPr>
            <a:ln w="22225" cap="rnd">
              <a:solidFill>
                <a:srgbClr val="4BACC6"/>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Methods!$BO$52:$CI$52</c:f>
              <c:numCache>
                <c:formatCode>General</c:formatCode>
                <c:ptCount val="21"/>
                <c:pt idx="0">
                  <c:v>7.5</c:v>
                </c:pt>
                <c:pt idx="1">
                  <c:v>5.3</c:v>
                </c:pt>
                <c:pt idx="2">
                  <c:v>10</c:v>
                </c:pt>
                <c:pt idx="3">
                  <c:v>10.8</c:v>
                </c:pt>
                <c:pt idx="4">
                  <c:v>7.5</c:v>
                </c:pt>
                <c:pt idx="5">
                  <c:v>12.3</c:v>
                </c:pt>
                <c:pt idx="6">
                  <c:v>4.5</c:v>
                </c:pt>
                <c:pt idx="7">
                  <c:v>13</c:v>
                </c:pt>
                <c:pt idx="8">
                  <c:v>6.8</c:v>
                </c:pt>
                <c:pt idx="9">
                  <c:v>14.3</c:v>
                </c:pt>
                <c:pt idx="10">
                  <c:v>11.8</c:v>
                </c:pt>
                <c:pt idx="11">
                  <c:v>10.8</c:v>
                </c:pt>
                <c:pt idx="12">
                  <c:v>7.2</c:v>
                </c:pt>
                <c:pt idx="13">
                  <c:v>9.1999999999999993</c:v>
                </c:pt>
                <c:pt idx="14">
                  <c:v>10.199999999999999</c:v>
                </c:pt>
                <c:pt idx="15">
                  <c:v>8.5</c:v>
                </c:pt>
                <c:pt idx="16">
                  <c:v>9.5</c:v>
                </c:pt>
                <c:pt idx="17">
                  <c:v>12.3</c:v>
                </c:pt>
                <c:pt idx="18">
                  <c:v>13.3</c:v>
                </c:pt>
                <c:pt idx="19">
                  <c:v>8.8000000000000007</c:v>
                </c:pt>
                <c:pt idx="20">
                  <c:v>4.7</c:v>
                </c:pt>
              </c:numCache>
            </c:numRef>
          </c:val>
          <c:smooth val="0"/>
          <c:extLst>
            <c:ext xmlns:c16="http://schemas.microsoft.com/office/drawing/2014/chart" uri="{C3380CC4-5D6E-409C-BE32-E72D297353CC}">
              <c16:uniqueId val="{00000002-D3F8-4DBB-BCF1-6F535E1B5C43}"/>
            </c:ext>
          </c:extLst>
        </c:ser>
        <c:ser>
          <c:idx val="1"/>
          <c:order val="3"/>
          <c:tx>
            <c:strRef>
              <c:f>Methods!$BM$53</c:f>
              <c:strCache>
                <c:ptCount val="1"/>
                <c:pt idx="0">
                  <c:v>Firearms and explosives</c:v>
                </c:pt>
              </c:strCache>
            </c:strRef>
          </c:tx>
          <c:spPr>
            <a:ln w="22225" cap="rnd">
              <a:solidFill>
                <a:srgbClr val="A7D6E3"/>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Methods!$BO$53:$CI$53</c:f>
              <c:numCache>
                <c:formatCode>General</c:formatCode>
                <c:ptCount val="21"/>
                <c:pt idx="0">
                  <c:v>11.2</c:v>
                </c:pt>
                <c:pt idx="1">
                  <c:v>18.399999999999999</c:v>
                </c:pt>
                <c:pt idx="2">
                  <c:v>30</c:v>
                </c:pt>
                <c:pt idx="3">
                  <c:v>15.7</c:v>
                </c:pt>
                <c:pt idx="4">
                  <c:v>8.8000000000000007</c:v>
                </c:pt>
                <c:pt idx="5">
                  <c:v>20</c:v>
                </c:pt>
                <c:pt idx="6">
                  <c:v>19.3</c:v>
                </c:pt>
                <c:pt idx="7">
                  <c:v>15</c:v>
                </c:pt>
                <c:pt idx="8">
                  <c:v>18.2</c:v>
                </c:pt>
                <c:pt idx="9">
                  <c:v>13.3</c:v>
                </c:pt>
                <c:pt idx="10">
                  <c:v>16.399999999999999</c:v>
                </c:pt>
                <c:pt idx="11">
                  <c:v>8.8000000000000007</c:v>
                </c:pt>
                <c:pt idx="12">
                  <c:v>13.6</c:v>
                </c:pt>
                <c:pt idx="13">
                  <c:v>19.2</c:v>
                </c:pt>
                <c:pt idx="14">
                  <c:v>11</c:v>
                </c:pt>
                <c:pt idx="15">
                  <c:v>16.2</c:v>
                </c:pt>
                <c:pt idx="16">
                  <c:v>15.2</c:v>
                </c:pt>
                <c:pt idx="17">
                  <c:v>15.4</c:v>
                </c:pt>
                <c:pt idx="18">
                  <c:v>15</c:v>
                </c:pt>
                <c:pt idx="19">
                  <c:v>10.4</c:v>
                </c:pt>
                <c:pt idx="20">
                  <c:v>11.8</c:v>
                </c:pt>
              </c:numCache>
            </c:numRef>
          </c:val>
          <c:smooth val="0"/>
          <c:extLst>
            <c:ext xmlns:c16="http://schemas.microsoft.com/office/drawing/2014/chart" uri="{C3380CC4-5D6E-409C-BE32-E72D297353CC}">
              <c16:uniqueId val="{00000003-D3F8-4DBB-BCF1-6F535E1B5C43}"/>
            </c:ext>
          </c:extLst>
        </c:ser>
        <c:ser>
          <c:idx val="8"/>
          <c:order val="4"/>
          <c:tx>
            <c:strRef>
              <c:f>Methods!$BM$54</c:f>
              <c:strCache>
                <c:ptCount val="1"/>
                <c:pt idx="0">
                  <c:v>Jumping from a high place</c:v>
                </c:pt>
              </c:strCache>
            </c:strRef>
          </c:tx>
          <c:spPr>
            <a:ln w="22225" cap="rnd">
              <a:solidFill>
                <a:schemeClr val="tx1"/>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Methods!$BO$54:$CI$54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4-D3F8-4DBB-BCF1-6F535E1B5C43}"/>
            </c:ext>
          </c:extLst>
        </c:ser>
        <c:ser>
          <c:idx val="9"/>
          <c:order val="5"/>
          <c:tx>
            <c:strRef>
              <c:f>Methods!$BM$55</c:f>
              <c:strCache>
                <c:ptCount val="1"/>
                <c:pt idx="0">
                  <c:v>Submersion (drowning)</c:v>
                </c:pt>
              </c:strCache>
            </c:strRef>
          </c:tx>
          <c:spPr>
            <a:ln w="22225" cap="rnd">
              <a:solidFill>
                <a:srgbClr val="2B8CBE"/>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Methods!$BO$55:$CI$55</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5-D3F8-4DBB-BCF1-6F535E1B5C43}"/>
            </c:ext>
          </c:extLst>
        </c:ser>
        <c:ser>
          <c:idx val="10"/>
          <c:order val="6"/>
          <c:tx>
            <c:strRef>
              <c:f>Methods!$BM$56</c:f>
              <c:strCache>
                <c:ptCount val="1"/>
                <c:pt idx="0">
                  <c:v>Sharp object</c:v>
                </c:pt>
              </c:strCache>
            </c:strRef>
          </c:tx>
          <c:spPr>
            <a:ln w="22225" cap="rnd">
              <a:solidFill>
                <a:schemeClr val="bg1">
                  <a:lumMod val="50000"/>
                </a:schemeClr>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Methods!$BO$56:$CI$56</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6-D3F8-4DBB-BCF1-6F535E1B5C43}"/>
            </c:ext>
          </c:extLst>
        </c:ser>
        <c:ser>
          <c:idx val="11"/>
          <c:order val="7"/>
          <c:tx>
            <c:strRef>
              <c:f>Methods!$BM$57</c:f>
              <c:strCache>
                <c:ptCount val="1"/>
                <c:pt idx="0">
                  <c:v>Other</c:v>
                </c:pt>
              </c:strCache>
            </c:strRef>
          </c:tx>
          <c:spPr>
            <a:ln w="22225" cap="rnd">
              <a:solidFill>
                <a:srgbClr val="A7D6E3"/>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Methods!$BO$57:$CI$57</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7-D3F8-4DBB-BCF1-6F535E1B5C43}"/>
            </c:ext>
          </c:extLst>
        </c:ser>
        <c:dLbls>
          <c:showLegendKey val="0"/>
          <c:showVal val="0"/>
          <c:showCatName val="0"/>
          <c:showSerName val="0"/>
          <c:showPercent val="0"/>
          <c:showBubbleSize val="0"/>
        </c:dLbls>
        <c:smooth val="0"/>
        <c:axId val="453400704"/>
        <c:axId val="453401880"/>
      </c:lineChart>
      <c:catAx>
        <c:axId val="4534007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3401880"/>
        <c:crosses val="autoZero"/>
        <c:auto val="1"/>
        <c:lblAlgn val="ctr"/>
        <c:lblOffset val="100"/>
        <c:tickLblSkip val="4"/>
        <c:noMultiLvlLbl val="0"/>
      </c:catAx>
      <c:valAx>
        <c:axId val="453401880"/>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3400704"/>
        <c:crossesAt val="1"/>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86385459533609"/>
          <c:y val="0.17579998864861798"/>
          <c:w val="0.82182990397805211"/>
          <c:h val="0.68710483001305411"/>
        </c:manualLayout>
      </c:layout>
      <c:lineChart>
        <c:grouping val="standard"/>
        <c:varyColors val="0"/>
        <c:ser>
          <c:idx val="0"/>
          <c:order val="0"/>
          <c:tx>
            <c:strRef>
              <c:f>Methods!$BM$59</c:f>
              <c:strCache>
                <c:ptCount val="1"/>
                <c:pt idx="0">
                  <c:v>Hanging, strangulation and suffocation</c:v>
                </c:pt>
              </c:strCache>
            </c:strRef>
          </c:tx>
          <c:spPr>
            <a:ln w="22225" cap="rnd">
              <a:solidFill>
                <a:schemeClr val="tx1"/>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Methods!$BO$59:$CI$59</c:f>
              <c:numCache>
                <c:formatCode>General</c:formatCode>
                <c:ptCount val="21"/>
                <c:pt idx="0">
                  <c:v>28.3</c:v>
                </c:pt>
                <c:pt idx="1">
                  <c:v>28.3</c:v>
                </c:pt>
                <c:pt idx="2">
                  <c:v>29.2</c:v>
                </c:pt>
                <c:pt idx="3">
                  <c:v>36.1</c:v>
                </c:pt>
                <c:pt idx="4">
                  <c:v>39</c:v>
                </c:pt>
                <c:pt idx="5">
                  <c:v>29.2</c:v>
                </c:pt>
                <c:pt idx="6">
                  <c:v>27.8</c:v>
                </c:pt>
                <c:pt idx="7">
                  <c:v>30.4</c:v>
                </c:pt>
                <c:pt idx="8">
                  <c:v>34.799999999999997</c:v>
                </c:pt>
                <c:pt idx="9">
                  <c:v>43.8</c:v>
                </c:pt>
                <c:pt idx="10">
                  <c:v>36.4</c:v>
                </c:pt>
                <c:pt idx="11">
                  <c:v>31</c:v>
                </c:pt>
                <c:pt idx="12">
                  <c:v>22.2</c:v>
                </c:pt>
                <c:pt idx="13">
                  <c:v>36.6</c:v>
                </c:pt>
                <c:pt idx="14">
                  <c:v>37.200000000000003</c:v>
                </c:pt>
                <c:pt idx="15">
                  <c:v>29</c:v>
                </c:pt>
                <c:pt idx="16">
                  <c:v>39.5</c:v>
                </c:pt>
                <c:pt idx="17">
                  <c:v>39.6</c:v>
                </c:pt>
                <c:pt idx="18">
                  <c:v>44.9</c:v>
                </c:pt>
                <c:pt idx="19">
                  <c:v>28.6</c:v>
                </c:pt>
                <c:pt idx="20">
                  <c:v>39.200000000000003</c:v>
                </c:pt>
              </c:numCache>
            </c:numRef>
          </c:val>
          <c:smooth val="0"/>
          <c:extLst>
            <c:ext xmlns:c16="http://schemas.microsoft.com/office/drawing/2014/chart" uri="{C3380CC4-5D6E-409C-BE32-E72D297353CC}">
              <c16:uniqueId val="{00000000-9045-4BED-8297-0B3D637F1073}"/>
            </c:ext>
          </c:extLst>
        </c:ser>
        <c:ser>
          <c:idx val="5"/>
          <c:order val="1"/>
          <c:tx>
            <c:strRef>
              <c:f>Methods!$BM$60</c:f>
              <c:strCache>
                <c:ptCount val="1"/>
                <c:pt idx="0">
                  <c:v>Poisoning by gases and vapours</c:v>
                </c:pt>
              </c:strCache>
            </c:strRef>
          </c:tx>
          <c:spPr>
            <a:ln w="22225" cap="rnd">
              <a:solidFill>
                <a:schemeClr val="bg1">
                  <a:lumMod val="50000"/>
                </a:schemeClr>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Methods!$BO$60:$CI$60</c:f>
              <c:numCache>
                <c:formatCode>General</c:formatCode>
                <c:ptCount val="21"/>
                <c:pt idx="0">
                  <c:v>20.8</c:v>
                </c:pt>
                <c:pt idx="1">
                  <c:v>34.799999999999997</c:v>
                </c:pt>
                <c:pt idx="2">
                  <c:v>41.7</c:v>
                </c:pt>
                <c:pt idx="3">
                  <c:v>25</c:v>
                </c:pt>
                <c:pt idx="4">
                  <c:v>17.100000000000001</c:v>
                </c:pt>
                <c:pt idx="5">
                  <c:v>29.2</c:v>
                </c:pt>
                <c:pt idx="6">
                  <c:v>19.399999999999999</c:v>
                </c:pt>
                <c:pt idx="7">
                  <c:v>19.600000000000001</c:v>
                </c:pt>
                <c:pt idx="8">
                  <c:v>21.7</c:v>
                </c:pt>
                <c:pt idx="9">
                  <c:v>21.9</c:v>
                </c:pt>
                <c:pt idx="10">
                  <c:v>27.3</c:v>
                </c:pt>
                <c:pt idx="11">
                  <c:v>14.3</c:v>
                </c:pt>
                <c:pt idx="12">
                  <c:v>22.2</c:v>
                </c:pt>
                <c:pt idx="13">
                  <c:v>9.8000000000000007</c:v>
                </c:pt>
                <c:pt idx="14">
                  <c:v>20.9</c:v>
                </c:pt>
                <c:pt idx="15">
                  <c:v>3.2</c:v>
                </c:pt>
                <c:pt idx="16">
                  <c:v>11.6</c:v>
                </c:pt>
                <c:pt idx="17">
                  <c:v>6.2</c:v>
                </c:pt>
                <c:pt idx="18">
                  <c:v>10.199999999999999</c:v>
                </c:pt>
                <c:pt idx="19">
                  <c:v>2</c:v>
                </c:pt>
                <c:pt idx="20">
                  <c:v>11.8</c:v>
                </c:pt>
              </c:numCache>
            </c:numRef>
          </c:val>
          <c:smooth val="0"/>
          <c:extLst>
            <c:ext xmlns:c16="http://schemas.microsoft.com/office/drawing/2014/chart" uri="{C3380CC4-5D6E-409C-BE32-E72D297353CC}">
              <c16:uniqueId val="{00000001-9045-4BED-8297-0B3D637F1073}"/>
            </c:ext>
          </c:extLst>
        </c:ser>
        <c:ser>
          <c:idx val="6"/>
          <c:order val="2"/>
          <c:tx>
            <c:strRef>
              <c:f>Methods!$BM$61</c:f>
              <c:strCache>
                <c:ptCount val="1"/>
                <c:pt idx="0">
                  <c:v>Poisoning by solids and liquids</c:v>
                </c:pt>
              </c:strCache>
            </c:strRef>
          </c:tx>
          <c:spPr>
            <a:ln w="22225" cap="rnd">
              <a:solidFill>
                <a:srgbClr val="4BACC6"/>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Methods!$BO$61:$CI$61</c:f>
              <c:numCache>
                <c:formatCode>General</c:formatCode>
                <c:ptCount val="21"/>
                <c:pt idx="0">
                  <c:v>17</c:v>
                </c:pt>
                <c:pt idx="1">
                  <c:v>8.6999999999999993</c:v>
                </c:pt>
                <c:pt idx="2">
                  <c:v>6.2</c:v>
                </c:pt>
                <c:pt idx="3">
                  <c:v>2.8</c:v>
                </c:pt>
                <c:pt idx="4">
                  <c:v>9.8000000000000007</c:v>
                </c:pt>
                <c:pt idx="5">
                  <c:v>14.6</c:v>
                </c:pt>
                <c:pt idx="6">
                  <c:v>16.7</c:v>
                </c:pt>
                <c:pt idx="7">
                  <c:v>10.9</c:v>
                </c:pt>
                <c:pt idx="8">
                  <c:v>6.5</c:v>
                </c:pt>
                <c:pt idx="9">
                  <c:v>3.1</c:v>
                </c:pt>
                <c:pt idx="10">
                  <c:v>3</c:v>
                </c:pt>
                <c:pt idx="11">
                  <c:v>11.9</c:v>
                </c:pt>
                <c:pt idx="12">
                  <c:v>13.9</c:v>
                </c:pt>
                <c:pt idx="13">
                  <c:v>19.5</c:v>
                </c:pt>
                <c:pt idx="14">
                  <c:v>9.3000000000000007</c:v>
                </c:pt>
                <c:pt idx="15">
                  <c:v>16.100000000000001</c:v>
                </c:pt>
                <c:pt idx="16">
                  <c:v>14</c:v>
                </c:pt>
                <c:pt idx="17">
                  <c:v>12.5</c:v>
                </c:pt>
                <c:pt idx="18">
                  <c:v>16.3</c:v>
                </c:pt>
                <c:pt idx="19">
                  <c:v>10.199999999999999</c:v>
                </c:pt>
                <c:pt idx="20">
                  <c:v>13.7</c:v>
                </c:pt>
              </c:numCache>
            </c:numRef>
          </c:val>
          <c:smooth val="0"/>
          <c:extLst>
            <c:ext xmlns:c16="http://schemas.microsoft.com/office/drawing/2014/chart" uri="{C3380CC4-5D6E-409C-BE32-E72D297353CC}">
              <c16:uniqueId val="{00000002-9045-4BED-8297-0B3D637F1073}"/>
            </c:ext>
          </c:extLst>
        </c:ser>
        <c:ser>
          <c:idx val="1"/>
          <c:order val="3"/>
          <c:tx>
            <c:strRef>
              <c:f>Methods!$BM$62</c:f>
              <c:strCache>
                <c:ptCount val="1"/>
                <c:pt idx="0">
                  <c:v>Firearms and explosives</c:v>
                </c:pt>
              </c:strCache>
            </c:strRef>
          </c:tx>
          <c:spPr>
            <a:ln w="22225" cap="rnd">
              <a:solidFill>
                <a:srgbClr val="A7D6E3"/>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Methods!$BO$62:$CI$62</c:f>
              <c:numCache>
                <c:formatCode>General</c:formatCode>
                <c:ptCount val="21"/>
                <c:pt idx="0">
                  <c:v>17</c:v>
                </c:pt>
                <c:pt idx="1">
                  <c:v>10.9</c:v>
                </c:pt>
                <c:pt idx="2">
                  <c:v>14.6</c:v>
                </c:pt>
                <c:pt idx="3">
                  <c:v>19.399999999999999</c:v>
                </c:pt>
                <c:pt idx="4">
                  <c:v>17.100000000000001</c:v>
                </c:pt>
                <c:pt idx="5">
                  <c:v>6.2</c:v>
                </c:pt>
                <c:pt idx="6">
                  <c:v>19.399999999999999</c:v>
                </c:pt>
                <c:pt idx="7">
                  <c:v>21.7</c:v>
                </c:pt>
                <c:pt idx="8">
                  <c:v>17.399999999999999</c:v>
                </c:pt>
                <c:pt idx="9">
                  <c:v>18.8</c:v>
                </c:pt>
                <c:pt idx="10">
                  <c:v>15.2</c:v>
                </c:pt>
                <c:pt idx="11">
                  <c:v>33.299999999999997</c:v>
                </c:pt>
                <c:pt idx="12">
                  <c:v>30.6</c:v>
                </c:pt>
                <c:pt idx="13">
                  <c:v>17.100000000000001</c:v>
                </c:pt>
                <c:pt idx="14">
                  <c:v>23.3</c:v>
                </c:pt>
                <c:pt idx="15">
                  <c:v>22.6</c:v>
                </c:pt>
                <c:pt idx="16">
                  <c:v>18.600000000000001</c:v>
                </c:pt>
                <c:pt idx="17">
                  <c:v>31.2</c:v>
                </c:pt>
                <c:pt idx="18">
                  <c:v>22.4</c:v>
                </c:pt>
                <c:pt idx="19">
                  <c:v>30.6</c:v>
                </c:pt>
                <c:pt idx="20">
                  <c:v>11.8</c:v>
                </c:pt>
              </c:numCache>
            </c:numRef>
          </c:val>
          <c:smooth val="0"/>
          <c:extLst>
            <c:ext xmlns:c16="http://schemas.microsoft.com/office/drawing/2014/chart" uri="{C3380CC4-5D6E-409C-BE32-E72D297353CC}">
              <c16:uniqueId val="{00000003-9045-4BED-8297-0B3D637F1073}"/>
            </c:ext>
          </c:extLst>
        </c:ser>
        <c:ser>
          <c:idx val="8"/>
          <c:order val="4"/>
          <c:tx>
            <c:strRef>
              <c:f>Methods!$BM$63</c:f>
              <c:strCache>
                <c:ptCount val="1"/>
                <c:pt idx="0">
                  <c:v>Jumping from a high place</c:v>
                </c:pt>
              </c:strCache>
            </c:strRef>
          </c:tx>
          <c:spPr>
            <a:ln w="22225" cap="rnd">
              <a:solidFill>
                <a:schemeClr val="tx1"/>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Methods!$BO$63:$CI$63</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4-9045-4BED-8297-0B3D637F1073}"/>
            </c:ext>
          </c:extLst>
        </c:ser>
        <c:ser>
          <c:idx val="9"/>
          <c:order val="5"/>
          <c:tx>
            <c:strRef>
              <c:f>Methods!$BM$64</c:f>
              <c:strCache>
                <c:ptCount val="1"/>
                <c:pt idx="0">
                  <c:v>Submersion (drowning)</c:v>
                </c:pt>
              </c:strCache>
            </c:strRef>
          </c:tx>
          <c:spPr>
            <a:ln w="22225" cap="rnd">
              <a:solidFill>
                <a:srgbClr val="2B8CBE"/>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Methods!$BO$64:$CI$64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5-9045-4BED-8297-0B3D637F1073}"/>
            </c:ext>
          </c:extLst>
        </c:ser>
        <c:ser>
          <c:idx val="10"/>
          <c:order val="6"/>
          <c:tx>
            <c:strRef>
              <c:f>Methods!$BM$65</c:f>
              <c:strCache>
                <c:ptCount val="1"/>
                <c:pt idx="0">
                  <c:v>Sharp object</c:v>
                </c:pt>
              </c:strCache>
            </c:strRef>
          </c:tx>
          <c:spPr>
            <a:ln w="22225" cap="rnd">
              <a:solidFill>
                <a:schemeClr val="bg1">
                  <a:lumMod val="50000"/>
                </a:schemeClr>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Methods!$BO$65:$CI$65</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6-9045-4BED-8297-0B3D637F1073}"/>
            </c:ext>
          </c:extLst>
        </c:ser>
        <c:ser>
          <c:idx val="11"/>
          <c:order val="7"/>
          <c:tx>
            <c:strRef>
              <c:f>Methods!$BM$66</c:f>
              <c:strCache>
                <c:ptCount val="1"/>
                <c:pt idx="0">
                  <c:v>Other</c:v>
                </c:pt>
              </c:strCache>
            </c:strRef>
          </c:tx>
          <c:spPr>
            <a:ln w="22225" cap="rnd">
              <a:solidFill>
                <a:srgbClr val="A7D6E3"/>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Methods!$BO$66:$CI$66</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7-9045-4BED-8297-0B3D637F1073}"/>
            </c:ext>
          </c:extLst>
        </c:ser>
        <c:dLbls>
          <c:showLegendKey val="0"/>
          <c:showVal val="0"/>
          <c:showCatName val="0"/>
          <c:showSerName val="0"/>
          <c:showPercent val="0"/>
          <c:showBubbleSize val="0"/>
        </c:dLbls>
        <c:smooth val="0"/>
        <c:axId val="453400312"/>
        <c:axId val="455435728"/>
      </c:lineChart>
      <c:catAx>
        <c:axId val="4534003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5435728"/>
        <c:crosses val="autoZero"/>
        <c:auto val="1"/>
        <c:lblAlgn val="ctr"/>
        <c:lblOffset val="100"/>
        <c:tickLblSkip val="4"/>
        <c:noMultiLvlLbl val="0"/>
      </c:catAx>
      <c:valAx>
        <c:axId val="455435728"/>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3400312"/>
        <c:crossesAt val="1"/>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86385459533609"/>
          <c:y val="0.17579998864861798"/>
          <c:w val="0.82182990397805211"/>
          <c:h val="0.68710483001305411"/>
        </c:manualLayout>
      </c:layout>
      <c:lineChart>
        <c:grouping val="standard"/>
        <c:varyColors val="0"/>
        <c:ser>
          <c:idx val="0"/>
          <c:order val="0"/>
          <c:tx>
            <c:strRef>
              <c:f>Methods!$BM$68</c:f>
              <c:strCache>
                <c:ptCount val="1"/>
                <c:pt idx="0">
                  <c:v>Hanging, strangulation and suffocation</c:v>
                </c:pt>
              </c:strCache>
            </c:strRef>
          </c:tx>
          <c:spPr>
            <a:ln w="22225" cap="rnd">
              <a:solidFill>
                <a:schemeClr val="tx1"/>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Methods!$BO$68:$CI$68</c:f>
              <c:numCache>
                <c:formatCode>General</c:formatCode>
                <c:ptCount val="21"/>
                <c:pt idx="0">
                  <c:v>44.7</c:v>
                </c:pt>
                <c:pt idx="1">
                  <c:v>79.3</c:v>
                </c:pt>
                <c:pt idx="2">
                  <c:v>60</c:v>
                </c:pt>
                <c:pt idx="3">
                  <c:v>75.7</c:v>
                </c:pt>
                <c:pt idx="4">
                  <c:v>46.7</c:v>
                </c:pt>
                <c:pt idx="5">
                  <c:v>52.2</c:v>
                </c:pt>
                <c:pt idx="6">
                  <c:v>63.3</c:v>
                </c:pt>
                <c:pt idx="7">
                  <c:v>61.3</c:v>
                </c:pt>
                <c:pt idx="8">
                  <c:v>87.1</c:v>
                </c:pt>
                <c:pt idx="9">
                  <c:v>76</c:v>
                </c:pt>
                <c:pt idx="10">
                  <c:v>79.2</c:v>
                </c:pt>
                <c:pt idx="11">
                  <c:v>78.3</c:v>
                </c:pt>
                <c:pt idx="12">
                  <c:v>76.3</c:v>
                </c:pt>
                <c:pt idx="13">
                  <c:v>95.2</c:v>
                </c:pt>
                <c:pt idx="14">
                  <c:v>76.5</c:v>
                </c:pt>
                <c:pt idx="15">
                  <c:v>88.6</c:v>
                </c:pt>
                <c:pt idx="16">
                  <c:v>95.1</c:v>
                </c:pt>
                <c:pt idx="17">
                  <c:v>78.900000000000006</c:v>
                </c:pt>
                <c:pt idx="18">
                  <c:v>85.7</c:v>
                </c:pt>
                <c:pt idx="19">
                  <c:v>80.5</c:v>
                </c:pt>
                <c:pt idx="20">
                  <c:v>73.099999999999994</c:v>
                </c:pt>
              </c:numCache>
            </c:numRef>
          </c:val>
          <c:smooth val="0"/>
          <c:extLst>
            <c:ext xmlns:c16="http://schemas.microsoft.com/office/drawing/2014/chart" uri="{C3380CC4-5D6E-409C-BE32-E72D297353CC}">
              <c16:uniqueId val="{00000000-BB3D-47D4-8B4A-315F48D3D0D9}"/>
            </c:ext>
          </c:extLst>
        </c:ser>
        <c:ser>
          <c:idx val="5"/>
          <c:order val="1"/>
          <c:tx>
            <c:strRef>
              <c:f>Methods!$BM$69</c:f>
              <c:strCache>
                <c:ptCount val="1"/>
                <c:pt idx="0">
                  <c:v>Poisoning by gases and vapours</c:v>
                </c:pt>
              </c:strCache>
            </c:strRef>
          </c:tx>
          <c:spPr>
            <a:ln w="22225" cap="rnd">
              <a:solidFill>
                <a:schemeClr val="bg1">
                  <a:lumMod val="50000"/>
                </a:schemeClr>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Methods!$BO$69:$CI$69</c:f>
              <c:numCache>
                <c:formatCode>General</c:formatCode>
                <c:ptCount val="21"/>
                <c:pt idx="0">
                  <c:v>28.9</c:v>
                </c:pt>
                <c:pt idx="1">
                  <c:v>3.4</c:v>
                </c:pt>
                <c:pt idx="2">
                  <c:v>5.7</c:v>
                </c:pt>
                <c:pt idx="3">
                  <c:v>10.8</c:v>
                </c:pt>
                <c:pt idx="4">
                  <c:v>26.7</c:v>
                </c:pt>
                <c:pt idx="5">
                  <c:v>8.6999999999999993</c:v>
                </c:pt>
                <c:pt idx="6">
                  <c:v>16.7</c:v>
                </c:pt>
                <c:pt idx="7">
                  <c:v>16.100000000000001</c:v>
                </c:pt>
                <c:pt idx="8">
                  <c:v>6.5</c:v>
                </c:pt>
                <c:pt idx="9">
                  <c:v>4</c:v>
                </c:pt>
                <c:pt idx="10">
                  <c:v>8.3000000000000007</c:v>
                </c:pt>
                <c:pt idx="11">
                  <c:v>8.6999999999999993</c:v>
                </c:pt>
                <c:pt idx="12">
                  <c:v>2.6</c:v>
                </c:pt>
                <c:pt idx="13">
                  <c:v>0</c:v>
                </c:pt>
                <c:pt idx="14">
                  <c:v>5.9</c:v>
                </c:pt>
                <c:pt idx="15">
                  <c:v>0</c:v>
                </c:pt>
                <c:pt idx="16">
                  <c:v>0</c:v>
                </c:pt>
                <c:pt idx="17">
                  <c:v>0</c:v>
                </c:pt>
                <c:pt idx="18">
                  <c:v>4.8</c:v>
                </c:pt>
                <c:pt idx="19">
                  <c:v>0</c:v>
                </c:pt>
                <c:pt idx="20">
                  <c:v>7.7</c:v>
                </c:pt>
              </c:numCache>
            </c:numRef>
          </c:val>
          <c:smooth val="0"/>
          <c:extLst>
            <c:ext xmlns:c16="http://schemas.microsoft.com/office/drawing/2014/chart" uri="{C3380CC4-5D6E-409C-BE32-E72D297353CC}">
              <c16:uniqueId val="{00000001-BB3D-47D4-8B4A-315F48D3D0D9}"/>
            </c:ext>
          </c:extLst>
        </c:ser>
        <c:ser>
          <c:idx val="6"/>
          <c:order val="2"/>
          <c:tx>
            <c:strRef>
              <c:f>Methods!$BM$70</c:f>
              <c:strCache>
                <c:ptCount val="1"/>
                <c:pt idx="0">
                  <c:v>Poisoning by solids and liquids</c:v>
                </c:pt>
              </c:strCache>
            </c:strRef>
          </c:tx>
          <c:spPr>
            <a:ln w="22225" cap="rnd">
              <a:solidFill>
                <a:srgbClr val="4BACC6"/>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Methods!$BO$70:$CI$70</c:f>
              <c:numCache>
                <c:formatCode>General</c:formatCode>
                <c:ptCount val="21"/>
                <c:pt idx="0">
                  <c:v>21.1</c:v>
                </c:pt>
                <c:pt idx="1">
                  <c:v>10.3</c:v>
                </c:pt>
                <c:pt idx="2">
                  <c:v>28.6</c:v>
                </c:pt>
                <c:pt idx="3">
                  <c:v>8.1</c:v>
                </c:pt>
                <c:pt idx="4">
                  <c:v>13.3</c:v>
                </c:pt>
                <c:pt idx="5">
                  <c:v>21.7</c:v>
                </c:pt>
                <c:pt idx="6">
                  <c:v>10</c:v>
                </c:pt>
                <c:pt idx="7">
                  <c:v>9.6999999999999993</c:v>
                </c:pt>
                <c:pt idx="8">
                  <c:v>6.5</c:v>
                </c:pt>
                <c:pt idx="9">
                  <c:v>8</c:v>
                </c:pt>
                <c:pt idx="10">
                  <c:v>8.3000000000000007</c:v>
                </c:pt>
                <c:pt idx="11">
                  <c:v>8.6999999999999993</c:v>
                </c:pt>
                <c:pt idx="12">
                  <c:v>10.5</c:v>
                </c:pt>
                <c:pt idx="13">
                  <c:v>0</c:v>
                </c:pt>
                <c:pt idx="14">
                  <c:v>8.8000000000000007</c:v>
                </c:pt>
                <c:pt idx="15">
                  <c:v>8.6</c:v>
                </c:pt>
                <c:pt idx="16">
                  <c:v>0</c:v>
                </c:pt>
                <c:pt idx="17">
                  <c:v>10.5</c:v>
                </c:pt>
                <c:pt idx="18">
                  <c:v>4.8</c:v>
                </c:pt>
                <c:pt idx="19">
                  <c:v>9.8000000000000007</c:v>
                </c:pt>
                <c:pt idx="20">
                  <c:v>3.8</c:v>
                </c:pt>
              </c:numCache>
            </c:numRef>
          </c:val>
          <c:smooth val="0"/>
          <c:extLst>
            <c:ext xmlns:c16="http://schemas.microsoft.com/office/drawing/2014/chart" uri="{C3380CC4-5D6E-409C-BE32-E72D297353CC}">
              <c16:uniqueId val="{00000002-BB3D-47D4-8B4A-315F48D3D0D9}"/>
            </c:ext>
          </c:extLst>
        </c:ser>
        <c:ser>
          <c:idx val="1"/>
          <c:order val="3"/>
          <c:tx>
            <c:strRef>
              <c:f>Methods!$BM$71</c:f>
              <c:strCache>
                <c:ptCount val="1"/>
                <c:pt idx="0">
                  <c:v>Firearms and explosives</c:v>
                </c:pt>
              </c:strCache>
            </c:strRef>
          </c:tx>
          <c:spPr>
            <a:ln w="22225" cap="rnd">
              <a:solidFill>
                <a:srgbClr val="A7D6E3"/>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Methods!$BO$71:$CI$71</c:f>
              <c:numCache>
                <c:formatCode>General</c:formatCode>
                <c:ptCount val="21"/>
                <c:pt idx="0">
                  <c:v>0</c:v>
                </c:pt>
                <c:pt idx="1">
                  <c:v>3.4</c:v>
                </c:pt>
                <c:pt idx="2">
                  <c:v>0</c:v>
                </c:pt>
                <c:pt idx="3">
                  <c:v>2.7</c:v>
                </c:pt>
                <c:pt idx="4">
                  <c:v>0</c:v>
                </c:pt>
                <c:pt idx="5">
                  <c:v>0</c:v>
                </c:pt>
                <c:pt idx="6">
                  <c:v>3.3</c:v>
                </c:pt>
                <c:pt idx="7">
                  <c:v>3.2</c:v>
                </c:pt>
                <c:pt idx="8">
                  <c:v>0</c:v>
                </c:pt>
                <c:pt idx="9">
                  <c:v>4</c:v>
                </c:pt>
                <c:pt idx="10">
                  <c:v>4.2</c:v>
                </c:pt>
                <c:pt idx="11">
                  <c:v>0</c:v>
                </c:pt>
                <c:pt idx="12">
                  <c:v>2.6</c:v>
                </c:pt>
                <c:pt idx="13">
                  <c:v>0</c:v>
                </c:pt>
                <c:pt idx="14">
                  <c:v>2.9</c:v>
                </c:pt>
                <c:pt idx="15">
                  <c:v>0</c:v>
                </c:pt>
                <c:pt idx="16">
                  <c:v>0</c:v>
                </c:pt>
                <c:pt idx="17">
                  <c:v>2.6</c:v>
                </c:pt>
                <c:pt idx="18">
                  <c:v>0</c:v>
                </c:pt>
                <c:pt idx="19">
                  <c:v>2.4</c:v>
                </c:pt>
                <c:pt idx="20">
                  <c:v>0</c:v>
                </c:pt>
              </c:numCache>
            </c:numRef>
          </c:val>
          <c:smooth val="0"/>
          <c:extLst>
            <c:ext xmlns:c16="http://schemas.microsoft.com/office/drawing/2014/chart" uri="{C3380CC4-5D6E-409C-BE32-E72D297353CC}">
              <c16:uniqueId val="{00000003-BB3D-47D4-8B4A-315F48D3D0D9}"/>
            </c:ext>
          </c:extLst>
        </c:ser>
        <c:ser>
          <c:idx val="8"/>
          <c:order val="4"/>
          <c:tx>
            <c:strRef>
              <c:f>Methods!$BM$72</c:f>
              <c:strCache>
                <c:ptCount val="1"/>
                <c:pt idx="0">
                  <c:v>Jumping from a high place</c:v>
                </c:pt>
              </c:strCache>
            </c:strRef>
          </c:tx>
          <c:spPr>
            <a:ln w="22225" cap="rnd">
              <a:solidFill>
                <a:schemeClr val="tx1"/>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Methods!$BO$72:$CI$72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4-BB3D-47D4-8B4A-315F48D3D0D9}"/>
            </c:ext>
          </c:extLst>
        </c:ser>
        <c:ser>
          <c:idx val="9"/>
          <c:order val="5"/>
          <c:tx>
            <c:strRef>
              <c:f>Methods!$BM$73</c:f>
              <c:strCache>
                <c:ptCount val="1"/>
                <c:pt idx="0">
                  <c:v>Submersion (drowning)</c:v>
                </c:pt>
              </c:strCache>
            </c:strRef>
          </c:tx>
          <c:spPr>
            <a:ln w="22225" cap="rnd">
              <a:solidFill>
                <a:srgbClr val="2B8CBE"/>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Methods!$BO$73:$CI$73</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5-BB3D-47D4-8B4A-315F48D3D0D9}"/>
            </c:ext>
          </c:extLst>
        </c:ser>
        <c:ser>
          <c:idx val="10"/>
          <c:order val="6"/>
          <c:tx>
            <c:strRef>
              <c:f>Methods!$BM$74</c:f>
              <c:strCache>
                <c:ptCount val="1"/>
                <c:pt idx="0">
                  <c:v>Sharp object</c:v>
                </c:pt>
              </c:strCache>
            </c:strRef>
          </c:tx>
          <c:spPr>
            <a:ln w="22225" cap="rnd">
              <a:solidFill>
                <a:schemeClr val="bg1">
                  <a:lumMod val="50000"/>
                </a:schemeClr>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Methods!$BO$74:$CI$74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6-BB3D-47D4-8B4A-315F48D3D0D9}"/>
            </c:ext>
          </c:extLst>
        </c:ser>
        <c:ser>
          <c:idx val="11"/>
          <c:order val="7"/>
          <c:tx>
            <c:strRef>
              <c:f>Methods!$BM$75</c:f>
              <c:strCache>
                <c:ptCount val="1"/>
                <c:pt idx="0">
                  <c:v>Other</c:v>
                </c:pt>
              </c:strCache>
            </c:strRef>
          </c:tx>
          <c:spPr>
            <a:ln w="22225" cap="rnd">
              <a:solidFill>
                <a:srgbClr val="A7D6E3"/>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Methods!$BO$75:$CI$75</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7-BB3D-47D4-8B4A-315F48D3D0D9}"/>
            </c:ext>
          </c:extLst>
        </c:ser>
        <c:dLbls>
          <c:showLegendKey val="0"/>
          <c:showVal val="0"/>
          <c:showCatName val="0"/>
          <c:showSerName val="0"/>
          <c:showPercent val="0"/>
          <c:showBubbleSize val="0"/>
        </c:dLbls>
        <c:smooth val="0"/>
        <c:axId val="455434160"/>
        <c:axId val="455433376"/>
      </c:lineChart>
      <c:catAx>
        <c:axId val="45543416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5433376"/>
        <c:crosses val="autoZero"/>
        <c:auto val="1"/>
        <c:lblAlgn val="ctr"/>
        <c:lblOffset val="100"/>
        <c:tickLblSkip val="4"/>
        <c:noMultiLvlLbl val="0"/>
      </c:catAx>
      <c:valAx>
        <c:axId val="455433376"/>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5434160"/>
        <c:crossesAt val="1"/>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86385459533609"/>
          <c:y val="0.17579998864861798"/>
          <c:w val="0.82182990397805211"/>
          <c:h val="0.68710483001305411"/>
        </c:manualLayout>
      </c:layout>
      <c:lineChart>
        <c:grouping val="standard"/>
        <c:varyColors val="0"/>
        <c:ser>
          <c:idx val="0"/>
          <c:order val="0"/>
          <c:tx>
            <c:strRef>
              <c:f>Methods!$BM$77</c:f>
              <c:strCache>
                <c:ptCount val="1"/>
                <c:pt idx="0">
                  <c:v>Hanging, strangulation and suffocation</c:v>
                </c:pt>
              </c:strCache>
            </c:strRef>
          </c:tx>
          <c:spPr>
            <a:ln w="22225" cap="rnd">
              <a:solidFill>
                <a:schemeClr val="tx1"/>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Methods!$BO$77:$CI$77</c:f>
              <c:numCache>
                <c:formatCode>General</c:formatCode>
                <c:ptCount val="21"/>
                <c:pt idx="0">
                  <c:v>32.4</c:v>
                </c:pt>
                <c:pt idx="1">
                  <c:v>23.6</c:v>
                </c:pt>
                <c:pt idx="2">
                  <c:v>59.3</c:v>
                </c:pt>
                <c:pt idx="3">
                  <c:v>32.700000000000003</c:v>
                </c:pt>
                <c:pt idx="4">
                  <c:v>34.200000000000003</c:v>
                </c:pt>
                <c:pt idx="5">
                  <c:v>40</c:v>
                </c:pt>
                <c:pt idx="6">
                  <c:v>34</c:v>
                </c:pt>
                <c:pt idx="7">
                  <c:v>42.6</c:v>
                </c:pt>
                <c:pt idx="8">
                  <c:v>37.5</c:v>
                </c:pt>
                <c:pt idx="9">
                  <c:v>46.6</c:v>
                </c:pt>
                <c:pt idx="10">
                  <c:v>51.7</c:v>
                </c:pt>
                <c:pt idx="11">
                  <c:v>35.4</c:v>
                </c:pt>
                <c:pt idx="12">
                  <c:v>59.2</c:v>
                </c:pt>
                <c:pt idx="13">
                  <c:v>43.9</c:v>
                </c:pt>
                <c:pt idx="14">
                  <c:v>52.8</c:v>
                </c:pt>
                <c:pt idx="15">
                  <c:v>60.6</c:v>
                </c:pt>
                <c:pt idx="16">
                  <c:v>48.8</c:v>
                </c:pt>
                <c:pt idx="17">
                  <c:v>63.8</c:v>
                </c:pt>
                <c:pt idx="18">
                  <c:v>74</c:v>
                </c:pt>
                <c:pt idx="19">
                  <c:v>69.400000000000006</c:v>
                </c:pt>
                <c:pt idx="20">
                  <c:v>70.2</c:v>
                </c:pt>
              </c:numCache>
            </c:numRef>
          </c:val>
          <c:smooth val="0"/>
          <c:extLst>
            <c:ext xmlns:c16="http://schemas.microsoft.com/office/drawing/2014/chart" uri="{C3380CC4-5D6E-409C-BE32-E72D297353CC}">
              <c16:uniqueId val="{00000000-FF93-47A1-8B23-19A5741DCE64}"/>
            </c:ext>
          </c:extLst>
        </c:ser>
        <c:ser>
          <c:idx val="5"/>
          <c:order val="1"/>
          <c:tx>
            <c:strRef>
              <c:f>Methods!$BM$78</c:f>
              <c:strCache>
                <c:ptCount val="1"/>
                <c:pt idx="0">
                  <c:v>Poisoning by gases and vapours</c:v>
                </c:pt>
              </c:strCache>
            </c:strRef>
          </c:tx>
          <c:spPr>
            <a:ln w="22225" cap="rnd">
              <a:solidFill>
                <a:schemeClr val="bg1">
                  <a:lumMod val="50000"/>
                </a:schemeClr>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Methods!$BO$78:$CI$78</c:f>
              <c:numCache>
                <c:formatCode>General</c:formatCode>
                <c:ptCount val="21"/>
                <c:pt idx="0">
                  <c:v>32.4</c:v>
                </c:pt>
                <c:pt idx="1">
                  <c:v>32.700000000000003</c:v>
                </c:pt>
                <c:pt idx="2">
                  <c:v>14.8</c:v>
                </c:pt>
                <c:pt idx="3">
                  <c:v>25.5</c:v>
                </c:pt>
                <c:pt idx="4">
                  <c:v>23.7</c:v>
                </c:pt>
                <c:pt idx="5">
                  <c:v>24</c:v>
                </c:pt>
                <c:pt idx="6">
                  <c:v>25.5</c:v>
                </c:pt>
                <c:pt idx="7">
                  <c:v>24.1</c:v>
                </c:pt>
                <c:pt idx="8">
                  <c:v>22.5</c:v>
                </c:pt>
                <c:pt idx="9">
                  <c:v>19</c:v>
                </c:pt>
                <c:pt idx="10">
                  <c:v>15</c:v>
                </c:pt>
                <c:pt idx="11">
                  <c:v>20.8</c:v>
                </c:pt>
                <c:pt idx="12">
                  <c:v>12.2</c:v>
                </c:pt>
                <c:pt idx="13">
                  <c:v>14.6</c:v>
                </c:pt>
                <c:pt idx="14">
                  <c:v>9.4</c:v>
                </c:pt>
                <c:pt idx="15">
                  <c:v>9.1</c:v>
                </c:pt>
                <c:pt idx="16">
                  <c:v>7</c:v>
                </c:pt>
                <c:pt idx="17">
                  <c:v>6.4</c:v>
                </c:pt>
                <c:pt idx="18">
                  <c:v>0</c:v>
                </c:pt>
                <c:pt idx="19">
                  <c:v>0</c:v>
                </c:pt>
                <c:pt idx="20">
                  <c:v>8.8000000000000007</c:v>
                </c:pt>
              </c:numCache>
            </c:numRef>
          </c:val>
          <c:smooth val="0"/>
          <c:extLst>
            <c:ext xmlns:c16="http://schemas.microsoft.com/office/drawing/2014/chart" uri="{C3380CC4-5D6E-409C-BE32-E72D297353CC}">
              <c16:uniqueId val="{00000001-FF93-47A1-8B23-19A5741DCE64}"/>
            </c:ext>
          </c:extLst>
        </c:ser>
        <c:ser>
          <c:idx val="6"/>
          <c:order val="2"/>
          <c:tx>
            <c:strRef>
              <c:f>Methods!$BM$79</c:f>
              <c:strCache>
                <c:ptCount val="1"/>
                <c:pt idx="0">
                  <c:v>Poisoning by solids and liquids</c:v>
                </c:pt>
              </c:strCache>
            </c:strRef>
          </c:tx>
          <c:spPr>
            <a:ln w="22225" cap="rnd">
              <a:solidFill>
                <a:srgbClr val="4BACC6"/>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Methods!$BO$79:$CI$79</c:f>
              <c:numCache>
                <c:formatCode>General</c:formatCode>
                <c:ptCount val="21"/>
                <c:pt idx="0">
                  <c:v>26.5</c:v>
                </c:pt>
                <c:pt idx="1">
                  <c:v>27.3</c:v>
                </c:pt>
                <c:pt idx="2">
                  <c:v>14.8</c:v>
                </c:pt>
                <c:pt idx="3">
                  <c:v>25.5</c:v>
                </c:pt>
                <c:pt idx="4">
                  <c:v>26.3</c:v>
                </c:pt>
                <c:pt idx="5">
                  <c:v>18</c:v>
                </c:pt>
                <c:pt idx="6">
                  <c:v>21.3</c:v>
                </c:pt>
                <c:pt idx="7">
                  <c:v>20.399999999999999</c:v>
                </c:pt>
                <c:pt idx="8">
                  <c:v>22.5</c:v>
                </c:pt>
                <c:pt idx="9">
                  <c:v>20.7</c:v>
                </c:pt>
                <c:pt idx="10">
                  <c:v>20</c:v>
                </c:pt>
                <c:pt idx="11">
                  <c:v>27.1</c:v>
                </c:pt>
                <c:pt idx="12">
                  <c:v>22.4</c:v>
                </c:pt>
                <c:pt idx="13">
                  <c:v>24.4</c:v>
                </c:pt>
                <c:pt idx="14">
                  <c:v>26.4</c:v>
                </c:pt>
                <c:pt idx="15">
                  <c:v>12.1</c:v>
                </c:pt>
                <c:pt idx="16">
                  <c:v>30.2</c:v>
                </c:pt>
                <c:pt idx="17">
                  <c:v>19.100000000000001</c:v>
                </c:pt>
                <c:pt idx="18">
                  <c:v>20</c:v>
                </c:pt>
                <c:pt idx="19">
                  <c:v>25</c:v>
                </c:pt>
                <c:pt idx="20">
                  <c:v>10.5</c:v>
                </c:pt>
              </c:numCache>
            </c:numRef>
          </c:val>
          <c:smooth val="0"/>
          <c:extLst>
            <c:ext xmlns:c16="http://schemas.microsoft.com/office/drawing/2014/chart" uri="{C3380CC4-5D6E-409C-BE32-E72D297353CC}">
              <c16:uniqueId val="{00000002-FF93-47A1-8B23-19A5741DCE64}"/>
            </c:ext>
          </c:extLst>
        </c:ser>
        <c:ser>
          <c:idx val="1"/>
          <c:order val="3"/>
          <c:tx>
            <c:strRef>
              <c:f>Methods!$BM$80</c:f>
              <c:strCache>
                <c:ptCount val="1"/>
                <c:pt idx="0">
                  <c:v>Firearms and explosives</c:v>
                </c:pt>
              </c:strCache>
            </c:strRef>
          </c:tx>
          <c:spPr>
            <a:ln w="22225" cap="rnd">
              <a:solidFill>
                <a:srgbClr val="A7D6E3"/>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Methods!$BO$80:$CI$80</c:f>
              <c:numCache>
                <c:formatCode>General</c:formatCode>
                <c:ptCount val="21"/>
                <c:pt idx="0">
                  <c:v>2.9</c:v>
                </c:pt>
                <c:pt idx="1">
                  <c:v>3.6</c:v>
                </c:pt>
                <c:pt idx="2">
                  <c:v>0</c:v>
                </c:pt>
                <c:pt idx="3">
                  <c:v>3.6</c:v>
                </c:pt>
                <c:pt idx="4">
                  <c:v>2.6</c:v>
                </c:pt>
                <c:pt idx="5">
                  <c:v>2</c:v>
                </c:pt>
                <c:pt idx="6">
                  <c:v>4.3</c:v>
                </c:pt>
                <c:pt idx="7">
                  <c:v>0</c:v>
                </c:pt>
                <c:pt idx="8">
                  <c:v>2.5</c:v>
                </c:pt>
                <c:pt idx="9">
                  <c:v>0</c:v>
                </c:pt>
                <c:pt idx="10">
                  <c:v>3.3</c:v>
                </c:pt>
                <c:pt idx="11">
                  <c:v>6.2</c:v>
                </c:pt>
                <c:pt idx="12">
                  <c:v>2</c:v>
                </c:pt>
                <c:pt idx="13">
                  <c:v>0</c:v>
                </c:pt>
                <c:pt idx="14">
                  <c:v>1.9</c:v>
                </c:pt>
                <c:pt idx="15">
                  <c:v>0</c:v>
                </c:pt>
                <c:pt idx="16">
                  <c:v>2.2999999999999998</c:v>
                </c:pt>
                <c:pt idx="17">
                  <c:v>0</c:v>
                </c:pt>
                <c:pt idx="18">
                  <c:v>2</c:v>
                </c:pt>
                <c:pt idx="19">
                  <c:v>2.8</c:v>
                </c:pt>
                <c:pt idx="20">
                  <c:v>0</c:v>
                </c:pt>
              </c:numCache>
            </c:numRef>
          </c:val>
          <c:smooth val="0"/>
          <c:extLst>
            <c:ext xmlns:c16="http://schemas.microsoft.com/office/drawing/2014/chart" uri="{C3380CC4-5D6E-409C-BE32-E72D297353CC}">
              <c16:uniqueId val="{00000003-FF93-47A1-8B23-19A5741DCE64}"/>
            </c:ext>
          </c:extLst>
        </c:ser>
        <c:ser>
          <c:idx val="8"/>
          <c:order val="4"/>
          <c:tx>
            <c:strRef>
              <c:f>Methods!$BM$81</c:f>
              <c:strCache>
                <c:ptCount val="1"/>
                <c:pt idx="0">
                  <c:v>Jumping from a high place</c:v>
                </c:pt>
              </c:strCache>
            </c:strRef>
          </c:tx>
          <c:spPr>
            <a:ln w="22225" cap="rnd">
              <a:solidFill>
                <a:schemeClr val="tx1"/>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Methods!$BO$81:$CI$81</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4-FF93-47A1-8B23-19A5741DCE64}"/>
            </c:ext>
          </c:extLst>
        </c:ser>
        <c:ser>
          <c:idx val="9"/>
          <c:order val="5"/>
          <c:tx>
            <c:strRef>
              <c:f>Methods!$BM$82</c:f>
              <c:strCache>
                <c:ptCount val="1"/>
                <c:pt idx="0">
                  <c:v>Submersion (drowning)</c:v>
                </c:pt>
              </c:strCache>
            </c:strRef>
          </c:tx>
          <c:spPr>
            <a:ln w="22225" cap="rnd">
              <a:solidFill>
                <a:srgbClr val="2B8CBE"/>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Methods!$BO$82:$CI$82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5-FF93-47A1-8B23-19A5741DCE64}"/>
            </c:ext>
          </c:extLst>
        </c:ser>
        <c:ser>
          <c:idx val="10"/>
          <c:order val="6"/>
          <c:tx>
            <c:strRef>
              <c:f>Methods!$BM$83</c:f>
              <c:strCache>
                <c:ptCount val="1"/>
                <c:pt idx="0">
                  <c:v>Sharp object</c:v>
                </c:pt>
              </c:strCache>
            </c:strRef>
          </c:tx>
          <c:spPr>
            <a:ln w="22225" cap="rnd">
              <a:solidFill>
                <a:schemeClr val="bg1">
                  <a:lumMod val="50000"/>
                </a:schemeClr>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Methods!$BO$83:$CI$83</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6-FF93-47A1-8B23-19A5741DCE64}"/>
            </c:ext>
          </c:extLst>
        </c:ser>
        <c:ser>
          <c:idx val="11"/>
          <c:order val="7"/>
          <c:tx>
            <c:strRef>
              <c:f>Methods!$BM$84</c:f>
              <c:strCache>
                <c:ptCount val="1"/>
                <c:pt idx="0">
                  <c:v>Other</c:v>
                </c:pt>
              </c:strCache>
            </c:strRef>
          </c:tx>
          <c:spPr>
            <a:ln w="22225" cap="rnd">
              <a:solidFill>
                <a:srgbClr val="A7D6E3"/>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Methods!$BO$84:$CI$84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7-FF93-47A1-8B23-19A5741DCE64}"/>
            </c:ext>
          </c:extLst>
        </c:ser>
        <c:dLbls>
          <c:showLegendKey val="0"/>
          <c:showVal val="0"/>
          <c:showCatName val="0"/>
          <c:showSerName val="0"/>
          <c:showPercent val="0"/>
          <c:showBubbleSize val="0"/>
        </c:dLbls>
        <c:smooth val="0"/>
        <c:axId val="455431024"/>
        <c:axId val="455436512"/>
      </c:lineChart>
      <c:catAx>
        <c:axId val="45543102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5436512"/>
        <c:crosses val="autoZero"/>
        <c:auto val="1"/>
        <c:lblAlgn val="ctr"/>
        <c:lblOffset val="100"/>
        <c:tickLblSkip val="4"/>
        <c:noMultiLvlLbl val="0"/>
      </c:catAx>
      <c:valAx>
        <c:axId val="455436512"/>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5431024"/>
        <c:crossesAt val="1"/>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86385459533609"/>
          <c:y val="0.17579998864861798"/>
          <c:w val="0.82182990397805211"/>
          <c:h val="0.68710483001305411"/>
        </c:manualLayout>
      </c:layout>
      <c:lineChart>
        <c:grouping val="standard"/>
        <c:varyColors val="0"/>
        <c:ser>
          <c:idx val="0"/>
          <c:order val="0"/>
          <c:tx>
            <c:strRef>
              <c:f>Methods!$BM$86</c:f>
              <c:strCache>
                <c:ptCount val="1"/>
                <c:pt idx="0">
                  <c:v>Hanging, strangulation and suffocation</c:v>
                </c:pt>
              </c:strCache>
            </c:strRef>
          </c:tx>
          <c:spPr>
            <a:ln w="22225" cap="rnd">
              <a:solidFill>
                <a:schemeClr val="tx1"/>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Methods!$BO$86:$CI$86</c:f>
              <c:numCache>
                <c:formatCode>General</c:formatCode>
                <c:ptCount val="21"/>
                <c:pt idx="0">
                  <c:v>22.7</c:v>
                </c:pt>
                <c:pt idx="1">
                  <c:v>34.6</c:v>
                </c:pt>
                <c:pt idx="2">
                  <c:v>4.2</c:v>
                </c:pt>
                <c:pt idx="3">
                  <c:v>28.6</c:v>
                </c:pt>
                <c:pt idx="4">
                  <c:v>30.4</c:v>
                </c:pt>
                <c:pt idx="5">
                  <c:v>40.700000000000003</c:v>
                </c:pt>
                <c:pt idx="6">
                  <c:v>52</c:v>
                </c:pt>
                <c:pt idx="7">
                  <c:v>20</c:v>
                </c:pt>
                <c:pt idx="8">
                  <c:v>43.3</c:v>
                </c:pt>
                <c:pt idx="9">
                  <c:v>45.2</c:v>
                </c:pt>
                <c:pt idx="10">
                  <c:v>38.700000000000003</c:v>
                </c:pt>
                <c:pt idx="11">
                  <c:v>32.5</c:v>
                </c:pt>
                <c:pt idx="12">
                  <c:v>47.1</c:v>
                </c:pt>
                <c:pt idx="13">
                  <c:v>51.3</c:v>
                </c:pt>
                <c:pt idx="14">
                  <c:v>39.5</c:v>
                </c:pt>
                <c:pt idx="15">
                  <c:v>27.3</c:v>
                </c:pt>
                <c:pt idx="16">
                  <c:v>40.5</c:v>
                </c:pt>
                <c:pt idx="17">
                  <c:v>35.799999999999997</c:v>
                </c:pt>
                <c:pt idx="18">
                  <c:v>24.4</c:v>
                </c:pt>
                <c:pt idx="19">
                  <c:v>36.200000000000003</c:v>
                </c:pt>
                <c:pt idx="20">
                  <c:v>45.5</c:v>
                </c:pt>
              </c:numCache>
            </c:numRef>
          </c:val>
          <c:smooth val="0"/>
          <c:extLst>
            <c:ext xmlns:c16="http://schemas.microsoft.com/office/drawing/2014/chart" uri="{C3380CC4-5D6E-409C-BE32-E72D297353CC}">
              <c16:uniqueId val="{00000000-CE09-477B-9124-B3A2378BF503}"/>
            </c:ext>
          </c:extLst>
        </c:ser>
        <c:ser>
          <c:idx val="5"/>
          <c:order val="1"/>
          <c:tx>
            <c:strRef>
              <c:f>Methods!$BM$87</c:f>
              <c:strCache>
                <c:ptCount val="1"/>
                <c:pt idx="0">
                  <c:v>Poisoning by gases and vapours</c:v>
                </c:pt>
              </c:strCache>
            </c:strRef>
          </c:tx>
          <c:spPr>
            <a:ln w="22225" cap="rnd">
              <a:solidFill>
                <a:schemeClr val="bg1">
                  <a:lumMod val="50000"/>
                </a:schemeClr>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Methods!$BO$87:$CI$87</c:f>
              <c:numCache>
                <c:formatCode>General</c:formatCode>
                <c:ptCount val="21"/>
                <c:pt idx="0">
                  <c:v>31.8</c:v>
                </c:pt>
                <c:pt idx="1">
                  <c:v>15.4</c:v>
                </c:pt>
                <c:pt idx="2">
                  <c:v>29.2</c:v>
                </c:pt>
                <c:pt idx="3">
                  <c:v>9.5</c:v>
                </c:pt>
                <c:pt idx="4">
                  <c:v>43.5</c:v>
                </c:pt>
                <c:pt idx="5">
                  <c:v>22.2</c:v>
                </c:pt>
                <c:pt idx="6">
                  <c:v>8</c:v>
                </c:pt>
                <c:pt idx="7">
                  <c:v>22.9</c:v>
                </c:pt>
                <c:pt idx="8">
                  <c:v>6.7</c:v>
                </c:pt>
                <c:pt idx="9">
                  <c:v>22.6</c:v>
                </c:pt>
                <c:pt idx="10">
                  <c:v>19.399999999999999</c:v>
                </c:pt>
                <c:pt idx="11">
                  <c:v>17.5</c:v>
                </c:pt>
                <c:pt idx="12">
                  <c:v>8.8000000000000007</c:v>
                </c:pt>
                <c:pt idx="13">
                  <c:v>2.6</c:v>
                </c:pt>
                <c:pt idx="14">
                  <c:v>4.7</c:v>
                </c:pt>
                <c:pt idx="15">
                  <c:v>6.1</c:v>
                </c:pt>
                <c:pt idx="16">
                  <c:v>4.8</c:v>
                </c:pt>
                <c:pt idx="17">
                  <c:v>5.7</c:v>
                </c:pt>
                <c:pt idx="18">
                  <c:v>17.8</c:v>
                </c:pt>
                <c:pt idx="19">
                  <c:v>12.8</c:v>
                </c:pt>
                <c:pt idx="20">
                  <c:v>11.4</c:v>
                </c:pt>
              </c:numCache>
            </c:numRef>
          </c:val>
          <c:smooth val="0"/>
          <c:extLst>
            <c:ext xmlns:c16="http://schemas.microsoft.com/office/drawing/2014/chart" uri="{C3380CC4-5D6E-409C-BE32-E72D297353CC}">
              <c16:uniqueId val="{00000001-CE09-477B-9124-B3A2378BF503}"/>
            </c:ext>
          </c:extLst>
        </c:ser>
        <c:ser>
          <c:idx val="6"/>
          <c:order val="2"/>
          <c:tx>
            <c:strRef>
              <c:f>Methods!$BM$88</c:f>
              <c:strCache>
                <c:ptCount val="1"/>
                <c:pt idx="0">
                  <c:v>Poisoning by solids and liquids</c:v>
                </c:pt>
              </c:strCache>
            </c:strRef>
          </c:tx>
          <c:spPr>
            <a:ln w="22225" cap="rnd">
              <a:solidFill>
                <a:srgbClr val="4BACC6"/>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Methods!$BO$88:$CI$88</c:f>
              <c:numCache>
                <c:formatCode>General</c:formatCode>
                <c:ptCount val="21"/>
                <c:pt idx="0">
                  <c:v>27.3</c:v>
                </c:pt>
                <c:pt idx="1">
                  <c:v>38.5</c:v>
                </c:pt>
                <c:pt idx="2">
                  <c:v>45.8</c:v>
                </c:pt>
                <c:pt idx="3">
                  <c:v>42.9</c:v>
                </c:pt>
                <c:pt idx="4">
                  <c:v>4.3</c:v>
                </c:pt>
                <c:pt idx="5">
                  <c:v>18.5</c:v>
                </c:pt>
                <c:pt idx="6">
                  <c:v>28</c:v>
                </c:pt>
                <c:pt idx="7">
                  <c:v>25.7</c:v>
                </c:pt>
                <c:pt idx="8">
                  <c:v>26.7</c:v>
                </c:pt>
                <c:pt idx="9">
                  <c:v>19.399999999999999</c:v>
                </c:pt>
                <c:pt idx="10">
                  <c:v>25.8</c:v>
                </c:pt>
                <c:pt idx="11">
                  <c:v>30</c:v>
                </c:pt>
                <c:pt idx="12">
                  <c:v>32.4</c:v>
                </c:pt>
                <c:pt idx="13">
                  <c:v>30.8</c:v>
                </c:pt>
                <c:pt idx="14">
                  <c:v>37.200000000000003</c:v>
                </c:pt>
                <c:pt idx="15">
                  <c:v>39.4</c:v>
                </c:pt>
                <c:pt idx="16">
                  <c:v>40.5</c:v>
                </c:pt>
                <c:pt idx="17">
                  <c:v>35.799999999999997</c:v>
                </c:pt>
                <c:pt idx="18">
                  <c:v>37.799999999999997</c:v>
                </c:pt>
                <c:pt idx="19">
                  <c:v>31.9</c:v>
                </c:pt>
                <c:pt idx="20">
                  <c:v>38.6</c:v>
                </c:pt>
              </c:numCache>
            </c:numRef>
          </c:val>
          <c:smooth val="0"/>
          <c:extLst>
            <c:ext xmlns:c16="http://schemas.microsoft.com/office/drawing/2014/chart" uri="{C3380CC4-5D6E-409C-BE32-E72D297353CC}">
              <c16:uniqueId val="{00000002-CE09-477B-9124-B3A2378BF503}"/>
            </c:ext>
          </c:extLst>
        </c:ser>
        <c:ser>
          <c:idx val="1"/>
          <c:order val="3"/>
          <c:tx>
            <c:strRef>
              <c:f>Methods!$BM$89</c:f>
              <c:strCache>
                <c:ptCount val="1"/>
                <c:pt idx="0">
                  <c:v>Firearms and explosives</c:v>
                </c:pt>
              </c:strCache>
            </c:strRef>
          </c:tx>
          <c:spPr>
            <a:ln w="22225" cap="rnd">
              <a:solidFill>
                <a:srgbClr val="A7D6E3"/>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Methods!$BO$89:$CI$89</c:f>
              <c:numCache>
                <c:formatCode>General</c:formatCode>
                <c:ptCount val="21"/>
                <c:pt idx="0">
                  <c:v>0</c:v>
                </c:pt>
                <c:pt idx="1">
                  <c:v>0</c:v>
                </c:pt>
                <c:pt idx="2">
                  <c:v>4.2</c:v>
                </c:pt>
                <c:pt idx="3">
                  <c:v>0</c:v>
                </c:pt>
                <c:pt idx="4">
                  <c:v>4.3</c:v>
                </c:pt>
                <c:pt idx="5">
                  <c:v>0</c:v>
                </c:pt>
                <c:pt idx="6">
                  <c:v>0</c:v>
                </c:pt>
                <c:pt idx="7">
                  <c:v>2.9</c:v>
                </c:pt>
                <c:pt idx="8">
                  <c:v>3.3</c:v>
                </c:pt>
                <c:pt idx="9">
                  <c:v>0</c:v>
                </c:pt>
                <c:pt idx="10">
                  <c:v>9.6999999999999993</c:v>
                </c:pt>
                <c:pt idx="11">
                  <c:v>2.5</c:v>
                </c:pt>
                <c:pt idx="12">
                  <c:v>0</c:v>
                </c:pt>
                <c:pt idx="13">
                  <c:v>0</c:v>
                </c:pt>
                <c:pt idx="14">
                  <c:v>0</c:v>
                </c:pt>
                <c:pt idx="15">
                  <c:v>6.1</c:v>
                </c:pt>
                <c:pt idx="16">
                  <c:v>2.4</c:v>
                </c:pt>
                <c:pt idx="17">
                  <c:v>1.9</c:v>
                </c:pt>
                <c:pt idx="18">
                  <c:v>2.2000000000000002</c:v>
                </c:pt>
                <c:pt idx="19">
                  <c:v>2.1</c:v>
                </c:pt>
                <c:pt idx="20">
                  <c:v>0</c:v>
                </c:pt>
              </c:numCache>
            </c:numRef>
          </c:val>
          <c:smooth val="0"/>
          <c:extLst>
            <c:ext xmlns:c16="http://schemas.microsoft.com/office/drawing/2014/chart" uri="{C3380CC4-5D6E-409C-BE32-E72D297353CC}">
              <c16:uniqueId val="{00000003-CE09-477B-9124-B3A2378BF503}"/>
            </c:ext>
          </c:extLst>
        </c:ser>
        <c:ser>
          <c:idx val="8"/>
          <c:order val="4"/>
          <c:tx>
            <c:strRef>
              <c:f>Methods!$BM$90</c:f>
              <c:strCache>
                <c:ptCount val="1"/>
                <c:pt idx="0">
                  <c:v>Jumping from a high place</c:v>
                </c:pt>
              </c:strCache>
            </c:strRef>
          </c:tx>
          <c:spPr>
            <a:ln w="22225" cap="rnd">
              <a:solidFill>
                <a:schemeClr val="tx1"/>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Methods!$BO$90:$CI$90</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4-CE09-477B-9124-B3A2378BF503}"/>
            </c:ext>
          </c:extLst>
        </c:ser>
        <c:ser>
          <c:idx val="9"/>
          <c:order val="5"/>
          <c:tx>
            <c:strRef>
              <c:f>Methods!$BM$91</c:f>
              <c:strCache>
                <c:ptCount val="1"/>
                <c:pt idx="0">
                  <c:v>Submersion (drowning)</c:v>
                </c:pt>
              </c:strCache>
            </c:strRef>
          </c:tx>
          <c:spPr>
            <a:ln w="22225" cap="rnd">
              <a:solidFill>
                <a:srgbClr val="2B8CBE"/>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Methods!$BO$91:$CI$91</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5-CE09-477B-9124-B3A2378BF503}"/>
            </c:ext>
          </c:extLst>
        </c:ser>
        <c:ser>
          <c:idx val="10"/>
          <c:order val="6"/>
          <c:tx>
            <c:strRef>
              <c:f>Methods!$BM$92</c:f>
              <c:strCache>
                <c:ptCount val="1"/>
                <c:pt idx="0">
                  <c:v>Sharp object</c:v>
                </c:pt>
              </c:strCache>
            </c:strRef>
          </c:tx>
          <c:spPr>
            <a:ln w="22225" cap="rnd">
              <a:solidFill>
                <a:schemeClr val="bg1">
                  <a:lumMod val="50000"/>
                </a:schemeClr>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Methods!$BO$92:$CI$92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6-CE09-477B-9124-B3A2378BF503}"/>
            </c:ext>
          </c:extLst>
        </c:ser>
        <c:ser>
          <c:idx val="11"/>
          <c:order val="7"/>
          <c:tx>
            <c:strRef>
              <c:f>Methods!$BM$93</c:f>
              <c:strCache>
                <c:ptCount val="1"/>
                <c:pt idx="0">
                  <c:v>Other</c:v>
                </c:pt>
              </c:strCache>
            </c:strRef>
          </c:tx>
          <c:spPr>
            <a:ln w="22225" cap="rnd">
              <a:solidFill>
                <a:srgbClr val="A7D6E3"/>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Methods!$BO$93:$CI$93</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7-CE09-477B-9124-B3A2378BF503}"/>
            </c:ext>
          </c:extLst>
        </c:ser>
        <c:dLbls>
          <c:showLegendKey val="0"/>
          <c:showVal val="0"/>
          <c:showCatName val="0"/>
          <c:showSerName val="0"/>
          <c:showPercent val="0"/>
          <c:showBubbleSize val="0"/>
        </c:dLbls>
        <c:smooth val="0"/>
        <c:axId val="455437296"/>
        <c:axId val="455432200"/>
      </c:lineChart>
      <c:catAx>
        <c:axId val="455437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5432200"/>
        <c:crosses val="autoZero"/>
        <c:auto val="1"/>
        <c:lblAlgn val="ctr"/>
        <c:lblOffset val="100"/>
        <c:tickLblSkip val="4"/>
        <c:noMultiLvlLbl val="0"/>
      </c:catAx>
      <c:valAx>
        <c:axId val="455432200"/>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5437296"/>
        <c:crossesAt val="1"/>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86385459533609"/>
          <c:y val="0.17579998864861798"/>
          <c:w val="0.82182990397805211"/>
          <c:h val="0.68710483001305411"/>
        </c:manualLayout>
      </c:layout>
      <c:lineChart>
        <c:grouping val="standard"/>
        <c:varyColors val="0"/>
        <c:ser>
          <c:idx val="0"/>
          <c:order val="0"/>
          <c:tx>
            <c:strRef>
              <c:f>Methods!$BM$95</c:f>
              <c:strCache>
                <c:ptCount val="1"/>
                <c:pt idx="0">
                  <c:v>Hanging, strangulation and suffocation</c:v>
                </c:pt>
              </c:strCache>
            </c:strRef>
          </c:tx>
          <c:spPr>
            <a:ln w="22225" cap="rnd">
              <a:solidFill>
                <a:schemeClr val="tx1"/>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Methods!$BO$95:$CI$95</c:f>
              <c:numCache>
                <c:formatCode>General</c:formatCode>
                <c:ptCount val="21"/>
                <c:pt idx="0">
                  <c:v>30.8</c:v>
                </c:pt>
                <c:pt idx="1">
                  <c:v>12.5</c:v>
                </c:pt>
                <c:pt idx="2">
                  <c:v>25</c:v>
                </c:pt>
                <c:pt idx="3">
                  <c:v>37.5</c:v>
                </c:pt>
                <c:pt idx="4">
                  <c:v>16.7</c:v>
                </c:pt>
                <c:pt idx="5">
                  <c:v>43.8</c:v>
                </c:pt>
                <c:pt idx="6">
                  <c:v>25</c:v>
                </c:pt>
                <c:pt idx="7">
                  <c:v>57.1</c:v>
                </c:pt>
                <c:pt idx="8">
                  <c:v>22.2</c:v>
                </c:pt>
                <c:pt idx="9">
                  <c:v>6.2</c:v>
                </c:pt>
                <c:pt idx="10">
                  <c:v>44.4</c:v>
                </c:pt>
                <c:pt idx="11">
                  <c:v>62.5</c:v>
                </c:pt>
                <c:pt idx="12">
                  <c:v>20</c:v>
                </c:pt>
                <c:pt idx="13">
                  <c:v>30.8</c:v>
                </c:pt>
                <c:pt idx="14">
                  <c:v>42.9</c:v>
                </c:pt>
                <c:pt idx="15">
                  <c:v>42.9</c:v>
                </c:pt>
                <c:pt idx="16">
                  <c:v>42.9</c:v>
                </c:pt>
                <c:pt idx="17">
                  <c:v>25</c:v>
                </c:pt>
                <c:pt idx="18">
                  <c:v>18.2</c:v>
                </c:pt>
                <c:pt idx="19">
                  <c:v>31.2</c:v>
                </c:pt>
                <c:pt idx="20">
                  <c:v>41.7</c:v>
                </c:pt>
              </c:numCache>
            </c:numRef>
          </c:val>
          <c:smooth val="0"/>
          <c:extLst>
            <c:ext xmlns:c16="http://schemas.microsoft.com/office/drawing/2014/chart" uri="{C3380CC4-5D6E-409C-BE32-E72D297353CC}">
              <c16:uniqueId val="{00000000-A25B-4A66-88A8-A39D7783CADA}"/>
            </c:ext>
          </c:extLst>
        </c:ser>
        <c:ser>
          <c:idx val="5"/>
          <c:order val="1"/>
          <c:tx>
            <c:strRef>
              <c:f>Methods!$BM$96</c:f>
              <c:strCache>
                <c:ptCount val="1"/>
                <c:pt idx="0">
                  <c:v>Poisoning by gases and vapours</c:v>
                </c:pt>
              </c:strCache>
            </c:strRef>
          </c:tx>
          <c:spPr>
            <a:ln w="22225" cap="rnd">
              <a:solidFill>
                <a:schemeClr val="bg1">
                  <a:lumMod val="50000"/>
                </a:schemeClr>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Methods!$BO$96:$CI$96</c:f>
              <c:numCache>
                <c:formatCode>General</c:formatCode>
                <c:ptCount val="21"/>
                <c:pt idx="0">
                  <c:v>15.4</c:v>
                </c:pt>
                <c:pt idx="1">
                  <c:v>0</c:v>
                </c:pt>
                <c:pt idx="2">
                  <c:v>37.5</c:v>
                </c:pt>
                <c:pt idx="3">
                  <c:v>12.5</c:v>
                </c:pt>
                <c:pt idx="4">
                  <c:v>16.7</c:v>
                </c:pt>
                <c:pt idx="5">
                  <c:v>0</c:v>
                </c:pt>
                <c:pt idx="6">
                  <c:v>16.7</c:v>
                </c:pt>
                <c:pt idx="7">
                  <c:v>14.3</c:v>
                </c:pt>
                <c:pt idx="8">
                  <c:v>11.1</c:v>
                </c:pt>
                <c:pt idx="9">
                  <c:v>18.8</c:v>
                </c:pt>
                <c:pt idx="10">
                  <c:v>16.7</c:v>
                </c:pt>
                <c:pt idx="11">
                  <c:v>12.5</c:v>
                </c:pt>
                <c:pt idx="12">
                  <c:v>0</c:v>
                </c:pt>
                <c:pt idx="13">
                  <c:v>30.8</c:v>
                </c:pt>
                <c:pt idx="14">
                  <c:v>7.1</c:v>
                </c:pt>
                <c:pt idx="15">
                  <c:v>0</c:v>
                </c:pt>
                <c:pt idx="16">
                  <c:v>7.1</c:v>
                </c:pt>
                <c:pt idx="17">
                  <c:v>0</c:v>
                </c:pt>
                <c:pt idx="18">
                  <c:v>0</c:v>
                </c:pt>
                <c:pt idx="19">
                  <c:v>12.5</c:v>
                </c:pt>
                <c:pt idx="20">
                  <c:v>0</c:v>
                </c:pt>
              </c:numCache>
            </c:numRef>
          </c:val>
          <c:smooth val="0"/>
          <c:extLst>
            <c:ext xmlns:c16="http://schemas.microsoft.com/office/drawing/2014/chart" uri="{C3380CC4-5D6E-409C-BE32-E72D297353CC}">
              <c16:uniqueId val="{00000001-A25B-4A66-88A8-A39D7783CADA}"/>
            </c:ext>
          </c:extLst>
        </c:ser>
        <c:ser>
          <c:idx val="6"/>
          <c:order val="2"/>
          <c:tx>
            <c:strRef>
              <c:f>Methods!$BM$97</c:f>
              <c:strCache>
                <c:ptCount val="1"/>
                <c:pt idx="0">
                  <c:v>Poisoning by solids and liquids</c:v>
                </c:pt>
              </c:strCache>
            </c:strRef>
          </c:tx>
          <c:spPr>
            <a:ln w="22225" cap="rnd">
              <a:solidFill>
                <a:srgbClr val="4BACC6"/>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Methods!$BO$97:$CI$97</c:f>
              <c:numCache>
                <c:formatCode>General</c:formatCode>
                <c:ptCount val="21"/>
                <c:pt idx="0">
                  <c:v>38.5</c:v>
                </c:pt>
                <c:pt idx="1">
                  <c:v>50</c:v>
                </c:pt>
                <c:pt idx="2">
                  <c:v>18.8</c:v>
                </c:pt>
                <c:pt idx="3">
                  <c:v>25</c:v>
                </c:pt>
                <c:pt idx="4">
                  <c:v>50</c:v>
                </c:pt>
                <c:pt idx="5">
                  <c:v>37.5</c:v>
                </c:pt>
                <c:pt idx="6">
                  <c:v>25</c:v>
                </c:pt>
                <c:pt idx="7">
                  <c:v>14.3</c:v>
                </c:pt>
                <c:pt idx="8">
                  <c:v>55.6</c:v>
                </c:pt>
                <c:pt idx="9">
                  <c:v>25</c:v>
                </c:pt>
                <c:pt idx="10">
                  <c:v>16.7</c:v>
                </c:pt>
                <c:pt idx="11">
                  <c:v>12.5</c:v>
                </c:pt>
                <c:pt idx="12">
                  <c:v>53.3</c:v>
                </c:pt>
                <c:pt idx="13">
                  <c:v>30.8</c:v>
                </c:pt>
                <c:pt idx="14">
                  <c:v>42.9</c:v>
                </c:pt>
                <c:pt idx="15">
                  <c:v>42.9</c:v>
                </c:pt>
                <c:pt idx="16">
                  <c:v>35.700000000000003</c:v>
                </c:pt>
                <c:pt idx="17">
                  <c:v>75</c:v>
                </c:pt>
                <c:pt idx="18">
                  <c:v>63.6</c:v>
                </c:pt>
                <c:pt idx="19">
                  <c:v>37.5</c:v>
                </c:pt>
                <c:pt idx="20">
                  <c:v>50</c:v>
                </c:pt>
              </c:numCache>
            </c:numRef>
          </c:val>
          <c:smooth val="0"/>
          <c:extLst>
            <c:ext xmlns:c16="http://schemas.microsoft.com/office/drawing/2014/chart" uri="{C3380CC4-5D6E-409C-BE32-E72D297353CC}">
              <c16:uniqueId val="{00000002-A25B-4A66-88A8-A39D7783CADA}"/>
            </c:ext>
          </c:extLst>
        </c:ser>
        <c:ser>
          <c:idx val="1"/>
          <c:order val="3"/>
          <c:tx>
            <c:strRef>
              <c:f>Methods!$BM$98</c:f>
              <c:strCache>
                <c:ptCount val="1"/>
                <c:pt idx="0">
                  <c:v>Firearms and explosives</c:v>
                </c:pt>
              </c:strCache>
            </c:strRef>
          </c:tx>
          <c:spPr>
            <a:ln w="22225" cap="rnd">
              <a:solidFill>
                <a:srgbClr val="A7D6E3"/>
              </a:solidFill>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Methods!$BO$98:$CI$98</c:f>
              <c:numCache>
                <c:formatCode>General</c:formatCode>
                <c:ptCount val="21"/>
                <c:pt idx="0">
                  <c:v>0</c:v>
                </c:pt>
                <c:pt idx="1">
                  <c:v>0</c:v>
                </c:pt>
                <c:pt idx="2">
                  <c:v>0</c:v>
                </c:pt>
                <c:pt idx="3">
                  <c:v>6.2</c:v>
                </c:pt>
                <c:pt idx="4">
                  <c:v>0</c:v>
                </c:pt>
                <c:pt idx="5">
                  <c:v>0</c:v>
                </c:pt>
                <c:pt idx="6">
                  <c:v>0</c:v>
                </c:pt>
                <c:pt idx="7">
                  <c:v>9.5</c:v>
                </c:pt>
                <c:pt idx="8">
                  <c:v>0</c:v>
                </c:pt>
                <c:pt idx="9">
                  <c:v>6.2</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3-A25B-4A66-88A8-A39D7783CADA}"/>
            </c:ext>
          </c:extLst>
        </c:ser>
        <c:ser>
          <c:idx val="8"/>
          <c:order val="4"/>
          <c:tx>
            <c:strRef>
              <c:f>Methods!$BM$99</c:f>
              <c:strCache>
                <c:ptCount val="1"/>
                <c:pt idx="0">
                  <c:v>Jumping from a high place</c:v>
                </c:pt>
              </c:strCache>
            </c:strRef>
          </c:tx>
          <c:spPr>
            <a:ln w="22225" cap="rnd">
              <a:solidFill>
                <a:schemeClr val="tx1"/>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Methods!$BO$99:$CI$99</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4-A25B-4A66-88A8-A39D7783CADA}"/>
            </c:ext>
          </c:extLst>
        </c:ser>
        <c:ser>
          <c:idx val="9"/>
          <c:order val="5"/>
          <c:tx>
            <c:strRef>
              <c:f>Methods!$BM$100</c:f>
              <c:strCache>
                <c:ptCount val="1"/>
                <c:pt idx="0">
                  <c:v>Submersion (drowning)</c:v>
                </c:pt>
              </c:strCache>
            </c:strRef>
          </c:tx>
          <c:spPr>
            <a:ln w="22225" cap="rnd">
              <a:solidFill>
                <a:srgbClr val="2B8CBE"/>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Methods!$BO$100:$CI$100</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5-A25B-4A66-88A8-A39D7783CADA}"/>
            </c:ext>
          </c:extLst>
        </c:ser>
        <c:ser>
          <c:idx val="10"/>
          <c:order val="6"/>
          <c:tx>
            <c:strRef>
              <c:f>Methods!$BM$101</c:f>
              <c:strCache>
                <c:ptCount val="1"/>
                <c:pt idx="0">
                  <c:v>Sharp object</c:v>
                </c:pt>
              </c:strCache>
            </c:strRef>
          </c:tx>
          <c:spPr>
            <a:ln w="22225" cap="rnd">
              <a:solidFill>
                <a:schemeClr val="bg1">
                  <a:lumMod val="50000"/>
                </a:schemeClr>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Methods!$BO$101:$CI$101</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6-A25B-4A66-88A8-A39D7783CADA}"/>
            </c:ext>
          </c:extLst>
        </c:ser>
        <c:ser>
          <c:idx val="11"/>
          <c:order val="7"/>
          <c:tx>
            <c:strRef>
              <c:f>Methods!$BM$102</c:f>
              <c:strCache>
                <c:ptCount val="1"/>
                <c:pt idx="0">
                  <c:v>Other</c:v>
                </c:pt>
              </c:strCache>
            </c:strRef>
          </c:tx>
          <c:spPr>
            <a:ln w="22225" cap="rnd">
              <a:solidFill>
                <a:srgbClr val="A7D6E3"/>
              </a:solidFill>
              <a:prstDash val="sysDash"/>
              <a:round/>
            </a:ln>
            <a:effectLst/>
          </c:spPr>
          <c:marker>
            <c:symbol val="none"/>
          </c:marker>
          <c:cat>
            <c:numRef>
              <c:f>Methods!$BO$22:$CI$22</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Methods!$BO$102:$CI$102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7-A25B-4A66-88A8-A39D7783CADA}"/>
            </c:ext>
          </c:extLst>
        </c:ser>
        <c:dLbls>
          <c:showLegendKey val="0"/>
          <c:showVal val="0"/>
          <c:showCatName val="0"/>
          <c:showSerName val="0"/>
          <c:showPercent val="0"/>
          <c:showBubbleSize val="0"/>
        </c:dLbls>
        <c:smooth val="0"/>
        <c:axId val="455192712"/>
        <c:axId val="455196632"/>
      </c:lineChart>
      <c:catAx>
        <c:axId val="455192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5196632"/>
        <c:crosses val="autoZero"/>
        <c:auto val="1"/>
        <c:lblAlgn val="ctr"/>
        <c:lblOffset val="100"/>
        <c:tickLblSkip val="4"/>
        <c:noMultiLvlLbl val="0"/>
      </c:catAx>
      <c:valAx>
        <c:axId val="455196632"/>
        <c:scaling>
          <c:orientation val="minMax"/>
          <c:max val="10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5192712"/>
        <c:crossesAt val="1"/>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54107202849661"/>
          <c:y val="0.17034979718444285"/>
          <c:w val="0.85982915265565274"/>
          <c:h val="0.68359102839417796"/>
        </c:manualLayout>
      </c:layout>
      <c:lineChart>
        <c:grouping val="standard"/>
        <c:varyColors val="0"/>
        <c:ser>
          <c:idx val="0"/>
          <c:order val="0"/>
          <c:tx>
            <c:strRef>
              <c:f>'Quick facts'!$T$38</c:f>
              <c:strCache>
                <c:ptCount val="1"/>
                <c:pt idx="0">
                  <c:v>Male</c:v>
                </c:pt>
              </c:strCache>
            </c:strRef>
          </c:tx>
          <c:spPr>
            <a:ln w="22225" cap="rnd">
              <a:solidFill>
                <a:schemeClr val="bg1">
                  <a:lumMod val="50000"/>
                </a:schemeClr>
              </a:solidFill>
              <a:round/>
            </a:ln>
            <a:effectLst/>
          </c:spPr>
          <c:marker>
            <c:symbol val="none"/>
          </c:marker>
          <c:cat>
            <c:numRef>
              <c:f>'Quick facts'!$X$31:$AR$31</c:f>
              <c:numCache>
                <c:formatCode>0</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'Quick facts'!$X$38:$AR$38</c:f>
              <c:numCache>
                <c:formatCode>0.0</c:formatCode>
                <c:ptCount val="21"/>
                <c:pt idx="0">
                  <c:v>22.945293453419598</c:v>
                </c:pt>
                <c:pt idx="1">
                  <c:v>23.553351547621599</c:v>
                </c:pt>
                <c:pt idx="2">
                  <c:v>23.5842826835054</c:v>
                </c:pt>
                <c:pt idx="3">
                  <c:v>20.2680561278816</c:v>
                </c:pt>
                <c:pt idx="4">
                  <c:v>19.947436156558702</c:v>
                </c:pt>
                <c:pt idx="5">
                  <c:v>20.356398349177098</c:v>
                </c:pt>
                <c:pt idx="6">
                  <c:v>18.167720892576899</c:v>
                </c:pt>
                <c:pt idx="7">
                  <c:v>18.574084657112099</c:v>
                </c:pt>
                <c:pt idx="8">
                  <c:v>18.725315817265901</c:v>
                </c:pt>
                <c:pt idx="9">
                  <c:v>18.722380905625801</c:v>
                </c:pt>
                <c:pt idx="10">
                  <c:v>18.521171460464299</c:v>
                </c:pt>
                <c:pt idx="11">
                  <c:v>17.981880281474702</c:v>
                </c:pt>
                <c:pt idx="12">
                  <c:v>17.700121249097698</c:v>
                </c:pt>
                <c:pt idx="13">
                  <c:v>18.249471294450601</c:v>
                </c:pt>
                <c:pt idx="14">
                  <c:v>17.638688314312301</c:v>
                </c:pt>
                <c:pt idx="15">
                  <c:v>17.402217133944198</c:v>
                </c:pt>
                <c:pt idx="16">
                  <c:v>18.558588062938799</c:v>
                </c:pt>
                <c:pt idx="17">
                  <c:v>15.8972409761442</c:v>
                </c:pt>
                <c:pt idx="18">
                  <c:v>16.4366760918771</c:v>
                </c:pt>
                <c:pt idx="19">
                  <c:v>16.433078219363999</c:v>
                </c:pt>
                <c:pt idx="20">
                  <c:v>16.990960917875199</c:v>
                </c:pt>
              </c:numCache>
            </c:numRef>
          </c:val>
          <c:smooth val="0"/>
          <c:extLst>
            <c:ext xmlns:c16="http://schemas.microsoft.com/office/drawing/2014/chart" uri="{C3380CC4-5D6E-409C-BE32-E72D297353CC}">
              <c16:uniqueId val="{00000000-D906-4B80-B04D-54CCB24861A6}"/>
            </c:ext>
          </c:extLst>
        </c:ser>
        <c:ser>
          <c:idx val="1"/>
          <c:order val="1"/>
          <c:tx>
            <c:strRef>
              <c:f>'Quick facts'!$T$39</c:f>
              <c:strCache>
                <c:ptCount val="1"/>
                <c:pt idx="0">
                  <c:v>Female</c:v>
                </c:pt>
              </c:strCache>
            </c:strRef>
          </c:tx>
          <c:spPr>
            <a:ln w="22225" cap="rnd">
              <a:solidFill>
                <a:schemeClr val="accent1"/>
              </a:solidFill>
              <a:round/>
            </a:ln>
            <a:effectLst/>
          </c:spPr>
          <c:marker>
            <c:symbol val="none"/>
          </c:marker>
          <c:cat>
            <c:numRef>
              <c:f>'Quick facts'!$X$31:$AR$31</c:f>
              <c:numCache>
                <c:formatCode>0</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'Quick facts'!$X$39:$AR$39</c:f>
              <c:numCache>
                <c:formatCode>0.0</c:formatCode>
                <c:ptCount val="21"/>
                <c:pt idx="0">
                  <c:v>5.8886653384406102</c:v>
                </c:pt>
                <c:pt idx="1">
                  <c:v>6.2967087648044799</c:v>
                </c:pt>
                <c:pt idx="2">
                  <c:v>6.7999900162587199</c:v>
                </c:pt>
                <c:pt idx="3">
                  <c:v>6.7167156494892</c:v>
                </c:pt>
                <c:pt idx="4">
                  <c:v>4.1665204234231998</c:v>
                </c:pt>
                <c:pt idx="5">
                  <c:v>5.8286706673737303</c:v>
                </c:pt>
                <c:pt idx="6">
                  <c:v>5.6012768971608997</c:v>
                </c:pt>
                <c:pt idx="7">
                  <c:v>6.6355676799870498</c:v>
                </c:pt>
                <c:pt idx="8">
                  <c:v>5.3216551470799702</c:v>
                </c:pt>
                <c:pt idx="9">
                  <c:v>5.9861646575977696</c:v>
                </c:pt>
                <c:pt idx="10">
                  <c:v>6.2050827070238999</c:v>
                </c:pt>
                <c:pt idx="11">
                  <c:v>5.16144825407138</c:v>
                </c:pt>
                <c:pt idx="12">
                  <c:v>6.26512973729122</c:v>
                </c:pt>
                <c:pt idx="13">
                  <c:v>5.08858477285475</c:v>
                </c:pt>
                <c:pt idx="14">
                  <c:v>6.5442717734968303</c:v>
                </c:pt>
                <c:pt idx="15">
                  <c:v>5.2036444183005299</c:v>
                </c:pt>
                <c:pt idx="16">
                  <c:v>6.37288192291782</c:v>
                </c:pt>
                <c:pt idx="17">
                  <c:v>6.4674511523826501</c:v>
                </c:pt>
                <c:pt idx="18">
                  <c:v>5.4860225639845002</c:v>
                </c:pt>
                <c:pt idx="19">
                  <c:v>6.0611481326862204</c:v>
                </c:pt>
                <c:pt idx="20">
                  <c:v>5.8550315461954598</c:v>
                </c:pt>
              </c:numCache>
            </c:numRef>
          </c:val>
          <c:smooth val="0"/>
          <c:extLst>
            <c:ext xmlns:c16="http://schemas.microsoft.com/office/drawing/2014/chart" uri="{C3380CC4-5D6E-409C-BE32-E72D297353CC}">
              <c16:uniqueId val="{00000001-D906-4B80-B04D-54CCB24861A6}"/>
            </c:ext>
          </c:extLst>
        </c:ser>
        <c:dLbls>
          <c:showLegendKey val="0"/>
          <c:showVal val="0"/>
          <c:showCatName val="0"/>
          <c:showSerName val="0"/>
          <c:showPercent val="0"/>
          <c:showBubbleSize val="0"/>
        </c:dLbls>
        <c:smooth val="0"/>
        <c:axId val="449328952"/>
        <c:axId val="449326600"/>
      </c:lineChart>
      <c:catAx>
        <c:axId val="449328952"/>
        <c:scaling>
          <c:orientation val="minMax"/>
        </c:scaling>
        <c:delete val="0"/>
        <c:axPos val="b"/>
        <c:numFmt formatCode="0"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9326600"/>
        <c:crosses val="autoZero"/>
        <c:auto val="1"/>
        <c:lblAlgn val="ctr"/>
        <c:lblOffset val="100"/>
        <c:tickLblSkip val="4"/>
        <c:noMultiLvlLbl val="0"/>
      </c:catAx>
      <c:valAx>
        <c:axId val="449326600"/>
        <c:scaling>
          <c:orientation val="minMax"/>
          <c:max val="5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9328952"/>
        <c:crosses val="autoZero"/>
        <c:crossBetween val="between"/>
        <c:majorUnit val="10"/>
      </c:valAx>
      <c:spPr>
        <a:noFill/>
        <a:ln>
          <a:noFill/>
        </a:ln>
        <a:effectLst/>
      </c:spPr>
    </c:plotArea>
    <c:legend>
      <c:legendPos val="t"/>
      <c:layout>
        <c:manualLayout>
          <c:xMode val="edge"/>
          <c:yMode val="edge"/>
          <c:x val="0.74889922246293694"/>
          <c:y val="2.8691557096032848E-2"/>
          <c:w val="0.24659496280953064"/>
          <c:h val="0.167314888391244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Northland </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region'!$X$37</c:f>
              <c:strCache>
                <c:ptCount val="1"/>
                <c:pt idx="0">
                  <c:v>Northland</c:v>
                </c:pt>
              </c:strCache>
            </c:strRef>
          </c:tx>
          <c:spPr>
            <a:solidFill>
              <a:srgbClr val="4BACC6"/>
            </a:solidFill>
            <a:ln>
              <a:noFill/>
            </a:ln>
            <a:effectLst/>
          </c:spPr>
          <c:invertIfNegative val="0"/>
          <c:errBars>
            <c:errBarType val="both"/>
            <c:errValType val="cust"/>
            <c:noEndCap val="0"/>
            <c:plus>
              <c:numRef>
                <c:f>'DHB region'!$BB$31:$BD$31</c:f>
                <c:numCache>
                  <c:formatCode>General</c:formatCode>
                  <c:ptCount val="3"/>
                  <c:pt idx="0">
                    <c:v>4.0999999999999996</c:v>
                  </c:pt>
                  <c:pt idx="1">
                    <c:v>3.3</c:v>
                  </c:pt>
                  <c:pt idx="2">
                    <c:v>3.7</c:v>
                  </c:pt>
                </c:numCache>
              </c:numRef>
            </c:plus>
            <c:minus>
              <c:numRef>
                <c:f>'DHB region'!$BB$31:$BD$31</c:f>
                <c:numCache>
                  <c:formatCode>General</c:formatCode>
                  <c:ptCount val="3"/>
                  <c:pt idx="0">
                    <c:v>4.0999999999999996</c:v>
                  </c:pt>
                  <c:pt idx="1">
                    <c:v>3.3</c:v>
                  </c:pt>
                  <c:pt idx="2">
                    <c:v>3.7</c:v>
                  </c:pt>
                </c:numCache>
              </c:numRef>
            </c:minus>
            <c:spPr>
              <a:noFill/>
              <a:ln w="9525" cap="flat" cmpd="sng" algn="ctr">
                <a:solidFill>
                  <a:schemeClr val="tx1">
                    <a:lumMod val="65000"/>
                    <a:lumOff val="35000"/>
                  </a:schemeClr>
                </a:solidFill>
                <a:round/>
              </a:ln>
              <a:effectLst/>
            </c:spPr>
          </c:errBars>
          <c:cat>
            <c:strRef>
              <c:f>'DHB region'!$Z$11:$AB$11</c:f>
              <c:strCache>
                <c:ptCount val="3"/>
                <c:pt idx="0">
                  <c:v>2002-06</c:v>
                </c:pt>
                <c:pt idx="1">
                  <c:v>2007-11</c:v>
                </c:pt>
                <c:pt idx="2">
                  <c:v>2012-16</c:v>
                </c:pt>
              </c:strCache>
            </c:strRef>
          </c:cat>
          <c:val>
            <c:numRef>
              <c:f>'DHB region'!$Z$37:$AB$37</c:f>
              <c:numCache>
                <c:formatCode>0.0</c:formatCode>
                <c:ptCount val="3"/>
                <c:pt idx="0">
                  <c:v>16.496005783447</c:v>
                </c:pt>
                <c:pt idx="1">
                  <c:v>12.189835929941101</c:v>
                </c:pt>
                <c:pt idx="2">
                  <c:v>16.060755621495701</c:v>
                </c:pt>
              </c:numCache>
            </c:numRef>
          </c:val>
          <c:extLst>
            <c:ext xmlns:c16="http://schemas.microsoft.com/office/drawing/2014/chart" uri="{C3380CC4-5D6E-409C-BE32-E72D297353CC}">
              <c16:uniqueId val="{00000000-4F37-49AA-803C-E325FAA2926D}"/>
            </c:ext>
          </c:extLst>
        </c:ser>
        <c:dLbls>
          <c:showLegendKey val="0"/>
          <c:showVal val="0"/>
          <c:showCatName val="0"/>
          <c:showSerName val="0"/>
          <c:showPercent val="0"/>
          <c:showBubbleSize val="0"/>
        </c:dLbls>
        <c:gapWidth val="40"/>
        <c:axId val="455194280"/>
        <c:axId val="455201728"/>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extLst>
              <c:ext xmlns:c16="http://schemas.microsoft.com/office/drawing/2014/chart" uri="{C3380CC4-5D6E-409C-BE32-E72D297353CC}">
                <c16:uniqueId val="{00000001-4F37-49AA-803C-E325FAA2926D}"/>
              </c:ext>
            </c:extLst>
          </c:dPt>
          <c:val>
            <c:numRef>
              <c:f>'DHB region'!$Z$36:$AB$36</c:f>
              <c:numCache>
                <c:formatCode>0.0</c:formatCode>
                <c:ptCount val="3"/>
                <c:pt idx="0">
                  <c:v>12.07150766</c:v>
                </c:pt>
                <c:pt idx="1">
                  <c:v>11.547666789999999</c:v>
                </c:pt>
                <c:pt idx="2">
                  <c:v>11.32357595</c:v>
                </c:pt>
              </c:numCache>
            </c:numRef>
          </c:val>
          <c:smooth val="0"/>
          <c:extLst>
            <c:ext xmlns:c16="http://schemas.microsoft.com/office/drawing/2014/chart" uri="{C3380CC4-5D6E-409C-BE32-E72D297353CC}">
              <c16:uniqueId val="{00000002-4F37-49AA-803C-E325FAA2926D}"/>
            </c:ext>
          </c:extLst>
        </c:ser>
        <c:dLbls>
          <c:showLegendKey val="0"/>
          <c:showVal val="0"/>
          <c:showCatName val="0"/>
          <c:showSerName val="0"/>
          <c:showPercent val="0"/>
          <c:showBubbleSize val="0"/>
        </c:dLbls>
        <c:marker val="1"/>
        <c:smooth val="0"/>
        <c:axId val="455200160"/>
        <c:axId val="455197024"/>
      </c:lineChart>
      <c:catAx>
        <c:axId val="455194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5201728"/>
        <c:crosses val="autoZero"/>
        <c:auto val="1"/>
        <c:lblAlgn val="ctr"/>
        <c:lblOffset val="100"/>
        <c:noMultiLvlLbl val="0"/>
      </c:catAx>
      <c:valAx>
        <c:axId val="455201728"/>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5194280"/>
        <c:crosses val="autoZero"/>
        <c:crossBetween val="between"/>
      </c:valAx>
      <c:valAx>
        <c:axId val="455197024"/>
        <c:scaling>
          <c:orientation val="minMax"/>
          <c:max val="20"/>
        </c:scaling>
        <c:delete val="1"/>
        <c:axPos val="r"/>
        <c:numFmt formatCode="0.0" sourceLinked="1"/>
        <c:majorTickMark val="out"/>
        <c:minorTickMark val="none"/>
        <c:tickLblPos val="nextTo"/>
        <c:crossAx val="455200160"/>
        <c:crosses val="max"/>
        <c:crossBetween val="between"/>
      </c:valAx>
      <c:catAx>
        <c:axId val="455200160"/>
        <c:scaling>
          <c:orientation val="minMax"/>
        </c:scaling>
        <c:delete val="1"/>
        <c:axPos val="b"/>
        <c:majorTickMark val="out"/>
        <c:minorTickMark val="none"/>
        <c:tickLblPos val="nextTo"/>
        <c:crossAx val="45519702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Waitemata</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region'!$X$38</c:f>
              <c:strCache>
                <c:ptCount val="1"/>
                <c:pt idx="0">
                  <c:v>Waitemata</c:v>
                </c:pt>
              </c:strCache>
            </c:strRef>
          </c:tx>
          <c:spPr>
            <a:solidFill>
              <a:srgbClr val="4BACC6"/>
            </a:solidFill>
            <a:ln>
              <a:noFill/>
            </a:ln>
            <a:effectLst/>
          </c:spPr>
          <c:invertIfNegative val="0"/>
          <c:errBars>
            <c:errBarType val="both"/>
            <c:errValType val="cust"/>
            <c:noEndCap val="0"/>
            <c:plus>
              <c:numRef>
                <c:f>'DHB region'!$BB$32:$BD$32</c:f>
                <c:numCache>
                  <c:formatCode>General</c:formatCode>
                  <c:ptCount val="3"/>
                  <c:pt idx="0">
                    <c:v>1.6</c:v>
                  </c:pt>
                  <c:pt idx="1">
                    <c:v>1.5</c:v>
                  </c:pt>
                  <c:pt idx="2">
                    <c:v>1.3</c:v>
                  </c:pt>
                </c:numCache>
              </c:numRef>
            </c:plus>
            <c:minus>
              <c:numRef>
                <c:f>'DHB region'!$BB$32:$BD$32</c:f>
                <c:numCache>
                  <c:formatCode>General</c:formatCode>
                  <c:ptCount val="3"/>
                  <c:pt idx="0">
                    <c:v>1.6</c:v>
                  </c:pt>
                  <c:pt idx="1">
                    <c:v>1.5</c:v>
                  </c:pt>
                  <c:pt idx="2">
                    <c:v>1.3</c:v>
                  </c:pt>
                </c:numCache>
              </c:numRef>
            </c:minus>
            <c:spPr>
              <a:noFill/>
              <a:ln w="9525" cap="flat" cmpd="sng" algn="ctr">
                <a:solidFill>
                  <a:schemeClr val="tx1">
                    <a:lumMod val="65000"/>
                    <a:lumOff val="35000"/>
                  </a:schemeClr>
                </a:solidFill>
                <a:round/>
              </a:ln>
              <a:effectLst/>
            </c:spPr>
          </c:errBars>
          <c:cat>
            <c:strRef>
              <c:f>'DHB region'!$Z$11:$AB$11</c:f>
              <c:strCache>
                <c:ptCount val="3"/>
                <c:pt idx="0">
                  <c:v>2002-06</c:v>
                </c:pt>
                <c:pt idx="1">
                  <c:v>2007-11</c:v>
                </c:pt>
                <c:pt idx="2">
                  <c:v>2012-16</c:v>
                </c:pt>
              </c:strCache>
            </c:strRef>
          </c:cat>
          <c:val>
            <c:numRef>
              <c:f>'DHB region'!$Z$38:$AB$38</c:f>
              <c:numCache>
                <c:formatCode>0.0</c:formatCode>
                <c:ptCount val="3"/>
                <c:pt idx="0">
                  <c:v>9.8492578574199197</c:v>
                </c:pt>
                <c:pt idx="1">
                  <c:v>9.4623926574046706</c:v>
                </c:pt>
                <c:pt idx="2">
                  <c:v>8.3928296188527103</c:v>
                </c:pt>
              </c:numCache>
            </c:numRef>
          </c:val>
          <c:extLst>
            <c:ext xmlns:c16="http://schemas.microsoft.com/office/drawing/2014/chart" uri="{C3380CC4-5D6E-409C-BE32-E72D297353CC}">
              <c16:uniqueId val="{00000000-3500-4B6D-9C33-46336666FC7E}"/>
            </c:ext>
          </c:extLst>
        </c:ser>
        <c:dLbls>
          <c:showLegendKey val="0"/>
          <c:showVal val="0"/>
          <c:showCatName val="0"/>
          <c:showSerName val="0"/>
          <c:showPercent val="0"/>
          <c:showBubbleSize val="0"/>
        </c:dLbls>
        <c:gapWidth val="40"/>
        <c:axId val="455199768"/>
        <c:axId val="455203688"/>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extLst>
              <c:ext xmlns:c16="http://schemas.microsoft.com/office/drawing/2014/chart" uri="{C3380CC4-5D6E-409C-BE32-E72D297353CC}">
                <c16:uniqueId val="{00000001-3500-4B6D-9C33-46336666FC7E}"/>
              </c:ext>
            </c:extLst>
          </c:dPt>
          <c:val>
            <c:numRef>
              <c:f>'DHB region'!$Z$36:$AB$36</c:f>
              <c:numCache>
                <c:formatCode>0.0</c:formatCode>
                <c:ptCount val="3"/>
                <c:pt idx="0">
                  <c:v>12.07150766</c:v>
                </c:pt>
                <c:pt idx="1">
                  <c:v>11.547666789999999</c:v>
                </c:pt>
                <c:pt idx="2">
                  <c:v>11.32357595</c:v>
                </c:pt>
              </c:numCache>
            </c:numRef>
          </c:val>
          <c:smooth val="0"/>
          <c:extLst>
            <c:ext xmlns:c16="http://schemas.microsoft.com/office/drawing/2014/chart" uri="{C3380CC4-5D6E-409C-BE32-E72D297353CC}">
              <c16:uniqueId val="{00000002-3500-4B6D-9C33-46336666FC7E}"/>
            </c:ext>
          </c:extLst>
        </c:ser>
        <c:dLbls>
          <c:showLegendKey val="0"/>
          <c:showVal val="0"/>
          <c:showCatName val="0"/>
          <c:showSerName val="0"/>
          <c:showPercent val="0"/>
          <c:showBubbleSize val="0"/>
        </c:dLbls>
        <c:marker val="1"/>
        <c:smooth val="0"/>
        <c:axId val="455198592"/>
        <c:axId val="455194672"/>
      </c:lineChart>
      <c:catAx>
        <c:axId val="455199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5203688"/>
        <c:crosses val="autoZero"/>
        <c:auto val="1"/>
        <c:lblAlgn val="ctr"/>
        <c:lblOffset val="100"/>
        <c:noMultiLvlLbl val="0"/>
      </c:catAx>
      <c:valAx>
        <c:axId val="455203688"/>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5199768"/>
        <c:crosses val="autoZero"/>
        <c:crossBetween val="between"/>
      </c:valAx>
      <c:valAx>
        <c:axId val="455194672"/>
        <c:scaling>
          <c:orientation val="minMax"/>
          <c:max val="20"/>
        </c:scaling>
        <c:delete val="1"/>
        <c:axPos val="r"/>
        <c:numFmt formatCode="0.0" sourceLinked="1"/>
        <c:majorTickMark val="out"/>
        <c:minorTickMark val="none"/>
        <c:tickLblPos val="nextTo"/>
        <c:crossAx val="455198592"/>
        <c:crosses val="max"/>
        <c:crossBetween val="between"/>
      </c:valAx>
      <c:catAx>
        <c:axId val="455198592"/>
        <c:scaling>
          <c:orientation val="minMax"/>
        </c:scaling>
        <c:delete val="1"/>
        <c:axPos val="b"/>
        <c:majorTickMark val="out"/>
        <c:minorTickMark val="none"/>
        <c:tickLblPos val="nextTo"/>
        <c:crossAx val="45519467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Auckland</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region'!$X$39</c:f>
              <c:strCache>
                <c:ptCount val="1"/>
                <c:pt idx="0">
                  <c:v>Auckland</c:v>
                </c:pt>
              </c:strCache>
            </c:strRef>
          </c:tx>
          <c:spPr>
            <a:solidFill>
              <a:srgbClr val="4BACC6"/>
            </a:solidFill>
            <a:ln>
              <a:noFill/>
            </a:ln>
            <a:effectLst/>
          </c:spPr>
          <c:invertIfNegative val="0"/>
          <c:errBars>
            <c:errBarType val="both"/>
            <c:errValType val="cust"/>
            <c:noEndCap val="0"/>
            <c:plus>
              <c:numRef>
                <c:f>'DHB region'!$BB$33:$BD$33</c:f>
                <c:numCache>
                  <c:formatCode>General</c:formatCode>
                  <c:ptCount val="3"/>
                  <c:pt idx="0">
                    <c:v>1.6</c:v>
                  </c:pt>
                  <c:pt idx="1">
                    <c:v>1.6</c:v>
                  </c:pt>
                  <c:pt idx="2">
                    <c:v>1.4</c:v>
                  </c:pt>
                </c:numCache>
              </c:numRef>
            </c:plus>
            <c:minus>
              <c:numRef>
                <c:f>'DHB region'!$BB$33:$BD$33</c:f>
                <c:numCache>
                  <c:formatCode>General</c:formatCode>
                  <c:ptCount val="3"/>
                  <c:pt idx="0">
                    <c:v>1.6</c:v>
                  </c:pt>
                  <c:pt idx="1">
                    <c:v>1.6</c:v>
                  </c:pt>
                  <c:pt idx="2">
                    <c:v>1.4</c:v>
                  </c:pt>
                </c:numCache>
              </c:numRef>
            </c:minus>
            <c:spPr>
              <a:noFill/>
              <a:ln w="9525" cap="flat" cmpd="sng" algn="ctr">
                <a:solidFill>
                  <a:schemeClr val="tx1">
                    <a:lumMod val="65000"/>
                    <a:lumOff val="35000"/>
                  </a:schemeClr>
                </a:solidFill>
                <a:round/>
              </a:ln>
              <a:effectLst/>
            </c:spPr>
          </c:errBars>
          <c:cat>
            <c:strRef>
              <c:f>'DHB region'!$Z$11:$AB$11</c:f>
              <c:strCache>
                <c:ptCount val="3"/>
                <c:pt idx="0">
                  <c:v>2002-06</c:v>
                </c:pt>
                <c:pt idx="1">
                  <c:v>2007-11</c:v>
                </c:pt>
                <c:pt idx="2">
                  <c:v>2012-16</c:v>
                </c:pt>
              </c:strCache>
            </c:strRef>
          </c:cat>
          <c:val>
            <c:numRef>
              <c:f>'DHB region'!$Z$39:$AB$39</c:f>
              <c:numCache>
                <c:formatCode>0.0</c:formatCode>
                <c:ptCount val="3"/>
                <c:pt idx="0">
                  <c:v>9.1618225337574</c:v>
                </c:pt>
                <c:pt idx="1">
                  <c:v>8.7782021416660605</c:v>
                </c:pt>
                <c:pt idx="2">
                  <c:v>8.3482961782500702</c:v>
                </c:pt>
              </c:numCache>
            </c:numRef>
          </c:val>
          <c:extLst>
            <c:ext xmlns:c16="http://schemas.microsoft.com/office/drawing/2014/chart" uri="{C3380CC4-5D6E-409C-BE32-E72D297353CC}">
              <c16:uniqueId val="{00000000-9116-4B4E-98A3-F9824A14A0B5}"/>
            </c:ext>
          </c:extLst>
        </c:ser>
        <c:dLbls>
          <c:showLegendKey val="0"/>
          <c:showVal val="0"/>
          <c:showCatName val="0"/>
          <c:showSerName val="0"/>
          <c:showPercent val="0"/>
          <c:showBubbleSize val="0"/>
        </c:dLbls>
        <c:gapWidth val="40"/>
        <c:axId val="455200552"/>
        <c:axId val="455202120"/>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extLst>
              <c:ext xmlns:c16="http://schemas.microsoft.com/office/drawing/2014/chart" uri="{C3380CC4-5D6E-409C-BE32-E72D297353CC}">
                <c16:uniqueId val="{00000001-9116-4B4E-98A3-F9824A14A0B5}"/>
              </c:ext>
            </c:extLst>
          </c:dPt>
          <c:val>
            <c:numRef>
              <c:f>'DHB region'!$Z$36:$AB$36</c:f>
              <c:numCache>
                <c:formatCode>0.0</c:formatCode>
                <c:ptCount val="3"/>
                <c:pt idx="0">
                  <c:v>12.07150766</c:v>
                </c:pt>
                <c:pt idx="1">
                  <c:v>11.547666789999999</c:v>
                </c:pt>
                <c:pt idx="2">
                  <c:v>11.32357595</c:v>
                </c:pt>
              </c:numCache>
            </c:numRef>
          </c:val>
          <c:smooth val="0"/>
          <c:extLst>
            <c:ext xmlns:c16="http://schemas.microsoft.com/office/drawing/2014/chart" uri="{C3380CC4-5D6E-409C-BE32-E72D297353CC}">
              <c16:uniqueId val="{00000002-9116-4B4E-98A3-F9824A14A0B5}"/>
            </c:ext>
          </c:extLst>
        </c:ser>
        <c:dLbls>
          <c:showLegendKey val="0"/>
          <c:showVal val="0"/>
          <c:showCatName val="0"/>
          <c:showSerName val="0"/>
          <c:showPercent val="0"/>
          <c:showBubbleSize val="0"/>
        </c:dLbls>
        <c:marker val="1"/>
        <c:smooth val="0"/>
        <c:axId val="455199376"/>
        <c:axId val="455201336"/>
      </c:lineChart>
      <c:catAx>
        <c:axId val="455200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5202120"/>
        <c:crosses val="autoZero"/>
        <c:auto val="1"/>
        <c:lblAlgn val="ctr"/>
        <c:lblOffset val="100"/>
        <c:noMultiLvlLbl val="0"/>
      </c:catAx>
      <c:valAx>
        <c:axId val="455202120"/>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5200552"/>
        <c:crosses val="autoZero"/>
        <c:crossBetween val="between"/>
      </c:valAx>
      <c:valAx>
        <c:axId val="455201336"/>
        <c:scaling>
          <c:orientation val="minMax"/>
          <c:max val="20"/>
        </c:scaling>
        <c:delete val="1"/>
        <c:axPos val="r"/>
        <c:numFmt formatCode="0.0" sourceLinked="1"/>
        <c:majorTickMark val="out"/>
        <c:minorTickMark val="none"/>
        <c:tickLblPos val="nextTo"/>
        <c:crossAx val="455199376"/>
        <c:crosses val="max"/>
        <c:crossBetween val="between"/>
      </c:valAx>
      <c:catAx>
        <c:axId val="455199376"/>
        <c:scaling>
          <c:orientation val="minMax"/>
        </c:scaling>
        <c:delete val="1"/>
        <c:axPos val="b"/>
        <c:majorTickMark val="out"/>
        <c:minorTickMark val="none"/>
        <c:tickLblPos val="nextTo"/>
        <c:crossAx val="45520133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Counties Manukau</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region'!$X$40</c:f>
              <c:strCache>
                <c:ptCount val="1"/>
                <c:pt idx="0">
                  <c:v>Counties Manukau</c:v>
                </c:pt>
              </c:strCache>
            </c:strRef>
          </c:tx>
          <c:spPr>
            <a:solidFill>
              <a:srgbClr val="4BACC6"/>
            </a:solidFill>
            <a:ln>
              <a:noFill/>
            </a:ln>
            <a:effectLst/>
          </c:spPr>
          <c:invertIfNegative val="0"/>
          <c:errBars>
            <c:errBarType val="both"/>
            <c:errValType val="cust"/>
            <c:noEndCap val="0"/>
            <c:plus>
              <c:numRef>
                <c:f>'DHB region'!$BB$34:$BD$34</c:f>
                <c:numCache>
                  <c:formatCode>General</c:formatCode>
                  <c:ptCount val="3"/>
                  <c:pt idx="0">
                    <c:v>2</c:v>
                  </c:pt>
                  <c:pt idx="1">
                    <c:v>1.8</c:v>
                  </c:pt>
                  <c:pt idx="2">
                    <c:v>1.5</c:v>
                  </c:pt>
                </c:numCache>
              </c:numRef>
            </c:plus>
            <c:minus>
              <c:numRef>
                <c:f>'DHB region'!$BB$34:$BD$34</c:f>
                <c:numCache>
                  <c:formatCode>General</c:formatCode>
                  <c:ptCount val="3"/>
                  <c:pt idx="0">
                    <c:v>2</c:v>
                  </c:pt>
                  <c:pt idx="1">
                    <c:v>1.8</c:v>
                  </c:pt>
                  <c:pt idx="2">
                    <c:v>1.5</c:v>
                  </c:pt>
                </c:numCache>
              </c:numRef>
            </c:minus>
            <c:spPr>
              <a:noFill/>
              <a:ln w="9525" cap="flat" cmpd="sng" algn="ctr">
                <a:solidFill>
                  <a:schemeClr val="tx1">
                    <a:lumMod val="65000"/>
                    <a:lumOff val="35000"/>
                  </a:schemeClr>
                </a:solidFill>
                <a:round/>
              </a:ln>
              <a:effectLst/>
            </c:spPr>
          </c:errBars>
          <c:cat>
            <c:strRef>
              <c:f>'DHB region'!$Z$11:$AB$11</c:f>
              <c:strCache>
                <c:ptCount val="3"/>
                <c:pt idx="0">
                  <c:v>2002-06</c:v>
                </c:pt>
                <c:pt idx="1">
                  <c:v>2007-11</c:v>
                </c:pt>
                <c:pt idx="2">
                  <c:v>2012-16</c:v>
                </c:pt>
              </c:strCache>
            </c:strRef>
          </c:cat>
          <c:val>
            <c:numRef>
              <c:f>'DHB region'!$Z$40:$AB$40</c:f>
              <c:numCache>
                <c:formatCode>0.0</c:formatCode>
                <c:ptCount val="3"/>
                <c:pt idx="0">
                  <c:v>12.1437737587279</c:v>
                </c:pt>
                <c:pt idx="1">
                  <c:v>10.7870978064373</c:v>
                </c:pt>
                <c:pt idx="2">
                  <c:v>9.1547991018067094</c:v>
                </c:pt>
              </c:numCache>
            </c:numRef>
          </c:val>
          <c:extLst>
            <c:ext xmlns:c16="http://schemas.microsoft.com/office/drawing/2014/chart" uri="{C3380CC4-5D6E-409C-BE32-E72D297353CC}">
              <c16:uniqueId val="{00000000-DC55-440A-A71F-D567F724EB8D}"/>
            </c:ext>
          </c:extLst>
        </c:ser>
        <c:dLbls>
          <c:showLegendKey val="0"/>
          <c:showVal val="0"/>
          <c:showCatName val="0"/>
          <c:showSerName val="0"/>
          <c:showPercent val="0"/>
          <c:showBubbleSize val="0"/>
        </c:dLbls>
        <c:gapWidth val="40"/>
        <c:axId val="455202512"/>
        <c:axId val="455197416"/>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extLst>
              <c:ext xmlns:c16="http://schemas.microsoft.com/office/drawing/2014/chart" uri="{C3380CC4-5D6E-409C-BE32-E72D297353CC}">
                <c16:uniqueId val="{00000001-DC55-440A-A71F-D567F724EB8D}"/>
              </c:ext>
            </c:extLst>
          </c:dPt>
          <c:val>
            <c:numRef>
              <c:f>'DHB region'!$Z$36:$AB$36</c:f>
              <c:numCache>
                <c:formatCode>0.0</c:formatCode>
                <c:ptCount val="3"/>
                <c:pt idx="0">
                  <c:v>12.07150766</c:v>
                </c:pt>
                <c:pt idx="1">
                  <c:v>11.547666789999999</c:v>
                </c:pt>
                <c:pt idx="2">
                  <c:v>11.32357595</c:v>
                </c:pt>
              </c:numCache>
            </c:numRef>
          </c:val>
          <c:smooth val="0"/>
          <c:extLst>
            <c:ext xmlns:c16="http://schemas.microsoft.com/office/drawing/2014/chart" uri="{C3380CC4-5D6E-409C-BE32-E72D297353CC}">
              <c16:uniqueId val="{00000002-DC55-440A-A71F-D567F724EB8D}"/>
            </c:ext>
          </c:extLst>
        </c:ser>
        <c:dLbls>
          <c:showLegendKey val="0"/>
          <c:showVal val="0"/>
          <c:showCatName val="0"/>
          <c:showSerName val="0"/>
          <c:showPercent val="0"/>
          <c:showBubbleSize val="0"/>
        </c:dLbls>
        <c:marker val="1"/>
        <c:smooth val="0"/>
        <c:axId val="455193496"/>
        <c:axId val="455193104"/>
      </c:lineChart>
      <c:catAx>
        <c:axId val="45520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5197416"/>
        <c:crosses val="autoZero"/>
        <c:auto val="1"/>
        <c:lblAlgn val="ctr"/>
        <c:lblOffset val="100"/>
        <c:noMultiLvlLbl val="0"/>
      </c:catAx>
      <c:valAx>
        <c:axId val="455197416"/>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5202512"/>
        <c:crosses val="autoZero"/>
        <c:crossBetween val="between"/>
      </c:valAx>
      <c:valAx>
        <c:axId val="455193104"/>
        <c:scaling>
          <c:orientation val="minMax"/>
          <c:max val="20"/>
        </c:scaling>
        <c:delete val="1"/>
        <c:axPos val="r"/>
        <c:numFmt formatCode="0.0" sourceLinked="1"/>
        <c:majorTickMark val="out"/>
        <c:minorTickMark val="none"/>
        <c:tickLblPos val="nextTo"/>
        <c:crossAx val="455193496"/>
        <c:crosses val="max"/>
        <c:crossBetween val="between"/>
      </c:valAx>
      <c:catAx>
        <c:axId val="455193496"/>
        <c:scaling>
          <c:orientation val="minMax"/>
        </c:scaling>
        <c:delete val="1"/>
        <c:axPos val="b"/>
        <c:majorTickMark val="out"/>
        <c:minorTickMark val="none"/>
        <c:tickLblPos val="nextTo"/>
        <c:crossAx val="45519310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Waikato</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2679779733415675"/>
          <c:y val="0.22334163068326138"/>
          <c:w val="0.81568586279656219"/>
          <c:h val="0.58370061806790285"/>
        </c:manualLayout>
      </c:layout>
      <c:barChart>
        <c:barDir val="col"/>
        <c:grouping val="clustered"/>
        <c:varyColors val="0"/>
        <c:ser>
          <c:idx val="0"/>
          <c:order val="0"/>
          <c:tx>
            <c:strRef>
              <c:f>'DHB region'!$X$41</c:f>
              <c:strCache>
                <c:ptCount val="1"/>
                <c:pt idx="0">
                  <c:v>Waikato</c:v>
                </c:pt>
              </c:strCache>
            </c:strRef>
          </c:tx>
          <c:spPr>
            <a:solidFill>
              <a:srgbClr val="4BACC6"/>
            </a:solidFill>
            <a:ln>
              <a:noFill/>
            </a:ln>
            <a:effectLst/>
          </c:spPr>
          <c:invertIfNegative val="0"/>
          <c:errBars>
            <c:errBarType val="both"/>
            <c:errValType val="cust"/>
            <c:noEndCap val="0"/>
            <c:plus>
              <c:numRef>
                <c:f>'DHB region'!$BB$35:$BD$35</c:f>
                <c:numCache>
                  <c:formatCode>General</c:formatCode>
                  <c:ptCount val="3"/>
                  <c:pt idx="0">
                    <c:v>2.1</c:v>
                  </c:pt>
                  <c:pt idx="1">
                    <c:v>2</c:v>
                  </c:pt>
                  <c:pt idx="2">
                    <c:v>2</c:v>
                  </c:pt>
                </c:numCache>
              </c:numRef>
            </c:plus>
            <c:minus>
              <c:numRef>
                <c:f>'DHB region'!$BB$35:$BD$35</c:f>
                <c:numCache>
                  <c:formatCode>General</c:formatCode>
                  <c:ptCount val="3"/>
                  <c:pt idx="0">
                    <c:v>2.1</c:v>
                  </c:pt>
                  <c:pt idx="1">
                    <c:v>2</c:v>
                  </c:pt>
                  <c:pt idx="2">
                    <c:v>2</c:v>
                  </c:pt>
                </c:numCache>
              </c:numRef>
            </c:minus>
            <c:spPr>
              <a:noFill/>
              <a:ln w="9525" cap="flat" cmpd="sng" algn="ctr">
                <a:solidFill>
                  <a:schemeClr val="tx1">
                    <a:lumMod val="65000"/>
                    <a:lumOff val="35000"/>
                  </a:schemeClr>
                </a:solidFill>
                <a:round/>
              </a:ln>
              <a:effectLst/>
            </c:spPr>
          </c:errBars>
          <c:cat>
            <c:strRef>
              <c:f>'DHB region'!$Z$11:$AB$11</c:f>
              <c:strCache>
                <c:ptCount val="3"/>
                <c:pt idx="0">
                  <c:v>2002-06</c:v>
                </c:pt>
                <c:pt idx="1">
                  <c:v>2007-11</c:v>
                </c:pt>
                <c:pt idx="2">
                  <c:v>2012-16</c:v>
                </c:pt>
              </c:strCache>
            </c:strRef>
          </c:cat>
          <c:val>
            <c:numRef>
              <c:f>'DHB region'!$Z$41:$AB$41</c:f>
              <c:numCache>
                <c:formatCode>0.0</c:formatCode>
                <c:ptCount val="3"/>
                <c:pt idx="0">
                  <c:v>11.6394002420619</c:v>
                </c:pt>
                <c:pt idx="1">
                  <c:v>11.314197205265399</c:v>
                </c:pt>
                <c:pt idx="2">
                  <c:v>11.731198449934</c:v>
                </c:pt>
              </c:numCache>
            </c:numRef>
          </c:val>
          <c:extLst>
            <c:ext xmlns:c16="http://schemas.microsoft.com/office/drawing/2014/chart" uri="{C3380CC4-5D6E-409C-BE32-E72D297353CC}">
              <c16:uniqueId val="{00000000-CEF9-49D9-95A4-1D5D9EB8A77B}"/>
            </c:ext>
          </c:extLst>
        </c:ser>
        <c:dLbls>
          <c:showLegendKey val="0"/>
          <c:showVal val="0"/>
          <c:showCatName val="0"/>
          <c:showSerName val="0"/>
          <c:showPercent val="0"/>
          <c:showBubbleSize val="0"/>
        </c:dLbls>
        <c:gapWidth val="40"/>
        <c:axId val="455195456"/>
        <c:axId val="455197808"/>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extLst>
              <c:ext xmlns:c16="http://schemas.microsoft.com/office/drawing/2014/chart" uri="{C3380CC4-5D6E-409C-BE32-E72D297353CC}">
                <c16:uniqueId val="{00000001-CEF9-49D9-95A4-1D5D9EB8A77B}"/>
              </c:ext>
            </c:extLst>
          </c:dPt>
          <c:val>
            <c:numRef>
              <c:f>'DHB region'!$Z$36:$AB$36</c:f>
              <c:numCache>
                <c:formatCode>0.0</c:formatCode>
                <c:ptCount val="3"/>
                <c:pt idx="0">
                  <c:v>12.07150766</c:v>
                </c:pt>
                <c:pt idx="1">
                  <c:v>11.547666789999999</c:v>
                </c:pt>
                <c:pt idx="2">
                  <c:v>11.32357595</c:v>
                </c:pt>
              </c:numCache>
            </c:numRef>
          </c:val>
          <c:smooth val="0"/>
          <c:extLst>
            <c:ext xmlns:c16="http://schemas.microsoft.com/office/drawing/2014/chart" uri="{C3380CC4-5D6E-409C-BE32-E72D297353CC}">
              <c16:uniqueId val="{00000002-CEF9-49D9-95A4-1D5D9EB8A77B}"/>
            </c:ext>
          </c:extLst>
        </c:ser>
        <c:dLbls>
          <c:showLegendKey val="0"/>
          <c:showVal val="0"/>
          <c:showCatName val="0"/>
          <c:showSerName val="0"/>
          <c:showPercent val="0"/>
          <c:showBubbleSize val="0"/>
        </c:dLbls>
        <c:marker val="1"/>
        <c:smooth val="0"/>
        <c:axId val="455198200"/>
        <c:axId val="455203296"/>
      </c:lineChart>
      <c:catAx>
        <c:axId val="455195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5197808"/>
        <c:crosses val="autoZero"/>
        <c:auto val="1"/>
        <c:lblAlgn val="ctr"/>
        <c:lblOffset val="100"/>
        <c:noMultiLvlLbl val="0"/>
      </c:catAx>
      <c:valAx>
        <c:axId val="455197808"/>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5195456"/>
        <c:crosses val="autoZero"/>
        <c:crossBetween val="between"/>
      </c:valAx>
      <c:valAx>
        <c:axId val="455203296"/>
        <c:scaling>
          <c:orientation val="minMax"/>
          <c:max val="20"/>
        </c:scaling>
        <c:delete val="1"/>
        <c:axPos val="r"/>
        <c:numFmt formatCode="0.0" sourceLinked="1"/>
        <c:majorTickMark val="out"/>
        <c:minorTickMark val="none"/>
        <c:tickLblPos val="nextTo"/>
        <c:crossAx val="455198200"/>
        <c:crosses val="max"/>
        <c:crossBetween val="between"/>
      </c:valAx>
      <c:catAx>
        <c:axId val="455198200"/>
        <c:scaling>
          <c:orientation val="minMax"/>
        </c:scaling>
        <c:delete val="1"/>
        <c:axPos val="b"/>
        <c:majorTickMark val="out"/>
        <c:minorTickMark val="none"/>
        <c:tickLblPos val="nextTo"/>
        <c:crossAx val="45520329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Lakes</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region'!$X$42</c:f>
              <c:strCache>
                <c:ptCount val="1"/>
                <c:pt idx="0">
                  <c:v>Lakes</c:v>
                </c:pt>
              </c:strCache>
            </c:strRef>
          </c:tx>
          <c:spPr>
            <a:solidFill>
              <a:srgbClr val="4BACC6"/>
            </a:solidFill>
            <a:ln>
              <a:noFill/>
            </a:ln>
            <a:effectLst/>
          </c:spPr>
          <c:invertIfNegative val="0"/>
          <c:errBars>
            <c:errBarType val="both"/>
            <c:errValType val="cust"/>
            <c:noEndCap val="0"/>
            <c:plus>
              <c:numRef>
                <c:f>'DHB region'!$BB$36:$BD$36</c:f>
                <c:numCache>
                  <c:formatCode>General</c:formatCode>
                  <c:ptCount val="3"/>
                  <c:pt idx="0">
                    <c:v>4.4000000000000004</c:v>
                  </c:pt>
                  <c:pt idx="1">
                    <c:v>4.5999999999999996</c:v>
                  </c:pt>
                  <c:pt idx="2">
                    <c:v>4.8</c:v>
                  </c:pt>
                </c:numCache>
              </c:numRef>
            </c:plus>
            <c:minus>
              <c:numRef>
                <c:f>'DHB region'!$BB$36:$BD$36</c:f>
                <c:numCache>
                  <c:formatCode>General</c:formatCode>
                  <c:ptCount val="3"/>
                  <c:pt idx="0">
                    <c:v>4.4000000000000004</c:v>
                  </c:pt>
                  <c:pt idx="1">
                    <c:v>4.5999999999999996</c:v>
                  </c:pt>
                  <c:pt idx="2">
                    <c:v>4.8</c:v>
                  </c:pt>
                </c:numCache>
              </c:numRef>
            </c:minus>
            <c:spPr>
              <a:noFill/>
              <a:ln w="9525" cap="flat" cmpd="sng" algn="ctr">
                <a:solidFill>
                  <a:schemeClr val="tx1">
                    <a:lumMod val="65000"/>
                    <a:lumOff val="35000"/>
                  </a:schemeClr>
                </a:solidFill>
                <a:round/>
              </a:ln>
              <a:effectLst/>
            </c:spPr>
          </c:errBars>
          <c:cat>
            <c:strRef>
              <c:f>'DHB region'!$Z$11:$AB$11</c:f>
              <c:strCache>
                <c:ptCount val="3"/>
                <c:pt idx="0">
                  <c:v>2002-06</c:v>
                </c:pt>
                <c:pt idx="1">
                  <c:v>2007-11</c:v>
                </c:pt>
                <c:pt idx="2">
                  <c:v>2012-16</c:v>
                </c:pt>
              </c:strCache>
            </c:strRef>
          </c:cat>
          <c:val>
            <c:numRef>
              <c:f>'DHB region'!$Z$42:$AB$42</c:f>
              <c:numCache>
                <c:formatCode>0.0</c:formatCode>
                <c:ptCount val="3"/>
                <c:pt idx="0">
                  <c:v>13.8676347044899</c:v>
                </c:pt>
                <c:pt idx="1">
                  <c:v>16.031793788004599</c:v>
                </c:pt>
                <c:pt idx="2">
                  <c:v>16.715475177359501</c:v>
                </c:pt>
              </c:numCache>
            </c:numRef>
          </c:val>
          <c:extLst>
            <c:ext xmlns:c16="http://schemas.microsoft.com/office/drawing/2014/chart" uri="{C3380CC4-5D6E-409C-BE32-E72D297353CC}">
              <c16:uniqueId val="{00000000-F797-48EA-97ED-5F848841A19D}"/>
            </c:ext>
          </c:extLst>
        </c:ser>
        <c:dLbls>
          <c:showLegendKey val="0"/>
          <c:showVal val="0"/>
          <c:showCatName val="0"/>
          <c:showSerName val="0"/>
          <c:showPercent val="0"/>
          <c:showBubbleSize val="0"/>
        </c:dLbls>
        <c:gapWidth val="40"/>
        <c:axId val="454526224"/>
        <c:axId val="454527792"/>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extLst>
              <c:ext xmlns:c16="http://schemas.microsoft.com/office/drawing/2014/chart" uri="{C3380CC4-5D6E-409C-BE32-E72D297353CC}">
                <c16:uniqueId val="{00000001-F797-48EA-97ED-5F848841A19D}"/>
              </c:ext>
            </c:extLst>
          </c:dPt>
          <c:cat>
            <c:strRef>
              <c:f>'DHB region'!$Z$11:$AB$11</c:f>
              <c:strCache>
                <c:ptCount val="3"/>
                <c:pt idx="0">
                  <c:v>2002-06</c:v>
                </c:pt>
                <c:pt idx="1">
                  <c:v>2007-11</c:v>
                </c:pt>
                <c:pt idx="2">
                  <c:v>2012-16</c:v>
                </c:pt>
              </c:strCache>
            </c:strRef>
          </c:cat>
          <c:val>
            <c:numRef>
              <c:f>'DHB region'!$Z$36:$AB$36</c:f>
              <c:numCache>
                <c:formatCode>0.0</c:formatCode>
                <c:ptCount val="3"/>
                <c:pt idx="0">
                  <c:v>12.07150766</c:v>
                </c:pt>
                <c:pt idx="1">
                  <c:v>11.547666789999999</c:v>
                </c:pt>
                <c:pt idx="2">
                  <c:v>11.32357595</c:v>
                </c:pt>
              </c:numCache>
            </c:numRef>
          </c:val>
          <c:smooth val="0"/>
          <c:extLst>
            <c:ext xmlns:c16="http://schemas.microsoft.com/office/drawing/2014/chart" uri="{C3380CC4-5D6E-409C-BE32-E72D297353CC}">
              <c16:uniqueId val="{00000002-F797-48EA-97ED-5F848841A19D}"/>
            </c:ext>
          </c:extLst>
        </c:ser>
        <c:dLbls>
          <c:showLegendKey val="0"/>
          <c:showVal val="0"/>
          <c:showCatName val="0"/>
          <c:showSerName val="0"/>
          <c:showPercent val="0"/>
          <c:showBubbleSize val="0"/>
        </c:dLbls>
        <c:marker val="1"/>
        <c:smooth val="0"/>
        <c:axId val="454524656"/>
        <c:axId val="454525832"/>
      </c:lineChart>
      <c:catAx>
        <c:axId val="454526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4527792"/>
        <c:crosses val="autoZero"/>
        <c:auto val="1"/>
        <c:lblAlgn val="ctr"/>
        <c:lblOffset val="100"/>
        <c:noMultiLvlLbl val="0"/>
      </c:catAx>
      <c:valAx>
        <c:axId val="454527792"/>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4526224"/>
        <c:crosses val="autoZero"/>
        <c:crossBetween val="between"/>
      </c:valAx>
      <c:valAx>
        <c:axId val="454525832"/>
        <c:scaling>
          <c:orientation val="minMax"/>
          <c:max val="20"/>
        </c:scaling>
        <c:delete val="1"/>
        <c:axPos val="r"/>
        <c:numFmt formatCode="0.0" sourceLinked="1"/>
        <c:majorTickMark val="out"/>
        <c:minorTickMark val="none"/>
        <c:tickLblPos val="nextTo"/>
        <c:crossAx val="454524656"/>
        <c:crosses val="max"/>
        <c:crossBetween val="between"/>
      </c:valAx>
      <c:catAx>
        <c:axId val="454524656"/>
        <c:scaling>
          <c:orientation val="minMax"/>
        </c:scaling>
        <c:delete val="1"/>
        <c:axPos val="b"/>
        <c:numFmt formatCode="General" sourceLinked="1"/>
        <c:majorTickMark val="out"/>
        <c:minorTickMark val="none"/>
        <c:tickLblPos val="nextTo"/>
        <c:crossAx val="45452583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Bay of Plenty</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region'!$X$43</c:f>
              <c:strCache>
                <c:ptCount val="1"/>
                <c:pt idx="0">
                  <c:v>Bay of Plenty</c:v>
                </c:pt>
              </c:strCache>
            </c:strRef>
          </c:tx>
          <c:spPr>
            <a:solidFill>
              <a:srgbClr val="4BACC6"/>
            </a:solidFill>
            <a:ln>
              <a:noFill/>
            </a:ln>
            <a:effectLst/>
          </c:spPr>
          <c:invertIfNegative val="0"/>
          <c:errBars>
            <c:errBarType val="both"/>
            <c:errValType val="cust"/>
            <c:noEndCap val="0"/>
            <c:plus>
              <c:numRef>
                <c:f>'DHB region'!$BB$37:$BD$37</c:f>
                <c:numCache>
                  <c:formatCode>General</c:formatCode>
                  <c:ptCount val="3"/>
                  <c:pt idx="0">
                    <c:v>3.2</c:v>
                  </c:pt>
                  <c:pt idx="1">
                    <c:v>3.2</c:v>
                  </c:pt>
                  <c:pt idx="2">
                    <c:v>3.1</c:v>
                  </c:pt>
                </c:numCache>
              </c:numRef>
            </c:plus>
            <c:minus>
              <c:numRef>
                <c:f>'DHB region'!$BB$37:$BD$37</c:f>
                <c:numCache>
                  <c:formatCode>General</c:formatCode>
                  <c:ptCount val="3"/>
                  <c:pt idx="0">
                    <c:v>3.2</c:v>
                  </c:pt>
                  <c:pt idx="1">
                    <c:v>3.2</c:v>
                  </c:pt>
                  <c:pt idx="2">
                    <c:v>3.1</c:v>
                  </c:pt>
                </c:numCache>
              </c:numRef>
            </c:minus>
            <c:spPr>
              <a:noFill/>
              <a:ln w="9525" cap="flat" cmpd="sng" algn="ctr">
                <a:solidFill>
                  <a:schemeClr val="tx1">
                    <a:lumMod val="65000"/>
                    <a:lumOff val="35000"/>
                  </a:schemeClr>
                </a:solidFill>
                <a:round/>
              </a:ln>
              <a:effectLst/>
            </c:spPr>
          </c:errBars>
          <c:cat>
            <c:strRef>
              <c:f>'DHB region'!$Z$11:$AB$11</c:f>
              <c:strCache>
                <c:ptCount val="3"/>
                <c:pt idx="0">
                  <c:v>2002-06</c:v>
                </c:pt>
                <c:pt idx="1">
                  <c:v>2007-11</c:v>
                </c:pt>
                <c:pt idx="2">
                  <c:v>2012-16</c:v>
                </c:pt>
              </c:strCache>
            </c:strRef>
          </c:cat>
          <c:val>
            <c:numRef>
              <c:f>'DHB region'!$Z$43:$AB$43</c:f>
              <c:numCache>
                <c:formatCode>0.0</c:formatCode>
                <c:ptCount val="3"/>
                <c:pt idx="0">
                  <c:v>15.181305642395399</c:v>
                </c:pt>
                <c:pt idx="1">
                  <c:v>14.6993731867334</c:v>
                </c:pt>
                <c:pt idx="2">
                  <c:v>15.0633973619644</c:v>
                </c:pt>
              </c:numCache>
            </c:numRef>
          </c:val>
          <c:extLst>
            <c:ext xmlns:c16="http://schemas.microsoft.com/office/drawing/2014/chart" uri="{C3380CC4-5D6E-409C-BE32-E72D297353CC}">
              <c16:uniqueId val="{00000000-06C1-4B89-BBE1-B4BA52588194}"/>
            </c:ext>
          </c:extLst>
        </c:ser>
        <c:dLbls>
          <c:showLegendKey val="0"/>
          <c:showVal val="0"/>
          <c:showCatName val="0"/>
          <c:showSerName val="0"/>
          <c:showPercent val="0"/>
          <c:showBubbleSize val="0"/>
        </c:dLbls>
        <c:gapWidth val="40"/>
        <c:axId val="454526616"/>
        <c:axId val="454523872"/>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extLst>
              <c:ext xmlns:c16="http://schemas.microsoft.com/office/drawing/2014/chart" uri="{C3380CC4-5D6E-409C-BE32-E72D297353CC}">
                <c16:uniqueId val="{00000001-06C1-4B89-BBE1-B4BA52588194}"/>
              </c:ext>
            </c:extLst>
          </c:dPt>
          <c:cat>
            <c:strRef>
              <c:f>'DHB region'!$Z$11:$AB$11</c:f>
              <c:strCache>
                <c:ptCount val="3"/>
                <c:pt idx="0">
                  <c:v>2002-06</c:v>
                </c:pt>
                <c:pt idx="1">
                  <c:v>2007-11</c:v>
                </c:pt>
                <c:pt idx="2">
                  <c:v>2012-16</c:v>
                </c:pt>
              </c:strCache>
            </c:strRef>
          </c:cat>
          <c:val>
            <c:numRef>
              <c:f>'DHB region'!$Z$36:$AB$36</c:f>
              <c:numCache>
                <c:formatCode>0.0</c:formatCode>
                <c:ptCount val="3"/>
                <c:pt idx="0">
                  <c:v>12.07150766</c:v>
                </c:pt>
                <c:pt idx="1">
                  <c:v>11.547666789999999</c:v>
                </c:pt>
                <c:pt idx="2">
                  <c:v>11.32357595</c:v>
                </c:pt>
              </c:numCache>
            </c:numRef>
          </c:val>
          <c:smooth val="0"/>
          <c:extLst>
            <c:ext xmlns:c16="http://schemas.microsoft.com/office/drawing/2014/chart" uri="{C3380CC4-5D6E-409C-BE32-E72D297353CC}">
              <c16:uniqueId val="{00000002-06C1-4B89-BBE1-B4BA52588194}"/>
            </c:ext>
          </c:extLst>
        </c:ser>
        <c:dLbls>
          <c:showLegendKey val="0"/>
          <c:showVal val="0"/>
          <c:showCatName val="0"/>
          <c:showSerName val="0"/>
          <c:showPercent val="0"/>
          <c:showBubbleSize val="0"/>
        </c:dLbls>
        <c:marker val="1"/>
        <c:smooth val="0"/>
        <c:axId val="454523480"/>
        <c:axId val="454523088"/>
      </c:lineChart>
      <c:catAx>
        <c:axId val="454526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4523872"/>
        <c:crosses val="autoZero"/>
        <c:auto val="1"/>
        <c:lblAlgn val="ctr"/>
        <c:lblOffset val="100"/>
        <c:noMultiLvlLbl val="0"/>
      </c:catAx>
      <c:valAx>
        <c:axId val="454523872"/>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4526616"/>
        <c:crosses val="autoZero"/>
        <c:crossBetween val="between"/>
      </c:valAx>
      <c:valAx>
        <c:axId val="454523088"/>
        <c:scaling>
          <c:orientation val="minMax"/>
          <c:max val="20"/>
        </c:scaling>
        <c:delete val="1"/>
        <c:axPos val="r"/>
        <c:numFmt formatCode="0.0" sourceLinked="1"/>
        <c:majorTickMark val="out"/>
        <c:minorTickMark val="none"/>
        <c:tickLblPos val="nextTo"/>
        <c:crossAx val="454523480"/>
        <c:crosses val="max"/>
        <c:crossBetween val="between"/>
      </c:valAx>
      <c:catAx>
        <c:axId val="454523480"/>
        <c:scaling>
          <c:orientation val="minMax"/>
        </c:scaling>
        <c:delete val="1"/>
        <c:axPos val="b"/>
        <c:numFmt formatCode="General" sourceLinked="1"/>
        <c:majorTickMark val="out"/>
        <c:minorTickMark val="none"/>
        <c:tickLblPos val="nextTo"/>
        <c:crossAx val="45452308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Tairāwhiti</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region'!$X$44</c:f>
              <c:strCache>
                <c:ptCount val="1"/>
                <c:pt idx="0">
                  <c:v>Tairāwhiti</c:v>
                </c:pt>
              </c:strCache>
            </c:strRef>
          </c:tx>
          <c:spPr>
            <a:solidFill>
              <a:srgbClr val="4BACC6"/>
            </a:solidFill>
            <a:ln>
              <a:noFill/>
            </a:ln>
            <a:effectLst/>
          </c:spPr>
          <c:invertIfNegative val="0"/>
          <c:errBars>
            <c:errBarType val="both"/>
            <c:errValType val="cust"/>
            <c:noEndCap val="0"/>
            <c:plus>
              <c:numRef>
                <c:f>'DHB region'!$BB$38:$BD$38</c:f>
                <c:numCache>
                  <c:formatCode>General</c:formatCode>
                  <c:ptCount val="3"/>
                  <c:pt idx="0">
                    <c:v>7.2</c:v>
                  </c:pt>
                  <c:pt idx="1">
                    <c:v>7.8</c:v>
                  </c:pt>
                  <c:pt idx="2">
                    <c:v>6.6</c:v>
                  </c:pt>
                </c:numCache>
              </c:numRef>
            </c:plus>
            <c:minus>
              <c:numRef>
                <c:f>'DHB region'!$BB$38:$BD$38</c:f>
                <c:numCache>
                  <c:formatCode>General</c:formatCode>
                  <c:ptCount val="3"/>
                  <c:pt idx="0">
                    <c:v>7.2</c:v>
                  </c:pt>
                  <c:pt idx="1">
                    <c:v>7.8</c:v>
                  </c:pt>
                  <c:pt idx="2">
                    <c:v>6.6</c:v>
                  </c:pt>
                </c:numCache>
              </c:numRef>
            </c:minus>
            <c:spPr>
              <a:noFill/>
              <a:ln w="9525" cap="flat" cmpd="sng" algn="ctr">
                <a:solidFill>
                  <a:schemeClr val="tx1">
                    <a:lumMod val="65000"/>
                    <a:lumOff val="35000"/>
                  </a:schemeClr>
                </a:solidFill>
                <a:round/>
              </a:ln>
              <a:effectLst/>
            </c:spPr>
          </c:errBars>
          <c:cat>
            <c:strRef>
              <c:f>'DHB region'!$Z$11:$AB$11</c:f>
              <c:strCache>
                <c:ptCount val="3"/>
                <c:pt idx="0">
                  <c:v>2002-06</c:v>
                </c:pt>
                <c:pt idx="1">
                  <c:v>2007-11</c:v>
                </c:pt>
                <c:pt idx="2">
                  <c:v>2012-16</c:v>
                </c:pt>
              </c:strCache>
            </c:strRef>
          </c:cat>
          <c:val>
            <c:numRef>
              <c:f>'DHB region'!$Z$44:$AB$44</c:f>
              <c:numCache>
                <c:formatCode>0.0</c:formatCode>
                <c:ptCount val="3"/>
                <c:pt idx="0">
                  <c:v>17.3773084189278</c:v>
                </c:pt>
                <c:pt idx="1">
                  <c:v>19.1130391061421</c:v>
                </c:pt>
                <c:pt idx="2">
                  <c:v>15.2623131267483</c:v>
                </c:pt>
              </c:numCache>
            </c:numRef>
          </c:val>
          <c:extLst>
            <c:ext xmlns:c16="http://schemas.microsoft.com/office/drawing/2014/chart" uri="{C3380CC4-5D6E-409C-BE32-E72D297353CC}">
              <c16:uniqueId val="{00000000-D26A-47C0-B2C4-0CBA8D6DC589}"/>
            </c:ext>
          </c:extLst>
        </c:ser>
        <c:dLbls>
          <c:showLegendKey val="0"/>
          <c:showVal val="0"/>
          <c:showCatName val="0"/>
          <c:showSerName val="0"/>
          <c:showPercent val="0"/>
          <c:showBubbleSize val="0"/>
        </c:dLbls>
        <c:gapWidth val="40"/>
        <c:axId val="454528576"/>
        <c:axId val="454529360"/>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extLst>
              <c:ext xmlns:c16="http://schemas.microsoft.com/office/drawing/2014/chart" uri="{C3380CC4-5D6E-409C-BE32-E72D297353CC}">
                <c16:uniqueId val="{00000001-D26A-47C0-B2C4-0CBA8D6DC589}"/>
              </c:ext>
            </c:extLst>
          </c:dPt>
          <c:cat>
            <c:strRef>
              <c:f>'DHB region'!$Z$11:$AB$11</c:f>
              <c:strCache>
                <c:ptCount val="3"/>
                <c:pt idx="0">
                  <c:v>2002-06</c:v>
                </c:pt>
                <c:pt idx="1">
                  <c:v>2007-11</c:v>
                </c:pt>
                <c:pt idx="2">
                  <c:v>2012-16</c:v>
                </c:pt>
              </c:strCache>
            </c:strRef>
          </c:cat>
          <c:val>
            <c:numRef>
              <c:f>'DHB region'!$Z$36:$AB$36</c:f>
              <c:numCache>
                <c:formatCode>0.0</c:formatCode>
                <c:ptCount val="3"/>
                <c:pt idx="0">
                  <c:v>12.07150766</c:v>
                </c:pt>
                <c:pt idx="1">
                  <c:v>11.547666789999999</c:v>
                </c:pt>
                <c:pt idx="2">
                  <c:v>11.32357595</c:v>
                </c:pt>
              </c:numCache>
            </c:numRef>
          </c:val>
          <c:smooth val="0"/>
          <c:extLst>
            <c:ext xmlns:c16="http://schemas.microsoft.com/office/drawing/2014/chart" uri="{C3380CC4-5D6E-409C-BE32-E72D297353CC}">
              <c16:uniqueId val="{00000002-D26A-47C0-B2C4-0CBA8D6DC589}"/>
            </c:ext>
          </c:extLst>
        </c:ser>
        <c:dLbls>
          <c:showLegendKey val="0"/>
          <c:showVal val="0"/>
          <c:showCatName val="0"/>
          <c:showSerName val="0"/>
          <c:showPercent val="0"/>
          <c:showBubbleSize val="0"/>
        </c:dLbls>
        <c:marker val="1"/>
        <c:smooth val="0"/>
        <c:axId val="454525440"/>
        <c:axId val="454525048"/>
      </c:lineChart>
      <c:catAx>
        <c:axId val="454528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4529360"/>
        <c:crosses val="autoZero"/>
        <c:auto val="1"/>
        <c:lblAlgn val="ctr"/>
        <c:lblOffset val="100"/>
        <c:noMultiLvlLbl val="0"/>
      </c:catAx>
      <c:valAx>
        <c:axId val="454529360"/>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4528576"/>
        <c:crosses val="autoZero"/>
        <c:crossBetween val="between"/>
      </c:valAx>
      <c:valAx>
        <c:axId val="454525048"/>
        <c:scaling>
          <c:orientation val="minMax"/>
          <c:max val="20"/>
        </c:scaling>
        <c:delete val="1"/>
        <c:axPos val="r"/>
        <c:numFmt formatCode="0.0" sourceLinked="1"/>
        <c:majorTickMark val="out"/>
        <c:minorTickMark val="none"/>
        <c:tickLblPos val="nextTo"/>
        <c:crossAx val="454525440"/>
        <c:crosses val="max"/>
        <c:crossBetween val="between"/>
      </c:valAx>
      <c:catAx>
        <c:axId val="454525440"/>
        <c:scaling>
          <c:orientation val="minMax"/>
        </c:scaling>
        <c:delete val="1"/>
        <c:axPos val="b"/>
        <c:numFmt formatCode="General" sourceLinked="1"/>
        <c:majorTickMark val="out"/>
        <c:minorTickMark val="none"/>
        <c:tickLblPos val="nextTo"/>
        <c:crossAx val="45452504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Hawke's Bay</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region'!$X$45</c:f>
              <c:strCache>
                <c:ptCount val="1"/>
                <c:pt idx="0">
                  <c:v>Hawke's Bay</c:v>
                </c:pt>
              </c:strCache>
            </c:strRef>
          </c:tx>
          <c:spPr>
            <a:solidFill>
              <a:srgbClr val="4BACC6"/>
            </a:solidFill>
            <a:ln>
              <a:noFill/>
            </a:ln>
            <a:effectLst/>
          </c:spPr>
          <c:invertIfNegative val="0"/>
          <c:errBars>
            <c:errBarType val="both"/>
            <c:errValType val="cust"/>
            <c:noEndCap val="0"/>
            <c:plus>
              <c:numRef>
                <c:f>'DHB region'!$BB$39:$BD$39</c:f>
                <c:numCache>
                  <c:formatCode>General</c:formatCode>
                  <c:ptCount val="3"/>
                  <c:pt idx="0">
                    <c:v>4</c:v>
                  </c:pt>
                  <c:pt idx="1">
                    <c:v>3.5</c:v>
                  </c:pt>
                  <c:pt idx="2">
                    <c:v>3.7</c:v>
                  </c:pt>
                </c:numCache>
              </c:numRef>
            </c:plus>
            <c:minus>
              <c:numRef>
                <c:f>'DHB region'!$BB$39:$BD$39</c:f>
                <c:numCache>
                  <c:formatCode>General</c:formatCode>
                  <c:ptCount val="3"/>
                  <c:pt idx="0">
                    <c:v>4</c:v>
                  </c:pt>
                  <c:pt idx="1">
                    <c:v>3.5</c:v>
                  </c:pt>
                  <c:pt idx="2">
                    <c:v>3.7</c:v>
                  </c:pt>
                </c:numCache>
              </c:numRef>
            </c:minus>
            <c:spPr>
              <a:noFill/>
              <a:ln w="9525" cap="flat" cmpd="sng" algn="ctr">
                <a:solidFill>
                  <a:schemeClr val="tx1">
                    <a:lumMod val="65000"/>
                    <a:lumOff val="35000"/>
                  </a:schemeClr>
                </a:solidFill>
                <a:round/>
              </a:ln>
              <a:effectLst/>
            </c:spPr>
          </c:errBars>
          <c:cat>
            <c:strRef>
              <c:f>'DHB region'!$Z$11:$AB$11</c:f>
              <c:strCache>
                <c:ptCount val="3"/>
                <c:pt idx="0">
                  <c:v>2002-06</c:v>
                </c:pt>
                <c:pt idx="1">
                  <c:v>2007-11</c:v>
                </c:pt>
                <c:pt idx="2">
                  <c:v>2012-16</c:v>
                </c:pt>
              </c:strCache>
            </c:strRef>
          </c:cat>
          <c:val>
            <c:numRef>
              <c:f>'DHB region'!$Z$45:$AB$45</c:f>
              <c:numCache>
                <c:formatCode>0.0</c:formatCode>
                <c:ptCount val="3"/>
                <c:pt idx="0">
                  <c:v>17.296981052109601</c:v>
                </c:pt>
                <c:pt idx="1">
                  <c:v>13.6106879713618</c:v>
                </c:pt>
                <c:pt idx="2">
                  <c:v>15.191460881905501</c:v>
                </c:pt>
              </c:numCache>
            </c:numRef>
          </c:val>
          <c:extLst>
            <c:ext xmlns:c16="http://schemas.microsoft.com/office/drawing/2014/chart" uri="{C3380CC4-5D6E-409C-BE32-E72D297353CC}">
              <c16:uniqueId val="{00000000-77E4-46DC-A2A3-C935EA65C7F3}"/>
            </c:ext>
          </c:extLst>
        </c:ser>
        <c:dLbls>
          <c:showLegendKey val="0"/>
          <c:showVal val="0"/>
          <c:showCatName val="0"/>
          <c:showSerName val="0"/>
          <c:showPercent val="0"/>
          <c:showBubbleSize val="0"/>
        </c:dLbls>
        <c:gapWidth val="40"/>
        <c:axId val="454527400"/>
        <c:axId val="454528184"/>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extLst>
              <c:ext xmlns:c16="http://schemas.microsoft.com/office/drawing/2014/chart" uri="{C3380CC4-5D6E-409C-BE32-E72D297353CC}">
                <c16:uniqueId val="{00000001-77E4-46DC-A2A3-C935EA65C7F3}"/>
              </c:ext>
            </c:extLst>
          </c:dPt>
          <c:cat>
            <c:strRef>
              <c:f>'DHB region'!$Z$11:$AB$11</c:f>
              <c:strCache>
                <c:ptCount val="3"/>
                <c:pt idx="0">
                  <c:v>2002-06</c:v>
                </c:pt>
                <c:pt idx="1">
                  <c:v>2007-11</c:v>
                </c:pt>
                <c:pt idx="2">
                  <c:v>2012-16</c:v>
                </c:pt>
              </c:strCache>
            </c:strRef>
          </c:cat>
          <c:val>
            <c:numRef>
              <c:f>'DHB region'!$Z$36:$AB$36</c:f>
              <c:numCache>
                <c:formatCode>0.0</c:formatCode>
                <c:ptCount val="3"/>
                <c:pt idx="0">
                  <c:v>12.07150766</c:v>
                </c:pt>
                <c:pt idx="1">
                  <c:v>11.547666789999999</c:v>
                </c:pt>
                <c:pt idx="2">
                  <c:v>11.32357595</c:v>
                </c:pt>
              </c:numCache>
            </c:numRef>
          </c:val>
          <c:smooth val="0"/>
          <c:extLst>
            <c:ext xmlns:c16="http://schemas.microsoft.com/office/drawing/2014/chart" uri="{C3380CC4-5D6E-409C-BE32-E72D297353CC}">
              <c16:uniqueId val="{00000002-77E4-46DC-A2A3-C935EA65C7F3}"/>
            </c:ext>
          </c:extLst>
        </c:ser>
        <c:dLbls>
          <c:showLegendKey val="0"/>
          <c:showVal val="0"/>
          <c:showCatName val="0"/>
          <c:showSerName val="0"/>
          <c:showPercent val="0"/>
          <c:showBubbleSize val="0"/>
        </c:dLbls>
        <c:marker val="1"/>
        <c:smooth val="0"/>
        <c:axId val="454529752"/>
        <c:axId val="454528968"/>
      </c:lineChart>
      <c:catAx>
        <c:axId val="454527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4528184"/>
        <c:crosses val="autoZero"/>
        <c:auto val="1"/>
        <c:lblAlgn val="ctr"/>
        <c:lblOffset val="100"/>
        <c:noMultiLvlLbl val="0"/>
      </c:catAx>
      <c:valAx>
        <c:axId val="454528184"/>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4527400"/>
        <c:crosses val="autoZero"/>
        <c:crossBetween val="between"/>
      </c:valAx>
      <c:valAx>
        <c:axId val="454528968"/>
        <c:scaling>
          <c:orientation val="minMax"/>
          <c:max val="20"/>
        </c:scaling>
        <c:delete val="1"/>
        <c:axPos val="r"/>
        <c:numFmt formatCode="0.0" sourceLinked="1"/>
        <c:majorTickMark val="out"/>
        <c:minorTickMark val="none"/>
        <c:tickLblPos val="nextTo"/>
        <c:crossAx val="454529752"/>
        <c:crosses val="max"/>
        <c:crossBetween val="between"/>
      </c:valAx>
      <c:catAx>
        <c:axId val="454529752"/>
        <c:scaling>
          <c:orientation val="minMax"/>
        </c:scaling>
        <c:delete val="1"/>
        <c:axPos val="b"/>
        <c:numFmt formatCode="General" sourceLinked="1"/>
        <c:majorTickMark val="out"/>
        <c:minorTickMark val="none"/>
        <c:tickLblPos val="nextTo"/>
        <c:crossAx val="45452896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Taranaki</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region'!$X$46</c:f>
              <c:strCache>
                <c:ptCount val="1"/>
                <c:pt idx="0">
                  <c:v>Taranaki</c:v>
                </c:pt>
              </c:strCache>
            </c:strRef>
          </c:tx>
          <c:spPr>
            <a:solidFill>
              <a:srgbClr val="4BACC6"/>
            </a:solidFill>
            <a:ln>
              <a:noFill/>
            </a:ln>
            <a:effectLst/>
          </c:spPr>
          <c:invertIfNegative val="0"/>
          <c:errBars>
            <c:errBarType val="both"/>
            <c:errValType val="cust"/>
            <c:noEndCap val="0"/>
            <c:plus>
              <c:numRef>
                <c:f>'DHB region'!$BB$40:$BD$40</c:f>
                <c:numCache>
                  <c:formatCode>General</c:formatCode>
                  <c:ptCount val="3"/>
                  <c:pt idx="0">
                    <c:v>4</c:v>
                  </c:pt>
                  <c:pt idx="1">
                    <c:v>4</c:v>
                  </c:pt>
                  <c:pt idx="2">
                    <c:v>3.9</c:v>
                  </c:pt>
                </c:numCache>
              </c:numRef>
            </c:plus>
            <c:minus>
              <c:numRef>
                <c:f>'DHB region'!$BB$40:$BD$40</c:f>
                <c:numCache>
                  <c:formatCode>General</c:formatCode>
                  <c:ptCount val="3"/>
                  <c:pt idx="0">
                    <c:v>4</c:v>
                  </c:pt>
                  <c:pt idx="1">
                    <c:v>4</c:v>
                  </c:pt>
                  <c:pt idx="2">
                    <c:v>3.9</c:v>
                  </c:pt>
                </c:numCache>
              </c:numRef>
            </c:minus>
            <c:spPr>
              <a:noFill/>
              <a:ln w="9525" cap="flat" cmpd="sng" algn="ctr">
                <a:solidFill>
                  <a:schemeClr val="tx1">
                    <a:lumMod val="65000"/>
                    <a:lumOff val="35000"/>
                  </a:schemeClr>
                </a:solidFill>
                <a:round/>
              </a:ln>
              <a:effectLst/>
            </c:spPr>
          </c:errBars>
          <c:cat>
            <c:strRef>
              <c:f>'DHB region'!$Z$11:$AB$11</c:f>
              <c:strCache>
                <c:ptCount val="3"/>
                <c:pt idx="0">
                  <c:v>2002-06</c:v>
                </c:pt>
                <c:pt idx="1">
                  <c:v>2007-11</c:v>
                </c:pt>
                <c:pt idx="2">
                  <c:v>2012-16</c:v>
                </c:pt>
              </c:strCache>
            </c:strRef>
          </c:cat>
          <c:val>
            <c:numRef>
              <c:f>'DHB region'!$Z$46:$AB$46</c:f>
              <c:numCache>
                <c:formatCode>0.0</c:formatCode>
                <c:ptCount val="3"/>
                <c:pt idx="0">
                  <c:v>12.559317826408201</c:v>
                </c:pt>
                <c:pt idx="1">
                  <c:v>13.233729893468899</c:v>
                </c:pt>
                <c:pt idx="2">
                  <c:v>13.1076974411182</c:v>
                </c:pt>
              </c:numCache>
            </c:numRef>
          </c:val>
          <c:extLst>
            <c:ext xmlns:c16="http://schemas.microsoft.com/office/drawing/2014/chart" uri="{C3380CC4-5D6E-409C-BE32-E72D297353CC}">
              <c16:uniqueId val="{00000000-D35A-4342-B032-95EAB8B76C9E}"/>
            </c:ext>
          </c:extLst>
        </c:ser>
        <c:dLbls>
          <c:showLegendKey val="0"/>
          <c:showVal val="0"/>
          <c:showCatName val="0"/>
          <c:showSerName val="0"/>
          <c:showPercent val="0"/>
          <c:showBubbleSize val="0"/>
        </c:dLbls>
        <c:gapWidth val="40"/>
        <c:axId val="456592264"/>
        <c:axId val="456595792"/>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extLst>
              <c:ext xmlns:c16="http://schemas.microsoft.com/office/drawing/2014/chart" uri="{C3380CC4-5D6E-409C-BE32-E72D297353CC}">
                <c16:uniqueId val="{00000001-D35A-4342-B032-95EAB8B76C9E}"/>
              </c:ext>
            </c:extLst>
          </c:dPt>
          <c:cat>
            <c:strRef>
              <c:f>'DHB region'!$Z$11:$AB$11</c:f>
              <c:strCache>
                <c:ptCount val="3"/>
                <c:pt idx="0">
                  <c:v>2002-06</c:v>
                </c:pt>
                <c:pt idx="1">
                  <c:v>2007-11</c:v>
                </c:pt>
                <c:pt idx="2">
                  <c:v>2012-16</c:v>
                </c:pt>
              </c:strCache>
            </c:strRef>
          </c:cat>
          <c:val>
            <c:numRef>
              <c:f>'DHB region'!$Z$36:$AB$36</c:f>
              <c:numCache>
                <c:formatCode>0.0</c:formatCode>
                <c:ptCount val="3"/>
                <c:pt idx="0">
                  <c:v>12.07150766</c:v>
                </c:pt>
                <c:pt idx="1">
                  <c:v>11.547666789999999</c:v>
                </c:pt>
                <c:pt idx="2">
                  <c:v>11.32357595</c:v>
                </c:pt>
              </c:numCache>
            </c:numRef>
          </c:val>
          <c:smooth val="0"/>
          <c:extLst>
            <c:ext xmlns:c16="http://schemas.microsoft.com/office/drawing/2014/chart" uri="{C3380CC4-5D6E-409C-BE32-E72D297353CC}">
              <c16:uniqueId val="{00000002-D35A-4342-B032-95EAB8B76C9E}"/>
            </c:ext>
          </c:extLst>
        </c:ser>
        <c:dLbls>
          <c:showLegendKey val="0"/>
          <c:showVal val="0"/>
          <c:showCatName val="0"/>
          <c:showSerName val="0"/>
          <c:showPercent val="0"/>
          <c:showBubbleSize val="0"/>
        </c:dLbls>
        <c:marker val="1"/>
        <c:smooth val="0"/>
        <c:axId val="456586384"/>
        <c:axId val="456586776"/>
      </c:lineChart>
      <c:catAx>
        <c:axId val="456592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6595792"/>
        <c:crosses val="autoZero"/>
        <c:auto val="1"/>
        <c:lblAlgn val="ctr"/>
        <c:lblOffset val="100"/>
        <c:noMultiLvlLbl val="0"/>
      </c:catAx>
      <c:valAx>
        <c:axId val="456595792"/>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6592264"/>
        <c:crosses val="autoZero"/>
        <c:crossBetween val="between"/>
      </c:valAx>
      <c:valAx>
        <c:axId val="456586776"/>
        <c:scaling>
          <c:orientation val="minMax"/>
          <c:max val="20"/>
        </c:scaling>
        <c:delete val="1"/>
        <c:axPos val="r"/>
        <c:numFmt formatCode="0.0" sourceLinked="1"/>
        <c:majorTickMark val="out"/>
        <c:minorTickMark val="none"/>
        <c:tickLblPos val="nextTo"/>
        <c:crossAx val="456586384"/>
        <c:crosses val="max"/>
        <c:crossBetween val="between"/>
      </c:valAx>
      <c:catAx>
        <c:axId val="456586384"/>
        <c:scaling>
          <c:orientation val="minMax"/>
        </c:scaling>
        <c:delete val="1"/>
        <c:axPos val="b"/>
        <c:numFmt formatCode="General" sourceLinked="1"/>
        <c:majorTickMark val="out"/>
        <c:minorTickMark val="none"/>
        <c:tickLblPos val="nextTo"/>
        <c:crossAx val="45658677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24510306105846E-2"/>
          <c:y val="0.13065746458409008"/>
          <c:w val="0.88993626141171234"/>
          <c:h val="0.70526552851434798"/>
        </c:manualLayout>
      </c:layout>
      <c:lineChart>
        <c:grouping val="standard"/>
        <c:varyColors val="0"/>
        <c:ser>
          <c:idx val="0"/>
          <c:order val="0"/>
          <c:tx>
            <c:v>Māori male</c:v>
          </c:tx>
          <c:spPr>
            <a:ln w="22225" cap="rnd">
              <a:solidFill>
                <a:schemeClr val="bg1">
                  <a:lumMod val="50000"/>
                </a:schemeClr>
              </a:solidFill>
              <a:round/>
            </a:ln>
            <a:effectLst/>
          </c:spPr>
          <c:marker>
            <c:symbol val="none"/>
          </c:marker>
          <c:cat>
            <c:numRef>
              <c:f>'Quick facts'!$X$51:$AR$51</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'Quick facts'!$X$56:$AR$56</c:f>
              <c:numCache>
                <c:formatCode>0.0</c:formatCode>
                <c:ptCount val="21"/>
                <c:pt idx="0">
                  <c:v>28.6634614636843</c:v>
                </c:pt>
                <c:pt idx="1">
                  <c:v>30.622870852715899</c:v>
                </c:pt>
                <c:pt idx="2">
                  <c:v>34.348686121607798</c:v>
                </c:pt>
                <c:pt idx="3">
                  <c:v>21.453377474962299</c:v>
                </c:pt>
                <c:pt idx="4">
                  <c:v>27.198711801126699</c:v>
                </c:pt>
                <c:pt idx="5">
                  <c:v>22.0828947481947</c:v>
                </c:pt>
                <c:pt idx="6">
                  <c:v>21.881613181334401</c:v>
                </c:pt>
                <c:pt idx="7">
                  <c:v>23.229010507537701</c:v>
                </c:pt>
                <c:pt idx="8">
                  <c:v>30.210797391523901</c:v>
                </c:pt>
                <c:pt idx="9">
                  <c:v>27.973177382021099</c:v>
                </c:pt>
                <c:pt idx="10">
                  <c:v>25.8876809253644</c:v>
                </c:pt>
                <c:pt idx="11">
                  <c:v>25.915091779548401</c:v>
                </c:pt>
                <c:pt idx="12">
                  <c:v>19.8732690696398</c:v>
                </c:pt>
                <c:pt idx="13">
                  <c:v>19.4811396989931</c:v>
                </c:pt>
                <c:pt idx="14">
                  <c:v>23.689392361421</c:v>
                </c:pt>
                <c:pt idx="15">
                  <c:v>26.239623561034499</c:v>
                </c:pt>
                <c:pt idx="16">
                  <c:v>25.431338448587201</c:v>
                </c:pt>
                <c:pt idx="17">
                  <c:v>21.1859227055823</c:v>
                </c:pt>
                <c:pt idx="18">
                  <c:v>22.014569367455099</c:v>
                </c:pt>
                <c:pt idx="19">
                  <c:v>25.5838413177833</c:v>
                </c:pt>
                <c:pt idx="20">
                  <c:v>31.3123998180094</c:v>
                </c:pt>
              </c:numCache>
            </c:numRef>
          </c:val>
          <c:smooth val="0"/>
          <c:extLst>
            <c:ext xmlns:c16="http://schemas.microsoft.com/office/drawing/2014/chart" uri="{C3380CC4-5D6E-409C-BE32-E72D297353CC}">
              <c16:uniqueId val="{00000000-EF53-4282-A17F-CD7B0607B78F}"/>
            </c:ext>
          </c:extLst>
        </c:ser>
        <c:ser>
          <c:idx val="2"/>
          <c:order val="1"/>
          <c:tx>
            <c:v>Non-Māori male</c:v>
          </c:tx>
          <c:spPr>
            <a:ln w="22225" cap="rnd">
              <a:solidFill>
                <a:schemeClr val="bg1">
                  <a:lumMod val="75000"/>
                </a:schemeClr>
              </a:solidFill>
              <a:prstDash val="solid"/>
              <a:round/>
            </a:ln>
            <a:effectLst/>
          </c:spPr>
          <c:marker>
            <c:symbol val="none"/>
          </c:marker>
          <c:cat>
            <c:numRef>
              <c:f>'Quick facts'!$X$51:$AR$51</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'Quick facts'!$X$67:$AR$67</c:f>
              <c:numCache>
                <c:formatCode>0.0</c:formatCode>
                <c:ptCount val="21"/>
                <c:pt idx="0">
                  <c:v>21.479905755824099</c:v>
                </c:pt>
                <c:pt idx="1">
                  <c:v>21.882813084323601</c:v>
                </c:pt>
                <c:pt idx="2">
                  <c:v>21.517130626241698</c:v>
                </c:pt>
                <c:pt idx="3">
                  <c:v>19.451634350980999</c:v>
                </c:pt>
                <c:pt idx="4">
                  <c:v>18.542595685537702</c:v>
                </c:pt>
                <c:pt idx="5">
                  <c:v>19.754574256070502</c:v>
                </c:pt>
                <c:pt idx="6">
                  <c:v>17.053757227886599</c:v>
                </c:pt>
                <c:pt idx="7">
                  <c:v>17.1757108224569</c:v>
                </c:pt>
                <c:pt idx="8">
                  <c:v>16.521659709264298</c:v>
                </c:pt>
                <c:pt idx="9">
                  <c:v>16.809710006140801</c:v>
                </c:pt>
                <c:pt idx="10">
                  <c:v>16.923735957565398</c:v>
                </c:pt>
                <c:pt idx="11">
                  <c:v>16.348296242666599</c:v>
                </c:pt>
                <c:pt idx="12">
                  <c:v>17.136851166956198</c:v>
                </c:pt>
                <c:pt idx="13">
                  <c:v>17.704891753148601</c:v>
                </c:pt>
                <c:pt idx="14">
                  <c:v>16.134328558354198</c:v>
                </c:pt>
                <c:pt idx="15">
                  <c:v>15.374728749309</c:v>
                </c:pt>
                <c:pt idx="16">
                  <c:v>16.829965457080299</c:v>
                </c:pt>
                <c:pt idx="17">
                  <c:v>14.441701119553899</c:v>
                </c:pt>
                <c:pt idx="18">
                  <c:v>15.1820100358589</c:v>
                </c:pt>
                <c:pt idx="19">
                  <c:v>14.713503479130599</c:v>
                </c:pt>
                <c:pt idx="20">
                  <c:v>14.3629391196318</c:v>
                </c:pt>
              </c:numCache>
            </c:numRef>
          </c:val>
          <c:smooth val="0"/>
          <c:extLst>
            <c:ext xmlns:c16="http://schemas.microsoft.com/office/drawing/2014/chart" uri="{C3380CC4-5D6E-409C-BE32-E72D297353CC}">
              <c16:uniqueId val="{00000001-EF53-4282-A17F-CD7B0607B78F}"/>
            </c:ext>
          </c:extLst>
        </c:ser>
        <c:ser>
          <c:idx val="1"/>
          <c:order val="2"/>
          <c:tx>
            <c:v>Māori female</c:v>
          </c:tx>
          <c:spPr>
            <a:ln w="22225" cap="rnd">
              <a:solidFill>
                <a:schemeClr val="accent1"/>
              </a:solidFill>
              <a:prstDash val="solid"/>
              <a:round/>
            </a:ln>
            <a:effectLst/>
          </c:spPr>
          <c:marker>
            <c:symbol val="none"/>
          </c:marker>
          <c:cat>
            <c:numRef>
              <c:f>'Quick facts'!$X$51:$AR$51</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'Quick facts'!$X$59:$AR$59</c:f>
              <c:numCache>
                <c:formatCode>0.0</c:formatCode>
                <c:ptCount val="21"/>
                <c:pt idx="0">
                  <c:v>9.0066061781584406</c:v>
                </c:pt>
                <c:pt idx="1">
                  <c:v>9.7792096693832598</c:v>
                </c:pt>
                <c:pt idx="2">
                  <c:v>8.5337610468083493</c:v>
                </c:pt>
                <c:pt idx="3">
                  <c:v>6.5325578987774104</c:v>
                </c:pt>
                <c:pt idx="4">
                  <c:v>3.9576666859530998</c:v>
                </c:pt>
                <c:pt idx="5">
                  <c:v>6.6998382352426704</c:v>
                </c:pt>
                <c:pt idx="6">
                  <c:v>6.4896231886298903</c:v>
                </c:pt>
                <c:pt idx="7">
                  <c:v>6.4102244752664204</c:v>
                </c:pt>
                <c:pt idx="8">
                  <c:v>8.6787187808636208</c:v>
                </c:pt>
                <c:pt idx="9">
                  <c:v>8.7267571514896503</c:v>
                </c:pt>
                <c:pt idx="10">
                  <c:v>10.6723123955334</c:v>
                </c:pt>
                <c:pt idx="11">
                  <c:v>7.2545885050603403</c:v>
                </c:pt>
                <c:pt idx="12">
                  <c:v>8.8796426541518301</c:v>
                </c:pt>
                <c:pt idx="13">
                  <c:v>7.3206868063360204</c:v>
                </c:pt>
                <c:pt idx="14">
                  <c:v>8.74468389486562</c:v>
                </c:pt>
                <c:pt idx="15">
                  <c:v>9.3323745071337907</c:v>
                </c:pt>
                <c:pt idx="16">
                  <c:v>10.376266848783301</c:v>
                </c:pt>
                <c:pt idx="17">
                  <c:v>11.129535195000299</c:v>
                </c:pt>
                <c:pt idx="18">
                  <c:v>8.0088287466587804</c:v>
                </c:pt>
                <c:pt idx="19">
                  <c:v>11.215062247293901</c:v>
                </c:pt>
                <c:pt idx="20">
                  <c:v>10.4255863001727</c:v>
                </c:pt>
              </c:numCache>
            </c:numRef>
          </c:val>
          <c:smooth val="0"/>
          <c:extLst>
            <c:ext xmlns:c16="http://schemas.microsoft.com/office/drawing/2014/chart" uri="{C3380CC4-5D6E-409C-BE32-E72D297353CC}">
              <c16:uniqueId val="{00000002-EF53-4282-A17F-CD7B0607B78F}"/>
            </c:ext>
          </c:extLst>
        </c:ser>
        <c:ser>
          <c:idx val="3"/>
          <c:order val="3"/>
          <c:tx>
            <c:v>Non-Māori female</c:v>
          </c:tx>
          <c:spPr>
            <a:ln w="22225" cap="rnd">
              <a:solidFill>
                <a:schemeClr val="accent1">
                  <a:lumMod val="40000"/>
                  <a:lumOff val="60000"/>
                </a:schemeClr>
              </a:solidFill>
              <a:prstDash val="solid"/>
              <a:round/>
            </a:ln>
            <a:effectLst/>
          </c:spPr>
          <c:marker>
            <c:symbol val="none"/>
          </c:marker>
          <c:cat>
            <c:numRef>
              <c:f>'Quick facts'!$X$51:$AR$51</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'Quick facts'!$X$70:$AR$70</c:f>
              <c:numCache>
                <c:formatCode>0.0</c:formatCode>
                <c:ptCount val="21"/>
                <c:pt idx="0">
                  <c:v>5.2986962640135697</c:v>
                </c:pt>
                <c:pt idx="1">
                  <c:v>5.6892468332060497</c:v>
                </c:pt>
                <c:pt idx="2">
                  <c:v>6.1878498162513402</c:v>
                </c:pt>
                <c:pt idx="3">
                  <c:v>6.4624543900880198</c:v>
                </c:pt>
                <c:pt idx="4">
                  <c:v>4.1381655103116204</c:v>
                </c:pt>
                <c:pt idx="5">
                  <c:v>5.3611446727339196</c:v>
                </c:pt>
                <c:pt idx="6">
                  <c:v>5.26343516708328</c:v>
                </c:pt>
                <c:pt idx="7">
                  <c:v>6.4039999122093398</c:v>
                </c:pt>
                <c:pt idx="8">
                  <c:v>4.5051607691466504</c:v>
                </c:pt>
                <c:pt idx="9">
                  <c:v>5.2590011370533496</c:v>
                </c:pt>
                <c:pt idx="10">
                  <c:v>5.2009651380039701</c:v>
                </c:pt>
                <c:pt idx="11">
                  <c:v>4.6012421251756503</c:v>
                </c:pt>
                <c:pt idx="12">
                  <c:v>5.4589151940525902</c:v>
                </c:pt>
                <c:pt idx="13">
                  <c:v>4.4437437379171101</c:v>
                </c:pt>
                <c:pt idx="14">
                  <c:v>5.9134650848101904</c:v>
                </c:pt>
                <c:pt idx="15">
                  <c:v>4.1499902954002099</c:v>
                </c:pt>
                <c:pt idx="16">
                  <c:v>5.1528651892542001</c:v>
                </c:pt>
                <c:pt idx="17">
                  <c:v>5.2765407142672398</c:v>
                </c:pt>
                <c:pt idx="18">
                  <c:v>4.8294233213266304</c:v>
                </c:pt>
                <c:pt idx="19">
                  <c:v>4.7608957245198003</c:v>
                </c:pt>
                <c:pt idx="20">
                  <c:v>4.8570007876246901</c:v>
                </c:pt>
              </c:numCache>
            </c:numRef>
          </c:val>
          <c:smooth val="0"/>
          <c:extLst>
            <c:ext xmlns:c16="http://schemas.microsoft.com/office/drawing/2014/chart" uri="{C3380CC4-5D6E-409C-BE32-E72D297353CC}">
              <c16:uniqueId val="{00000003-EF53-4282-A17F-CD7B0607B78F}"/>
            </c:ext>
          </c:extLst>
        </c:ser>
        <c:dLbls>
          <c:showLegendKey val="0"/>
          <c:showVal val="0"/>
          <c:showCatName val="0"/>
          <c:showSerName val="0"/>
          <c:showPercent val="0"/>
          <c:showBubbleSize val="0"/>
        </c:dLbls>
        <c:smooth val="0"/>
        <c:axId val="449326992"/>
        <c:axId val="449322288"/>
      </c:lineChart>
      <c:catAx>
        <c:axId val="44932699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9322288"/>
        <c:crosses val="autoZero"/>
        <c:auto val="1"/>
        <c:lblAlgn val="ctr"/>
        <c:lblOffset val="100"/>
        <c:tickLblSkip val="4"/>
        <c:noMultiLvlLbl val="0"/>
      </c:catAx>
      <c:valAx>
        <c:axId val="449322288"/>
        <c:scaling>
          <c:orientation val="minMax"/>
          <c:max val="5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9326992"/>
        <c:crosses val="autoZero"/>
        <c:crossBetween val="between"/>
        <c:majorUnit val="10"/>
      </c:valAx>
      <c:spPr>
        <a:noFill/>
        <a:ln>
          <a:noFill/>
        </a:ln>
        <a:effectLst/>
      </c:spPr>
    </c:plotArea>
    <c:legend>
      <c:legendPos val="t"/>
      <c:layout>
        <c:manualLayout>
          <c:xMode val="edge"/>
          <c:yMode val="edge"/>
          <c:x val="0.62561355923054607"/>
          <c:y val="1.8529773386123424E-2"/>
          <c:w val="0.3697319997162517"/>
          <c:h val="0.291570127504553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MidCentral</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region'!$X$47</c:f>
              <c:strCache>
                <c:ptCount val="1"/>
                <c:pt idx="0">
                  <c:v>MidCentral</c:v>
                </c:pt>
              </c:strCache>
            </c:strRef>
          </c:tx>
          <c:spPr>
            <a:solidFill>
              <a:srgbClr val="4BACC6"/>
            </a:solidFill>
            <a:ln>
              <a:noFill/>
            </a:ln>
            <a:effectLst/>
          </c:spPr>
          <c:invertIfNegative val="0"/>
          <c:errBars>
            <c:errBarType val="both"/>
            <c:errValType val="cust"/>
            <c:noEndCap val="0"/>
            <c:plus>
              <c:numRef>
                <c:f>'DHB region'!$BB$41:$BD$41</c:f>
                <c:numCache>
                  <c:formatCode>General</c:formatCode>
                  <c:ptCount val="3"/>
                  <c:pt idx="0">
                    <c:v>3.5</c:v>
                  </c:pt>
                  <c:pt idx="1">
                    <c:v>3.5</c:v>
                  </c:pt>
                  <c:pt idx="2">
                    <c:v>3.4</c:v>
                  </c:pt>
                </c:numCache>
              </c:numRef>
            </c:plus>
            <c:minus>
              <c:numRef>
                <c:f>'DHB region'!$BB$41:$BD$41</c:f>
                <c:numCache>
                  <c:formatCode>General</c:formatCode>
                  <c:ptCount val="3"/>
                  <c:pt idx="0">
                    <c:v>3.5</c:v>
                  </c:pt>
                  <c:pt idx="1">
                    <c:v>3.5</c:v>
                  </c:pt>
                  <c:pt idx="2">
                    <c:v>3.4</c:v>
                  </c:pt>
                </c:numCache>
              </c:numRef>
            </c:minus>
            <c:spPr>
              <a:noFill/>
              <a:ln w="9525" cap="flat" cmpd="sng" algn="ctr">
                <a:solidFill>
                  <a:schemeClr val="tx1">
                    <a:lumMod val="65000"/>
                    <a:lumOff val="35000"/>
                  </a:schemeClr>
                </a:solidFill>
                <a:round/>
              </a:ln>
              <a:effectLst/>
            </c:spPr>
          </c:errBars>
          <c:cat>
            <c:strRef>
              <c:f>'DHB region'!$Z$11:$AB$11</c:f>
              <c:strCache>
                <c:ptCount val="3"/>
                <c:pt idx="0">
                  <c:v>2002-06</c:v>
                </c:pt>
                <c:pt idx="1">
                  <c:v>2007-11</c:v>
                </c:pt>
                <c:pt idx="2">
                  <c:v>2012-16</c:v>
                </c:pt>
              </c:strCache>
            </c:strRef>
          </c:cat>
          <c:val>
            <c:numRef>
              <c:f>'DHB region'!$Z$47:$AB$47</c:f>
              <c:numCache>
                <c:formatCode>0.0</c:formatCode>
                <c:ptCount val="3"/>
                <c:pt idx="0">
                  <c:v>15.559317510609</c:v>
                </c:pt>
                <c:pt idx="1">
                  <c:v>15.2085624797958</c:v>
                </c:pt>
                <c:pt idx="2">
                  <c:v>15.3445965888308</c:v>
                </c:pt>
              </c:numCache>
            </c:numRef>
          </c:val>
          <c:extLst>
            <c:ext xmlns:c16="http://schemas.microsoft.com/office/drawing/2014/chart" uri="{C3380CC4-5D6E-409C-BE32-E72D297353CC}">
              <c16:uniqueId val="{00000000-2189-4144-A50C-DC091522A987}"/>
            </c:ext>
          </c:extLst>
        </c:ser>
        <c:dLbls>
          <c:showLegendKey val="0"/>
          <c:showVal val="0"/>
          <c:showCatName val="0"/>
          <c:showSerName val="0"/>
          <c:showPercent val="0"/>
          <c:showBubbleSize val="0"/>
        </c:dLbls>
        <c:gapWidth val="40"/>
        <c:axId val="456585600"/>
        <c:axId val="456588736"/>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extLst>
              <c:ext xmlns:c16="http://schemas.microsoft.com/office/drawing/2014/chart" uri="{C3380CC4-5D6E-409C-BE32-E72D297353CC}">
                <c16:uniqueId val="{00000001-2189-4144-A50C-DC091522A987}"/>
              </c:ext>
            </c:extLst>
          </c:dPt>
          <c:cat>
            <c:strRef>
              <c:f>'DHB region'!$Z$11:$AB$11</c:f>
              <c:strCache>
                <c:ptCount val="3"/>
                <c:pt idx="0">
                  <c:v>2002-06</c:v>
                </c:pt>
                <c:pt idx="1">
                  <c:v>2007-11</c:v>
                </c:pt>
                <c:pt idx="2">
                  <c:v>2012-16</c:v>
                </c:pt>
              </c:strCache>
            </c:strRef>
          </c:cat>
          <c:val>
            <c:numRef>
              <c:f>'DHB region'!$Z$36:$AB$36</c:f>
              <c:numCache>
                <c:formatCode>0.0</c:formatCode>
                <c:ptCount val="3"/>
                <c:pt idx="0">
                  <c:v>12.07150766</c:v>
                </c:pt>
                <c:pt idx="1">
                  <c:v>11.547666789999999</c:v>
                </c:pt>
                <c:pt idx="2">
                  <c:v>11.32357595</c:v>
                </c:pt>
              </c:numCache>
            </c:numRef>
          </c:val>
          <c:smooth val="0"/>
          <c:extLst>
            <c:ext xmlns:c16="http://schemas.microsoft.com/office/drawing/2014/chart" uri="{C3380CC4-5D6E-409C-BE32-E72D297353CC}">
              <c16:uniqueId val="{00000002-2189-4144-A50C-DC091522A987}"/>
            </c:ext>
          </c:extLst>
        </c:ser>
        <c:dLbls>
          <c:showLegendKey val="0"/>
          <c:showVal val="0"/>
          <c:showCatName val="0"/>
          <c:showSerName val="0"/>
          <c:showPercent val="0"/>
          <c:showBubbleSize val="0"/>
        </c:dLbls>
        <c:marker val="1"/>
        <c:smooth val="0"/>
        <c:axId val="456588344"/>
        <c:axId val="456591480"/>
      </c:lineChart>
      <c:catAx>
        <c:axId val="456585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6588736"/>
        <c:crosses val="autoZero"/>
        <c:auto val="1"/>
        <c:lblAlgn val="ctr"/>
        <c:lblOffset val="100"/>
        <c:noMultiLvlLbl val="0"/>
      </c:catAx>
      <c:valAx>
        <c:axId val="456588736"/>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6585600"/>
        <c:crosses val="autoZero"/>
        <c:crossBetween val="between"/>
      </c:valAx>
      <c:valAx>
        <c:axId val="456591480"/>
        <c:scaling>
          <c:orientation val="minMax"/>
          <c:max val="20"/>
        </c:scaling>
        <c:delete val="1"/>
        <c:axPos val="r"/>
        <c:numFmt formatCode="0.0" sourceLinked="1"/>
        <c:majorTickMark val="out"/>
        <c:minorTickMark val="none"/>
        <c:tickLblPos val="nextTo"/>
        <c:crossAx val="456588344"/>
        <c:crosses val="max"/>
        <c:crossBetween val="between"/>
      </c:valAx>
      <c:catAx>
        <c:axId val="456588344"/>
        <c:scaling>
          <c:orientation val="minMax"/>
        </c:scaling>
        <c:delete val="1"/>
        <c:axPos val="b"/>
        <c:numFmt formatCode="General" sourceLinked="1"/>
        <c:majorTickMark val="out"/>
        <c:minorTickMark val="none"/>
        <c:tickLblPos val="nextTo"/>
        <c:crossAx val="45659148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Whanganui</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region'!$X$48</c:f>
              <c:strCache>
                <c:ptCount val="1"/>
                <c:pt idx="0">
                  <c:v>Whanganui</c:v>
                </c:pt>
              </c:strCache>
            </c:strRef>
          </c:tx>
          <c:spPr>
            <a:solidFill>
              <a:srgbClr val="4BACC6"/>
            </a:solidFill>
            <a:ln>
              <a:noFill/>
            </a:ln>
            <a:effectLst/>
          </c:spPr>
          <c:invertIfNegative val="0"/>
          <c:errBars>
            <c:errBarType val="both"/>
            <c:errValType val="cust"/>
            <c:noEndCap val="0"/>
            <c:plus>
              <c:numRef>
                <c:f>'DHB region'!$BB$42:$BD$42</c:f>
                <c:numCache>
                  <c:formatCode>General</c:formatCode>
                  <c:ptCount val="3"/>
                  <c:pt idx="0">
                    <c:v>5.8</c:v>
                  </c:pt>
                  <c:pt idx="1">
                    <c:v>6.3</c:v>
                  </c:pt>
                  <c:pt idx="2">
                    <c:v>5.8</c:v>
                  </c:pt>
                </c:numCache>
              </c:numRef>
            </c:plus>
            <c:minus>
              <c:numRef>
                <c:f>'DHB region'!$BB$42:$BD$42</c:f>
                <c:numCache>
                  <c:formatCode>General</c:formatCode>
                  <c:ptCount val="3"/>
                  <c:pt idx="0">
                    <c:v>5.8</c:v>
                  </c:pt>
                  <c:pt idx="1">
                    <c:v>6.3</c:v>
                  </c:pt>
                  <c:pt idx="2">
                    <c:v>5.8</c:v>
                  </c:pt>
                </c:numCache>
              </c:numRef>
            </c:minus>
            <c:spPr>
              <a:noFill/>
              <a:ln w="9525" cap="flat" cmpd="sng" algn="ctr">
                <a:solidFill>
                  <a:schemeClr val="tx1">
                    <a:lumMod val="65000"/>
                    <a:lumOff val="35000"/>
                  </a:schemeClr>
                </a:solidFill>
                <a:round/>
              </a:ln>
              <a:effectLst/>
            </c:spPr>
          </c:errBars>
          <c:cat>
            <c:strRef>
              <c:f>'DHB region'!$Z$11:$AB$11</c:f>
              <c:strCache>
                <c:ptCount val="3"/>
                <c:pt idx="0">
                  <c:v>2002-06</c:v>
                </c:pt>
                <c:pt idx="1">
                  <c:v>2007-11</c:v>
                </c:pt>
                <c:pt idx="2">
                  <c:v>2012-16</c:v>
                </c:pt>
              </c:strCache>
            </c:strRef>
          </c:cat>
          <c:val>
            <c:numRef>
              <c:f>'DHB region'!$Z$48:$AB$48</c:f>
              <c:numCache>
                <c:formatCode>0.0</c:formatCode>
                <c:ptCount val="3"/>
                <c:pt idx="0">
                  <c:v>15.8230642563993</c:v>
                </c:pt>
                <c:pt idx="1">
                  <c:v>17.797694821786401</c:v>
                </c:pt>
                <c:pt idx="2">
                  <c:v>14.5439172325546</c:v>
                </c:pt>
              </c:numCache>
            </c:numRef>
          </c:val>
          <c:extLst>
            <c:ext xmlns:c16="http://schemas.microsoft.com/office/drawing/2014/chart" uri="{C3380CC4-5D6E-409C-BE32-E72D297353CC}">
              <c16:uniqueId val="{00000000-E734-472E-8A72-0D63CEA28706}"/>
            </c:ext>
          </c:extLst>
        </c:ser>
        <c:dLbls>
          <c:showLegendKey val="0"/>
          <c:showVal val="0"/>
          <c:showCatName val="0"/>
          <c:showSerName val="0"/>
          <c:showPercent val="0"/>
          <c:showBubbleSize val="0"/>
        </c:dLbls>
        <c:gapWidth val="40"/>
        <c:axId val="456585992"/>
        <c:axId val="456584424"/>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extLst>
              <c:ext xmlns:c16="http://schemas.microsoft.com/office/drawing/2014/chart" uri="{C3380CC4-5D6E-409C-BE32-E72D297353CC}">
                <c16:uniqueId val="{00000001-E734-472E-8A72-0D63CEA28706}"/>
              </c:ext>
            </c:extLst>
          </c:dPt>
          <c:cat>
            <c:strRef>
              <c:f>'DHB region'!$Z$11:$AB$11</c:f>
              <c:strCache>
                <c:ptCount val="3"/>
                <c:pt idx="0">
                  <c:v>2002-06</c:v>
                </c:pt>
                <c:pt idx="1">
                  <c:v>2007-11</c:v>
                </c:pt>
                <c:pt idx="2">
                  <c:v>2012-16</c:v>
                </c:pt>
              </c:strCache>
            </c:strRef>
          </c:cat>
          <c:val>
            <c:numRef>
              <c:f>'DHB region'!$Z$36:$AB$36</c:f>
              <c:numCache>
                <c:formatCode>0.0</c:formatCode>
                <c:ptCount val="3"/>
                <c:pt idx="0">
                  <c:v>12.07150766</c:v>
                </c:pt>
                <c:pt idx="1">
                  <c:v>11.547666789999999</c:v>
                </c:pt>
                <c:pt idx="2">
                  <c:v>11.32357595</c:v>
                </c:pt>
              </c:numCache>
            </c:numRef>
          </c:val>
          <c:smooth val="0"/>
          <c:extLst>
            <c:ext xmlns:c16="http://schemas.microsoft.com/office/drawing/2014/chart" uri="{C3380CC4-5D6E-409C-BE32-E72D297353CC}">
              <c16:uniqueId val="{00000002-E734-472E-8A72-0D63CEA28706}"/>
            </c:ext>
          </c:extLst>
        </c:ser>
        <c:dLbls>
          <c:showLegendKey val="0"/>
          <c:showVal val="0"/>
          <c:showCatName val="0"/>
          <c:showSerName val="0"/>
          <c:showPercent val="0"/>
          <c:showBubbleSize val="0"/>
        </c:dLbls>
        <c:marker val="1"/>
        <c:smooth val="0"/>
        <c:axId val="456590696"/>
        <c:axId val="456593832"/>
      </c:lineChart>
      <c:catAx>
        <c:axId val="456585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6584424"/>
        <c:crosses val="autoZero"/>
        <c:auto val="1"/>
        <c:lblAlgn val="ctr"/>
        <c:lblOffset val="100"/>
        <c:noMultiLvlLbl val="0"/>
      </c:catAx>
      <c:valAx>
        <c:axId val="456584424"/>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6585992"/>
        <c:crosses val="autoZero"/>
        <c:crossBetween val="between"/>
      </c:valAx>
      <c:valAx>
        <c:axId val="456593832"/>
        <c:scaling>
          <c:orientation val="minMax"/>
          <c:max val="20"/>
        </c:scaling>
        <c:delete val="1"/>
        <c:axPos val="r"/>
        <c:numFmt formatCode="0.0" sourceLinked="1"/>
        <c:majorTickMark val="out"/>
        <c:minorTickMark val="none"/>
        <c:tickLblPos val="nextTo"/>
        <c:crossAx val="456590696"/>
        <c:crosses val="max"/>
        <c:crossBetween val="between"/>
      </c:valAx>
      <c:catAx>
        <c:axId val="456590696"/>
        <c:scaling>
          <c:orientation val="minMax"/>
        </c:scaling>
        <c:delete val="1"/>
        <c:axPos val="b"/>
        <c:numFmt formatCode="General" sourceLinked="1"/>
        <c:majorTickMark val="out"/>
        <c:minorTickMark val="none"/>
        <c:tickLblPos val="nextTo"/>
        <c:crossAx val="45659383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Capital &amp; Coast</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region'!$X$49</c:f>
              <c:strCache>
                <c:ptCount val="1"/>
                <c:pt idx="0">
                  <c:v>Capital &amp; Coast</c:v>
                </c:pt>
              </c:strCache>
            </c:strRef>
          </c:tx>
          <c:spPr>
            <a:solidFill>
              <a:srgbClr val="4BACC6"/>
            </a:solidFill>
            <a:ln>
              <a:noFill/>
            </a:ln>
            <a:effectLst/>
          </c:spPr>
          <c:invertIfNegative val="0"/>
          <c:errBars>
            <c:errBarType val="both"/>
            <c:errValType val="cust"/>
            <c:noEndCap val="0"/>
            <c:plus>
              <c:numRef>
                <c:f>'DHB region'!$BB$43:$BD$43</c:f>
                <c:numCache>
                  <c:formatCode>General</c:formatCode>
                  <c:ptCount val="3"/>
                  <c:pt idx="0">
                    <c:v>2.1</c:v>
                  </c:pt>
                  <c:pt idx="1">
                    <c:v>1.8</c:v>
                  </c:pt>
                  <c:pt idx="2">
                    <c:v>1.9</c:v>
                  </c:pt>
                </c:numCache>
              </c:numRef>
            </c:plus>
            <c:minus>
              <c:numRef>
                <c:f>'DHB region'!$BB$43:$BD$43</c:f>
                <c:numCache>
                  <c:formatCode>General</c:formatCode>
                  <c:ptCount val="3"/>
                  <c:pt idx="0">
                    <c:v>2.1</c:v>
                  </c:pt>
                  <c:pt idx="1">
                    <c:v>1.8</c:v>
                  </c:pt>
                  <c:pt idx="2">
                    <c:v>1.9</c:v>
                  </c:pt>
                </c:numCache>
              </c:numRef>
            </c:minus>
            <c:spPr>
              <a:noFill/>
              <a:ln w="9525" cap="flat" cmpd="sng" algn="ctr">
                <a:solidFill>
                  <a:schemeClr val="tx1">
                    <a:lumMod val="65000"/>
                    <a:lumOff val="35000"/>
                  </a:schemeClr>
                </a:solidFill>
                <a:round/>
              </a:ln>
              <a:effectLst/>
            </c:spPr>
          </c:errBars>
          <c:cat>
            <c:strRef>
              <c:f>'DHB region'!$Z$11:$AB$11</c:f>
              <c:strCache>
                <c:ptCount val="3"/>
                <c:pt idx="0">
                  <c:v>2002-06</c:v>
                </c:pt>
                <c:pt idx="1">
                  <c:v>2007-11</c:v>
                </c:pt>
                <c:pt idx="2">
                  <c:v>2012-16</c:v>
                </c:pt>
              </c:strCache>
            </c:strRef>
          </c:cat>
          <c:val>
            <c:numRef>
              <c:f>'DHB region'!$Z$49:$AB$49</c:f>
              <c:numCache>
                <c:formatCode>0.0</c:formatCode>
                <c:ptCount val="3"/>
                <c:pt idx="0">
                  <c:v>9.6115105572749897</c:v>
                </c:pt>
                <c:pt idx="1">
                  <c:v>7.6577935994092199</c:v>
                </c:pt>
                <c:pt idx="2">
                  <c:v>8.9492627152604403</c:v>
                </c:pt>
              </c:numCache>
            </c:numRef>
          </c:val>
          <c:extLst>
            <c:ext xmlns:c16="http://schemas.microsoft.com/office/drawing/2014/chart" uri="{C3380CC4-5D6E-409C-BE32-E72D297353CC}">
              <c16:uniqueId val="{00000000-4B90-4766-97A7-4B6337036ED3}"/>
            </c:ext>
          </c:extLst>
        </c:ser>
        <c:dLbls>
          <c:showLegendKey val="0"/>
          <c:showVal val="0"/>
          <c:showCatName val="0"/>
          <c:showSerName val="0"/>
          <c:showPercent val="0"/>
          <c:showBubbleSize val="0"/>
        </c:dLbls>
        <c:gapWidth val="40"/>
        <c:axId val="456584816"/>
        <c:axId val="456591088"/>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extLst>
              <c:ext xmlns:c16="http://schemas.microsoft.com/office/drawing/2014/chart" uri="{C3380CC4-5D6E-409C-BE32-E72D297353CC}">
                <c16:uniqueId val="{00000001-4B90-4766-97A7-4B6337036ED3}"/>
              </c:ext>
            </c:extLst>
          </c:dPt>
          <c:cat>
            <c:strRef>
              <c:f>'DHB region'!$Z$11:$AB$11</c:f>
              <c:strCache>
                <c:ptCount val="3"/>
                <c:pt idx="0">
                  <c:v>2002-06</c:v>
                </c:pt>
                <c:pt idx="1">
                  <c:v>2007-11</c:v>
                </c:pt>
                <c:pt idx="2">
                  <c:v>2012-16</c:v>
                </c:pt>
              </c:strCache>
            </c:strRef>
          </c:cat>
          <c:val>
            <c:numRef>
              <c:f>'DHB region'!$Z$36:$AB$36</c:f>
              <c:numCache>
                <c:formatCode>0.0</c:formatCode>
                <c:ptCount val="3"/>
                <c:pt idx="0">
                  <c:v>12.07150766</c:v>
                </c:pt>
                <c:pt idx="1">
                  <c:v>11.547666789999999</c:v>
                </c:pt>
                <c:pt idx="2">
                  <c:v>11.32357595</c:v>
                </c:pt>
              </c:numCache>
            </c:numRef>
          </c:val>
          <c:smooth val="0"/>
          <c:extLst>
            <c:ext xmlns:c16="http://schemas.microsoft.com/office/drawing/2014/chart" uri="{C3380CC4-5D6E-409C-BE32-E72D297353CC}">
              <c16:uniqueId val="{00000002-4B90-4766-97A7-4B6337036ED3}"/>
            </c:ext>
          </c:extLst>
        </c:ser>
        <c:dLbls>
          <c:showLegendKey val="0"/>
          <c:showVal val="0"/>
          <c:showCatName val="0"/>
          <c:showSerName val="0"/>
          <c:showPercent val="0"/>
          <c:showBubbleSize val="0"/>
        </c:dLbls>
        <c:marker val="1"/>
        <c:smooth val="0"/>
        <c:axId val="456591872"/>
        <c:axId val="456589128"/>
      </c:lineChart>
      <c:catAx>
        <c:axId val="456584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6591088"/>
        <c:crosses val="autoZero"/>
        <c:auto val="1"/>
        <c:lblAlgn val="ctr"/>
        <c:lblOffset val="100"/>
        <c:noMultiLvlLbl val="0"/>
      </c:catAx>
      <c:valAx>
        <c:axId val="456591088"/>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6584816"/>
        <c:crosses val="autoZero"/>
        <c:crossBetween val="between"/>
      </c:valAx>
      <c:valAx>
        <c:axId val="456589128"/>
        <c:scaling>
          <c:orientation val="minMax"/>
          <c:max val="20"/>
        </c:scaling>
        <c:delete val="1"/>
        <c:axPos val="r"/>
        <c:numFmt formatCode="0.0" sourceLinked="1"/>
        <c:majorTickMark val="out"/>
        <c:minorTickMark val="none"/>
        <c:tickLblPos val="nextTo"/>
        <c:crossAx val="456591872"/>
        <c:crosses val="max"/>
        <c:crossBetween val="between"/>
      </c:valAx>
      <c:catAx>
        <c:axId val="456591872"/>
        <c:scaling>
          <c:orientation val="minMax"/>
        </c:scaling>
        <c:delete val="1"/>
        <c:axPos val="b"/>
        <c:numFmt formatCode="General" sourceLinked="1"/>
        <c:majorTickMark val="out"/>
        <c:minorTickMark val="none"/>
        <c:tickLblPos val="nextTo"/>
        <c:crossAx val="45658912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Hutt Valley</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region'!$X$50</c:f>
              <c:strCache>
                <c:ptCount val="1"/>
                <c:pt idx="0">
                  <c:v>Hutt Valley</c:v>
                </c:pt>
              </c:strCache>
            </c:strRef>
          </c:tx>
          <c:spPr>
            <a:solidFill>
              <a:srgbClr val="4BACC6"/>
            </a:solidFill>
            <a:ln>
              <a:noFill/>
            </a:ln>
            <a:effectLst/>
          </c:spPr>
          <c:invertIfNegative val="0"/>
          <c:errBars>
            <c:errBarType val="both"/>
            <c:errValType val="cust"/>
            <c:noEndCap val="0"/>
            <c:plus>
              <c:numRef>
                <c:f>'DHB region'!$BB$44:$BD$44</c:f>
                <c:numCache>
                  <c:formatCode>General</c:formatCode>
                  <c:ptCount val="3"/>
                  <c:pt idx="0">
                    <c:v>3</c:v>
                  </c:pt>
                  <c:pt idx="1">
                    <c:v>3</c:v>
                  </c:pt>
                  <c:pt idx="2">
                    <c:v>3.3</c:v>
                  </c:pt>
                </c:numCache>
              </c:numRef>
            </c:plus>
            <c:minus>
              <c:numRef>
                <c:f>'DHB region'!$BB$44:$BD$44</c:f>
                <c:numCache>
                  <c:formatCode>General</c:formatCode>
                  <c:ptCount val="3"/>
                  <c:pt idx="0">
                    <c:v>3</c:v>
                  </c:pt>
                  <c:pt idx="1">
                    <c:v>3</c:v>
                  </c:pt>
                  <c:pt idx="2">
                    <c:v>3.3</c:v>
                  </c:pt>
                </c:numCache>
              </c:numRef>
            </c:minus>
            <c:spPr>
              <a:noFill/>
              <a:ln w="9525" cap="flat" cmpd="sng" algn="ctr">
                <a:solidFill>
                  <a:schemeClr val="tx1">
                    <a:lumMod val="65000"/>
                    <a:lumOff val="35000"/>
                  </a:schemeClr>
                </a:solidFill>
                <a:round/>
              </a:ln>
              <a:effectLst/>
            </c:spPr>
          </c:errBars>
          <c:cat>
            <c:strRef>
              <c:f>'DHB region'!$Z$11:$AB$11</c:f>
              <c:strCache>
                <c:ptCount val="3"/>
                <c:pt idx="0">
                  <c:v>2002-06</c:v>
                </c:pt>
                <c:pt idx="1">
                  <c:v>2007-11</c:v>
                </c:pt>
                <c:pt idx="2">
                  <c:v>2012-16</c:v>
                </c:pt>
              </c:strCache>
            </c:strRef>
          </c:cat>
          <c:val>
            <c:numRef>
              <c:f>'DHB region'!$Z$50:$AB$50</c:f>
              <c:numCache>
                <c:formatCode>0.0</c:formatCode>
                <c:ptCount val="3"/>
                <c:pt idx="0">
                  <c:v>9.4659497997044202</c:v>
                </c:pt>
                <c:pt idx="1">
                  <c:v>10.5206153534902</c:v>
                </c:pt>
                <c:pt idx="2">
                  <c:v>12.371523325455099</c:v>
                </c:pt>
              </c:numCache>
            </c:numRef>
          </c:val>
          <c:extLst>
            <c:ext xmlns:c16="http://schemas.microsoft.com/office/drawing/2014/chart" uri="{C3380CC4-5D6E-409C-BE32-E72D297353CC}">
              <c16:uniqueId val="{00000000-F129-44B0-BCF7-E3695AA6FE0B}"/>
            </c:ext>
          </c:extLst>
        </c:ser>
        <c:dLbls>
          <c:showLegendKey val="0"/>
          <c:showVal val="0"/>
          <c:showCatName val="0"/>
          <c:showSerName val="0"/>
          <c:showPercent val="0"/>
          <c:showBubbleSize val="0"/>
        </c:dLbls>
        <c:gapWidth val="40"/>
        <c:axId val="456592656"/>
        <c:axId val="456589520"/>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extLst>
              <c:ext xmlns:c16="http://schemas.microsoft.com/office/drawing/2014/chart" uri="{C3380CC4-5D6E-409C-BE32-E72D297353CC}">
                <c16:uniqueId val="{00000001-F129-44B0-BCF7-E3695AA6FE0B}"/>
              </c:ext>
            </c:extLst>
          </c:dPt>
          <c:cat>
            <c:strRef>
              <c:f>'DHB region'!$Z$11:$AB$11</c:f>
              <c:strCache>
                <c:ptCount val="3"/>
                <c:pt idx="0">
                  <c:v>2002-06</c:v>
                </c:pt>
                <c:pt idx="1">
                  <c:v>2007-11</c:v>
                </c:pt>
                <c:pt idx="2">
                  <c:v>2012-16</c:v>
                </c:pt>
              </c:strCache>
            </c:strRef>
          </c:cat>
          <c:val>
            <c:numRef>
              <c:f>'DHB region'!$Z$36:$AB$36</c:f>
              <c:numCache>
                <c:formatCode>0.0</c:formatCode>
                <c:ptCount val="3"/>
                <c:pt idx="0">
                  <c:v>12.07150766</c:v>
                </c:pt>
                <c:pt idx="1">
                  <c:v>11.547666789999999</c:v>
                </c:pt>
                <c:pt idx="2">
                  <c:v>11.32357595</c:v>
                </c:pt>
              </c:numCache>
            </c:numRef>
          </c:val>
          <c:smooth val="0"/>
          <c:extLst>
            <c:ext xmlns:c16="http://schemas.microsoft.com/office/drawing/2014/chart" uri="{C3380CC4-5D6E-409C-BE32-E72D297353CC}">
              <c16:uniqueId val="{00000002-F129-44B0-BCF7-E3695AA6FE0B}"/>
            </c:ext>
          </c:extLst>
        </c:ser>
        <c:dLbls>
          <c:showLegendKey val="0"/>
          <c:showVal val="0"/>
          <c:showCatName val="0"/>
          <c:showSerName val="0"/>
          <c:showPercent val="0"/>
          <c:showBubbleSize val="0"/>
        </c:dLbls>
        <c:marker val="1"/>
        <c:smooth val="0"/>
        <c:axId val="456593440"/>
        <c:axId val="456593048"/>
      </c:lineChart>
      <c:catAx>
        <c:axId val="456592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6589520"/>
        <c:crosses val="autoZero"/>
        <c:auto val="1"/>
        <c:lblAlgn val="ctr"/>
        <c:lblOffset val="100"/>
        <c:noMultiLvlLbl val="0"/>
      </c:catAx>
      <c:valAx>
        <c:axId val="456589520"/>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6592656"/>
        <c:crosses val="autoZero"/>
        <c:crossBetween val="between"/>
      </c:valAx>
      <c:valAx>
        <c:axId val="456593048"/>
        <c:scaling>
          <c:orientation val="minMax"/>
          <c:max val="20"/>
        </c:scaling>
        <c:delete val="1"/>
        <c:axPos val="r"/>
        <c:numFmt formatCode="0.0" sourceLinked="1"/>
        <c:majorTickMark val="out"/>
        <c:minorTickMark val="none"/>
        <c:tickLblPos val="nextTo"/>
        <c:crossAx val="456593440"/>
        <c:crosses val="max"/>
        <c:crossBetween val="between"/>
      </c:valAx>
      <c:catAx>
        <c:axId val="456593440"/>
        <c:scaling>
          <c:orientation val="minMax"/>
        </c:scaling>
        <c:delete val="1"/>
        <c:axPos val="b"/>
        <c:numFmt formatCode="General" sourceLinked="1"/>
        <c:majorTickMark val="out"/>
        <c:minorTickMark val="none"/>
        <c:tickLblPos val="nextTo"/>
        <c:crossAx val="45659304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Wairarapa</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region'!$X$51</c:f>
              <c:strCache>
                <c:ptCount val="1"/>
                <c:pt idx="0">
                  <c:v>Wairarapa</c:v>
                </c:pt>
              </c:strCache>
            </c:strRef>
          </c:tx>
          <c:spPr>
            <a:solidFill>
              <a:srgbClr val="4BACC6"/>
            </a:solidFill>
            <a:ln>
              <a:noFill/>
            </a:ln>
            <a:effectLst/>
          </c:spPr>
          <c:invertIfNegative val="0"/>
          <c:errBars>
            <c:errBarType val="both"/>
            <c:errValType val="cust"/>
            <c:noEndCap val="0"/>
            <c:plus>
              <c:numRef>
                <c:f>'DHB region'!$BB$45:$BD$45</c:f>
                <c:numCache>
                  <c:formatCode>General</c:formatCode>
                  <c:ptCount val="3"/>
                  <c:pt idx="0">
                    <c:v>8.4</c:v>
                  </c:pt>
                  <c:pt idx="1">
                    <c:v>8.5</c:v>
                  </c:pt>
                  <c:pt idx="2">
                    <c:v>7.5</c:v>
                  </c:pt>
                </c:numCache>
              </c:numRef>
            </c:plus>
            <c:minus>
              <c:numRef>
                <c:f>'DHB region'!$BB$45:$BD$45</c:f>
                <c:numCache>
                  <c:formatCode>General</c:formatCode>
                  <c:ptCount val="3"/>
                  <c:pt idx="0">
                    <c:v>8.4</c:v>
                  </c:pt>
                  <c:pt idx="1">
                    <c:v>8.5</c:v>
                  </c:pt>
                  <c:pt idx="2">
                    <c:v>7.5</c:v>
                  </c:pt>
                </c:numCache>
              </c:numRef>
            </c:minus>
            <c:spPr>
              <a:noFill/>
              <a:ln w="9525" cap="flat" cmpd="sng" algn="ctr">
                <a:solidFill>
                  <a:schemeClr val="tx1">
                    <a:lumMod val="65000"/>
                    <a:lumOff val="35000"/>
                  </a:schemeClr>
                </a:solidFill>
                <a:round/>
              </a:ln>
              <a:effectLst/>
            </c:spPr>
          </c:errBars>
          <c:cat>
            <c:strRef>
              <c:f>'DHB region'!$Z$11:$AB$11</c:f>
              <c:strCache>
                <c:ptCount val="3"/>
                <c:pt idx="0">
                  <c:v>2002-06</c:v>
                </c:pt>
                <c:pt idx="1">
                  <c:v>2007-11</c:v>
                </c:pt>
                <c:pt idx="2">
                  <c:v>2012-16</c:v>
                </c:pt>
              </c:strCache>
            </c:strRef>
          </c:cat>
          <c:val>
            <c:numRef>
              <c:f>'DHB region'!$Z$51:$AB$51</c:f>
              <c:numCache>
                <c:formatCode>0.0</c:formatCode>
                <c:ptCount val="3"/>
                <c:pt idx="0">
                  <c:v>19.298230478884101</c:v>
                </c:pt>
                <c:pt idx="1">
                  <c:v>17.778195647383601</c:v>
                </c:pt>
                <c:pt idx="2">
                  <c:v>17.713416586712299</c:v>
                </c:pt>
              </c:numCache>
            </c:numRef>
          </c:val>
          <c:extLst>
            <c:ext xmlns:c16="http://schemas.microsoft.com/office/drawing/2014/chart" uri="{C3380CC4-5D6E-409C-BE32-E72D297353CC}">
              <c16:uniqueId val="{00000000-2DE5-484D-907C-DB8C502AC05D}"/>
            </c:ext>
          </c:extLst>
        </c:ser>
        <c:dLbls>
          <c:showLegendKey val="0"/>
          <c:showVal val="0"/>
          <c:showCatName val="0"/>
          <c:showSerName val="0"/>
          <c:showPercent val="0"/>
          <c:showBubbleSize val="0"/>
        </c:dLbls>
        <c:gapWidth val="40"/>
        <c:axId val="456589912"/>
        <c:axId val="456594616"/>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extLst>
              <c:ext xmlns:c16="http://schemas.microsoft.com/office/drawing/2014/chart" uri="{C3380CC4-5D6E-409C-BE32-E72D297353CC}">
                <c16:uniqueId val="{00000001-2DE5-484D-907C-DB8C502AC05D}"/>
              </c:ext>
            </c:extLst>
          </c:dPt>
          <c:cat>
            <c:strRef>
              <c:f>'DHB region'!$Z$11:$AB$11</c:f>
              <c:strCache>
                <c:ptCount val="3"/>
                <c:pt idx="0">
                  <c:v>2002-06</c:v>
                </c:pt>
                <c:pt idx="1">
                  <c:v>2007-11</c:v>
                </c:pt>
                <c:pt idx="2">
                  <c:v>2012-16</c:v>
                </c:pt>
              </c:strCache>
            </c:strRef>
          </c:cat>
          <c:val>
            <c:numRef>
              <c:f>'DHB region'!$Z$36:$AB$36</c:f>
              <c:numCache>
                <c:formatCode>0.0</c:formatCode>
                <c:ptCount val="3"/>
                <c:pt idx="0">
                  <c:v>12.07150766</c:v>
                </c:pt>
                <c:pt idx="1">
                  <c:v>11.547666789999999</c:v>
                </c:pt>
                <c:pt idx="2">
                  <c:v>11.32357595</c:v>
                </c:pt>
              </c:numCache>
            </c:numRef>
          </c:val>
          <c:smooth val="0"/>
          <c:extLst>
            <c:ext xmlns:c16="http://schemas.microsoft.com/office/drawing/2014/chart" uri="{C3380CC4-5D6E-409C-BE32-E72D297353CC}">
              <c16:uniqueId val="{00000002-2DE5-484D-907C-DB8C502AC05D}"/>
            </c:ext>
          </c:extLst>
        </c:ser>
        <c:dLbls>
          <c:showLegendKey val="0"/>
          <c:showVal val="0"/>
          <c:showCatName val="0"/>
          <c:showSerName val="0"/>
          <c:showPercent val="0"/>
          <c:showBubbleSize val="0"/>
        </c:dLbls>
        <c:marker val="1"/>
        <c:smooth val="0"/>
        <c:axId val="456595008"/>
        <c:axId val="456590304"/>
      </c:lineChart>
      <c:catAx>
        <c:axId val="456589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6594616"/>
        <c:crosses val="autoZero"/>
        <c:auto val="1"/>
        <c:lblAlgn val="ctr"/>
        <c:lblOffset val="100"/>
        <c:noMultiLvlLbl val="0"/>
      </c:catAx>
      <c:valAx>
        <c:axId val="456594616"/>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6589912"/>
        <c:crosses val="autoZero"/>
        <c:crossBetween val="between"/>
      </c:valAx>
      <c:valAx>
        <c:axId val="456590304"/>
        <c:scaling>
          <c:orientation val="minMax"/>
          <c:max val="20"/>
        </c:scaling>
        <c:delete val="1"/>
        <c:axPos val="r"/>
        <c:numFmt formatCode="0.0" sourceLinked="1"/>
        <c:majorTickMark val="out"/>
        <c:minorTickMark val="none"/>
        <c:tickLblPos val="nextTo"/>
        <c:crossAx val="456595008"/>
        <c:crosses val="max"/>
        <c:crossBetween val="between"/>
      </c:valAx>
      <c:catAx>
        <c:axId val="456595008"/>
        <c:scaling>
          <c:orientation val="minMax"/>
        </c:scaling>
        <c:delete val="1"/>
        <c:axPos val="b"/>
        <c:numFmt formatCode="General" sourceLinked="1"/>
        <c:majorTickMark val="out"/>
        <c:minorTickMark val="none"/>
        <c:tickLblPos val="nextTo"/>
        <c:crossAx val="45659030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Nelson Marlborough</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region'!$X$52</c:f>
              <c:strCache>
                <c:ptCount val="1"/>
                <c:pt idx="0">
                  <c:v>Nelson Marlborough</c:v>
                </c:pt>
              </c:strCache>
            </c:strRef>
          </c:tx>
          <c:spPr>
            <a:solidFill>
              <a:srgbClr val="4BACC6"/>
            </a:solidFill>
            <a:ln>
              <a:noFill/>
            </a:ln>
            <a:effectLst/>
          </c:spPr>
          <c:invertIfNegative val="0"/>
          <c:errBars>
            <c:errBarType val="both"/>
            <c:errValType val="cust"/>
            <c:noEndCap val="0"/>
            <c:plus>
              <c:numRef>
                <c:f>'DHB region'!$BB$46:$BD$46</c:f>
                <c:numCache>
                  <c:formatCode>General</c:formatCode>
                  <c:ptCount val="3"/>
                  <c:pt idx="0">
                    <c:v>3.3</c:v>
                  </c:pt>
                  <c:pt idx="1">
                    <c:v>3.3</c:v>
                  </c:pt>
                  <c:pt idx="2">
                    <c:v>3.1</c:v>
                  </c:pt>
                </c:numCache>
              </c:numRef>
            </c:plus>
            <c:minus>
              <c:numRef>
                <c:f>'DHB region'!$BB$46:$BD$46</c:f>
                <c:numCache>
                  <c:formatCode>General</c:formatCode>
                  <c:ptCount val="3"/>
                  <c:pt idx="0">
                    <c:v>3.3</c:v>
                  </c:pt>
                  <c:pt idx="1">
                    <c:v>3.3</c:v>
                  </c:pt>
                  <c:pt idx="2">
                    <c:v>3.1</c:v>
                  </c:pt>
                </c:numCache>
              </c:numRef>
            </c:minus>
            <c:spPr>
              <a:noFill/>
              <a:ln w="9525" cap="flat" cmpd="sng" algn="ctr">
                <a:solidFill>
                  <a:schemeClr val="tx1">
                    <a:lumMod val="65000"/>
                    <a:lumOff val="35000"/>
                  </a:schemeClr>
                </a:solidFill>
                <a:round/>
              </a:ln>
              <a:effectLst/>
            </c:spPr>
          </c:errBars>
          <c:cat>
            <c:strRef>
              <c:f>'DHB region'!$Z$11:$AB$11</c:f>
              <c:strCache>
                <c:ptCount val="3"/>
                <c:pt idx="0">
                  <c:v>2002-06</c:v>
                </c:pt>
                <c:pt idx="1">
                  <c:v>2007-11</c:v>
                </c:pt>
                <c:pt idx="2">
                  <c:v>2012-16</c:v>
                </c:pt>
              </c:strCache>
            </c:strRef>
          </c:cat>
          <c:val>
            <c:numRef>
              <c:f>'DHB region'!$Z$52:$AB$52</c:f>
              <c:numCache>
                <c:formatCode>0.0</c:formatCode>
                <c:ptCount val="3"/>
                <c:pt idx="0">
                  <c:v>11.3490136940072</c:v>
                </c:pt>
                <c:pt idx="1">
                  <c:v>11.877292280001701</c:v>
                </c:pt>
                <c:pt idx="2">
                  <c:v>11.253237212717799</c:v>
                </c:pt>
              </c:numCache>
            </c:numRef>
          </c:val>
          <c:extLst>
            <c:ext xmlns:c16="http://schemas.microsoft.com/office/drawing/2014/chart" uri="{C3380CC4-5D6E-409C-BE32-E72D297353CC}">
              <c16:uniqueId val="{00000000-E5C8-4039-AC44-8940750DBDE8}"/>
            </c:ext>
          </c:extLst>
        </c:ser>
        <c:dLbls>
          <c:showLegendKey val="0"/>
          <c:showVal val="0"/>
          <c:showCatName val="0"/>
          <c:showSerName val="0"/>
          <c:showPercent val="0"/>
          <c:showBubbleSize val="0"/>
        </c:dLbls>
        <c:gapWidth val="40"/>
        <c:axId val="456584032"/>
        <c:axId val="456585208"/>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extLst>
              <c:ext xmlns:c16="http://schemas.microsoft.com/office/drawing/2014/chart" uri="{C3380CC4-5D6E-409C-BE32-E72D297353CC}">
                <c16:uniqueId val="{00000001-E5C8-4039-AC44-8940750DBDE8}"/>
              </c:ext>
            </c:extLst>
          </c:dPt>
          <c:cat>
            <c:strRef>
              <c:f>'DHB region'!$Z$11:$AB$11</c:f>
              <c:strCache>
                <c:ptCount val="3"/>
                <c:pt idx="0">
                  <c:v>2002-06</c:v>
                </c:pt>
                <c:pt idx="1">
                  <c:v>2007-11</c:v>
                </c:pt>
                <c:pt idx="2">
                  <c:v>2012-16</c:v>
                </c:pt>
              </c:strCache>
            </c:strRef>
          </c:cat>
          <c:val>
            <c:numRef>
              <c:f>'DHB region'!$Z$36:$AB$36</c:f>
              <c:numCache>
                <c:formatCode>0.0</c:formatCode>
                <c:ptCount val="3"/>
                <c:pt idx="0">
                  <c:v>12.07150766</c:v>
                </c:pt>
                <c:pt idx="1">
                  <c:v>11.547666789999999</c:v>
                </c:pt>
                <c:pt idx="2">
                  <c:v>11.32357595</c:v>
                </c:pt>
              </c:numCache>
            </c:numRef>
          </c:val>
          <c:smooth val="0"/>
          <c:extLst>
            <c:ext xmlns:c16="http://schemas.microsoft.com/office/drawing/2014/chart" uri="{C3380CC4-5D6E-409C-BE32-E72D297353CC}">
              <c16:uniqueId val="{00000002-E5C8-4039-AC44-8940750DBDE8}"/>
            </c:ext>
          </c:extLst>
        </c:ser>
        <c:dLbls>
          <c:showLegendKey val="0"/>
          <c:showVal val="0"/>
          <c:showCatName val="0"/>
          <c:showSerName val="0"/>
          <c:showPercent val="0"/>
          <c:showBubbleSize val="0"/>
        </c:dLbls>
        <c:marker val="1"/>
        <c:smooth val="0"/>
        <c:axId val="456596576"/>
        <c:axId val="456597752"/>
      </c:lineChart>
      <c:catAx>
        <c:axId val="45658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6585208"/>
        <c:crosses val="autoZero"/>
        <c:auto val="1"/>
        <c:lblAlgn val="ctr"/>
        <c:lblOffset val="100"/>
        <c:noMultiLvlLbl val="0"/>
      </c:catAx>
      <c:valAx>
        <c:axId val="456585208"/>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6584032"/>
        <c:crosses val="autoZero"/>
        <c:crossBetween val="between"/>
      </c:valAx>
      <c:valAx>
        <c:axId val="456597752"/>
        <c:scaling>
          <c:orientation val="minMax"/>
          <c:max val="20"/>
        </c:scaling>
        <c:delete val="1"/>
        <c:axPos val="r"/>
        <c:numFmt formatCode="0.0" sourceLinked="1"/>
        <c:majorTickMark val="out"/>
        <c:minorTickMark val="none"/>
        <c:tickLblPos val="nextTo"/>
        <c:crossAx val="456596576"/>
        <c:crosses val="max"/>
        <c:crossBetween val="between"/>
      </c:valAx>
      <c:catAx>
        <c:axId val="456596576"/>
        <c:scaling>
          <c:orientation val="minMax"/>
        </c:scaling>
        <c:delete val="1"/>
        <c:axPos val="b"/>
        <c:numFmt formatCode="General" sourceLinked="1"/>
        <c:majorTickMark val="out"/>
        <c:minorTickMark val="none"/>
        <c:tickLblPos val="nextTo"/>
        <c:crossAx val="45659775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West Coast</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2636468078122434"/>
          <c:y val="0.14924254742547424"/>
          <c:w val="0.81631544395207611"/>
          <c:h val="0.66163414634146345"/>
        </c:manualLayout>
      </c:layout>
      <c:barChart>
        <c:barDir val="col"/>
        <c:grouping val="clustered"/>
        <c:varyColors val="0"/>
        <c:ser>
          <c:idx val="0"/>
          <c:order val="0"/>
          <c:tx>
            <c:strRef>
              <c:f>'DHB region'!$X$53</c:f>
              <c:strCache>
                <c:ptCount val="1"/>
                <c:pt idx="0">
                  <c:v>West Coast</c:v>
                </c:pt>
              </c:strCache>
            </c:strRef>
          </c:tx>
          <c:spPr>
            <a:solidFill>
              <a:srgbClr val="4BACC6"/>
            </a:solidFill>
            <a:ln>
              <a:noFill/>
            </a:ln>
            <a:effectLst/>
          </c:spPr>
          <c:invertIfNegative val="0"/>
          <c:errBars>
            <c:errBarType val="both"/>
            <c:errValType val="cust"/>
            <c:noEndCap val="0"/>
            <c:plus>
              <c:numRef>
                <c:f>'DHB region'!$BB$47:$BD$47</c:f>
                <c:numCache>
                  <c:formatCode>General</c:formatCode>
                  <c:ptCount val="3"/>
                  <c:pt idx="0">
                    <c:v>7.4</c:v>
                  </c:pt>
                  <c:pt idx="1">
                    <c:v>7</c:v>
                  </c:pt>
                  <c:pt idx="2">
                    <c:v>10.8</c:v>
                  </c:pt>
                </c:numCache>
              </c:numRef>
            </c:plus>
            <c:minus>
              <c:numRef>
                <c:f>'DHB region'!$BB$47:$BD$47</c:f>
                <c:numCache>
                  <c:formatCode>General</c:formatCode>
                  <c:ptCount val="3"/>
                  <c:pt idx="0">
                    <c:v>7.4</c:v>
                  </c:pt>
                  <c:pt idx="1">
                    <c:v>7</c:v>
                  </c:pt>
                  <c:pt idx="2">
                    <c:v>10.8</c:v>
                  </c:pt>
                </c:numCache>
              </c:numRef>
            </c:minus>
            <c:spPr>
              <a:noFill/>
              <a:ln w="9525" cap="flat" cmpd="sng" algn="ctr">
                <a:solidFill>
                  <a:schemeClr val="tx1">
                    <a:lumMod val="65000"/>
                    <a:lumOff val="35000"/>
                  </a:schemeClr>
                </a:solidFill>
                <a:round/>
              </a:ln>
              <a:effectLst/>
            </c:spPr>
          </c:errBars>
          <c:cat>
            <c:strRef>
              <c:f>'DHB region'!$Z$11:$AB$11</c:f>
              <c:strCache>
                <c:ptCount val="3"/>
                <c:pt idx="0">
                  <c:v>2002-06</c:v>
                </c:pt>
                <c:pt idx="1">
                  <c:v>2007-11</c:v>
                </c:pt>
                <c:pt idx="2">
                  <c:v>2012-16</c:v>
                </c:pt>
              </c:strCache>
            </c:strRef>
          </c:cat>
          <c:val>
            <c:numRef>
              <c:f>'DHB region'!$Z$53:$AB$53</c:f>
              <c:numCache>
                <c:formatCode>0.0</c:formatCode>
                <c:ptCount val="3"/>
                <c:pt idx="0">
                  <c:v>13.4621995196963</c:v>
                </c:pt>
                <c:pt idx="1">
                  <c:v>13.580538154701401</c:v>
                </c:pt>
                <c:pt idx="2">
                  <c:v>25.504881808908099</c:v>
                </c:pt>
              </c:numCache>
            </c:numRef>
          </c:val>
          <c:extLst>
            <c:ext xmlns:c16="http://schemas.microsoft.com/office/drawing/2014/chart" uri="{C3380CC4-5D6E-409C-BE32-E72D297353CC}">
              <c16:uniqueId val="{00000000-88F0-4B09-AC3C-4280ABC76D6A}"/>
            </c:ext>
          </c:extLst>
        </c:ser>
        <c:dLbls>
          <c:showLegendKey val="0"/>
          <c:showVal val="0"/>
          <c:showCatName val="0"/>
          <c:showSerName val="0"/>
          <c:showPercent val="0"/>
          <c:showBubbleSize val="0"/>
        </c:dLbls>
        <c:gapWidth val="40"/>
        <c:axId val="456596184"/>
        <c:axId val="456596968"/>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0"/>
            <c:marker>
              <c:symbol val="dash"/>
              <c:size val="13"/>
              <c:spPr>
                <a:solidFill>
                  <a:schemeClr val="tx1"/>
                </a:solidFill>
                <a:ln w="9525">
                  <a:noFill/>
                </a:ln>
                <a:effectLst/>
              </c:spPr>
            </c:marker>
            <c:bubble3D val="0"/>
            <c:extLst>
              <c:ext xmlns:c16="http://schemas.microsoft.com/office/drawing/2014/chart" uri="{C3380CC4-5D6E-409C-BE32-E72D297353CC}">
                <c16:uniqueId val="{00000001-88F0-4B09-AC3C-4280ABC76D6A}"/>
              </c:ext>
            </c:extLst>
          </c:dPt>
          <c:dPt>
            <c:idx val="2"/>
            <c:marker>
              <c:symbol val="dash"/>
              <c:size val="13"/>
              <c:spPr>
                <a:solidFill>
                  <a:schemeClr val="tx1"/>
                </a:solidFill>
                <a:ln w="9525">
                  <a:noFill/>
                </a:ln>
                <a:effectLst/>
              </c:spPr>
            </c:marker>
            <c:bubble3D val="0"/>
            <c:extLst>
              <c:ext xmlns:c16="http://schemas.microsoft.com/office/drawing/2014/chart" uri="{C3380CC4-5D6E-409C-BE32-E72D297353CC}">
                <c16:uniqueId val="{00000002-88F0-4B09-AC3C-4280ABC76D6A}"/>
              </c:ext>
            </c:extLst>
          </c:dPt>
          <c:cat>
            <c:strRef>
              <c:f>'DHB region'!$Z$11:$AB$11</c:f>
              <c:strCache>
                <c:ptCount val="3"/>
                <c:pt idx="0">
                  <c:v>2002-06</c:v>
                </c:pt>
                <c:pt idx="1">
                  <c:v>2007-11</c:v>
                </c:pt>
                <c:pt idx="2">
                  <c:v>2012-16</c:v>
                </c:pt>
              </c:strCache>
            </c:strRef>
          </c:cat>
          <c:val>
            <c:numRef>
              <c:f>'DHB region'!$Z$36:$AB$36</c:f>
              <c:numCache>
                <c:formatCode>0.0</c:formatCode>
                <c:ptCount val="3"/>
                <c:pt idx="0">
                  <c:v>12.07150766</c:v>
                </c:pt>
                <c:pt idx="1">
                  <c:v>11.547666789999999</c:v>
                </c:pt>
                <c:pt idx="2">
                  <c:v>11.32357595</c:v>
                </c:pt>
              </c:numCache>
            </c:numRef>
          </c:val>
          <c:smooth val="0"/>
          <c:extLst>
            <c:ext xmlns:c16="http://schemas.microsoft.com/office/drawing/2014/chart" uri="{C3380CC4-5D6E-409C-BE32-E72D297353CC}">
              <c16:uniqueId val="{00000003-88F0-4B09-AC3C-4280ABC76D6A}"/>
            </c:ext>
          </c:extLst>
        </c:ser>
        <c:dLbls>
          <c:showLegendKey val="0"/>
          <c:showVal val="0"/>
          <c:showCatName val="0"/>
          <c:showSerName val="0"/>
          <c:showPercent val="0"/>
          <c:showBubbleSize val="0"/>
        </c:dLbls>
        <c:marker val="1"/>
        <c:smooth val="0"/>
        <c:axId val="456598144"/>
        <c:axId val="456597360"/>
      </c:lineChart>
      <c:catAx>
        <c:axId val="456596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6596968"/>
        <c:crosses val="autoZero"/>
        <c:auto val="1"/>
        <c:lblAlgn val="ctr"/>
        <c:lblOffset val="100"/>
        <c:noMultiLvlLbl val="0"/>
      </c:catAx>
      <c:valAx>
        <c:axId val="456596968"/>
        <c:scaling>
          <c:orientation val="minMax"/>
          <c:max val="3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6596184"/>
        <c:crosses val="autoZero"/>
        <c:crossBetween val="between"/>
      </c:valAx>
      <c:valAx>
        <c:axId val="456597360"/>
        <c:scaling>
          <c:orientation val="minMax"/>
          <c:max val="20"/>
        </c:scaling>
        <c:delete val="1"/>
        <c:axPos val="r"/>
        <c:numFmt formatCode="0.0" sourceLinked="1"/>
        <c:majorTickMark val="out"/>
        <c:minorTickMark val="none"/>
        <c:tickLblPos val="nextTo"/>
        <c:crossAx val="456598144"/>
        <c:crosses val="max"/>
        <c:crossBetween val="between"/>
      </c:valAx>
      <c:catAx>
        <c:axId val="456598144"/>
        <c:scaling>
          <c:orientation val="minMax"/>
        </c:scaling>
        <c:delete val="1"/>
        <c:axPos val="b"/>
        <c:numFmt formatCode="General" sourceLinked="1"/>
        <c:majorTickMark val="out"/>
        <c:minorTickMark val="none"/>
        <c:tickLblPos val="nextTo"/>
        <c:crossAx val="45659736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Canterbury</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region'!$X$54</c:f>
              <c:strCache>
                <c:ptCount val="1"/>
                <c:pt idx="0">
                  <c:v>Canterbury</c:v>
                </c:pt>
              </c:strCache>
            </c:strRef>
          </c:tx>
          <c:spPr>
            <a:solidFill>
              <a:srgbClr val="4BACC6"/>
            </a:solidFill>
            <a:ln>
              <a:noFill/>
            </a:ln>
            <a:effectLst/>
          </c:spPr>
          <c:invertIfNegative val="0"/>
          <c:errBars>
            <c:errBarType val="both"/>
            <c:errValType val="cust"/>
            <c:noEndCap val="0"/>
            <c:plus>
              <c:numRef>
                <c:f>'DHB region'!$BB$48:$BD$48</c:f>
                <c:numCache>
                  <c:formatCode>General</c:formatCode>
                  <c:ptCount val="3"/>
                  <c:pt idx="0">
                    <c:v>1.8</c:v>
                  </c:pt>
                  <c:pt idx="1">
                    <c:v>1.7</c:v>
                  </c:pt>
                  <c:pt idx="2">
                    <c:v>1.7</c:v>
                  </c:pt>
                </c:numCache>
              </c:numRef>
            </c:plus>
            <c:minus>
              <c:numRef>
                <c:f>'DHB region'!$BB$48:$BD$48</c:f>
                <c:numCache>
                  <c:formatCode>General</c:formatCode>
                  <c:ptCount val="3"/>
                  <c:pt idx="0">
                    <c:v>1.8</c:v>
                  </c:pt>
                  <c:pt idx="1">
                    <c:v>1.7</c:v>
                  </c:pt>
                  <c:pt idx="2">
                    <c:v>1.7</c:v>
                  </c:pt>
                </c:numCache>
              </c:numRef>
            </c:minus>
            <c:spPr>
              <a:noFill/>
              <a:ln w="9525" cap="flat" cmpd="sng" algn="ctr">
                <a:solidFill>
                  <a:schemeClr val="tx1">
                    <a:lumMod val="65000"/>
                    <a:lumOff val="35000"/>
                  </a:schemeClr>
                </a:solidFill>
                <a:round/>
              </a:ln>
              <a:effectLst/>
            </c:spPr>
          </c:errBars>
          <c:cat>
            <c:strRef>
              <c:f>'DHB region'!$Z$11:$AB$11</c:f>
              <c:strCache>
                <c:ptCount val="3"/>
                <c:pt idx="0">
                  <c:v>2002-06</c:v>
                </c:pt>
                <c:pt idx="1">
                  <c:v>2007-11</c:v>
                </c:pt>
                <c:pt idx="2">
                  <c:v>2012-16</c:v>
                </c:pt>
              </c:strCache>
            </c:strRef>
          </c:cat>
          <c:val>
            <c:numRef>
              <c:f>'DHB region'!$Z$54:$AB$54</c:f>
              <c:numCache>
                <c:formatCode>0.0</c:formatCode>
                <c:ptCount val="3"/>
                <c:pt idx="0">
                  <c:v>12.356001719906301</c:v>
                </c:pt>
                <c:pt idx="1">
                  <c:v>11.8236021725622</c:v>
                </c:pt>
                <c:pt idx="2">
                  <c:v>11.399211184765701</c:v>
                </c:pt>
              </c:numCache>
            </c:numRef>
          </c:val>
          <c:extLst>
            <c:ext xmlns:c16="http://schemas.microsoft.com/office/drawing/2014/chart" uri="{C3380CC4-5D6E-409C-BE32-E72D297353CC}">
              <c16:uniqueId val="{00000000-A6F1-4C42-AF4E-6C133520D01C}"/>
            </c:ext>
          </c:extLst>
        </c:ser>
        <c:dLbls>
          <c:showLegendKey val="0"/>
          <c:showVal val="0"/>
          <c:showCatName val="0"/>
          <c:showSerName val="0"/>
          <c:showPercent val="0"/>
          <c:showBubbleSize val="0"/>
        </c:dLbls>
        <c:gapWidth val="40"/>
        <c:axId val="456598928"/>
        <c:axId val="100790344"/>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extLst>
              <c:ext xmlns:c16="http://schemas.microsoft.com/office/drawing/2014/chart" uri="{C3380CC4-5D6E-409C-BE32-E72D297353CC}">
                <c16:uniqueId val="{00000001-A6F1-4C42-AF4E-6C133520D01C}"/>
              </c:ext>
            </c:extLst>
          </c:dPt>
          <c:cat>
            <c:strRef>
              <c:f>'DHB region'!$Z$11:$AB$11</c:f>
              <c:strCache>
                <c:ptCount val="3"/>
                <c:pt idx="0">
                  <c:v>2002-06</c:v>
                </c:pt>
                <c:pt idx="1">
                  <c:v>2007-11</c:v>
                </c:pt>
                <c:pt idx="2">
                  <c:v>2012-16</c:v>
                </c:pt>
              </c:strCache>
            </c:strRef>
          </c:cat>
          <c:val>
            <c:numRef>
              <c:f>'DHB region'!$Z$36:$AB$36</c:f>
              <c:numCache>
                <c:formatCode>0.0</c:formatCode>
                <c:ptCount val="3"/>
                <c:pt idx="0">
                  <c:v>12.07150766</c:v>
                </c:pt>
                <c:pt idx="1">
                  <c:v>11.547666789999999</c:v>
                </c:pt>
                <c:pt idx="2">
                  <c:v>11.32357595</c:v>
                </c:pt>
              </c:numCache>
            </c:numRef>
          </c:val>
          <c:smooth val="0"/>
          <c:extLst>
            <c:ext xmlns:c16="http://schemas.microsoft.com/office/drawing/2014/chart" uri="{C3380CC4-5D6E-409C-BE32-E72D297353CC}">
              <c16:uniqueId val="{00000002-A6F1-4C42-AF4E-6C133520D01C}"/>
            </c:ext>
          </c:extLst>
        </c:ser>
        <c:dLbls>
          <c:showLegendKey val="0"/>
          <c:showVal val="0"/>
          <c:showCatName val="0"/>
          <c:showSerName val="0"/>
          <c:showPercent val="0"/>
          <c:showBubbleSize val="0"/>
        </c:dLbls>
        <c:marker val="1"/>
        <c:smooth val="0"/>
        <c:axId val="100786816"/>
        <c:axId val="100788384"/>
      </c:lineChart>
      <c:catAx>
        <c:axId val="45659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0790344"/>
        <c:crosses val="autoZero"/>
        <c:auto val="1"/>
        <c:lblAlgn val="ctr"/>
        <c:lblOffset val="100"/>
        <c:noMultiLvlLbl val="0"/>
      </c:catAx>
      <c:valAx>
        <c:axId val="100790344"/>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6598928"/>
        <c:crosses val="autoZero"/>
        <c:crossBetween val="between"/>
      </c:valAx>
      <c:valAx>
        <c:axId val="100788384"/>
        <c:scaling>
          <c:orientation val="minMax"/>
          <c:max val="20"/>
        </c:scaling>
        <c:delete val="1"/>
        <c:axPos val="r"/>
        <c:numFmt formatCode="0.0" sourceLinked="1"/>
        <c:majorTickMark val="out"/>
        <c:minorTickMark val="none"/>
        <c:tickLblPos val="nextTo"/>
        <c:crossAx val="100786816"/>
        <c:crosses val="max"/>
        <c:crossBetween val="between"/>
      </c:valAx>
      <c:catAx>
        <c:axId val="100786816"/>
        <c:scaling>
          <c:orientation val="minMax"/>
        </c:scaling>
        <c:delete val="1"/>
        <c:axPos val="b"/>
        <c:numFmt formatCode="General" sourceLinked="1"/>
        <c:majorTickMark val="out"/>
        <c:minorTickMark val="none"/>
        <c:tickLblPos val="nextTo"/>
        <c:crossAx val="10078838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South Canterbury</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region'!$X$55</c:f>
              <c:strCache>
                <c:ptCount val="1"/>
                <c:pt idx="0">
                  <c:v>South Canterbury</c:v>
                </c:pt>
              </c:strCache>
            </c:strRef>
          </c:tx>
          <c:spPr>
            <a:solidFill>
              <a:srgbClr val="4BACC6"/>
            </a:solidFill>
            <a:ln>
              <a:noFill/>
            </a:ln>
            <a:effectLst/>
          </c:spPr>
          <c:invertIfNegative val="0"/>
          <c:errBars>
            <c:errBarType val="both"/>
            <c:errValType val="cust"/>
            <c:noEndCap val="0"/>
            <c:plus>
              <c:numRef>
                <c:f>'DHB region'!$BB$49:$BD$49</c:f>
                <c:numCache>
                  <c:formatCode>General</c:formatCode>
                  <c:ptCount val="3"/>
                  <c:pt idx="0">
                    <c:v>5.2</c:v>
                  </c:pt>
                  <c:pt idx="1">
                    <c:v>7.4</c:v>
                  </c:pt>
                  <c:pt idx="2">
                    <c:v>6</c:v>
                  </c:pt>
                </c:numCache>
              </c:numRef>
            </c:plus>
            <c:minus>
              <c:numRef>
                <c:f>'DHB region'!$BB$49:$BD$49</c:f>
                <c:numCache>
                  <c:formatCode>General</c:formatCode>
                  <c:ptCount val="3"/>
                  <c:pt idx="0">
                    <c:v>5.2</c:v>
                  </c:pt>
                  <c:pt idx="1">
                    <c:v>7.4</c:v>
                  </c:pt>
                  <c:pt idx="2">
                    <c:v>6</c:v>
                  </c:pt>
                </c:numCache>
              </c:numRef>
            </c:minus>
            <c:spPr>
              <a:noFill/>
              <a:ln w="9525" cap="flat" cmpd="sng" algn="ctr">
                <a:solidFill>
                  <a:schemeClr val="tx1">
                    <a:lumMod val="65000"/>
                    <a:lumOff val="35000"/>
                  </a:schemeClr>
                </a:solidFill>
                <a:round/>
              </a:ln>
              <a:effectLst/>
            </c:spPr>
          </c:errBars>
          <c:cat>
            <c:strRef>
              <c:f>'DHB region'!$Z$11:$AB$11</c:f>
              <c:strCache>
                <c:ptCount val="3"/>
                <c:pt idx="0">
                  <c:v>2002-06</c:v>
                </c:pt>
                <c:pt idx="1">
                  <c:v>2007-11</c:v>
                </c:pt>
                <c:pt idx="2">
                  <c:v>2012-16</c:v>
                </c:pt>
              </c:strCache>
            </c:strRef>
          </c:cat>
          <c:val>
            <c:numRef>
              <c:f>'DHB region'!$Z$55:$AB$55</c:f>
              <c:numCache>
                <c:formatCode>0.0</c:formatCode>
                <c:ptCount val="3"/>
                <c:pt idx="0">
                  <c:v>10.4775471470307</c:v>
                </c:pt>
                <c:pt idx="1">
                  <c:v>19.444313182105699</c:v>
                </c:pt>
                <c:pt idx="2">
                  <c:v>13.6201605498718</c:v>
                </c:pt>
              </c:numCache>
            </c:numRef>
          </c:val>
          <c:extLst>
            <c:ext xmlns:c16="http://schemas.microsoft.com/office/drawing/2014/chart" uri="{C3380CC4-5D6E-409C-BE32-E72D297353CC}">
              <c16:uniqueId val="{00000000-D6DB-496F-84C2-ADD9CCA032FB}"/>
            </c:ext>
          </c:extLst>
        </c:ser>
        <c:dLbls>
          <c:showLegendKey val="0"/>
          <c:showVal val="0"/>
          <c:showCatName val="0"/>
          <c:showSerName val="0"/>
          <c:showPercent val="0"/>
          <c:showBubbleSize val="0"/>
        </c:dLbls>
        <c:gapWidth val="40"/>
        <c:axId val="100784464"/>
        <c:axId val="100787600"/>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extLst>
              <c:ext xmlns:c16="http://schemas.microsoft.com/office/drawing/2014/chart" uri="{C3380CC4-5D6E-409C-BE32-E72D297353CC}">
                <c16:uniqueId val="{00000001-D6DB-496F-84C2-ADD9CCA032FB}"/>
              </c:ext>
            </c:extLst>
          </c:dPt>
          <c:cat>
            <c:strRef>
              <c:f>'DHB region'!$Z$11:$AB$11</c:f>
              <c:strCache>
                <c:ptCount val="3"/>
                <c:pt idx="0">
                  <c:v>2002-06</c:v>
                </c:pt>
                <c:pt idx="1">
                  <c:v>2007-11</c:v>
                </c:pt>
                <c:pt idx="2">
                  <c:v>2012-16</c:v>
                </c:pt>
              </c:strCache>
            </c:strRef>
          </c:cat>
          <c:val>
            <c:numRef>
              <c:f>'DHB region'!$Z$36:$AB$36</c:f>
              <c:numCache>
                <c:formatCode>0.0</c:formatCode>
                <c:ptCount val="3"/>
                <c:pt idx="0">
                  <c:v>12.07150766</c:v>
                </c:pt>
                <c:pt idx="1">
                  <c:v>11.547666789999999</c:v>
                </c:pt>
                <c:pt idx="2">
                  <c:v>11.32357595</c:v>
                </c:pt>
              </c:numCache>
            </c:numRef>
          </c:val>
          <c:smooth val="0"/>
          <c:extLst>
            <c:ext xmlns:c16="http://schemas.microsoft.com/office/drawing/2014/chart" uri="{C3380CC4-5D6E-409C-BE32-E72D297353CC}">
              <c16:uniqueId val="{00000002-D6DB-496F-84C2-ADD9CCA032FB}"/>
            </c:ext>
          </c:extLst>
        </c:ser>
        <c:dLbls>
          <c:showLegendKey val="0"/>
          <c:showVal val="0"/>
          <c:showCatName val="0"/>
          <c:showSerName val="0"/>
          <c:showPercent val="0"/>
          <c:showBubbleSize val="0"/>
        </c:dLbls>
        <c:marker val="1"/>
        <c:smooth val="0"/>
        <c:axId val="100783288"/>
        <c:axId val="100784856"/>
      </c:lineChart>
      <c:catAx>
        <c:axId val="100784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0787600"/>
        <c:crosses val="autoZero"/>
        <c:auto val="1"/>
        <c:lblAlgn val="ctr"/>
        <c:lblOffset val="100"/>
        <c:noMultiLvlLbl val="0"/>
      </c:catAx>
      <c:valAx>
        <c:axId val="100787600"/>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0784464"/>
        <c:crosses val="autoZero"/>
        <c:crossBetween val="between"/>
      </c:valAx>
      <c:valAx>
        <c:axId val="100784856"/>
        <c:scaling>
          <c:orientation val="minMax"/>
          <c:max val="20"/>
        </c:scaling>
        <c:delete val="1"/>
        <c:axPos val="r"/>
        <c:numFmt formatCode="0.0" sourceLinked="1"/>
        <c:majorTickMark val="out"/>
        <c:minorTickMark val="none"/>
        <c:tickLblPos val="nextTo"/>
        <c:crossAx val="100783288"/>
        <c:crosses val="max"/>
        <c:crossBetween val="between"/>
      </c:valAx>
      <c:catAx>
        <c:axId val="100783288"/>
        <c:scaling>
          <c:orientation val="minMax"/>
        </c:scaling>
        <c:delete val="1"/>
        <c:axPos val="b"/>
        <c:numFmt formatCode="General" sourceLinked="1"/>
        <c:majorTickMark val="out"/>
        <c:minorTickMark val="none"/>
        <c:tickLblPos val="nextTo"/>
        <c:crossAx val="10078485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Southern</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'DHB region'!$X$56</c:f>
              <c:strCache>
                <c:ptCount val="1"/>
                <c:pt idx="0">
                  <c:v>Southern</c:v>
                </c:pt>
              </c:strCache>
            </c:strRef>
          </c:tx>
          <c:spPr>
            <a:solidFill>
              <a:srgbClr val="4BACC6"/>
            </a:solidFill>
            <a:ln>
              <a:noFill/>
            </a:ln>
            <a:effectLst/>
          </c:spPr>
          <c:invertIfNegative val="0"/>
          <c:errBars>
            <c:errBarType val="both"/>
            <c:errValType val="cust"/>
            <c:noEndCap val="0"/>
            <c:plus>
              <c:numRef>
                <c:f>'DHB region'!$BB$50:$BD$50</c:f>
                <c:numCache>
                  <c:formatCode>General</c:formatCode>
                  <c:ptCount val="3"/>
                  <c:pt idx="0">
                    <c:v>2.4</c:v>
                  </c:pt>
                  <c:pt idx="1">
                    <c:v>2.4</c:v>
                  </c:pt>
                  <c:pt idx="2">
                    <c:v>2.4</c:v>
                  </c:pt>
                </c:numCache>
              </c:numRef>
            </c:plus>
            <c:minus>
              <c:numRef>
                <c:f>'DHB region'!$BB$50:$BD$50</c:f>
                <c:numCache>
                  <c:formatCode>General</c:formatCode>
                  <c:ptCount val="3"/>
                  <c:pt idx="0">
                    <c:v>2.4</c:v>
                  </c:pt>
                  <c:pt idx="1">
                    <c:v>2.4</c:v>
                  </c:pt>
                  <c:pt idx="2">
                    <c:v>2.4</c:v>
                  </c:pt>
                </c:numCache>
              </c:numRef>
            </c:minus>
            <c:spPr>
              <a:noFill/>
              <a:ln w="9525" cap="flat" cmpd="sng" algn="ctr">
                <a:solidFill>
                  <a:schemeClr val="tx1">
                    <a:lumMod val="65000"/>
                    <a:lumOff val="35000"/>
                  </a:schemeClr>
                </a:solidFill>
                <a:round/>
              </a:ln>
              <a:effectLst/>
            </c:spPr>
          </c:errBars>
          <c:cat>
            <c:strRef>
              <c:f>'DHB region'!$Z$11:$AB$11</c:f>
              <c:strCache>
                <c:ptCount val="3"/>
                <c:pt idx="0">
                  <c:v>2002-06</c:v>
                </c:pt>
                <c:pt idx="1">
                  <c:v>2007-11</c:v>
                </c:pt>
                <c:pt idx="2">
                  <c:v>2012-16</c:v>
                </c:pt>
              </c:strCache>
            </c:strRef>
          </c:cat>
          <c:val>
            <c:numRef>
              <c:f>'DHB region'!$Z$56:$AB$56</c:f>
              <c:numCache>
                <c:formatCode>0.0</c:formatCode>
                <c:ptCount val="3"/>
                <c:pt idx="0">
                  <c:v>13.017861402815999</c:v>
                </c:pt>
                <c:pt idx="1">
                  <c:v>13.551547359040899</c:v>
                </c:pt>
                <c:pt idx="2">
                  <c:v>13.2539499729693</c:v>
                </c:pt>
              </c:numCache>
            </c:numRef>
          </c:val>
          <c:extLst>
            <c:ext xmlns:c16="http://schemas.microsoft.com/office/drawing/2014/chart" uri="{C3380CC4-5D6E-409C-BE32-E72D297353CC}">
              <c16:uniqueId val="{00000000-75D7-47CE-9F4F-4DBA0DB16B8E}"/>
            </c:ext>
          </c:extLst>
        </c:ser>
        <c:dLbls>
          <c:showLegendKey val="0"/>
          <c:showVal val="0"/>
          <c:showCatName val="0"/>
          <c:showSerName val="0"/>
          <c:showPercent val="0"/>
          <c:showBubbleSize val="0"/>
        </c:dLbls>
        <c:gapWidth val="40"/>
        <c:axId val="100782112"/>
        <c:axId val="100786032"/>
      </c:barChart>
      <c:lineChart>
        <c:grouping val="standard"/>
        <c:varyColors val="0"/>
        <c:ser>
          <c:idx val="1"/>
          <c:order val="1"/>
          <c:tx>
            <c:v>National rate</c:v>
          </c:tx>
          <c:spPr>
            <a:ln w="28575" cap="rnd">
              <a:noFill/>
              <a:round/>
            </a:ln>
            <a:effectLst/>
          </c:spPr>
          <c:marker>
            <c:symbol val="dash"/>
            <c:size val="13"/>
            <c:spPr>
              <a:solidFill>
                <a:schemeClr val="tx1"/>
              </a:solidFill>
              <a:ln w="9525">
                <a:noFill/>
              </a:ln>
              <a:effectLst/>
            </c:spPr>
          </c:marker>
          <c:dPt>
            <c:idx val="2"/>
            <c:marker>
              <c:symbol val="dash"/>
              <c:size val="13"/>
              <c:spPr>
                <a:solidFill>
                  <a:schemeClr val="tx1"/>
                </a:solidFill>
                <a:ln w="9525">
                  <a:noFill/>
                </a:ln>
                <a:effectLst/>
              </c:spPr>
            </c:marker>
            <c:bubble3D val="0"/>
            <c:extLst>
              <c:ext xmlns:c16="http://schemas.microsoft.com/office/drawing/2014/chart" uri="{C3380CC4-5D6E-409C-BE32-E72D297353CC}">
                <c16:uniqueId val="{00000001-75D7-47CE-9F4F-4DBA0DB16B8E}"/>
              </c:ext>
            </c:extLst>
          </c:dPt>
          <c:cat>
            <c:strRef>
              <c:f>'DHB region'!$Z$11:$AB$11</c:f>
              <c:strCache>
                <c:ptCount val="3"/>
                <c:pt idx="0">
                  <c:v>2002-06</c:v>
                </c:pt>
                <c:pt idx="1">
                  <c:v>2007-11</c:v>
                </c:pt>
                <c:pt idx="2">
                  <c:v>2012-16</c:v>
                </c:pt>
              </c:strCache>
            </c:strRef>
          </c:cat>
          <c:val>
            <c:numRef>
              <c:f>'DHB region'!$Z$36:$AB$36</c:f>
              <c:numCache>
                <c:formatCode>0.0</c:formatCode>
                <c:ptCount val="3"/>
                <c:pt idx="0">
                  <c:v>12.07150766</c:v>
                </c:pt>
                <c:pt idx="1">
                  <c:v>11.547666789999999</c:v>
                </c:pt>
                <c:pt idx="2">
                  <c:v>11.32357595</c:v>
                </c:pt>
              </c:numCache>
            </c:numRef>
          </c:val>
          <c:smooth val="0"/>
          <c:extLst>
            <c:ext xmlns:c16="http://schemas.microsoft.com/office/drawing/2014/chart" uri="{C3380CC4-5D6E-409C-BE32-E72D297353CC}">
              <c16:uniqueId val="{00000002-75D7-47CE-9F4F-4DBA0DB16B8E}"/>
            </c:ext>
          </c:extLst>
        </c:ser>
        <c:dLbls>
          <c:showLegendKey val="0"/>
          <c:showVal val="0"/>
          <c:showCatName val="0"/>
          <c:showSerName val="0"/>
          <c:showPercent val="0"/>
          <c:showBubbleSize val="0"/>
        </c:dLbls>
        <c:marker val="1"/>
        <c:smooth val="0"/>
        <c:axId val="100788776"/>
        <c:axId val="100778192"/>
      </c:lineChart>
      <c:catAx>
        <c:axId val="10078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0786032"/>
        <c:crosses val="autoZero"/>
        <c:auto val="1"/>
        <c:lblAlgn val="ctr"/>
        <c:lblOffset val="100"/>
        <c:noMultiLvlLbl val="0"/>
      </c:catAx>
      <c:valAx>
        <c:axId val="100786032"/>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0782112"/>
        <c:crosses val="autoZero"/>
        <c:crossBetween val="between"/>
      </c:valAx>
      <c:valAx>
        <c:axId val="100778192"/>
        <c:scaling>
          <c:orientation val="minMax"/>
          <c:max val="20"/>
        </c:scaling>
        <c:delete val="1"/>
        <c:axPos val="r"/>
        <c:numFmt formatCode="0.0" sourceLinked="1"/>
        <c:majorTickMark val="out"/>
        <c:minorTickMark val="none"/>
        <c:tickLblPos val="nextTo"/>
        <c:crossAx val="100788776"/>
        <c:crosses val="max"/>
        <c:crossBetween val="between"/>
      </c:valAx>
      <c:catAx>
        <c:axId val="100788776"/>
        <c:scaling>
          <c:orientation val="minMax"/>
        </c:scaling>
        <c:delete val="1"/>
        <c:axPos val="b"/>
        <c:numFmt formatCode="General" sourceLinked="1"/>
        <c:majorTickMark val="out"/>
        <c:minorTickMark val="none"/>
        <c:tickLblPos val="nextTo"/>
        <c:crossAx val="10077819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031207637506843E-2"/>
          <c:y val="0.16972010851584729"/>
          <c:w val="0.89153226039052813"/>
          <c:h val="0.73054401239492639"/>
        </c:manualLayout>
      </c:layout>
      <c:barChart>
        <c:barDir val="col"/>
        <c:grouping val="clustered"/>
        <c:varyColors val="0"/>
        <c:ser>
          <c:idx val="0"/>
          <c:order val="0"/>
          <c:tx>
            <c:v>Male</c:v>
          </c:tx>
          <c:spPr>
            <a:solidFill>
              <a:schemeClr val="bg1">
                <a:lumMod val="50000"/>
              </a:schemeClr>
            </a:solidFill>
            <a:ln>
              <a:noFill/>
            </a:ln>
            <a:effectLst/>
          </c:spPr>
          <c:invertIfNegative val="0"/>
          <c:errBars>
            <c:errBarType val="both"/>
            <c:errValType val="cust"/>
            <c:noEndCap val="0"/>
            <c:plus>
              <c:numRef>
                <c:f>'Quick facts'!$BJ$135:$BJ$138</c:f>
                <c:numCache>
                  <c:formatCode>General</c:formatCode>
                  <c:ptCount val="4"/>
                  <c:pt idx="0">
                    <c:v>2.5</c:v>
                  </c:pt>
                  <c:pt idx="1">
                    <c:v>2.6</c:v>
                  </c:pt>
                  <c:pt idx="2">
                    <c:v>1.2</c:v>
                  </c:pt>
                  <c:pt idx="3">
                    <c:v>0.9</c:v>
                  </c:pt>
                </c:numCache>
              </c:numRef>
            </c:plus>
            <c:minus>
              <c:numRef>
                <c:f>'Quick facts'!$BJ$135:$BJ$138</c:f>
                <c:numCache>
                  <c:formatCode>General</c:formatCode>
                  <c:ptCount val="4"/>
                  <c:pt idx="0">
                    <c:v>2.5</c:v>
                  </c:pt>
                  <c:pt idx="1">
                    <c:v>2.6</c:v>
                  </c:pt>
                  <c:pt idx="2">
                    <c:v>1.2</c:v>
                  </c:pt>
                  <c:pt idx="3">
                    <c:v>0.9</c:v>
                  </c:pt>
                </c:numCache>
              </c:numRef>
            </c:minus>
            <c:spPr>
              <a:noFill/>
              <a:ln w="9525" cap="flat" cmpd="sng" algn="ctr">
                <a:solidFill>
                  <a:schemeClr val="tx1">
                    <a:lumMod val="65000"/>
                    <a:lumOff val="35000"/>
                  </a:schemeClr>
                </a:solidFill>
                <a:round/>
              </a:ln>
              <a:effectLst/>
            </c:spPr>
          </c:errBars>
          <c:cat>
            <c:strRef>
              <c:f>'Quick facts'!$T$128:$T$131</c:f>
              <c:strCache>
                <c:ptCount val="4"/>
                <c:pt idx="0">
                  <c:v>Māori</c:v>
                </c:pt>
                <c:pt idx="1">
                  <c:v>Pacific</c:v>
                </c:pt>
                <c:pt idx="2">
                  <c:v>Asian</c:v>
                </c:pt>
                <c:pt idx="3">
                  <c:v>Other</c:v>
                </c:pt>
              </c:strCache>
            </c:strRef>
          </c:cat>
          <c:val>
            <c:numRef>
              <c:f>'Quick facts'!$Y$128:$Y$131</c:f>
              <c:numCache>
                <c:formatCode>0.0</c:formatCode>
                <c:ptCount val="4"/>
                <c:pt idx="0">
                  <c:v>25.009592906631699</c:v>
                </c:pt>
                <c:pt idx="1">
                  <c:v>12.7453600779049</c:v>
                </c:pt>
                <c:pt idx="2">
                  <c:v>5.9055924486463098</c:v>
                </c:pt>
                <c:pt idx="3">
                  <c:v>17.187829947754299</c:v>
                </c:pt>
              </c:numCache>
            </c:numRef>
          </c:val>
          <c:extLst>
            <c:ext xmlns:c16="http://schemas.microsoft.com/office/drawing/2014/chart" uri="{C3380CC4-5D6E-409C-BE32-E72D297353CC}">
              <c16:uniqueId val="{00000000-D097-4AA5-976B-3D32ADBDF132}"/>
            </c:ext>
          </c:extLst>
        </c:ser>
        <c:ser>
          <c:idx val="1"/>
          <c:order val="1"/>
          <c:tx>
            <c:v>Female</c:v>
          </c:tx>
          <c:spPr>
            <a:solidFill>
              <a:schemeClr val="accent1"/>
            </a:solidFill>
            <a:ln>
              <a:noFill/>
            </a:ln>
            <a:effectLst/>
          </c:spPr>
          <c:invertIfNegative val="0"/>
          <c:errBars>
            <c:errBarType val="both"/>
            <c:errValType val="cust"/>
            <c:noEndCap val="0"/>
            <c:plus>
              <c:numRef>
                <c:f>'Quick facts'!$BK$135:$BK$138</c:f>
                <c:numCache>
                  <c:formatCode>General</c:formatCode>
                  <c:ptCount val="4"/>
                  <c:pt idx="0">
                    <c:v>1.5</c:v>
                  </c:pt>
                  <c:pt idx="1">
                    <c:v>1.3</c:v>
                  </c:pt>
                  <c:pt idx="2">
                    <c:v>0.8</c:v>
                  </c:pt>
                  <c:pt idx="3">
                    <c:v>0.5</c:v>
                  </c:pt>
                </c:numCache>
              </c:numRef>
            </c:plus>
            <c:minus>
              <c:numRef>
                <c:f>'Quick facts'!$BK$135:$BK$138</c:f>
                <c:numCache>
                  <c:formatCode>General</c:formatCode>
                  <c:ptCount val="4"/>
                  <c:pt idx="0">
                    <c:v>1.5</c:v>
                  </c:pt>
                  <c:pt idx="1">
                    <c:v>1.3</c:v>
                  </c:pt>
                  <c:pt idx="2">
                    <c:v>0.8</c:v>
                  </c:pt>
                  <c:pt idx="3">
                    <c:v>0.5</c:v>
                  </c:pt>
                </c:numCache>
              </c:numRef>
            </c:minus>
            <c:spPr>
              <a:noFill/>
              <a:ln w="9525" cap="flat" cmpd="sng" algn="ctr">
                <a:solidFill>
                  <a:schemeClr val="tx1">
                    <a:lumMod val="65000"/>
                    <a:lumOff val="35000"/>
                  </a:schemeClr>
                </a:solidFill>
                <a:round/>
              </a:ln>
              <a:effectLst/>
            </c:spPr>
          </c:errBars>
          <c:cat>
            <c:strRef>
              <c:f>'Quick facts'!$T$128:$T$131</c:f>
              <c:strCache>
                <c:ptCount val="4"/>
                <c:pt idx="0">
                  <c:v>Māori</c:v>
                </c:pt>
                <c:pt idx="1">
                  <c:v>Pacific</c:v>
                </c:pt>
                <c:pt idx="2">
                  <c:v>Asian</c:v>
                </c:pt>
                <c:pt idx="3">
                  <c:v>Other</c:v>
                </c:pt>
              </c:strCache>
            </c:strRef>
          </c:cat>
          <c:val>
            <c:numRef>
              <c:f>'Quick facts'!$Z$128:$Z$131</c:f>
              <c:numCache>
                <c:formatCode>0.0</c:formatCode>
                <c:ptCount val="4"/>
                <c:pt idx="0">
                  <c:v>10.1818538229683</c:v>
                </c:pt>
                <c:pt idx="1">
                  <c:v>3.5995728387145101</c:v>
                </c:pt>
                <c:pt idx="2">
                  <c:v>2.6328691951566099</c:v>
                </c:pt>
                <c:pt idx="3">
                  <c:v>5.6087024914769001</c:v>
                </c:pt>
              </c:numCache>
            </c:numRef>
          </c:val>
          <c:extLst>
            <c:ext xmlns:c16="http://schemas.microsoft.com/office/drawing/2014/chart" uri="{C3380CC4-5D6E-409C-BE32-E72D297353CC}">
              <c16:uniqueId val="{00000001-D097-4AA5-976B-3D32ADBDF132}"/>
            </c:ext>
          </c:extLst>
        </c:ser>
        <c:dLbls>
          <c:showLegendKey val="0"/>
          <c:showVal val="0"/>
          <c:showCatName val="0"/>
          <c:showSerName val="0"/>
          <c:showPercent val="0"/>
          <c:showBubbleSize val="0"/>
        </c:dLbls>
        <c:gapWidth val="100"/>
        <c:overlap val="-15"/>
        <c:axId val="449324248"/>
        <c:axId val="449325032"/>
      </c:barChart>
      <c:catAx>
        <c:axId val="449324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9325032"/>
        <c:crosses val="autoZero"/>
        <c:auto val="1"/>
        <c:lblAlgn val="ctr"/>
        <c:lblOffset val="100"/>
        <c:noMultiLvlLbl val="0"/>
      </c:catAx>
      <c:valAx>
        <c:axId val="449325032"/>
        <c:scaling>
          <c:orientation val="minMax"/>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9324248"/>
        <c:crosses val="autoZero"/>
        <c:crossBetween val="between"/>
        <c:majorUnit val="10"/>
      </c:valAx>
      <c:spPr>
        <a:noFill/>
        <a:ln>
          <a:noFill/>
        </a:ln>
        <a:effectLst/>
      </c:spPr>
    </c:plotArea>
    <c:legend>
      <c:legendPos val="r"/>
      <c:layout>
        <c:manualLayout>
          <c:xMode val="edge"/>
          <c:yMode val="edge"/>
          <c:x val="0.82294317492963398"/>
          <c:y val="5.2063745196407399E-3"/>
          <c:w val="0.15427978046847041"/>
          <c:h val="0.100697919089227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795084448994208"/>
          <c:y val="0.11979396473179692"/>
          <c:w val="0.73390916368822845"/>
          <c:h val="0.86490491171031803"/>
        </c:manualLayout>
      </c:layout>
      <c:barChart>
        <c:barDir val="bar"/>
        <c:grouping val="clustered"/>
        <c:varyColors val="0"/>
        <c:ser>
          <c:idx val="0"/>
          <c:order val="0"/>
          <c:tx>
            <c:v>DHB rate</c:v>
          </c:tx>
          <c:spPr>
            <a:solidFill>
              <a:schemeClr val="accent1"/>
            </a:solidFill>
            <a:ln>
              <a:noFill/>
            </a:ln>
            <a:effectLst/>
          </c:spPr>
          <c:invertIfNegative val="0"/>
          <c:errBars>
            <c:errBarType val="both"/>
            <c:errValType val="cust"/>
            <c:noEndCap val="0"/>
            <c:plus>
              <c:numRef>
                <c:f>'DHB region'!$BB$75:$BB$94</c:f>
                <c:numCache>
                  <c:formatCode>General</c:formatCode>
                  <c:ptCount val="20"/>
                  <c:pt idx="0">
                    <c:v>3.7</c:v>
                  </c:pt>
                  <c:pt idx="1">
                    <c:v>1.3</c:v>
                  </c:pt>
                  <c:pt idx="2">
                    <c:v>1.4</c:v>
                  </c:pt>
                  <c:pt idx="3">
                    <c:v>1.5</c:v>
                  </c:pt>
                  <c:pt idx="4">
                    <c:v>2</c:v>
                  </c:pt>
                  <c:pt idx="5">
                    <c:v>4.8</c:v>
                  </c:pt>
                  <c:pt idx="6">
                    <c:v>3.1</c:v>
                  </c:pt>
                  <c:pt idx="7">
                    <c:v>6.6</c:v>
                  </c:pt>
                  <c:pt idx="8">
                    <c:v>3.7</c:v>
                  </c:pt>
                  <c:pt idx="9">
                    <c:v>3.9</c:v>
                  </c:pt>
                  <c:pt idx="10">
                    <c:v>3.4</c:v>
                  </c:pt>
                  <c:pt idx="11">
                    <c:v>5.8</c:v>
                  </c:pt>
                  <c:pt idx="12">
                    <c:v>1.9</c:v>
                  </c:pt>
                  <c:pt idx="13">
                    <c:v>3.3</c:v>
                  </c:pt>
                  <c:pt idx="14">
                    <c:v>7.5</c:v>
                  </c:pt>
                  <c:pt idx="15">
                    <c:v>3.1</c:v>
                  </c:pt>
                  <c:pt idx="16">
                    <c:v>10.8</c:v>
                  </c:pt>
                  <c:pt idx="17">
                    <c:v>1.7</c:v>
                  </c:pt>
                  <c:pt idx="18">
                    <c:v>6</c:v>
                  </c:pt>
                  <c:pt idx="19">
                    <c:v>2.4</c:v>
                  </c:pt>
                </c:numCache>
              </c:numRef>
            </c:plus>
            <c:minus>
              <c:numRef>
                <c:f>'DHB region'!$BB$75:$BB$94</c:f>
                <c:numCache>
                  <c:formatCode>General</c:formatCode>
                  <c:ptCount val="20"/>
                  <c:pt idx="0">
                    <c:v>3.7</c:v>
                  </c:pt>
                  <c:pt idx="1">
                    <c:v>1.3</c:v>
                  </c:pt>
                  <c:pt idx="2">
                    <c:v>1.4</c:v>
                  </c:pt>
                  <c:pt idx="3">
                    <c:v>1.5</c:v>
                  </c:pt>
                  <c:pt idx="4">
                    <c:v>2</c:v>
                  </c:pt>
                  <c:pt idx="5">
                    <c:v>4.8</c:v>
                  </c:pt>
                  <c:pt idx="6">
                    <c:v>3.1</c:v>
                  </c:pt>
                  <c:pt idx="7">
                    <c:v>6.6</c:v>
                  </c:pt>
                  <c:pt idx="8">
                    <c:v>3.7</c:v>
                  </c:pt>
                  <c:pt idx="9">
                    <c:v>3.9</c:v>
                  </c:pt>
                  <c:pt idx="10">
                    <c:v>3.4</c:v>
                  </c:pt>
                  <c:pt idx="11">
                    <c:v>5.8</c:v>
                  </c:pt>
                  <c:pt idx="12">
                    <c:v>1.9</c:v>
                  </c:pt>
                  <c:pt idx="13">
                    <c:v>3.3</c:v>
                  </c:pt>
                  <c:pt idx="14">
                    <c:v>7.5</c:v>
                  </c:pt>
                  <c:pt idx="15">
                    <c:v>3.1</c:v>
                  </c:pt>
                  <c:pt idx="16">
                    <c:v>10.8</c:v>
                  </c:pt>
                  <c:pt idx="17">
                    <c:v>1.7</c:v>
                  </c:pt>
                  <c:pt idx="18">
                    <c:v>6</c:v>
                  </c:pt>
                  <c:pt idx="19">
                    <c:v>2.4</c:v>
                  </c:pt>
                </c:numCache>
              </c:numRef>
            </c:minus>
            <c:spPr>
              <a:noFill/>
              <a:ln w="9525" cap="flat" cmpd="sng" algn="ctr">
                <a:solidFill>
                  <a:schemeClr val="tx1">
                    <a:lumMod val="65000"/>
                    <a:lumOff val="35000"/>
                  </a:schemeClr>
                </a:solidFill>
                <a:round/>
              </a:ln>
              <a:effectLst/>
            </c:spPr>
          </c:errBars>
          <c:cat>
            <c:strRef>
              <c:f>'DHB region'!$X$75:$X$94</c:f>
              <c:strCache>
                <c:ptCount val="20"/>
                <c:pt idx="0">
                  <c:v>Northland</c:v>
                </c:pt>
                <c:pt idx="1">
                  <c:v>Waitemata</c:v>
                </c:pt>
                <c:pt idx="2">
                  <c:v>Auckland</c:v>
                </c:pt>
                <c:pt idx="3">
                  <c:v>Counties Manukau</c:v>
                </c:pt>
                <c:pt idx="4">
                  <c:v>Waikato</c:v>
                </c:pt>
                <c:pt idx="5">
                  <c:v>Lakes</c:v>
                </c:pt>
                <c:pt idx="6">
                  <c:v>Bay of Plenty</c:v>
                </c:pt>
                <c:pt idx="7">
                  <c:v>Tairāwhiti</c:v>
                </c:pt>
                <c:pt idx="8">
                  <c:v>Hawke's Bay</c:v>
                </c:pt>
                <c:pt idx="9">
                  <c:v>Taranaki</c:v>
                </c:pt>
                <c:pt idx="10">
                  <c:v>Mid Central</c:v>
                </c:pt>
                <c:pt idx="11">
                  <c:v>Whanganui</c:v>
                </c:pt>
                <c:pt idx="12">
                  <c:v>Capital &amp; Coast</c:v>
                </c:pt>
                <c:pt idx="13">
                  <c:v>Hutt Valley</c:v>
                </c:pt>
                <c:pt idx="14">
                  <c:v>Wairarapa</c:v>
                </c:pt>
                <c:pt idx="15">
                  <c:v>Nelson Marlborough</c:v>
                </c:pt>
                <c:pt idx="16">
                  <c:v>West Coast</c:v>
                </c:pt>
                <c:pt idx="17">
                  <c:v>Canterbury</c:v>
                </c:pt>
                <c:pt idx="18">
                  <c:v>South Canterbury</c:v>
                </c:pt>
                <c:pt idx="19">
                  <c:v>Southern</c:v>
                </c:pt>
              </c:strCache>
            </c:strRef>
          </c:cat>
          <c:val>
            <c:numRef>
              <c:f>'DHB region'!$AA$75:$AA$94</c:f>
              <c:numCache>
                <c:formatCode>0.0</c:formatCode>
                <c:ptCount val="20"/>
                <c:pt idx="0">
                  <c:v>16.060755621495701</c:v>
                </c:pt>
                <c:pt idx="1">
                  <c:v>8.3928296188527103</c:v>
                </c:pt>
                <c:pt idx="2">
                  <c:v>8.3482961782500702</c:v>
                </c:pt>
                <c:pt idx="3">
                  <c:v>9.1547991018067094</c:v>
                </c:pt>
                <c:pt idx="4">
                  <c:v>11.731198449934</c:v>
                </c:pt>
                <c:pt idx="5">
                  <c:v>16.715475177359501</c:v>
                </c:pt>
                <c:pt idx="6">
                  <c:v>15.0633973619644</c:v>
                </c:pt>
                <c:pt idx="7">
                  <c:v>15.2623131267483</c:v>
                </c:pt>
                <c:pt idx="8">
                  <c:v>15.191460881905501</c:v>
                </c:pt>
                <c:pt idx="9">
                  <c:v>13.1076974411182</c:v>
                </c:pt>
                <c:pt idx="10">
                  <c:v>15.3445965888308</c:v>
                </c:pt>
                <c:pt idx="11">
                  <c:v>14.5439172325546</c:v>
                </c:pt>
                <c:pt idx="12">
                  <c:v>8.9492627152604403</c:v>
                </c:pt>
                <c:pt idx="13">
                  <c:v>12.371523325455099</c:v>
                </c:pt>
                <c:pt idx="14">
                  <c:v>17.713416586712299</c:v>
                </c:pt>
                <c:pt idx="15">
                  <c:v>11.253237212717799</c:v>
                </c:pt>
                <c:pt idx="16">
                  <c:v>25.504881808908099</c:v>
                </c:pt>
                <c:pt idx="17">
                  <c:v>11.399211184765701</c:v>
                </c:pt>
                <c:pt idx="18">
                  <c:v>13.6201605498718</c:v>
                </c:pt>
                <c:pt idx="19">
                  <c:v>13.2539499729693</c:v>
                </c:pt>
              </c:numCache>
            </c:numRef>
          </c:val>
          <c:extLst>
            <c:ext xmlns:c16="http://schemas.microsoft.com/office/drawing/2014/chart" uri="{C3380CC4-5D6E-409C-BE32-E72D297353CC}">
              <c16:uniqueId val="{00000000-0ACD-4850-BA64-0F72C02AA8E1}"/>
            </c:ext>
          </c:extLst>
        </c:ser>
        <c:dLbls>
          <c:showLegendKey val="0"/>
          <c:showVal val="0"/>
          <c:showCatName val="0"/>
          <c:showSerName val="0"/>
          <c:showPercent val="0"/>
          <c:showBubbleSize val="0"/>
        </c:dLbls>
        <c:gapWidth val="75"/>
        <c:overlap val="-27"/>
        <c:axId val="100785640"/>
        <c:axId val="100778584"/>
      </c:barChart>
      <c:scatterChart>
        <c:scatterStyle val="lineMarker"/>
        <c:varyColors val="0"/>
        <c:ser>
          <c:idx val="1"/>
          <c:order val="1"/>
          <c:tx>
            <c:v>National rate</c:v>
          </c:tx>
          <c:spPr>
            <a:ln w="22225" cap="rnd">
              <a:solidFill>
                <a:schemeClr val="tx1">
                  <a:lumMod val="65000"/>
                  <a:lumOff val="35000"/>
                </a:schemeClr>
              </a:solidFill>
              <a:prstDash val="sysDash"/>
              <a:round/>
            </a:ln>
            <a:effectLst/>
          </c:spPr>
          <c:marker>
            <c:symbol val="none"/>
          </c:marker>
          <c:xVal>
            <c:numRef>
              <c:f>'DHB region'!$BC$103:$BC$104</c:f>
              <c:numCache>
                <c:formatCode>General</c:formatCode>
                <c:ptCount val="2"/>
                <c:pt idx="0">
                  <c:v>11.3</c:v>
                </c:pt>
                <c:pt idx="1">
                  <c:v>11.3</c:v>
                </c:pt>
              </c:numCache>
            </c:numRef>
          </c:xVal>
          <c:yVal>
            <c:numRef>
              <c:f>'DHB region'!$BB$103:$BB$104</c:f>
              <c:numCache>
                <c:formatCode>General</c:formatCode>
                <c:ptCount val="2"/>
                <c:pt idx="0">
                  <c:v>0</c:v>
                </c:pt>
                <c:pt idx="1">
                  <c:v>1</c:v>
                </c:pt>
              </c:numCache>
            </c:numRef>
          </c:yVal>
          <c:smooth val="0"/>
          <c:extLst>
            <c:ext xmlns:c16="http://schemas.microsoft.com/office/drawing/2014/chart" uri="{C3380CC4-5D6E-409C-BE32-E72D297353CC}">
              <c16:uniqueId val="{00000001-0ACD-4850-BA64-0F72C02AA8E1}"/>
            </c:ext>
          </c:extLst>
        </c:ser>
        <c:dLbls>
          <c:showLegendKey val="0"/>
          <c:showVal val="0"/>
          <c:showCatName val="0"/>
          <c:showSerName val="0"/>
          <c:showPercent val="0"/>
          <c:showBubbleSize val="0"/>
        </c:dLbls>
        <c:axId val="100787992"/>
        <c:axId val="100786424"/>
      </c:scatterChart>
      <c:catAx>
        <c:axId val="1007856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778584"/>
        <c:crossesAt val="0"/>
        <c:auto val="1"/>
        <c:lblAlgn val="ctr"/>
        <c:lblOffset val="100"/>
        <c:noMultiLvlLbl val="0"/>
      </c:catAx>
      <c:valAx>
        <c:axId val="100778584"/>
        <c:scaling>
          <c:orientation val="minMax"/>
          <c:max val="4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t"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00785640"/>
        <c:crosses val="autoZero"/>
        <c:crossBetween val="between"/>
      </c:valAx>
      <c:valAx>
        <c:axId val="100786424"/>
        <c:scaling>
          <c:orientation val="minMax"/>
          <c:max val="1"/>
        </c:scaling>
        <c:delete val="1"/>
        <c:axPos val="r"/>
        <c:numFmt formatCode="General" sourceLinked="1"/>
        <c:majorTickMark val="out"/>
        <c:minorTickMark val="none"/>
        <c:tickLblPos val="nextTo"/>
        <c:crossAx val="100787992"/>
        <c:crosses val="max"/>
        <c:crossBetween val="midCat"/>
      </c:valAx>
      <c:valAx>
        <c:axId val="100787992"/>
        <c:scaling>
          <c:orientation val="minMax"/>
        </c:scaling>
        <c:delete val="1"/>
        <c:axPos val="b"/>
        <c:numFmt formatCode="General" sourceLinked="1"/>
        <c:majorTickMark val="out"/>
        <c:minorTickMark val="none"/>
        <c:tickLblPos val="nextTo"/>
        <c:crossAx val="100786424"/>
        <c:crosses val="autoZero"/>
        <c:crossBetween val="midCat"/>
      </c:valAx>
      <c:spPr>
        <a:noFill/>
        <a:ln>
          <a:noFill/>
        </a:ln>
        <a:effectLst/>
      </c:spPr>
    </c:plotArea>
    <c:legend>
      <c:legendPos val="t"/>
      <c:layout>
        <c:manualLayout>
          <c:xMode val="edge"/>
          <c:yMode val="edge"/>
          <c:x val="0.76734895441576456"/>
          <c:y val="0.13360913669575086"/>
          <c:w val="0.16836568947623989"/>
          <c:h val="0.10951266226856776"/>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1000" b="1"/>
              <a:t>Total population</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5324445830409814E-2"/>
          <c:y val="0.16227555555555556"/>
          <c:w val="0.89563264987916114"/>
          <c:h val="0.71792111111111112"/>
        </c:manualLayout>
      </c:layout>
      <c:lineChart>
        <c:grouping val="standard"/>
        <c:varyColors val="0"/>
        <c:ser>
          <c:idx val="0"/>
          <c:order val="0"/>
          <c:tx>
            <c:strRef>
              <c:f>'Urban Rural'!$Q$25</c:f>
              <c:strCache>
                <c:ptCount val="1"/>
                <c:pt idx="0">
                  <c:v>Rural</c:v>
                </c:pt>
              </c:strCache>
            </c:strRef>
          </c:tx>
          <c:spPr>
            <a:ln w="22225" cap="rnd">
              <a:solidFill>
                <a:schemeClr val="bg1">
                  <a:lumMod val="50000"/>
                </a:schemeClr>
              </a:solidFill>
              <a:round/>
            </a:ln>
            <a:effectLst/>
          </c:spPr>
          <c:marker>
            <c:symbol val="none"/>
          </c:marker>
          <c:cat>
            <c:numRef>
              <c:f>'Urban Rural'!$S$13:$AB$13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'Urban Rural'!$S$25:$AB$25</c:f>
              <c:numCache>
                <c:formatCode>0.0</c:formatCode>
                <c:ptCount val="10"/>
                <c:pt idx="0">
                  <c:v>14.242406423759199</c:v>
                </c:pt>
                <c:pt idx="1">
                  <c:v>15.9554257560563</c:v>
                </c:pt>
                <c:pt idx="2">
                  <c:v>12.661821293405801</c:v>
                </c:pt>
                <c:pt idx="3">
                  <c:v>16.001422327261199</c:v>
                </c:pt>
                <c:pt idx="4">
                  <c:v>13.0281155961354</c:v>
                </c:pt>
                <c:pt idx="5">
                  <c:v>13.696405717221101</c:v>
                </c:pt>
                <c:pt idx="6">
                  <c:v>12.778557565856</c:v>
                </c:pt>
                <c:pt idx="7">
                  <c:v>10.812556001474</c:v>
                </c:pt>
                <c:pt idx="8">
                  <c:v>13.5679435015004</c:v>
                </c:pt>
                <c:pt idx="9">
                  <c:v>13.7751295107612</c:v>
                </c:pt>
              </c:numCache>
            </c:numRef>
          </c:val>
          <c:smooth val="0"/>
          <c:extLst>
            <c:ext xmlns:c16="http://schemas.microsoft.com/office/drawing/2014/chart" uri="{C3380CC4-5D6E-409C-BE32-E72D297353CC}">
              <c16:uniqueId val="{00000000-2E31-4958-BEEB-B7EFD701E1EC}"/>
            </c:ext>
          </c:extLst>
        </c:ser>
        <c:ser>
          <c:idx val="1"/>
          <c:order val="1"/>
          <c:tx>
            <c:strRef>
              <c:f>'Urban Rural'!$Q$29</c:f>
              <c:strCache>
                <c:ptCount val="1"/>
                <c:pt idx="0">
                  <c:v>Urban</c:v>
                </c:pt>
              </c:strCache>
            </c:strRef>
          </c:tx>
          <c:spPr>
            <a:ln w="22225" cap="rnd">
              <a:solidFill>
                <a:schemeClr val="accent1"/>
              </a:solidFill>
              <a:round/>
            </a:ln>
            <a:effectLst/>
          </c:spPr>
          <c:marker>
            <c:symbol val="none"/>
          </c:marker>
          <c:cat>
            <c:numRef>
              <c:f>'Urban Rural'!$S$13:$AB$13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'Urban Rural'!$S$29:$AB$29</c:f>
              <c:numCache>
                <c:formatCode>0.0</c:formatCode>
                <c:ptCount val="10"/>
                <c:pt idx="0">
                  <c:v>11.0358390108014</c:v>
                </c:pt>
                <c:pt idx="1">
                  <c:v>11.1776130287529</c:v>
                </c:pt>
                <c:pt idx="2">
                  <c:v>11.3576105512283</c:v>
                </c:pt>
                <c:pt idx="3">
                  <c:v>11.2105392394219</c:v>
                </c:pt>
                <c:pt idx="4">
                  <c:v>10.824707777635901</c:v>
                </c:pt>
                <c:pt idx="5">
                  <c:v>12.011479006506899</c:v>
                </c:pt>
                <c:pt idx="6">
                  <c:v>10.7930481573742</c:v>
                </c:pt>
                <c:pt idx="7">
                  <c:v>10.6579533148366</c:v>
                </c:pt>
                <c:pt idx="8">
                  <c:v>10.7388016322244</c:v>
                </c:pt>
                <c:pt idx="9">
                  <c:v>11.0391691669144</c:v>
                </c:pt>
              </c:numCache>
            </c:numRef>
          </c:val>
          <c:smooth val="0"/>
          <c:extLst>
            <c:ext xmlns:c16="http://schemas.microsoft.com/office/drawing/2014/chart" uri="{C3380CC4-5D6E-409C-BE32-E72D297353CC}">
              <c16:uniqueId val="{00000001-2E31-4958-BEEB-B7EFD701E1EC}"/>
            </c:ext>
          </c:extLst>
        </c:ser>
        <c:dLbls>
          <c:showLegendKey val="0"/>
          <c:showVal val="0"/>
          <c:showCatName val="0"/>
          <c:showSerName val="0"/>
          <c:showPercent val="0"/>
          <c:showBubbleSize val="0"/>
        </c:dLbls>
        <c:smooth val="0"/>
        <c:axId val="100778976"/>
        <c:axId val="100780152"/>
      </c:lineChart>
      <c:catAx>
        <c:axId val="10077897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0780152"/>
        <c:crosses val="autoZero"/>
        <c:auto val="1"/>
        <c:lblAlgn val="ctr"/>
        <c:lblOffset val="100"/>
        <c:tickLblSkip val="1"/>
        <c:noMultiLvlLbl val="0"/>
      </c:catAx>
      <c:valAx>
        <c:axId val="100780152"/>
        <c:scaling>
          <c:orientation val="minMax"/>
          <c:max val="4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0778976"/>
        <c:crosses val="autoZero"/>
        <c:crossBetween val="between"/>
        <c:majorUnit val="10"/>
      </c:valAx>
      <c:spPr>
        <a:noFill/>
        <a:ln>
          <a:noFill/>
        </a:ln>
        <a:effectLst/>
      </c:spPr>
    </c:plotArea>
    <c:legend>
      <c:legendPos val="r"/>
      <c:layout>
        <c:manualLayout>
          <c:xMode val="edge"/>
          <c:yMode val="edge"/>
          <c:x val="0.83716026908677288"/>
          <c:y val="3.5532039976484429E-2"/>
          <c:w val="0.16283973091322718"/>
          <c:h val="0.185788387132056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1000" b="1"/>
              <a:t>Males</a:t>
            </a:r>
            <a:endParaRPr lang="en-NZ" b="1"/>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5324445830409814E-2"/>
          <c:y val="0.16227555555555556"/>
          <c:w val="0.89563264987916114"/>
          <c:h val="0.71792111111111112"/>
        </c:manualLayout>
      </c:layout>
      <c:lineChart>
        <c:grouping val="standard"/>
        <c:varyColors val="0"/>
        <c:ser>
          <c:idx val="0"/>
          <c:order val="0"/>
          <c:tx>
            <c:strRef>
              <c:f>'Urban Rural'!$Q$26</c:f>
              <c:strCache>
                <c:ptCount val="1"/>
                <c:pt idx="0">
                  <c:v>Rural</c:v>
                </c:pt>
              </c:strCache>
            </c:strRef>
          </c:tx>
          <c:spPr>
            <a:ln w="22225" cap="rnd">
              <a:solidFill>
                <a:schemeClr val="bg1">
                  <a:lumMod val="50000"/>
                </a:schemeClr>
              </a:solidFill>
              <a:round/>
            </a:ln>
            <a:effectLst/>
          </c:spPr>
          <c:marker>
            <c:symbol val="none"/>
          </c:marker>
          <c:cat>
            <c:numRef>
              <c:f>'Urban Rural'!$S$13:$AB$13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'Urban Rural'!$S$26:$AB$26</c:f>
              <c:numCache>
                <c:formatCode>0.0</c:formatCode>
                <c:ptCount val="10"/>
                <c:pt idx="0">
                  <c:v>22.669213241315301</c:v>
                </c:pt>
                <c:pt idx="1">
                  <c:v>26.472899772027301</c:v>
                </c:pt>
                <c:pt idx="2">
                  <c:v>21.088183746651701</c:v>
                </c:pt>
                <c:pt idx="3">
                  <c:v>26.602020536097399</c:v>
                </c:pt>
                <c:pt idx="4">
                  <c:v>22.2250104700599</c:v>
                </c:pt>
                <c:pt idx="5">
                  <c:v>19.2823725579712</c:v>
                </c:pt>
                <c:pt idx="6">
                  <c:v>16.7790221650707</c:v>
                </c:pt>
                <c:pt idx="7">
                  <c:v>15.8466618190961</c:v>
                </c:pt>
                <c:pt idx="8">
                  <c:v>19.093413625375899</c:v>
                </c:pt>
                <c:pt idx="9">
                  <c:v>20.2822123081305</c:v>
                </c:pt>
              </c:numCache>
            </c:numRef>
          </c:val>
          <c:smooth val="0"/>
          <c:extLst>
            <c:ext xmlns:c16="http://schemas.microsoft.com/office/drawing/2014/chart" uri="{C3380CC4-5D6E-409C-BE32-E72D297353CC}">
              <c16:uniqueId val="{00000000-338A-4266-9EEE-9A273E403277}"/>
            </c:ext>
          </c:extLst>
        </c:ser>
        <c:ser>
          <c:idx val="1"/>
          <c:order val="1"/>
          <c:tx>
            <c:strRef>
              <c:f>'Urban Rural'!$Q$30</c:f>
              <c:strCache>
                <c:ptCount val="1"/>
                <c:pt idx="0">
                  <c:v>Urban</c:v>
                </c:pt>
              </c:strCache>
            </c:strRef>
          </c:tx>
          <c:spPr>
            <a:ln w="22225" cap="rnd">
              <a:solidFill>
                <a:schemeClr val="accent1"/>
              </a:solidFill>
              <a:round/>
            </a:ln>
            <a:effectLst/>
          </c:spPr>
          <c:marker>
            <c:symbol val="none"/>
          </c:marker>
          <c:cat>
            <c:numRef>
              <c:f>'Urban Rural'!$S$13:$AB$13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'Urban Rural'!$S$30:$AB$30</c:f>
              <c:numCache>
                <c:formatCode>0.0</c:formatCode>
                <c:ptCount val="10"/>
                <c:pt idx="0">
                  <c:v>17.326727470575801</c:v>
                </c:pt>
                <c:pt idx="1">
                  <c:v>16.357413650779002</c:v>
                </c:pt>
                <c:pt idx="2">
                  <c:v>17.784069062315101</c:v>
                </c:pt>
                <c:pt idx="3">
                  <c:v>16.018934411449798</c:v>
                </c:pt>
                <c:pt idx="4">
                  <c:v>16.642211286059698</c:v>
                </c:pt>
                <c:pt idx="5">
                  <c:v>18.321223631494401</c:v>
                </c:pt>
                <c:pt idx="6">
                  <c:v>15.746464417441</c:v>
                </c:pt>
                <c:pt idx="7">
                  <c:v>16.3721408834813</c:v>
                </c:pt>
                <c:pt idx="8">
                  <c:v>16.0284336946427</c:v>
                </c:pt>
                <c:pt idx="9">
                  <c:v>16.5808846975895</c:v>
                </c:pt>
              </c:numCache>
            </c:numRef>
          </c:val>
          <c:smooth val="0"/>
          <c:extLst>
            <c:ext xmlns:c16="http://schemas.microsoft.com/office/drawing/2014/chart" uri="{C3380CC4-5D6E-409C-BE32-E72D297353CC}">
              <c16:uniqueId val="{00000001-338A-4266-9EEE-9A273E403277}"/>
            </c:ext>
          </c:extLst>
        </c:ser>
        <c:dLbls>
          <c:showLegendKey val="0"/>
          <c:showVal val="0"/>
          <c:showCatName val="0"/>
          <c:showSerName val="0"/>
          <c:showPercent val="0"/>
          <c:showBubbleSize val="0"/>
        </c:dLbls>
        <c:smooth val="0"/>
        <c:axId val="100789952"/>
        <c:axId val="100782896"/>
      </c:lineChart>
      <c:catAx>
        <c:axId val="1007899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0782896"/>
        <c:crosses val="autoZero"/>
        <c:auto val="1"/>
        <c:lblAlgn val="ctr"/>
        <c:lblOffset val="100"/>
        <c:tickLblSkip val="1"/>
        <c:noMultiLvlLbl val="0"/>
      </c:catAx>
      <c:valAx>
        <c:axId val="100782896"/>
        <c:scaling>
          <c:orientation val="minMax"/>
          <c:max val="4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0789952"/>
        <c:crosses val="autoZero"/>
        <c:crossBetween val="between"/>
        <c:majorUnit val="10"/>
      </c:valAx>
      <c:spPr>
        <a:noFill/>
        <a:ln>
          <a:noFill/>
        </a:ln>
        <a:effectLst/>
      </c:spPr>
    </c:plotArea>
    <c:legend>
      <c:legendPos val="r"/>
      <c:layout>
        <c:manualLayout>
          <c:xMode val="edge"/>
          <c:yMode val="edge"/>
          <c:x val="0.86240355807614077"/>
          <c:y val="3.5532222222222229E-2"/>
          <c:w val="0.10972934653264803"/>
          <c:h val="0.17840222222222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900" b="1"/>
              <a:t>Females</a:t>
            </a:r>
            <a:endParaRPr lang="en-NZ" b="1"/>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5324445830409814E-2"/>
          <c:y val="0.20116444444444445"/>
          <c:w val="0.89563264987916114"/>
          <c:h val="0.67903222222222226"/>
        </c:manualLayout>
      </c:layout>
      <c:lineChart>
        <c:grouping val="standard"/>
        <c:varyColors val="0"/>
        <c:ser>
          <c:idx val="0"/>
          <c:order val="0"/>
          <c:tx>
            <c:strRef>
              <c:f>'Urban Rural'!$Q$27</c:f>
              <c:strCache>
                <c:ptCount val="1"/>
                <c:pt idx="0">
                  <c:v>Rural</c:v>
                </c:pt>
              </c:strCache>
            </c:strRef>
          </c:tx>
          <c:spPr>
            <a:ln w="22225" cap="rnd">
              <a:solidFill>
                <a:schemeClr val="bg1">
                  <a:lumMod val="50000"/>
                </a:schemeClr>
              </a:solidFill>
              <a:round/>
            </a:ln>
            <a:effectLst/>
          </c:spPr>
          <c:marker>
            <c:symbol val="none"/>
          </c:marker>
          <c:cat>
            <c:numRef>
              <c:f>'Urban Rural'!$S$13:$AA$13</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'Urban Rural'!$S$27:$AB$27</c:f>
              <c:numCache>
                <c:formatCode>0.0</c:formatCode>
                <c:ptCount val="10"/>
                <c:pt idx="0">
                  <c:v>5.4336190062585397</c:v>
                </c:pt>
                <c:pt idx="1">
                  <c:v>4.8492866085801296</c:v>
                </c:pt>
                <c:pt idx="2">
                  <c:v>3.7653504454407498</c:v>
                </c:pt>
                <c:pt idx="3">
                  <c:v>4.65537787927064</c:v>
                </c:pt>
                <c:pt idx="4">
                  <c:v>3.5117478579800698</c:v>
                </c:pt>
                <c:pt idx="5">
                  <c:v>7.9779554412925799</c:v>
                </c:pt>
                <c:pt idx="6">
                  <c:v>8.7943398467877394</c:v>
                </c:pt>
                <c:pt idx="7">
                  <c:v>5.5406863993035502</c:v>
                </c:pt>
                <c:pt idx="8">
                  <c:v>7.9392843388666599</c:v>
                </c:pt>
                <c:pt idx="9">
                  <c:v>6.7527001356984702</c:v>
                </c:pt>
              </c:numCache>
            </c:numRef>
          </c:val>
          <c:smooth val="0"/>
          <c:extLst>
            <c:ext xmlns:c16="http://schemas.microsoft.com/office/drawing/2014/chart" uri="{C3380CC4-5D6E-409C-BE32-E72D297353CC}">
              <c16:uniqueId val="{00000000-C298-4DAC-8788-ED9458531213}"/>
            </c:ext>
          </c:extLst>
        </c:ser>
        <c:ser>
          <c:idx val="1"/>
          <c:order val="1"/>
          <c:tx>
            <c:strRef>
              <c:f>'Urban Rural'!$Q$31</c:f>
              <c:strCache>
                <c:ptCount val="1"/>
                <c:pt idx="0">
                  <c:v>Urban</c:v>
                </c:pt>
              </c:strCache>
            </c:strRef>
          </c:tx>
          <c:spPr>
            <a:ln w="22225" cap="rnd">
              <a:solidFill>
                <a:schemeClr val="accent1"/>
              </a:solidFill>
              <a:round/>
            </a:ln>
            <a:effectLst/>
          </c:spPr>
          <c:marker>
            <c:symbol val="none"/>
          </c:marker>
          <c:cat>
            <c:numRef>
              <c:f>'Urban Rural'!$S$13:$AA$13</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'Urban Rural'!$S$31:$AB$31</c:f>
              <c:numCache>
                <c:formatCode>0.0</c:formatCode>
                <c:ptCount val="10"/>
                <c:pt idx="0">
                  <c:v>5.1735806107572904</c:v>
                </c:pt>
                <c:pt idx="1">
                  <c:v>6.3795738477370199</c:v>
                </c:pt>
                <c:pt idx="2">
                  <c:v>5.3823058570931703</c:v>
                </c:pt>
                <c:pt idx="3">
                  <c:v>6.8063565837858899</c:v>
                </c:pt>
                <c:pt idx="4">
                  <c:v>5.3784184345601798</c:v>
                </c:pt>
                <c:pt idx="5">
                  <c:v>6.09130408691549</c:v>
                </c:pt>
                <c:pt idx="6">
                  <c:v>6.2559324705276298</c:v>
                </c:pt>
                <c:pt idx="7">
                  <c:v>5.33416829501728</c:v>
                </c:pt>
                <c:pt idx="8">
                  <c:v>5.7849207616307599</c:v>
                </c:pt>
                <c:pt idx="9">
                  <c:v>5.7220322760551303</c:v>
                </c:pt>
              </c:numCache>
            </c:numRef>
          </c:val>
          <c:smooth val="0"/>
          <c:extLst>
            <c:ext xmlns:c16="http://schemas.microsoft.com/office/drawing/2014/chart" uri="{C3380CC4-5D6E-409C-BE32-E72D297353CC}">
              <c16:uniqueId val="{00000001-C298-4DAC-8788-ED9458531213}"/>
            </c:ext>
          </c:extLst>
        </c:ser>
        <c:dLbls>
          <c:showLegendKey val="0"/>
          <c:showVal val="0"/>
          <c:showCatName val="0"/>
          <c:showSerName val="0"/>
          <c:showPercent val="0"/>
          <c:showBubbleSize val="0"/>
        </c:dLbls>
        <c:smooth val="0"/>
        <c:axId val="100784072"/>
        <c:axId val="100780936"/>
      </c:lineChart>
      <c:catAx>
        <c:axId val="10078407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0780936"/>
        <c:crosses val="autoZero"/>
        <c:auto val="1"/>
        <c:lblAlgn val="ctr"/>
        <c:lblOffset val="100"/>
        <c:tickLblSkip val="1"/>
        <c:noMultiLvlLbl val="0"/>
      </c:catAx>
      <c:valAx>
        <c:axId val="100780936"/>
        <c:scaling>
          <c:orientation val="minMax"/>
          <c:max val="4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0784072"/>
        <c:crosses val="autoZero"/>
        <c:crossBetween val="between"/>
        <c:majorUnit val="10"/>
      </c:valAx>
      <c:spPr>
        <a:noFill/>
        <a:ln>
          <a:noFill/>
        </a:ln>
        <a:effectLst/>
      </c:spPr>
    </c:plotArea>
    <c:legend>
      <c:legendPos val="r"/>
      <c:layout>
        <c:manualLayout>
          <c:xMode val="edge"/>
          <c:yMode val="edge"/>
          <c:x val="0.81114380226932792"/>
          <c:y val="3.5532039976484429E-2"/>
          <c:w val="0.18885619773067208"/>
          <c:h val="0.199678985001982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24445830409814E-2"/>
          <c:y val="0.18209454827890412"/>
          <c:w val="0.89563264987916114"/>
          <c:h val="0.66136092482178999"/>
        </c:manualLayout>
      </c:layout>
      <c:lineChart>
        <c:grouping val="standard"/>
        <c:varyColors val="0"/>
        <c:ser>
          <c:idx val="0"/>
          <c:order val="0"/>
          <c:tx>
            <c:strRef>
              <c:f>'Urban Rural'!$Q$25</c:f>
              <c:strCache>
                <c:ptCount val="1"/>
                <c:pt idx="0">
                  <c:v>Rural</c:v>
                </c:pt>
              </c:strCache>
            </c:strRef>
          </c:tx>
          <c:spPr>
            <a:ln w="22225" cap="rnd">
              <a:solidFill>
                <a:schemeClr val="bg1">
                  <a:lumMod val="50000"/>
                </a:schemeClr>
              </a:solidFill>
              <a:round/>
            </a:ln>
            <a:effectLst/>
          </c:spPr>
          <c:marker>
            <c:symbol val="none"/>
          </c:marker>
          <c:cat>
            <c:numRef>
              <c:f>'Urban Rural'!$S$13:$AB$13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'Urban Rural'!$S$82:$AB$82</c:f>
              <c:numCache>
                <c:formatCode>0.0</c:formatCode>
                <c:ptCount val="10"/>
                <c:pt idx="0">
                  <c:v>31.108597285067901</c:v>
                </c:pt>
                <c:pt idx="1">
                  <c:v>33.176665745092599</c:v>
                </c:pt>
                <c:pt idx="2">
                  <c:v>54.436581382689198</c:v>
                </c:pt>
                <c:pt idx="3">
                  <c:v>45.418113812449903</c:v>
                </c:pt>
                <c:pt idx="4">
                  <c:v>36.9295700342917</c:v>
                </c:pt>
                <c:pt idx="5">
                  <c:v>26.441036488630399</c:v>
                </c:pt>
                <c:pt idx="6">
                  <c:v>23.9170874302418</c:v>
                </c:pt>
                <c:pt idx="7">
                  <c:v>18.027298480556301</c:v>
                </c:pt>
                <c:pt idx="8">
                  <c:v>14.951407924246199</c:v>
                </c:pt>
                <c:pt idx="9">
                  <c:v>31.707317073170699</c:v>
                </c:pt>
              </c:numCache>
            </c:numRef>
          </c:val>
          <c:smooth val="0"/>
          <c:extLst>
            <c:ext xmlns:c16="http://schemas.microsoft.com/office/drawing/2014/chart" uri="{C3380CC4-5D6E-409C-BE32-E72D297353CC}">
              <c16:uniqueId val="{00000000-8486-44A3-8E27-23F6F3143C75}"/>
            </c:ext>
          </c:extLst>
        </c:ser>
        <c:ser>
          <c:idx val="1"/>
          <c:order val="1"/>
          <c:tx>
            <c:strRef>
              <c:f>'Urban Rural'!$Q$29</c:f>
              <c:strCache>
                <c:ptCount val="1"/>
                <c:pt idx="0">
                  <c:v>Urban</c:v>
                </c:pt>
              </c:strCache>
            </c:strRef>
          </c:tx>
          <c:spPr>
            <a:ln w="22225" cap="rnd">
              <a:solidFill>
                <a:schemeClr val="accent1"/>
              </a:solidFill>
              <a:round/>
            </a:ln>
            <a:effectLst/>
          </c:spPr>
          <c:marker>
            <c:symbol val="none"/>
          </c:marker>
          <c:cat>
            <c:numRef>
              <c:f>'Urban Rural'!$S$13:$AB$13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'Urban Rural'!$S$116:$AB$116</c:f>
              <c:numCache>
                <c:formatCode>0.0</c:formatCode>
                <c:ptCount val="10"/>
                <c:pt idx="0">
                  <c:v>21.889956591103001</c:v>
                </c:pt>
                <c:pt idx="1">
                  <c:v>25.6801518478544</c:v>
                </c:pt>
                <c:pt idx="2">
                  <c:v>27.764409728649198</c:v>
                </c:pt>
                <c:pt idx="3">
                  <c:v>21.909004600890999</c:v>
                </c:pt>
                <c:pt idx="4">
                  <c:v>29.6157180005779</c:v>
                </c:pt>
                <c:pt idx="5">
                  <c:v>34.8469607702256</c:v>
                </c:pt>
                <c:pt idx="6">
                  <c:v>22.721624596158598</c:v>
                </c:pt>
                <c:pt idx="7">
                  <c:v>21.114572516441701</c:v>
                </c:pt>
                <c:pt idx="8">
                  <c:v>21.4211600897011</c:v>
                </c:pt>
                <c:pt idx="9">
                  <c:v>23.934426229508201</c:v>
                </c:pt>
              </c:numCache>
            </c:numRef>
          </c:val>
          <c:smooth val="0"/>
          <c:extLst>
            <c:ext xmlns:c16="http://schemas.microsoft.com/office/drawing/2014/chart" uri="{C3380CC4-5D6E-409C-BE32-E72D297353CC}">
              <c16:uniqueId val="{00000001-8486-44A3-8E27-23F6F3143C75}"/>
            </c:ext>
          </c:extLst>
        </c:ser>
        <c:dLbls>
          <c:showLegendKey val="0"/>
          <c:showVal val="0"/>
          <c:showCatName val="0"/>
          <c:showSerName val="0"/>
          <c:showPercent val="0"/>
          <c:showBubbleSize val="0"/>
        </c:dLbls>
        <c:smooth val="0"/>
        <c:axId val="100789560"/>
        <c:axId val="100781328"/>
      </c:lineChart>
      <c:catAx>
        <c:axId val="10078956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0781328"/>
        <c:crosses val="autoZero"/>
        <c:auto val="1"/>
        <c:lblAlgn val="ctr"/>
        <c:lblOffset val="100"/>
        <c:tickLblSkip val="3"/>
        <c:noMultiLvlLbl val="0"/>
      </c:catAx>
      <c:valAx>
        <c:axId val="100781328"/>
        <c:scaling>
          <c:orientation val="minMax"/>
          <c:max val="6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0789560"/>
        <c:crosses val="autoZero"/>
        <c:crossBetween val="between"/>
        <c:majorUnit val="10"/>
      </c:valAx>
      <c:spPr>
        <a:noFill/>
        <a:ln>
          <a:noFill/>
        </a:ln>
        <a:effectLst/>
      </c:spPr>
    </c:plotArea>
    <c:legend>
      <c:legendPos val="r"/>
      <c:layout>
        <c:manualLayout>
          <c:xMode val="edge"/>
          <c:yMode val="edge"/>
          <c:x val="0.66985229852298511"/>
          <c:y val="3.5532039976484429E-2"/>
          <c:w val="0.33014770147701472"/>
          <c:h val="0.173788867421518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962025316455706E-2"/>
          <c:y val="6.2025993883792048E-2"/>
          <c:w val="0.89563264987916114"/>
          <c:h val="0.73903160040774718"/>
        </c:manualLayout>
      </c:layout>
      <c:lineChart>
        <c:grouping val="standard"/>
        <c:varyColors val="0"/>
        <c:ser>
          <c:idx val="0"/>
          <c:order val="0"/>
          <c:tx>
            <c:strRef>
              <c:f>'Urban Rural'!$Q$17</c:f>
              <c:strCache>
                <c:ptCount val="1"/>
                <c:pt idx="0">
                  <c:v>Rural</c:v>
                </c:pt>
              </c:strCache>
            </c:strRef>
          </c:tx>
          <c:spPr>
            <a:ln w="22225" cap="rnd">
              <a:solidFill>
                <a:schemeClr val="bg1">
                  <a:lumMod val="50000"/>
                </a:schemeClr>
              </a:solidFill>
              <a:round/>
            </a:ln>
            <a:effectLst/>
          </c:spPr>
          <c:marker>
            <c:symbol val="none"/>
          </c:marker>
          <c:cat>
            <c:numRef>
              <c:f>'Urban Rural'!$S$13:$AB$13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'Urban Rural'!$S$83:$AB$83</c:f>
              <c:numCache>
                <c:formatCode>0.0</c:formatCode>
                <c:ptCount val="10"/>
                <c:pt idx="0">
                  <c:v>35.163646199621297</c:v>
                </c:pt>
                <c:pt idx="1">
                  <c:v>31.5111659131388</c:v>
                </c:pt>
                <c:pt idx="2">
                  <c:v>23.4903965731657</c:v>
                </c:pt>
                <c:pt idx="3">
                  <c:v>40.406855231991102</c:v>
                </c:pt>
                <c:pt idx="4">
                  <c:v>29.296875</c:v>
                </c:pt>
                <c:pt idx="5">
                  <c:v>22.611644997173499</c:v>
                </c:pt>
                <c:pt idx="6">
                  <c:v>24.516873377559801</c:v>
                </c:pt>
                <c:pt idx="7">
                  <c:v>26.197060107698999</c:v>
                </c:pt>
                <c:pt idx="8">
                  <c:v>27.668559778651499</c:v>
                </c:pt>
                <c:pt idx="9">
                  <c:v>26.011560693641599</c:v>
                </c:pt>
              </c:numCache>
            </c:numRef>
          </c:val>
          <c:smooth val="0"/>
          <c:extLst>
            <c:ext xmlns:c16="http://schemas.microsoft.com/office/drawing/2014/chart" uri="{C3380CC4-5D6E-409C-BE32-E72D297353CC}">
              <c16:uniqueId val="{00000000-6C07-4073-A004-A99BE7F1A2DE}"/>
            </c:ext>
          </c:extLst>
        </c:ser>
        <c:ser>
          <c:idx val="1"/>
          <c:order val="1"/>
          <c:tx>
            <c:strRef>
              <c:f>'Urban Rural'!$Q$21</c:f>
              <c:strCache>
                <c:ptCount val="1"/>
                <c:pt idx="0">
                  <c:v>Urban</c:v>
                </c:pt>
              </c:strCache>
            </c:strRef>
          </c:tx>
          <c:spPr>
            <a:ln w="22225" cap="rnd">
              <a:solidFill>
                <a:schemeClr val="accent1"/>
              </a:solidFill>
              <a:round/>
            </a:ln>
            <a:effectLst/>
          </c:spPr>
          <c:marker>
            <c:symbol val="none"/>
          </c:marker>
          <c:cat>
            <c:numRef>
              <c:f>'Urban Rural'!$S$13:$AB$13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'Urban Rural'!$S$117:$AB$117</c:f>
              <c:numCache>
                <c:formatCode>0.0</c:formatCode>
                <c:ptCount val="10"/>
                <c:pt idx="0">
                  <c:v>28.263521756811699</c:v>
                </c:pt>
                <c:pt idx="1">
                  <c:v>22.086341233972099</c:v>
                </c:pt>
                <c:pt idx="2">
                  <c:v>23.603300357128202</c:v>
                </c:pt>
                <c:pt idx="3">
                  <c:v>23.487720454920101</c:v>
                </c:pt>
                <c:pt idx="4">
                  <c:v>22.672435310758001</c:v>
                </c:pt>
                <c:pt idx="5">
                  <c:v>26.4106648780079</c:v>
                </c:pt>
                <c:pt idx="6">
                  <c:v>20.331167470132002</c:v>
                </c:pt>
                <c:pt idx="7">
                  <c:v>24.647742677566399</c:v>
                </c:pt>
                <c:pt idx="8">
                  <c:v>23.258587786259501</c:v>
                </c:pt>
                <c:pt idx="9">
                  <c:v>23.7030240471002</c:v>
                </c:pt>
              </c:numCache>
            </c:numRef>
          </c:val>
          <c:smooth val="0"/>
          <c:extLst>
            <c:ext xmlns:c16="http://schemas.microsoft.com/office/drawing/2014/chart" uri="{C3380CC4-5D6E-409C-BE32-E72D297353CC}">
              <c16:uniqueId val="{00000001-6C07-4073-A004-A99BE7F1A2DE}"/>
            </c:ext>
          </c:extLst>
        </c:ser>
        <c:dLbls>
          <c:showLegendKey val="0"/>
          <c:showVal val="0"/>
          <c:showCatName val="0"/>
          <c:showSerName val="0"/>
          <c:showPercent val="0"/>
          <c:showBubbleSize val="0"/>
        </c:dLbls>
        <c:smooth val="0"/>
        <c:axId val="100785248"/>
        <c:axId val="100793872"/>
      </c:lineChart>
      <c:catAx>
        <c:axId val="100785248"/>
        <c:scaling>
          <c:orientation val="minMax"/>
        </c:scaling>
        <c:delete val="0"/>
        <c:axPos val="b"/>
        <c:numFmt formatCode="General"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0793872"/>
        <c:crosses val="autoZero"/>
        <c:auto val="1"/>
        <c:lblAlgn val="ctr"/>
        <c:lblOffset val="100"/>
        <c:tickLblSkip val="3"/>
        <c:noMultiLvlLbl val="0"/>
      </c:catAx>
      <c:valAx>
        <c:axId val="100793872"/>
        <c:scaling>
          <c:orientation val="minMax"/>
          <c:max val="6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0785248"/>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24445830409814E-2"/>
          <c:y val="0.11089724915726831"/>
          <c:w val="0.89563264987916114"/>
          <c:h val="0.73255848047245931"/>
        </c:manualLayout>
      </c:layout>
      <c:lineChart>
        <c:grouping val="standard"/>
        <c:varyColors val="0"/>
        <c:ser>
          <c:idx val="0"/>
          <c:order val="0"/>
          <c:tx>
            <c:v>Rural</c:v>
          </c:tx>
          <c:spPr>
            <a:ln w="22225" cap="rnd">
              <a:solidFill>
                <a:schemeClr val="bg1">
                  <a:lumMod val="50000"/>
                </a:schemeClr>
              </a:solidFill>
              <a:round/>
            </a:ln>
            <a:effectLst/>
          </c:spPr>
          <c:marker>
            <c:symbol val="none"/>
          </c:marker>
          <c:cat>
            <c:numRef>
              <c:f>'Urban Rural'!$S$13:$AB$13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'Urban Rural'!$S$84:$AB$84</c:f>
              <c:numCache>
                <c:formatCode>0.0</c:formatCode>
                <c:ptCount val="10"/>
                <c:pt idx="0">
                  <c:v>15.612802498048399</c:v>
                </c:pt>
                <c:pt idx="1">
                  <c:v>29.2112950340798</c:v>
                </c:pt>
                <c:pt idx="2">
                  <c:v>23.226351351351401</c:v>
                </c:pt>
                <c:pt idx="3">
                  <c:v>25.802456393848701</c:v>
                </c:pt>
                <c:pt idx="4">
                  <c:v>23.1761386537686</c:v>
                </c:pt>
                <c:pt idx="5">
                  <c:v>27.955271565495199</c:v>
                </c:pt>
                <c:pt idx="6">
                  <c:v>22.9885057471264</c:v>
                </c:pt>
                <c:pt idx="7">
                  <c:v>18.954509177972898</c:v>
                </c:pt>
                <c:pt idx="8">
                  <c:v>29.597474348855599</c:v>
                </c:pt>
                <c:pt idx="9">
                  <c:v>25.360905189231399</c:v>
                </c:pt>
              </c:numCache>
            </c:numRef>
          </c:val>
          <c:smooth val="0"/>
          <c:extLst>
            <c:ext xmlns:c16="http://schemas.microsoft.com/office/drawing/2014/chart" uri="{C3380CC4-5D6E-409C-BE32-E72D297353CC}">
              <c16:uniqueId val="{00000000-057E-4BB8-9F1F-03B7BD890BFF}"/>
            </c:ext>
          </c:extLst>
        </c:ser>
        <c:ser>
          <c:idx val="1"/>
          <c:order val="1"/>
          <c:tx>
            <c:v>Urban</c:v>
          </c:tx>
          <c:spPr>
            <a:ln w="22225" cap="rnd">
              <a:solidFill>
                <a:schemeClr val="accent1"/>
              </a:solidFill>
              <a:round/>
            </a:ln>
            <a:effectLst/>
          </c:spPr>
          <c:marker>
            <c:symbol val="none"/>
          </c:marker>
          <c:cat>
            <c:numRef>
              <c:f>'Urban Rural'!$S$13:$AB$13</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'Urban Rural'!$S$118:$AB$118</c:f>
              <c:numCache>
                <c:formatCode>0.0</c:formatCode>
                <c:ptCount val="10"/>
                <c:pt idx="0">
                  <c:v>20.821732077573099</c:v>
                </c:pt>
                <c:pt idx="1">
                  <c:v>22.907072853937901</c:v>
                </c:pt>
                <c:pt idx="2">
                  <c:v>22.204746264514</c:v>
                </c:pt>
                <c:pt idx="3">
                  <c:v>20.462916647719499</c:v>
                </c:pt>
                <c:pt idx="4">
                  <c:v>21.131668277768998</c:v>
                </c:pt>
                <c:pt idx="5">
                  <c:v>17.001856781727501</c:v>
                </c:pt>
                <c:pt idx="6">
                  <c:v>23.696682464455002</c:v>
                </c:pt>
                <c:pt idx="7">
                  <c:v>21.4095337964783</c:v>
                </c:pt>
                <c:pt idx="8">
                  <c:v>20.497993354334799</c:v>
                </c:pt>
                <c:pt idx="9">
                  <c:v>21.472457852329001</c:v>
                </c:pt>
              </c:numCache>
            </c:numRef>
          </c:val>
          <c:smooth val="0"/>
          <c:extLst>
            <c:ext xmlns:c16="http://schemas.microsoft.com/office/drawing/2014/chart" uri="{C3380CC4-5D6E-409C-BE32-E72D297353CC}">
              <c16:uniqueId val="{00000001-057E-4BB8-9F1F-03B7BD890BFF}"/>
            </c:ext>
          </c:extLst>
        </c:ser>
        <c:dLbls>
          <c:showLegendKey val="0"/>
          <c:showVal val="0"/>
          <c:showCatName val="0"/>
          <c:showSerName val="0"/>
          <c:showPercent val="0"/>
          <c:showBubbleSize val="0"/>
        </c:dLbls>
        <c:smooth val="0"/>
        <c:axId val="100790736"/>
        <c:axId val="100791128"/>
      </c:lineChart>
      <c:catAx>
        <c:axId val="100790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0791128"/>
        <c:crosses val="autoZero"/>
        <c:auto val="1"/>
        <c:lblAlgn val="ctr"/>
        <c:lblOffset val="100"/>
        <c:tickLblSkip val="3"/>
        <c:noMultiLvlLbl val="0"/>
      </c:catAx>
      <c:valAx>
        <c:axId val="100791128"/>
        <c:scaling>
          <c:orientation val="minMax"/>
          <c:max val="6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0790736"/>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1000" b="1">
                <a:latin typeface="Arial" panose="020B0604020202020204" pitchFamily="34" charset="0"/>
                <a:cs typeface="Arial" panose="020B0604020202020204" pitchFamily="34" charset="0"/>
              </a:rPr>
              <a:t>Distribution of methods used by Māori</a:t>
            </a:r>
          </a:p>
        </c:rich>
      </c:tx>
      <c:layout>
        <c:manualLayout>
          <c:xMode val="edge"/>
          <c:yMode val="edge"/>
          <c:x val="0.30635892487641025"/>
          <c:y val="4.17372424032752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4038661976392176"/>
          <c:y val="0.23997198778220619"/>
          <c:w val="0.61881984755584929"/>
          <c:h val="0.66429184499091498"/>
        </c:manualLayout>
      </c:layout>
      <c:barChart>
        <c:barDir val="bar"/>
        <c:grouping val="stacked"/>
        <c:varyColors val="0"/>
        <c:ser>
          <c:idx val="0"/>
          <c:order val="0"/>
          <c:tx>
            <c:strRef>
              <c:f>'Ethnic group'!$Q$134</c:f>
              <c:strCache>
                <c:ptCount val="1"/>
                <c:pt idx="0">
                  <c:v>Māori</c:v>
                </c:pt>
              </c:strCache>
            </c:strRef>
          </c:tx>
          <c:spPr>
            <a:solidFill>
              <a:schemeClr val="accent1"/>
            </a:solidFill>
            <a:ln>
              <a:noFill/>
            </a:ln>
            <a:effectLst/>
          </c:spPr>
          <c:invertIfNegative val="0"/>
          <c:cat>
            <c:strRef>
              <c:f>'Ethnic group'!$U$134:$U$141</c:f>
              <c:strCache>
                <c:ptCount val="8"/>
                <c:pt idx="0">
                  <c:v>Hanging, strangulation and suffocation</c:v>
                </c:pt>
                <c:pt idx="1">
                  <c:v>Poisoning by gases and vapours</c:v>
                </c:pt>
                <c:pt idx="2">
                  <c:v>Poisoning by solids and liquids</c:v>
                </c:pt>
                <c:pt idx="3">
                  <c:v>Firearms and explosives</c:v>
                </c:pt>
                <c:pt idx="4">
                  <c:v>Jumping from a high place</c:v>
                </c:pt>
                <c:pt idx="5">
                  <c:v>Submersion (drowning)</c:v>
                </c:pt>
                <c:pt idx="6">
                  <c:v>Sharp object</c:v>
                </c:pt>
                <c:pt idx="7">
                  <c:v>Other</c:v>
                </c:pt>
              </c:strCache>
            </c:strRef>
          </c:cat>
          <c:val>
            <c:numRef>
              <c:f>'Ethnic group'!$V$134:$V$141</c:f>
              <c:numCache>
                <c:formatCode>0.0</c:formatCode>
                <c:ptCount val="8"/>
                <c:pt idx="0">
                  <c:v>85.6</c:v>
                </c:pt>
                <c:pt idx="1">
                  <c:v>2.8</c:v>
                </c:pt>
                <c:pt idx="2">
                  <c:v>4.4000000000000004</c:v>
                </c:pt>
                <c:pt idx="3">
                  <c:v>2.1</c:v>
                </c:pt>
                <c:pt idx="4">
                  <c:v>1.4</c:v>
                </c:pt>
                <c:pt idx="5">
                  <c:v>0.5</c:v>
                </c:pt>
                <c:pt idx="6">
                  <c:v>0.7</c:v>
                </c:pt>
                <c:pt idx="7">
                  <c:v>2.5</c:v>
                </c:pt>
              </c:numCache>
            </c:numRef>
          </c:val>
          <c:extLst>
            <c:ext xmlns:c16="http://schemas.microsoft.com/office/drawing/2014/chart" uri="{C3380CC4-5D6E-409C-BE32-E72D297353CC}">
              <c16:uniqueId val="{00000000-BCF8-4BB8-A632-5E475CDBAE5E}"/>
            </c:ext>
          </c:extLst>
        </c:ser>
        <c:dLbls>
          <c:showLegendKey val="0"/>
          <c:showVal val="0"/>
          <c:showCatName val="0"/>
          <c:showSerName val="0"/>
          <c:showPercent val="0"/>
          <c:showBubbleSize val="0"/>
        </c:dLbls>
        <c:gapWidth val="150"/>
        <c:overlap val="100"/>
        <c:axId val="100792304"/>
        <c:axId val="100792696"/>
      </c:barChart>
      <c:catAx>
        <c:axId val="1007923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792696"/>
        <c:crosses val="autoZero"/>
        <c:auto val="1"/>
        <c:lblAlgn val="ctr"/>
        <c:lblOffset val="100"/>
        <c:noMultiLvlLbl val="0"/>
      </c:catAx>
      <c:valAx>
        <c:axId val="1007926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7923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sz="1000" b="1" i="0" baseline="0">
                <a:effectLst/>
                <a:latin typeface="Arial" panose="020B0604020202020204" pitchFamily="34" charset="0"/>
                <a:cs typeface="Arial" panose="020B0604020202020204" pitchFamily="34" charset="0"/>
              </a:rPr>
              <a:t>Distribution of methods used by Pacific</a:t>
            </a:r>
            <a:endParaRPr lang="en-NZ" sz="8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506430849989905"/>
          <c:y val="0.29704209881253829"/>
          <c:w val="0.62087106803957193"/>
          <c:h val="0.66991802236174225"/>
        </c:manualLayout>
      </c:layout>
      <c:barChart>
        <c:barDir val="bar"/>
        <c:grouping val="stacked"/>
        <c:varyColors val="0"/>
        <c:ser>
          <c:idx val="0"/>
          <c:order val="0"/>
          <c:tx>
            <c:strRef>
              <c:f>'Ethnic group'!$Q$143</c:f>
              <c:strCache>
                <c:ptCount val="1"/>
                <c:pt idx="0">
                  <c:v>Pacific</c:v>
                </c:pt>
              </c:strCache>
            </c:strRef>
          </c:tx>
          <c:spPr>
            <a:solidFill>
              <a:schemeClr val="accent1"/>
            </a:solidFill>
            <a:ln>
              <a:noFill/>
            </a:ln>
            <a:effectLst/>
          </c:spPr>
          <c:invertIfNegative val="0"/>
          <c:cat>
            <c:strRef>
              <c:f>'Ethnic group'!$U$143:$U$150</c:f>
              <c:strCache>
                <c:ptCount val="8"/>
                <c:pt idx="0">
                  <c:v>Hanging, strangulation and suffocation</c:v>
                </c:pt>
                <c:pt idx="1">
                  <c:v>Poisoning by gases and vapours</c:v>
                </c:pt>
                <c:pt idx="2">
                  <c:v>Poisoning by solids and liquids</c:v>
                </c:pt>
                <c:pt idx="3">
                  <c:v>Firearms and explosives</c:v>
                </c:pt>
                <c:pt idx="4">
                  <c:v>Jumping from a high place</c:v>
                </c:pt>
                <c:pt idx="5">
                  <c:v>Submersion (drowning)</c:v>
                </c:pt>
                <c:pt idx="6">
                  <c:v>Sharp object</c:v>
                </c:pt>
                <c:pt idx="7">
                  <c:v>Other</c:v>
                </c:pt>
              </c:strCache>
            </c:strRef>
          </c:cat>
          <c:val>
            <c:numRef>
              <c:f>'Ethnic group'!$V$143:$V$150</c:f>
              <c:numCache>
                <c:formatCode>0.0</c:formatCode>
                <c:ptCount val="8"/>
                <c:pt idx="0">
                  <c:v>84</c:v>
                </c:pt>
                <c:pt idx="1">
                  <c:v>0.8</c:v>
                </c:pt>
                <c:pt idx="2">
                  <c:v>6.7</c:v>
                </c:pt>
                <c:pt idx="3">
                  <c:v>0</c:v>
                </c:pt>
                <c:pt idx="4">
                  <c:v>4.2</c:v>
                </c:pt>
                <c:pt idx="5">
                  <c:v>0.8</c:v>
                </c:pt>
                <c:pt idx="6">
                  <c:v>1.7</c:v>
                </c:pt>
                <c:pt idx="7">
                  <c:v>1.7</c:v>
                </c:pt>
              </c:numCache>
            </c:numRef>
          </c:val>
          <c:extLst>
            <c:ext xmlns:c16="http://schemas.microsoft.com/office/drawing/2014/chart" uri="{C3380CC4-5D6E-409C-BE32-E72D297353CC}">
              <c16:uniqueId val="{00000000-4E44-49C3-89DE-19219AE1130A}"/>
            </c:ext>
          </c:extLst>
        </c:ser>
        <c:dLbls>
          <c:showLegendKey val="0"/>
          <c:showVal val="0"/>
          <c:showCatName val="0"/>
          <c:showSerName val="0"/>
          <c:showPercent val="0"/>
          <c:showBubbleSize val="0"/>
        </c:dLbls>
        <c:gapWidth val="150"/>
        <c:overlap val="100"/>
        <c:axId val="100791912"/>
        <c:axId val="102447368"/>
      </c:barChart>
      <c:catAx>
        <c:axId val="100791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447368"/>
        <c:crosses val="autoZero"/>
        <c:auto val="1"/>
        <c:lblAlgn val="ctr"/>
        <c:lblOffset val="100"/>
        <c:noMultiLvlLbl val="0"/>
      </c:catAx>
      <c:valAx>
        <c:axId val="10244736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7919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1000" b="1"/>
              <a:t>15–24 years</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2681739362411646E-2"/>
          <c:y val="0.25375376647834275"/>
          <c:w val="0.82376666666666665"/>
          <c:h val="0.58256944444444447"/>
        </c:manualLayout>
      </c:layout>
      <c:barChart>
        <c:barDir val="col"/>
        <c:grouping val="clustered"/>
        <c:varyColors val="0"/>
        <c:ser>
          <c:idx val="0"/>
          <c:order val="0"/>
          <c:tx>
            <c:v>15–24</c:v>
          </c:tx>
          <c:spPr>
            <a:solidFill>
              <a:schemeClr val="bg1">
                <a:lumMod val="50000"/>
              </a:schemeClr>
            </a:solidFill>
            <a:ln>
              <a:noFill/>
            </a:ln>
            <a:effectLst/>
          </c:spPr>
          <c:invertIfNegative val="0"/>
          <c:errBars>
            <c:errBarType val="both"/>
            <c:errValType val="cust"/>
            <c:noEndCap val="0"/>
            <c:plus>
              <c:numRef>
                <c:f>'Ethnic group'!$AS$38:$AS$41</c:f>
                <c:numCache>
                  <c:formatCode>General</c:formatCode>
                  <c:ptCount val="4"/>
                  <c:pt idx="0">
                    <c:v>4.5</c:v>
                  </c:pt>
                  <c:pt idx="1">
                    <c:v>5</c:v>
                  </c:pt>
                  <c:pt idx="2">
                    <c:v>2.2000000000000002</c:v>
                  </c:pt>
                  <c:pt idx="3">
                    <c:v>1.8</c:v>
                  </c:pt>
                </c:numCache>
              </c:numRef>
            </c:plus>
            <c:minus>
              <c:numRef>
                <c:f>'Ethnic group'!$AS$38:$AS$41</c:f>
                <c:numCache>
                  <c:formatCode>General</c:formatCode>
                  <c:ptCount val="4"/>
                  <c:pt idx="0">
                    <c:v>4.5</c:v>
                  </c:pt>
                  <c:pt idx="1">
                    <c:v>5</c:v>
                  </c:pt>
                  <c:pt idx="2">
                    <c:v>2.2000000000000002</c:v>
                  </c:pt>
                  <c:pt idx="3">
                    <c:v>1.8</c:v>
                  </c:pt>
                </c:numCache>
              </c:numRef>
            </c:minus>
            <c:spPr>
              <a:noFill/>
              <a:ln w="9525" cap="flat" cmpd="sng" algn="ctr">
                <a:solidFill>
                  <a:schemeClr val="tx1">
                    <a:lumMod val="65000"/>
                    <a:lumOff val="35000"/>
                  </a:schemeClr>
                </a:solidFill>
                <a:round/>
              </a:ln>
              <a:effectLst/>
            </c:spPr>
          </c:errBars>
          <c:cat>
            <c:strRef>
              <c:f>'Ethnic group'!$Q$38:$Q$41</c:f>
              <c:strCache>
                <c:ptCount val="4"/>
                <c:pt idx="0">
                  <c:v>Māori</c:v>
                </c:pt>
                <c:pt idx="1">
                  <c:v>Pacific</c:v>
                </c:pt>
                <c:pt idx="2">
                  <c:v>Asian</c:v>
                </c:pt>
                <c:pt idx="3">
                  <c:v>Other</c:v>
                </c:pt>
              </c:strCache>
            </c:strRef>
          </c:cat>
          <c:val>
            <c:numRef>
              <c:f>'Ethnic group'!$T$38:$T$41</c:f>
              <c:numCache>
                <c:formatCode>0.0</c:formatCode>
                <c:ptCount val="4"/>
                <c:pt idx="0">
                  <c:v>34.170121645633103</c:v>
                </c:pt>
                <c:pt idx="1">
                  <c:v>18.051193183869501</c:v>
                </c:pt>
                <c:pt idx="2">
                  <c:v>6.0532687651331702</c:v>
                </c:pt>
                <c:pt idx="3">
                  <c:v>14.789785631197001</c:v>
                </c:pt>
              </c:numCache>
            </c:numRef>
          </c:val>
          <c:extLst>
            <c:ext xmlns:c16="http://schemas.microsoft.com/office/drawing/2014/chart" uri="{C3380CC4-5D6E-409C-BE32-E72D297353CC}">
              <c16:uniqueId val="{00000000-E6D8-45AE-9D23-153614335115}"/>
            </c:ext>
          </c:extLst>
        </c:ser>
        <c:dLbls>
          <c:showLegendKey val="0"/>
          <c:showVal val="0"/>
          <c:showCatName val="0"/>
          <c:showSerName val="0"/>
          <c:showPercent val="0"/>
          <c:showBubbleSize val="0"/>
        </c:dLbls>
        <c:gapWidth val="100"/>
        <c:overlap val="-15"/>
        <c:axId val="102436392"/>
        <c:axId val="102437960"/>
      </c:barChart>
      <c:catAx>
        <c:axId val="10243639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437960"/>
        <c:crosses val="autoZero"/>
        <c:auto val="1"/>
        <c:lblAlgn val="ctr"/>
        <c:lblOffset val="100"/>
        <c:noMultiLvlLbl val="0"/>
      </c:catAx>
      <c:valAx>
        <c:axId val="102437960"/>
        <c:scaling>
          <c:orientation val="minMax"/>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43639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17501906148203E-2"/>
          <c:y val="0.19162499999999999"/>
          <c:w val="0.90573923759007746"/>
          <c:h val="0.64429722222222219"/>
        </c:manualLayout>
      </c:layout>
      <c:lineChart>
        <c:grouping val="standard"/>
        <c:varyColors val="0"/>
        <c:ser>
          <c:idx val="0"/>
          <c:order val="0"/>
          <c:tx>
            <c:strRef>
              <c:f>'Māori Non-Māori'!$O$9</c:f>
              <c:strCache>
                <c:ptCount val="1"/>
                <c:pt idx="0">
                  <c:v>Māori</c:v>
                </c:pt>
              </c:strCache>
            </c:strRef>
          </c:tx>
          <c:spPr>
            <a:ln w="22225" cap="rnd">
              <a:solidFill>
                <a:schemeClr val="bg1">
                  <a:lumMod val="65000"/>
                </a:schemeClr>
              </a:solidFill>
              <a:round/>
            </a:ln>
            <a:effectLst/>
          </c:spPr>
          <c:marker>
            <c:symbol val="none"/>
          </c:marker>
          <c:errBars>
            <c:errDir val="y"/>
            <c:errBarType val="both"/>
            <c:errValType val="cust"/>
            <c:noEndCap val="0"/>
            <c:plus>
              <c:numRef>
                <c:f>'Māori Non-Māori'!$BL$10:$CF$10</c:f>
                <c:numCache>
                  <c:formatCode>General</c:formatCode>
                  <c:ptCount val="21"/>
                  <c:pt idx="0">
                    <c:v>3.7</c:v>
                  </c:pt>
                  <c:pt idx="1">
                    <c:v>3.8</c:v>
                  </c:pt>
                  <c:pt idx="2">
                    <c:v>3.9</c:v>
                  </c:pt>
                  <c:pt idx="3">
                    <c:v>3</c:v>
                  </c:pt>
                  <c:pt idx="4">
                    <c:v>3.3</c:v>
                  </c:pt>
                  <c:pt idx="5">
                    <c:v>3.1</c:v>
                  </c:pt>
                  <c:pt idx="6">
                    <c:v>3</c:v>
                  </c:pt>
                  <c:pt idx="7">
                    <c:v>3</c:v>
                  </c:pt>
                  <c:pt idx="8">
                    <c:v>3.5</c:v>
                  </c:pt>
                  <c:pt idx="9">
                    <c:v>3.4</c:v>
                  </c:pt>
                  <c:pt idx="10">
                    <c:v>3.4</c:v>
                  </c:pt>
                  <c:pt idx="11">
                    <c:v>3.2</c:v>
                  </c:pt>
                  <c:pt idx="12">
                    <c:v>2.9</c:v>
                  </c:pt>
                  <c:pt idx="13">
                    <c:v>2.8</c:v>
                  </c:pt>
                  <c:pt idx="14">
                    <c:v>3.1</c:v>
                  </c:pt>
                  <c:pt idx="15">
                    <c:v>3.2</c:v>
                  </c:pt>
                  <c:pt idx="16">
                    <c:v>3.2</c:v>
                  </c:pt>
                  <c:pt idx="17">
                    <c:v>3</c:v>
                  </c:pt>
                  <c:pt idx="18">
                    <c:v>3</c:v>
                  </c:pt>
                  <c:pt idx="19">
                    <c:v>3.2</c:v>
                  </c:pt>
                  <c:pt idx="20">
                    <c:v>3.4</c:v>
                  </c:pt>
                </c:numCache>
              </c:numRef>
            </c:plus>
            <c:minus>
              <c:numRef>
                <c:f>'Māori Non-Māori'!$BL$10:$CF$10</c:f>
                <c:numCache>
                  <c:formatCode>General</c:formatCode>
                  <c:ptCount val="21"/>
                  <c:pt idx="0">
                    <c:v>3.7</c:v>
                  </c:pt>
                  <c:pt idx="1">
                    <c:v>3.8</c:v>
                  </c:pt>
                  <c:pt idx="2">
                    <c:v>3.9</c:v>
                  </c:pt>
                  <c:pt idx="3">
                    <c:v>3</c:v>
                  </c:pt>
                  <c:pt idx="4">
                    <c:v>3.3</c:v>
                  </c:pt>
                  <c:pt idx="5">
                    <c:v>3.1</c:v>
                  </c:pt>
                  <c:pt idx="6">
                    <c:v>3</c:v>
                  </c:pt>
                  <c:pt idx="7">
                    <c:v>3</c:v>
                  </c:pt>
                  <c:pt idx="8">
                    <c:v>3.5</c:v>
                  </c:pt>
                  <c:pt idx="9">
                    <c:v>3.4</c:v>
                  </c:pt>
                  <c:pt idx="10">
                    <c:v>3.4</c:v>
                  </c:pt>
                  <c:pt idx="11">
                    <c:v>3.2</c:v>
                  </c:pt>
                  <c:pt idx="12">
                    <c:v>2.9</c:v>
                  </c:pt>
                  <c:pt idx="13">
                    <c:v>2.8</c:v>
                  </c:pt>
                  <c:pt idx="14">
                    <c:v>3.1</c:v>
                  </c:pt>
                  <c:pt idx="15">
                    <c:v>3.2</c:v>
                  </c:pt>
                  <c:pt idx="16">
                    <c:v>3.2</c:v>
                  </c:pt>
                  <c:pt idx="17">
                    <c:v>3</c:v>
                  </c:pt>
                  <c:pt idx="18">
                    <c:v>3</c:v>
                  </c:pt>
                  <c:pt idx="19">
                    <c:v>3.2</c:v>
                  </c:pt>
                  <c:pt idx="20">
                    <c:v>3.4</c:v>
                  </c:pt>
                </c:numCache>
              </c:numRef>
            </c:minus>
            <c:spPr>
              <a:noFill/>
              <a:ln w="9525" cap="flat" cmpd="sng" algn="ctr">
                <a:solidFill>
                  <a:schemeClr val="tx1">
                    <a:lumMod val="65000"/>
                    <a:lumOff val="35000"/>
                  </a:schemeClr>
                </a:solidFill>
                <a:round/>
              </a:ln>
              <a:effectLst/>
            </c:spPr>
          </c:errBars>
          <c:cat>
            <c:numRef>
              <c:f>'Māori Non-Māori'!$S$10:$AM$10</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Non-Māori'!$S$12:$AM$12</c:f>
              <c:numCache>
                <c:formatCode>0.0</c:formatCode>
                <c:ptCount val="21"/>
                <c:pt idx="0">
                  <c:v>18.424036081023001</c:v>
                </c:pt>
                <c:pt idx="1">
                  <c:v>19.8982046762785</c:v>
                </c:pt>
                <c:pt idx="2">
                  <c:v>20.911450065459601</c:v>
                </c:pt>
                <c:pt idx="3">
                  <c:v>13.680080488400799</c:v>
                </c:pt>
                <c:pt idx="4">
                  <c:v>15.0216247954586</c:v>
                </c:pt>
                <c:pt idx="5">
                  <c:v>14.087317407503001</c:v>
                </c:pt>
                <c:pt idx="6">
                  <c:v>13.892088049665601</c:v>
                </c:pt>
                <c:pt idx="7">
                  <c:v>14.459643080013199</c:v>
                </c:pt>
                <c:pt idx="8">
                  <c:v>18.923065742235899</c:v>
                </c:pt>
                <c:pt idx="9">
                  <c:v>17.852603495775298</c:v>
                </c:pt>
                <c:pt idx="10">
                  <c:v>17.9531609994688</c:v>
                </c:pt>
                <c:pt idx="11">
                  <c:v>16.111509144203101</c:v>
                </c:pt>
                <c:pt idx="12">
                  <c:v>14.0105109663824</c:v>
                </c:pt>
                <c:pt idx="13">
                  <c:v>13.081017831193</c:v>
                </c:pt>
                <c:pt idx="14">
                  <c:v>15.806302990390501</c:v>
                </c:pt>
                <c:pt idx="15">
                  <c:v>17.366835060391999</c:v>
                </c:pt>
                <c:pt idx="16">
                  <c:v>17.511079499725199</c:v>
                </c:pt>
                <c:pt idx="17">
                  <c:v>15.8165730495112</c:v>
                </c:pt>
                <c:pt idx="18">
                  <c:v>14.573975403997499</c:v>
                </c:pt>
                <c:pt idx="19">
                  <c:v>17.835459808531901</c:v>
                </c:pt>
                <c:pt idx="20">
                  <c:v>20.237649160748301</c:v>
                </c:pt>
              </c:numCache>
            </c:numRef>
          </c:val>
          <c:smooth val="0"/>
          <c:extLst>
            <c:ext xmlns:c16="http://schemas.microsoft.com/office/drawing/2014/chart" uri="{C3380CC4-5D6E-409C-BE32-E72D297353CC}">
              <c16:uniqueId val="{00000000-4749-4701-8C05-8FE77D3F50ED}"/>
            </c:ext>
          </c:extLst>
        </c:ser>
        <c:ser>
          <c:idx val="1"/>
          <c:order val="1"/>
          <c:tx>
            <c:strRef>
              <c:f>'Māori Non-Māori'!$O$20</c:f>
              <c:strCache>
                <c:ptCount val="1"/>
                <c:pt idx="0">
                  <c:v>Non-Māori</c:v>
                </c:pt>
              </c:strCache>
            </c:strRef>
          </c:tx>
          <c:spPr>
            <a:ln w="22225" cap="rnd">
              <a:solidFill>
                <a:schemeClr val="accent1"/>
              </a:solidFill>
              <a:round/>
            </a:ln>
            <a:effectLst/>
          </c:spPr>
          <c:marker>
            <c:symbol val="none"/>
          </c:marker>
          <c:errBars>
            <c:errDir val="y"/>
            <c:errBarType val="both"/>
            <c:errValType val="cust"/>
            <c:noEndCap val="0"/>
            <c:plus>
              <c:numRef>
                <c:f>'Māori Non-Māori'!$BL$17:$CF$17</c:f>
                <c:numCache>
                  <c:formatCode>General</c:formatCode>
                  <c:ptCount val="21"/>
                  <c:pt idx="0">
                    <c:v>1.2</c:v>
                  </c:pt>
                  <c:pt idx="1">
                    <c:v>1.3</c:v>
                  </c:pt>
                  <c:pt idx="2">
                    <c:v>1.2</c:v>
                  </c:pt>
                  <c:pt idx="3">
                    <c:v>1.2</c:v>
                  </c:pt>
                  <c:pt idx="4">
                    <c:v>1.1000000000000001</c:v>
                  </c:pt>
                  <c:pt idx="5">
                    <c:v>1.2</c:v>
                  </c:pt>
                  <c:pt idx="6">
                    <c:v>1.1000000000000001</c:v>
                  </c:pt>
                  <c:pt idx="7">
                    <c:v>1.1000000000000001</c:v>
                  </c:pt>
                  <c:pt idx="8">
                    <c:v>1</c:v>
                  </c:pt>
                  <c:pt idx="9">
                    <c:v>1.1000000000000001</c:v>
                  </c:pt>
                  <c:pt idx="10">
                    <c:v>1.1000000000000001</c:v>
                  </c:pt>
                  <c:pt idx="11">
                    <c:v>1</c:v>
                  </c:pt>
                  <c:pt idx="12">
                    <c:v>1.1000000000000001</c:v>
                  </c:pt>
                  <c:pt idx="13">
                    <c:v>1</c:v>
                  </c:pt>
                  <c:pt idx="14">
                    <c:v>1</c:v>
                  </c:pt>
                  <c:pt idx="15">
                    <c:v>1</c:v>
                  </c:pt>
                  <c:pt idx="16">
                    <c:v>1</c:v>
                  </c:pt>
                  <c:pt idx="17">
                    <c:v>0.9</c:v>
                  </c:pt>
                  <c:pt idx="18">
                    <c:v>0.9</c:v>
                  </c:pt>
                  <c:pt idx="19">
                    <c:v>0.9</c:v>
                  </c:pt>
                  <c:pt idx="20">
                    <c:v>0.9</c:v>
                  </c:pt>
                </c:numCache>
              </c:numRef>
            </c:plus>
            <c:minus>
              <c:numRef>
                <c:f>'Māori Non-Māori'!$BL$17:$CF$17</c:f>
                <c:numCache>
                  <c:formatCode>General</c:formatCode>
                  <c:ptCount val="21"/>
                  <c:pt idx="0">
                    <c:v>1.2</c:v>
                  </c:pt>
                  <c:pt idx="1">
                    <c:v>1.3</c:v>
                  </c:pt>
                  <c:pt idx="2">
                    <c:v>1.2</c:v>
                  </c:pt>
                  <c:pt idx="3">
                    <c:v>1.2</c:v>
                  </c:pt>
                  <c:pt idx="4">
                    <c:v>1.1000000000000001</c:v>
                  </c:pt>
                  <c:pt idx="5">
                    <c:v>1.2</c:v>
                  </c:pt>
                  <c:pt idx="6">
                    <c:v>1.1000000000000001</c:v>
                  </c:pt>
                  <c:pt idx="7">
                    <c:v>1.1000000000000001</c:v>
                  </c:pt>
                  <c:pt idx="8">
                    <c:v>1</c:v>
                  </c:pt>
                  <c:pt idx="9">
                    <c:v>1.1000000000000001</c:v>
                  </c:pt>
                  <c:pt idx="10">
                    <c:v>1.1000000000000001</c:v>
                  </c:pt>
                  <c:pt idx="11">
                    <c:v>1</c:v>
                  </c:pt>
                  <c:pt idx="12">
                    <c:v>1.1000000000000001</c:v>
                  </c:pt>
                  <c:pt idx="13">
                    <c:v>1</c:v>
                  </c:pt>
                  <c:pt idx="14">
                    <c:v>1</c:v>
                  </c:pt>
                  <c:pt idx="15">
                    <c:v>1</c:v>
                  </c:pt>
                  <c:pt idx="16">
                    <c:v>1</c:v>
                  </c:pt>
                  <c:pt idx="17">
                    <c:v>0.9</c:v>
                  </c:pt>
                  <c:pt idx="18">
                    <c:v>0.9</c:v>
                  </c:pt>
                  <c:pt idx="19">
                    <c:v>0.9</c:v>
                  </c:pt>
                  <c:pt idx="20">
                    <c:v>0.9</c:v>
                  </c:pt>
                </c:numCache>
              </c:numRef>
            </c:minus>
            <c:spPr>
              <a:noFill/>
              <a:ln w="9525" cap="flat" cmpd="sng" algn="ctr">
                <a:solidFill>
                  <a:schemeClr val="tx1">
                    <a:lumMod val="65000"/>
                    <a:lumOff val="35000"/>
                  </a:schemeClr>
                </a:solidFill>
                <a:round/>
              </a:ln>
              <a:effectLst/>
            </c:spPr>
          </c:errBars>
          <c:cat>
            <c:numRef>
              <c:f>'Māori Non-Māori'!$S$10:$AM$10</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Non-Māori'!$S$23:$AM$23</c:f>
              <c:numCache>
                <c:formatCode>0.0</c:formatCode>
                <c:ptCount val="21"/>
                <c:pt idx="0">
                  <c:v>13.202661641130099</c:v>
                </c:pt>
                <c:pt idx="1">
                  <c:v>13.6356969902152</c:v>
                </c:pt>
                <c:pt idx="2">
                  <c:v>13.719933399984299</c:v>
                </c:pt>
                <c:pt idx="3">
                  <c:v>12.8048336121334</c:v>
                </c:pt>
                <c:pt idx="4">
                  <c:v>11.1683814296716</c:v>
                </c:pt>
                <c:pt idx="5">
                  <c:v>12.3764768268776</c:v>
                </c:pt>
                <c:pt idx="6">
                  <c:v>10.9882846931341</c:v>
                </c:pt>
                <c:pt idx="7">
                  <c:v>11.6548370610064</c:v>
                </c:pt>
                <c:pt idx="8">
                  <c:v>10.3253251579566</c:v>
                </c:pt>
                <c:pt idx="9">
                  <c:v>10.916375074971301</c:v>
                </c:pt>
                <c:pt idx="10">
                  <c:v>10.9315740531038</c:v>
                </c:pt>
                <c:pt idx="11">
                  <c:v>10.318814507971201</c:v>
                </c:pt>
                <c:pt idx="12">
                  <c:v>11.1639267014209</c:v>
                </c:pt>
                <c:pt idx="13">
                  <c:v>10.9175102802797</c:v>
                </c:pt>
                <c:pt idx="14">
                  <c:v>10.8724229875909</c:v>
                </c:pt>
                <c:pt idx="15">
                  <c:v>9.6392127320325294</c:v>
                </c:pt>
                <c:pt idx="16">
                  <c:v>10.8700975052411</c:v>
                </c:pt>
                <c:pt idx="17">
                  <c:v>9.7148957708980408</c:v>
                </c:pt>
                <c:pt idx="18">
                  <c:v>9.8906686786863496</c:v>
                </c:pt>
                <c:pt idx="19">
                  <c:v>9.6400921606719798</c:v>
                </c:pt>
                <c:pt idx="20">
                  <c:v>9.5499137559285696</c:v>
                </c:pt>
              </c:numCache>
            </c:numRef>
          </c:val>
          <c:smooth val="0"/>
          <c:extLst>
            <c:ext xmlns:c16="http://schemas.microsoft.com/office/drawing/2014/chart" uri="{C3380CC4-5D6E-409C-BE32-E72D297353CC}">
              <c16:uniqueId val="{00000001-4749-4701-8C05-8FE77D3F50ED}"/>
            </c:ext>
          </c:extLst>
        </c:ser>
        <c:dLbls>
          <c:showLegendKey val="0"/>
          <c:showVal val="0"/>
          <c:showCatName val="0"/>
          <c:showSerName val="0"/>
          <c:showPercent val="0"/>
          <c:showBubbleSize val="0"/>
        </c:dLbls>
        <c:smooth val="0"/>
        <c:axId val="449323464"/>
        <c:axId val="449324640"/>
      </c:lineChart>
      <c:catAx>
        <c:axId val="44932346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9324640"/>
        <c:crosses val="autoZero"/>
        <c:auto val="1"/>
        <c:lblAlgn val="ctr"/>
        <c:lblOffset val="100"/>
        <c:tickLblSkip val="2"/>
        <c:noMultiLvlLbl val="0"/>
      </c:catAx>
      <c:valAx>
        <c:axId val="449324640"/>
        <c:scaling>
          <c:orientation val="minMax"/>
          <c:max val="4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9323464"/>
        <c:crosses val="autoZero"/>
        <c:crossBetween val="between"/>
        <c:majorUnit val="10"/>
      </c:valAx>
      <c:spPr>
        <a:noFill/>
        <a:ln>
          <a:noFill/>
        </a:ln>
        <a:effectLst/>
      </c:spPr>
    </c:plotArea>
    <c:legend>
      <c:legendPos val="r"/>
      <c:layout>
        <c:manualLayout>
          <c:xMode val="edge"/>
          <c:yMode val="edge"/>
          <c:x val="0.82761088340610967"/>
          <c:y val="2.1124646240925308E-2"/>
          <c:w val="0.16331663496655863"/>
          <c:h val="0.165986082058433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1000" b="1"/>
              <a:t>25–44 years</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538682139522478E-2"/>
          <c:y val="0.25375376647834275"/>
          <c:w val="0.82376666666666665"/>
          <c:h val="0.58256944444444447"/>
        </c:manualLayout>
      </c:layout>
      <c:barChart>
        <c:barDir val="col"/>
        <c:grouping val="clustered"/>
        <c:varyColors val="0"/>
        <c:ser>
          <c:idx val="0"/>
          <c:order val="0"/>
          <c:tx>
            <c:v>25–44</c:v>
          </c:tx>
          <c:spPr>
            <a:solidFill>
              <a:schemeClr val="bg1">
                <a:lumMod val="50000"/>
              </a:schemeClr>
            </a:solidFill>
            <a:ln>
              <a:noFill/>
            </a:ln>
            <a:effectLst/>
          </c:spPr>
          <c:invertIfNegative val="0"/>
          <c:errBars>
            <c:errBarType val="both"/>
            <c:errValType val="cust"/>
            <c:noEndCap val="0"/>
            <c:plus>
              <c:numRef>
                <c:f>'Ethnic group'!$AS$43:$AS$46</c:f>
                <c:numCache>
                  <c:formatCode>General</c:formatCode>
                  <c:ptCount val="4"/>
                  <c:pt idx="0">
                    <c:v>3.6</c:v>
                  </c:pt>
                  <c:pt idx="1">
                    <c:v>2.9</c:v>
                  </c:pt>
                  <c:pt idx="2">
                    <c:v>1.3</c:v>
                  </c:pt>
                  <c:pt idx="3">
                    <c:v>1.3</c:v>
                  </c:pt>
                </c:numCache>
              </c:numRef>
            </c:plus>
            <c:minus>
              <c:numRef>
                <c:f>'Ethnic group'!$AS$43:$AS$46</c:f>
                <c:numCache>
                  <c:formatCode>General</c:formatCode>
                  <c:ptCount val="4"/>
                  <c:pt idx="0">
                    <c:v>3.6</c:v>
                  </c:pt>
                  <c:pt idx="1">
                    <c:v>2.9</c:v>
                  </c:pt>
                  <c:pt idx="2">
                    <c:v>1.3</c:v>
                  </c:pt>
                  <c:pt idx="3">
                    <c:v>1.3</c:v>
                  </c:pt>
                </c:numCache>
              </c:numRef>
            </c:minus>
            <c:spPr>
              <a:noFill/>
              <a:ln w="9525" cap="flat" cmpd="sng" algn="ctr">
                <a:solidFill>
                  <a:schemeClr val="tx1">
                    <a:lumMod val="65000"/>
                    <a:lumOff val="35000"/>
                  </a:schemeClr>
                </a:solidFill>
                <a:round/>
              </a:ln>
              <a:effectLst/>
            </c:spPr>
          </c:errBars>
          <c:cat>
            <c:strRef>
              <c:f>'Ethnic group'!$Q$43:$Q$46</c:f>
              <c:strCache>
                <c:ptCount val="4"/>
                <c:pt idx="0">
                  <c:v>Māori</c:v>
                </c:pt>
                <c:pt idx="1">
                  <c:v>Pacific</c:v>
                </c:pt>
                <c:pt idx="2">
                  <c:v>Asian</c:v>
                </c:pt>
                <c:pt idx="3">
                  <c:v>Other</c:v>
                </c:pt>
              </c:strCache>
            </c:strRef>
          </c:cat>
          <c:val>
            <c:numRef>
              <c:f>'Ethnic group'!$T$43:$T$46</c:f>
              <c:numCache>
                <c:formatCode>0.0</c:formatCode>
                <c:ptCount val="4"/>
                <c:pt idx="0">
                  <c:v>28.975646379803901</c:v>
                </c:pt>
                <c:pt idx="1">
                  <c:v>8.6865435221379101</c:v>
                </c:pt>
                <c:pt idx="2">
                  <c:v>4.5585626653717704</c:v>
                </c:pt>
                <c:pt idx="3">
                  <c:v>16.107864671833301</c:v>
                </c:pt>
              </c:numCache>
            </c:numRef>
          </c:val>
          <c:extLst>
            <c:ext xmlns:c16="http://schemas.microsoft.com/office/drawing/2014/chart" uri="{C3380CC4-5D6E-409C-BE32-E72D297353CC}">
              <c16:uniqueId val="{00000000-9655-4BF8-B6A2-0C26B01A6B96}"/>
            </c:ext>
          </c:extLst>
        </c:ser>
        <c:dLbls>
          <c:showLegendKey val="0"/>
          <c:showVal val="0"/>
          <c:showCatName val="0"/>
          <c:showSerName val="0"/>
          <c:showPercent val="0"/>
          <c:showBubbleSize val="0"/>
        </c:dLbls>
        <c:gapWidth val="100"/>
        <c:overlap val="-15"/>
        <c:axId val="102440704"/>
        <c:axId val="102445016"/>
      </c:barChart>
      <c:catAx>
        <c:axId val="1024407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445016"/>
        <c:crosses val="autoZero"/>
        <c:auto val="1"/>
        <c:lblAlgn val="ctr"/>
        <c:lblOffset val="100"/>
        <c:noMultiLvlLbl val="0"/>
      </c:catAx>
      <c:valAx>
        <c:axId val="102445016"/>
        <c:scaling>
          <c:orientation val="minMax"/>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440704"/>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1000" b="1"/>
              <a:t>45–64 years</a:t>
            </a:r>
          </a:p>
        </c:rich>
      </c:tx>
      <c:layout>
        <c:manualLayout>
          <c:xMode val="edge"/>
          <c:yMode val="edge"/>
          <c:x val="0.37136156999982844"/>
          <c:y val="4.545454545454545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207968253968254"/>
          <c:y val="0.25375388888888883"/>
          <c:w val="0.82376666666666665"/>
          <c:h val="0.58256944444444447"/>
        </c:manualLayout>
      </c:layout>
      <c:barChart>
        <c:barDir val="col"/>
        <c:grouping val="clustered"/>
        <c:varyColors val="0"/>
        <c:ser>
          <c:idx val="0"/>
          <c:order val="0"/>
          <c:tx>
            <c:v>45–64</c:v>
          </c:tx>
          <c:spPr>
            <a:solidFill>
              <a:schemeClr val="bg1">
                <a:lumMod val="50000"/>
              </a:schemeClr>
            </a:solidFill>
            <a:ln>
              <a:noFill/>
            </a:ln>
            <a:effectLst/>
          </c:spPr>
          <c:invertIfNegative val="0"/>
          <c:errBars>
            <c:errBarType val="both"/>
            <c:errValType val="cust"/>
            <c:noEndCap val="0"/>
            <c:plus>
              <c:numRef>
                <c:f>'Ethnic group'!$AS$48:$AS$51</c:f>
                <c:numCache>
                  <c:formatCode>General</c:formatCode>
                  <c:ptCount val="4"/>
                  <c:pt idx="0">
                    <c:v>2.6</c:v>
                  </c:pt>
                  <c:pt idx="1">
                    <c:v>3.6</c:v>
                  </c:pt>
                  <c:pt idx="2">
                    <c:v>2.1</c:v>
                  </c:pt>
                  <c:pt idx="3">
                    <c:v>1.2</c:v>
                  </c:pt>
                </c:numCache>
              </c:numRef>
            </c:plus>
            <c:minus>
              <c:numRef>
                <c:f>'Ethnic group'!$AS$48:$AS$51</c:f>
                <c:numCache>
                  <c:formatCode>General</c:formatCode>
                  <c:ptCount val="4"/>
                  <c:pt idx="0">
                    <c:v>2.6</c:v>
                  </c:pt>
                  <c:pt idx="1">
                    <c:v>3.6</c:v>
                  </c:pt>
                  <c:pt idx="2">
                    <c:v>2.1</c:v>
                  </c:pt>
                  <c:pt idx="3">
                    <c:v>1.2</c:v>
                  </c:pt>
                </c:numCache>
              </c:numRef>
            </c:minus>
            <c:spPr>
              <a:noFill/>
              <a:ln w="9525" cap="flat" cmpd="sng" algn="ctr">
                <a:solidFill>
                  <a:schemeClr val="tx1">
                    <a:lumMod val="65000"/>
                    <a:lumOff val="35000"/>
                  </a:schemeClr>
                </a:solidFill>
                <a:round/>
              </a:ln>
              <a:effectLst/>
            </c:spPr>
          </c:errBars>
          <c:cat>
            <c:strRef>
              <c:f>[1]ETHNICITY!$S$22:$V$22</c:f>
              <c:strCache>
                <c:ptCount val="4"/>
                <c:pt idx="0">
                  <c:v>Maori</c:v>
                </c:pt>
                <c:pt idx="1">
                  <c:v>Pacific</c:v>
                </c:pt>
                <c:pt idx="2">
                  <c:v>Asian</c:v>
                </c:pt>
                <c:pt idx="3">
                  <c:v>Other</c:v>
                </c:pt>
              </c:strCache>
            </c:strRef>
          </c:cat>
          <c:val>
            <c:numRef>
              <c:f>'Ethnic group'!$T$48:$T$51</c:f>
              <c:numCache>
                <c:formatCode>0.0</c:formatCode>
                <c:ptCount val="4"/>
                <c:pt idx="0">
                  <c:v>11.1591788067322</c:v>
                </c:pt>
                <c:pt idx="1">
                  <c:v>8.9609080386812501</c:v>
                </c:pt>
                <c:pt idx="2">
                  <c:v>6.8208284811179496</c:v>
                </c:pt>
                <c:pt idx="3">
                  <c:v>16.5308773172748</c:v>
                </c:pt>
              </c:numCache>
            </c:numRef>
          </c:val>
          <c:extLst>
            <c:ext xmlns:c16="http://schemas.microsoft.com/office/drawing/2014/chart" uri="{C3380CC4-5D6E-409C-BE32-E72D297353CC}">
              <c16:uniqueId val="{00000000-7D6F-4D2F-A629-2F9E72675345}"/>
            </c:ext>
          </c:extLst>
        </c:ser>
        <c:dLbls>
          <c:showLegendKey val="0"/>
          <c:showVal val="0"/>
          <c:showCatName val="0"/>
          <c:showSerName val="0"/>
          <c:showPercent val="0"/>
          <c:showBubbleSize val="0"/>
        </c:dLbls>
        <c:gapWidth val="100"/>
        <c:overlap val="-15"/>
        <c:axId val="102440312"/>
        <c:axId val="102441096"/>
      </c:barChart>
      <c:catAx>
        <c:axId val="1024403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441096"/>
        <c:crosses val="autoZero"/>
        <c:auto val="1"/>
        <c:lblAlgn val="ctr"/>
        <c:lblOffset val="100"/>
        <c:noMultiLvlLbl val="0"/>
      </c:catAx>
      <c:valAx>
        <c:axId val="102441096"/>
        <c:scaling>
          <c:orientation val="minMax"/>
          <c:max val="4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44031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All ages</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1539877300613497E-2"/>
          <c:y val="0.2466983333333333"/>
          <c:w val="0.88436656441717787"/>
          <c:h val="0.63349833333333339"/>
        </c:manualLayout>
      </c:layout>
      <c:barChart>
        <c:barDir val="col"/>
        <c:grouping val="clustered"/>
        <c:varyColors val="0"/>
        <c:ser>
          <c:idx val="0"/>
          <c:order val="0"/>
          <c:tx>
            <c:strRef>
              <c:f>'Ethnic group'!$U$6</c:f>
              <c:strCache>
                <c:ptCount val="1"/>
                <c:pt idx="0">
                  <c:v>Male</c:v>
                </c:pt>
              </c:strCache>
            </c:strRef>
          </c:tx>
          <c:spPr>
            <a:solidFill>
              <a:schemeClr val="bg1">
                <a:lumMod val="50000"/>
              </a:schemeClr>
            </a:solidFill>
            <a:ln>
              <a:noFill/>
            </a:ln>
            <a:effectLst/>
          </c:spPr>
          <c:invertIfNegative val="0"/>
          <c:errBars>
            <c:errBarType val="both"/>
            <c:errValType val="cust"/>
            <c:noEndCap val="0"/>
            <c:plus>
              <c:numRef>
                <c:f>'Ethnic group'!$AT$11:$AT$14</c:f>
                <c:numCache>
                  <c:formatCode>General</c:formatCode>
                  <c:ptCount val="4"/>
                  <c:pt idx="0">
                    <c:v>2.5</c:v>
                  </c:pt>
                  <c:pt idx="1">
                    <c:v>2.6</c:v>
                  </c:pt>
                  <c:pt idx="2">
                    <c:v>1.2</c:v>
                  </c:pt>
                  <c:pt idx="3">
                    <c:v>0.9</c:v>
                  </c:pt>
                </c:numCache>
              </c:numRef>
            </c:plus>
            <c:minus>
              <c:numRef>
                <c:f>'Ethnic group'!$AT$11:$AT$14</c:f>
                <c:numCache>
                  <c:formatCode>General</c:formatCode>
                  <c:ptCount val="4"/>
                  <c:pt idx="0">
                    <c:v>2.5</c:v>
                  </c:pt>
                  <c:pt idx="1">
                    <c:v>2.6</c:v>
                  </c:pt>
                  <c:pt idx="2">
                    <c:v>1.2</c:v>
                  </c:pt>
                  <c:pt idx="3">
                    <c:v>0.9</c:v>
                  </c:pt>
                </c:numCache>
              </c:numRef>
            </c:minus>
            <c:spPr>
              <a:noFill/>
              <a:ln w="9525" cap="flat" cmpd="sng" algn="ctr">
                <a:solidFill>
                  <a:schemeClr val="tx1">
                    <a:lumMod val="65000"/>
                    <a:lumOff val="35000"/>
                  </a:schemeClr>
                </a:solidFill>
                <a:round/>
              </a:ln>
              <a:effectLst/>
            </c:spPr>
          </c:errBars>
          <c:cat>
            <c:strRef>
              <c:f>'Ethnic group'!$Q$33:$Q$36</c:f>
              <c:strCache>
                <c:ptCount val="4"/>
                <c:pt idx="0">
                  <c:v>Māori</c:v>
                </c:pt>
                <c:pt idx="1">
                  <c:v>Pacific</c:v>
                </c:pt>
                <c:pt idx="2">
                  <c:v>Asian</c:v>
                </c:pt>
                <c:pt idx="3">
                  <c:v>Other</c:v>
                </c:pt>
              </c:strCache>
            </c:strRef>
          </c:cat>
          <c:val>
            <c:numRef>
              <c:f>'Ethnic group'!$U$33:$U$36</c:f>
              <c:numCache>
                <c:formatCode>0.0</c:formatCode>
                <c:ptCount val="4"/>
                <c:pt idx="0">
                  <c:v>25.009592906631699</c:v>
                </c:pt>
                <c:pt idx="1">
                  <c:v>12.7453600779049</c:v>
                </c:pt>
                <c:pt idx="2">
                  <c:v>5.9055924486463098</c:v>
                </c:pt>
                <c:pt idx="3">
                  <c:v>17.187829947754299</c:v>
                </c:pt>
              </c:numCache>
            </c:numRef>
          </c:val>
          <c:extLst>
            <c:ext xmlns:c16="http://schemas.microsoft.com/office/drawing/2014/chart" uri="{C3380CC4-5D6E-409C-BE32-E72D297353CC}">
              <c16:uniqueId val="{00000000-C72C-463D-82FA-2AB1A621A8ED}"/>
            </c:ext>
          </c:extLst>
        </c:ser>
        <c:ser>
          <c:idx val="1"/>
          <c:order val="1"/>
          <c:tx>
            <c:strRef>
              <c:f>'Ethnic group'!$V$6</c:f>
              <c:strCache>
                <c:ptCount val="1"/>
                <c:pt idx="0">
                  <c:v>Female</c:v>
                </c:pt>
              </c:strCache>
            </c:strRef>
          </c:tx>
          <c:spPr>
            <a:solidFill>
              <a:schemeClr val="accent1"/>
            </a:solidFill>
            <a:ln>
              <a:noFill/>
            </a:ln>
            <a:effectLst/>
          </c:spPr>
          <c:invertIfNegative val="0"/>
          <c:errBars>
            <c:errBarType val="both"/>
            <c:errValType val="cust"/>
            <c:noEndCap val="0"/>
            <c:plus>
              <c:numRef>
                <c:f>'Ethnic group'!$AU$11:$AU$14</c:f>
                <c:numCache>
                  <c:formatCode>General</c:formatCode>
                  <c:ptCount val="4"/>
                  <c:pt idx="0">
                    <c:v>1.5</c:v>
                  </c:pt>
                  <c:pt idx="1">
                    <c:v>1.3</c:v>
                  </c:pt>
                  <c:pt idx="2">
                    <c:v>0.8</c:v>
                  </c:pt>
                  <c:pt idx="3">
                    <c:v>0.5</c:v>
                  </c:pt>
                </c:numCache>
              </c:numRef>
            </c:plus>
            <c:minus>
              <c:numRef>
                <c:f>'Ethnic group'!$AU$11:$AU$14</c:f>
                <c:numCache>
                  <c:formatCode>General</c:formatCode>
                  <c:ptCount val="4"/>
                  <c:pt idx="0">
                    <c:v>1.5</c:v>
                  </c:pt>
                  <c:pt idx="1">
                    <c:v>1.3</c:v>
                  </c:pt>
                  <c:pt idx="2">
                    <c:v>0.8</c:v>
                  </c:pt>
                  <c:pt idx="3">
                    <c:v>0.5</c:v>
                  </c:pt>
                </c:numCache>
              </c:numRef>
            </c:minus>
            <c:spPr>
              <a:noFill/>
              <a:ln w="9525" cap="flat" cmpd="sng" algn="ctr">
                <a:solidFill>
                  <a:schemeClr val="tx1">
                    <a:lumMod val="65000"/>
                    <a:lumOff val="35000"/>
                  </a:schemeClr>
                </a:solidFill>
                <a:round/>
              </a:ln>
              <a:effectLst/>
            </c:spPr>
          </c:errBars>
          <c:cat>
            <c:strRef>
              <c:f>'Ethnic group'!$Q$33:$Q$36</c:f>
              <c:strCache>
                <c:ptCount val="4"/>
                <c:pt idx="0">
                  <c:v>Māori</c:v>
                </c:pt>
                <c:pt idx="1">
                  <c:v>Pacific</c:v>
                </c:pt>
                <c:pt idx="2">
                  <c:v>Asian</c:v>
                </c:pt>
                <c:pt idx="3">
                  <c:v>Other</c:v>
                </c:pt>
              </c:strCache>
            </c:strRef>
          </c:cat>
          <c:val>
            <c:numRef>
              <c:f>'Ethnic group'!$V$33:$V$36</c:f>
              <c:numCache>
                <c:formatCode>0.0</c:formatCode>
                <c:ptCount val="4"/>
                <c:pt idx="0">
                  <c:v>10.1818538229683</c:v>
                </c:pt>
                <c:pt idx="1">
                  <c:v>3.5995728387145101</c:v>
                </c:pt>
                <c:pt idx="2">
                  <c:v>2.6328691951566099</c:v>
                </c:pt>
                <c:pt idx="3">
                  <c:v>5.6087024914769001</c:v>
                </c:pt>
              </c:numCache>
            </c:numRef>
          </c:val>
          <c:extLst>
            <c:ext xmlns:c16="http://schemas.microsoft.com/office/drawing/2014/chart" uri="{C3380CC4-5D6E-409C-BE32-E72D297353CC}">
              <c16:uniqueId val="{00000001-C72C-463D-82FA-2AB1A621A8ED}"/>
            </c:ext>
          </c:extLst>
        </c:ser>
        <c:dLbls>
          <c:showLegendKey val="0"/>
          <c:showVal val="0"/>
          <c:showCatName val="0"/>
          <c:showSerName val="0"/>
          <c:showPercent val="0"/>
          <c:showBubbleSize val="0"/>
        </c:dLbls>
        <c:gapWidth val="100"/>
        <c:overlap val="-15"/>
        <c:axId val="102443448"/>
        <c:axId val="102445408"/>
      </c:barChart>
      <c:catAx>
        <c:axId val="1024434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445408"/>
        <c:crosses val="autoZero"/>
        <c:auto val="1"/>
        <c:lblAlgn val="ctr"/>
        <c:lblOffset val="100"/>
        <c:noMultiLvlLbl val="0"/>
      </c:catAx>
      <c:valAx>
        <c:axId val="102445408"/>
        <c:scaling>
          <c:orientation val="minMax"/>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443448"/>
        <c:crosses val="autoZero"/>
        <c:crossBetween val="between"/>
        <c:majorUnit val="10"/>
      </c:valAx>
      <c:spPr>
        <a:noFill/>
        <a:ln>
          <a:noFill/>
        </a:ln>
        <a:effectLst/>
      </c:spPr>
    </c:plotArea>
    <c:legend>
      <c:legendPos val="r"/>
      <c:layout>
        <c:manualLayout>
          <c:xMode val="edge"/>
          <c:yMode val="edge"/>
          <c:x val="0.7964381390593045"/>
          <c:y val="3.9434444444444453E-2"/>
          <c:w val="0.17759049079754602"/>
          <c:h val="0.13134683020356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latin typeface="Arial" panose="020B0604020202020204" pitchFamily="34" charset="0"/>
                <a:cs typeface="Arial" panose="020B0604020202020204" pitchFamily="34" charset="0"/>
              </a:rPr>
              <a:t>Māori</a:t>
            </a:r>
          </a:p>
        </c:rich>
      </c:tx>
      <c:layout>
        <c:manualLayout>
          <c:xMode val="edge"/>
          <c:yMode val="edge"/>
          <c:x val="0.41811557956515932"/>
          <c:y val="1.793785310734463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'Ethnic group'!$Q$94</c:f>
              <c:strCache>
                <c:ptCount val="1"/>
                <c:pt idx="0">
                  <c:v>Māori</c:v>
                </c:pt>
              </c:strCache>
            </c:strRef>
          </c:tx>
          <c:spPr>
            <a:solidFill>
              <a:schemeClr val="bg1">
                <a:lumMod val="50000"/>
              </a:schemeClr>
            </a:solidFill>
            <a:ln>
              <a:noFill/>
            </a:ln>
            <a:effectLst/>
          </c:spPr>
          <c:invertIfNegative val="0"/>
          <c:errBars>
            <c:errBarType val="both"/>
            <c:errValType val="cust"/>
            <c:noEndCap val="0"/>
            <c:plus>
              <c:numRef>
                <c:f>'Ethnic group'!$AX$74:$AX$78</c:f>
                <c:numCache>
                  <c:formatCode>General</c:formatCode>
                  <c:ptCount val="5"/>
                  <c:pt idx="0">
                    <c:v>0</c:v>
                  </c:pt>
                  <c:pt idx="1">
                    <c:v>3.5</c:v>
                  </c:pt>
                  <c:pt idx="2">
                    <c:v>3.3</c:v>
                  </c:pt>
                  <c:pt idx="3">
                    <c:v>3</c:v>
                  </c:pt>
                  <c:pt idx="4">
                    <c:v>2.5</c:v>
                  </c:pt>
                </c:numCache>
              </c:numRef>
            </c:plus>
            <c:minus>
              <c:numRef>
                <c:f>'Ethnic group'!$AX$74:$AX$78</c:f>
                <c:numCache>
                  <c:formatCode>General</c:formatCode>
                  <c:ptCount val="5"/>
                  <c:pt idx="0">
                    <c:v>0</c:v>
                  </c:pt>
                  <c:pt idx="1">
                    <c:v>3.5</c:v>
                  </c:pt>
                  <c:pt idx="2">
                    <c:v>3.3</c:v>
                  </c:pt>
                  <c:pt idx="3">
                    <c:v>3</c:v>
                  </c:pt>
                  <c:pt idx="4">
                    <c:v>2.5</c:v>
                  </c:pt>
                </c:numCache>
              </c:numRef>
            </c:minus>
            <c:spPr>
              <a:noFill/>
              <a:ln w="9525" cap="flat" cmpd="sng" algn="ctr">
                <a:solidFill>
                  <a:schemeClr val="tx1">
                    <a:lumMod val="65000"/>
                    <a:lumOff val="35000"/>
                  </a:schemeClr>
                </a:solidFill>
                <a:round/>
              </a:ln>
              <a:effectLst/>
            </c:spPr>
          </c:errBars>
          <c:cat>
            <c:numRef>
              <c:f>'Ethnic group'!$R$94:$R$98</c:f>
              <c:numCache>
                <c:formatCode>General</c:formatCode>
                <c:ptCount val="5"/>
                <c:pt idx="0">
                  <c:v>1</c:v>
                </c:pt>
                <c:pt idx="1">
                  <c:v>2</c:v>
                </c:pt>
                <c:pt idx="2">
                  <c:v>3</c:v>
                </c:pt>
                <c:pt idx="3">
                  <c:v>4</c:v>
                </c:pt>
                <c:pt idx="4">
                  <c:v>5</c:v>
                </c:pt>
              </c:numCache>
            </c:numRef>
          </c:cat>
          <c:val>
            <c:numRef>
              <c:f>'Ethnic group'!$T$94:$T$98</c:f>
              <c:numCache>
                <c:formatCode>0.0</c:formatCode>
                <c:ptCount val="5"/>
                <c:pt idx="0">
                  <c:v>0</c:v>
                </c:pt>
                <c:pt idx="1">
                  <c:v>11.8142604326396</c:v>
                </c:pt>
                <c:pt idx="2">
                  <c:v>15.4624845571972</c:v>
                </c:pt>
                <c:pt idx="3">
                  <c:v>18.724771329844401</c:v>
                </c:pt>
                <c:pt idx="4">
                  <c:v>20.3961570551959</c:v>
                </c:pt>
              </c:numCache>
            </c:numRef>
          </c:val>
          <c:extLst>
            <c:ext xmlns:c16="http://schemas.microsoft.com/office/drawing/2014/chart" uri="{C3380CC4-5D6E-409C-BE32-E72D297353CC}">
              <c16:uniqueId val="{00000000-46DB-4613-8390-A4B69BB96D67}"/>
            </c:ext>
          </c:extLst>
        </c:ser>
        <c:dLbls>
          <c:showLegendKey val="0"/>
          <c:showVal val="0"/>
          <c:showCatName val="0"/>
          <c:showSerName val="0"/>
          <c:showPercent val="0"/>
          <c:showBubbleSize val="0"/>
        </c:dLbls>
        <c:gapWidth val="100"/>
        <c:overlap val="-27"/>
        <c:axId val="102438352"/>
        <c:axId val="102446976"/>
      </c:barChart>
      <c:catAx>
        <c:axId val="102438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446976"/>
        <c:crosses val="autoZero"/>
        <c:auto val="1"/>
        <c:lblAlgn val="ctr"/>
        <c:lblOffset val="100"/>
        <c:noMultiLvlLbl val="0"/>
      </c:catAx>
      <c:valAx>
        <c:axId val="102446976"/>
        <c:scaling>
          <c:orientation val="minMax"/>
          <c:max val="25"/>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438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latin typeface="Arial" panose="020B0604020202020204" pitchFamily="34" charset="0"/>
                <a:cs typeface="Arial" panose="020B0604020202020204" pitchFamily="34" charset="0"/>
              </a:rPr>
              <a:t>Pacific</a:t>
            </a:r>
          </a:p>
        </c:rich>
      </c:tx>
      <c:layout>
        <c:manualLayout>
          <c:xMode val="edge"/>
          <c:yMode val="edge"/>
          <c:x val="0.41479124983326665"/>
          <c:y val="2.39171374764595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0993730825664"/>
          <c:y val="0.18584718302498171"/>
          <c:w val="0.88578498065893019"/>
          <c:h val="0.67728511201700292"/>
        </c:manualLayout>
      </c:layout>
      <c:barChart>
        <c:barDir val="col"/>
        <c:grouping val="clustered"/>
        <c:varyColors val="0"/>
        <c:ser>
          <c:idx val="0"/>
          <c:order val="0"/>
          <c:tx>
            <c:strRef>
              <c:f>'Ethnic group'!$Q$100</c:f>
              <c:strCache>
                <c:ptCount val="1"/>
                <c:pt idx="0">
                  <c:v>Pacific</c:v>
                </c:pt>
              </c:strCache>
            </c:strRef>
          </c:tx>
          <c:spPr>
            <a:solidFill>
              <a:schemeClr val="bg1">
                <a:lumMod val="50000"/>
              </a:schemeClr>
            </a:solidFill>
            <a:ln>
              <a:noFill/>
            </a:ln>
            <a:effectLst/>
          </c:spPr>
          <c:invertIfNegative val="0"/>
          <c:errBars>
            <c:errBarType val="both"/>
            <c:errValType val="cust"/>
            <c:noEndCap val="0"/>
            <c:plus>
              <c:numRef>
                <c:f>'Ethnic group'!$AX$80:$AX$84</c:f>
                <c:numCache>
                  <c:formatCode>General</c:formatCode>
                  <c:ptCount val="5"/>
                  <c:pt idx="0">
                    <c:v>0</c:v>
                  </c:pt>
                  <c:pt idx="1">
                    <c:v>0</c:v>
                  </c:pt>
                  <c:pt idx="2">
                    <c:v>0</c:v>
                  </c:pt>
                  <c:pt idx="3">
                    <c:v>3.3</c:v>
                  </c:pt>
                  <c:pt idx="4">
                    <c:v>1.9</c:v>
                  </c:pt>
                </c:numCache>
              </c:numRef>
            </c:plus>
            <c:minus>
              <c:numRef>
                <c:f>'Ethnic group'!$AX$80:$AX$84</c:f>
                <c:numCache>
                  <c:formatCode>General</c:formatCode>
                  <c:ptCount val="5"/>
                  <c:pt idx="0">
                    <c:v>0</c:v>
                  </c:pt>
                  <c:pt idx="1">
                    <c:v>0</c:v>
                  </c:pt>
                  <c:pt idx="2">
                    <c:v>0</c:v>
                  </c:pt>
                  <c:pt idx="3">
                    <c:v>3.3</c:v>
                  </c:pt>
                  <c:pt idx="4">
                    <c:v>1.9</c:v>
                  </c:pt>
                </c:numCache>
              </c:numRef>
            </c:minus>
            <c:spPr>
              <a:noFill/>
              <a:ln w="9525" cap="flat" cmpd="sng" algn="ctr">
                <a:solidFill>
                  <a:schemeClr val="tx1">
                    <a:lumMod val="65000"/>
                    <a:lumOff val="35000"/>
                  </a:schemeClr>
                </a:solidFill>
                <a:round/>
              </a:ln>
              <a:effectLst/>
            </c:spPr>
          </c:errBars>
          <c:cat>
            <c:numRef>
              <c:f>'Ethnic group'!$R$94:$R$98</c:f>
              <c:numCache>
                <c:formatCode>General</c:formatCode>
                <c:ptCount val="5"/>
                <c:pt idx="0">
                  <c:v>1</c:v>
                </c:pt>
                <c:pt idx="1">
                  <c:v>2</c:v>
                </c:pt>
                <c:pt idx="2">
                  <c:v>3</c:v>
                </c:pt>
                <c:pt idx="3">
                  <c:v>4</c:v>
                </c:pt>
                <c:pt idx="4">
                  <c:v>5</c:v>
                </c:pt>
              </c:numCache>
            </c:numRef>
          </c:cat>
          <c:val>
            <c:numRef>
              <c:f>'Ethnic group'!$T$100:$T$104</c:f>
              <c:numCache>
                <c:formatCode>0.0</c:formatCode>
                <c:ptCount val="5"/>
                <c:pt idx="0">
                  <c:v>0</c:v>
                </c:pt>
                <c:pt idx="1">
                  <c:v>0</c:v>
                </c:pt>
                <c:pt idx="2">
                  <c:v>0</c:v>
                </c:pt>
                <c:pt idx="3">
                  <c:v>8.5620618161637108</c:v>
                </c:pt>
                <c:pt idx="4">
                  <c:v>7.7587347258217303</c:v>
                </c:pt>
              </c:numCache>
            </c:numRef>
          </c:val>
          <c:extLst>
            <c:ext xmlns:c16="http://schemas.microsoft.com/office/drawing/2014/chart" uri="{C3380CC4-5D6E-409C-BE32-E72D297353CC}">
              <c16:uniqueId val="{00000000-8E9A-417A-A39B-758013653D76}"/>
            </c:ext>
          </c:extLst>
        </c:ser>
        <c:dLbls>
          <c:showLegendKey val="0"/>
          <c:showVal val="0"/>
          <c:showCatName val="0"/>
          <c:showSerName val="0"/>
          <c:showPercent val="0"/>
          <c:showBubbleSize val="0"/>
        </c:dLbls>
        <c:gapWidth val="100"/>
        <c:overlap val="-27"/>
        <c:axId val="102438744"/>
        <c:axId val="102439136"/>
      </c:barChart>
      <c:catAx>
        <c:axId val="10243874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439136"/>
        <c:crosses val="autoZero"/>
        <c:auto val="1"/>
        <c:lblAlgn val="ctr"/>
        <c:lblOffset val="100"/>
        <c:noMultiLvlLbl val="0"/>
      </c:catAx>
      <c:valAx>
        <c:axId val="102439136"/>
        <c:scaling>
          <c:orientation val="minMax"/>
          <c:max val="25"/>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4387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latin typeface="Arial" panose="020B0604020202020204" pitchFamily="34" charset="0"/>
                <a:cs typeface="Arial" panose="020B0604020202020204" pitchFamily="34" charset="0"/>
              </a:rPr>
              <a:t>Asian</a:t>
            </a:r>
          </a:p>
        </c:rich>
      </c:tx>
      <c:layout>
        <c:manualLayout>
          <c:xMode val="edge"/>
          <c:yMode val="edge"/>
          <c:x val="0.42963485394157669"/>
          <c:y val="8.370998116760829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'Ethnic group'!$Q$106</c:f>
              <c:strCache>
                <c:ptCount val="1"/>
                <c:pt idx="0">
                  <c:v>Asian</c:v>
                </c:pt>
              </c:strCache>
            </c:strRef>
          </c:tx>
          <c:spPr>
            <a:solidFill>
              <a:schemeClr val="bg1">
                <a:lumMod val="50000"/>
              </a:schemeClr>
            </a:solidFill>
            <a:ln>
              <a:noFill/>
            </a:ln>
            <a:effectLst/>
          </c:spPr>
          <c:invertIfNegative val="0"/>
          <c:errBars>
            <c:errBarType val="both"/>
            <c:errValType val="cust"/>
            <c:noEndCap val="0"/>
            <c:plus>
              <c:numRef>
                <c:f>'Ethnic group'!$AX$86:$AX$90</c:f>
                <c:numCache>
                  <c:formatCode>General</c:formatCode>
                  <c:ptCount val="5"/>
                  <c:pt idx="0">
                    <c:v>0</c:v>
                  </c:pt>
                  <c:pt idx="1">
                    <c:v>1.5</c:v>
                  </c:pt>
                  <c:pt idx="2">
                    <c:v>1.4</c:v>
                  </c:pt>
                  <c:pt idx="3">
                    <c:v>1.7</c:v>
                  </c:pt>
                  <c:pt idx="4">
                    <c:v>1.9</c:v>
                  </c:pt>
                </c:numCache>
              </c:numRef>
            </c:plus>
            <c:minus>
              <c:numRef>
                <c:f>'Ethnic group'!$AX$86:$AX$90</c:f>
                <c:numCache>
                  <c:formatCode>General</c:formatCode>
                  <c:ptCount val="5"/>
                  <c:pt idx="0">
                    <c:v>0</c:v>
                  </c:pt>
                  <c:pt idx="1">
                    <c:v>1.5</c:v>
                  </c:pt>
                  <c:pt idx="2">
                    <c:v>1.4</c:v>
                  </c:pt>
                  <c:pt idx="3">
                    <c:v>1.7</c:v>
                  </c:pt>
                  <c:pt idx="4">
                    <c:v>1.9</c:v>
                  </c:pt>
                </c:numCache>
              </c:numRef>
            </c:minus>
            <c:spPr>
              <a:noFill/>
              <a:ln w="9525" cap="flat" cmpd="sng" algn="ctr">
                <a:solidFill>
                  <a:schemeClr val="tx1">
                    <a:lumMod val="65000"/>
                    <a:lumOff val="35000"/>
                  </a:schemeClr>
                </a:solidFill>
                <a:round/>
              </a:ln>
              <a:effectLst/>
            </c:spPr>
          </c:errBars>
          <c:cat>
            <c:numRef>
              <c:f>'Ethnic group'!$R$94:$R$98</c:f>
              <c:numCache>
                <c:formatCode>General</c:formatCode>
                <c:ptCount val="5"/>
                <c:pt idx="0">
                  <c:v>1</c:v>
                </c:pt>
                <c:pt idx="1">
                  <c:v>2</c:v>
                </c:pt>
                <c:pt idx="2">
                  <c:v>3</c:v>
                </c:pt>
                <c:pt idx="3">
                  <c:v>4</c:v>
                </c:pt>
                <c:pt idx="4">
                  <c:v>5</c:v>
                </c:pt>
              </c:numCache>
            </c:numRef>
          </c:cat>
          <c:val>
            <c:numRef>
              <c:f>'Ethnic group'!$T$106:$T$110</c:f>
              <c:numCache>
                <c:formatCode>0.0</c:formatCode>
                <c:ptCount val="5"/>
                <c:pt idx="0">
                  <c:v>0</c:v>
                </c:pt>
                <c:pt idx="1">
                  <c:v>3.5260026920376202</c:v>
                </c:pt>
                <c:pt idx="2">
                  <c:v>3.2461930773524501</c:v>
                </c:pt>
                <c:pt idx="3">
                  <c:v>4.9909035898710803</c:v>
                </c:pt>
                <c:pt idx="4">
                  <c:v>5.1823639238389401</c:v>
                </c:pt>
              </c:numCache>
            </c:numRef>
          </c:val>
          <c:extLst>
            <c:ext xmlns:c16="http://schemas.microsoft.com/office/drawing/2014/chart" uri="{C3380CC4-5D6E-409C-BE32-E72D297353CC}">
              <c16:uniqueId val="{00000000-A25B-4908-B525-FB23B1B8E691}"/>
            </c:ext>
          </c:extLst>
        </c:ser>
        <c:dLbls>
          <c:showLegendKey val="0"/>
          <c:showVal val="0"/>
          <c:showCatName val="0"/>
          <c:showSerName val="0"/>
          <c:showPercent val="0"/>
          <c:showBubbleSize val="0"/>
        </c:dLbls>
        <c:gapWidth val="100"/>
        <c:overlap val="-27"/>
        <c:axId val="102437568"/>
        <c:axId val="102443840"/>
      </c:barChart>
      <c:catAx>
        <c:axId val="10243756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443840"/>
        <c:crosses val="autoZero"/>
        <c:auto val="1"/>
        <c:lblAlgn val="ctr"/>
        <c:lblOffset val="100"/>
        <c:noMultiLvlLbl val="0"/>
      </c:catAx>
      <c:valAx>
        <c:axId val="102443840"/>
        <c:scaling>
          <c:orientation val="minMax"/>
          <c:max val="25"/>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4375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latin typeface="Arial" panose="020B0604020202020204" pitchFamily="34" charset="0"/>
                <a:cs typeface="Arial" panose="020B0604020202020204" pitchFamily="34" charset="0"/>
              </a:rPr>
              <a:t>Other</a:t>
            </a:r>
          </a:p>
        </c:rich>
      </c:tx>
      <c:layout>
        <c:manualLayout>
          <c:xMode val="edge"/>
          <c:yMode val="edge"/>
          <c:x val="0.44352574363078567"/>
          <c:y val="7.175141242937853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0993730825664"/>
          <c:y val="0.18834745762711863"/>
          <c:w val="0.88154995331465902"/>
          <c:h val="0.67294350282485871"/>
        </c:manualLayout>
      </c:layout>
      <c:barChart>
        <c:barDir val="col"/>
        <c:grouping val="clustered"/>
        <c:varyColors val="0"/>
        <c:ser>
          <c:idx val="0"/>
          <c:order val="0"/>
          <c:tx>
            <c:strRef>
              <c:f>'Ethnic group'!$Q$112</c:f>
              <c:strCache>
                <c:ptCount val="1"/>
                <c:pt idx="0">
                  <c:v>Other</c:v>
                </c:pt>
              </c:strCache>
            </c:strRef>
          </c:tx>
          <c:spPr>
            <a:solidFill>
              <a:schemeClr val="bg1">
                <a:lumMod val="50000"/>
              </a:schemeClr>
            </a:solidFill>
            <a:ln>
              <a:noFill/>
            </a:ln>
            <a:effectLst/>
          </c:spPr>
          <c:invertIfNegative val="0"/>
          <c:errBars>
            <c:errBarType val="both"/>
            <c:errValType val="cust"/>
            <c:noEndCap val="0"/>
            <c:plus>
              <c:numRef>
                <c:f>'Ethnic group'!$AX$92:$AX$96</c:f>
                <c:numCache>
                  <c:formatCode>General</c:formatCode>
                  <c:ptCount val="5"/>
                  <c:pt idx="0">
                    <c:v>0.8</c:v>
                  </c:pt>
                  <c:pt idx="1">
                    <c:v>0.9</c:v>
                  </c:pt>
                  <c:pt idx="2">
                    <c:v>1.1000000000000001</c:v>
                  </c:pt>
                  <c:pt idx="3">
                    <c:v>1.4</c:v>
                  </c:pt>
                  <c:pt idx="4">
                    <c:v>1.9</c:v>
                  </c:pt>
                </c:numCache>
              </c:numRef>
            </c:plus>
            <c:minus>
              <c:numRef>
                <c:f>'Ethnic group'!$AX$92:$AX$96</c:f>
                <c:numCache>
                  <c:formatCode>General</c:formatCode>
                  <c:ptCount val="5"/>
                  <c:pt idx="0">
                    <c:v>0.8</c:v>
                  </c:pt>
                  <c:pt idx="1">
                    <c:v>0.9</c:v>
                  </c:pt>
                  <c:pt idx="2">
                    <c:v>1.1000000000000001</c:v>
                  </c:pt>
                  <c:pt idx="3">
                    <c:v>1.4</c:v>
                  </c:pt>
                  <c:pt idx="4">
                    <c:v>1.9</c:v>
                  </c:pt>
                </c:numCache>
              </c:numRef>
            </c:minus>
            <c:spPr>
              <a:noFill/>
              <a:ln w="9525" cap="flat" cmpd="sng" algn="ctr">
                <a:solidFill>
                  <a:schemeClr val="tx1">
                    <a:lumMod val="65000"/>
                    <a:lumOff val="35000"/>
                  </a:schemeClr>
                </a:solidFill>
                <a:round/>
              </a:ln>
              <a:effectLst/>
            </c:spPr>
          </c:errBars>
          <c:cat>
            <c:numRef>
              <c:f>'Ethnic group'!$R$94:$R$98</c:f>
              <c:numCache>
                <c:formatCode>General</c:formatCode>
                <c:ptCount val="5"/>
                <c:pt idx="0">
                  <c:v>1</c:v>
                </c:pt>
                <c:pt idx="1">
                  <c:v>2</c:v>
                </c:pt>
                <c:pt idx="2">
                  <c:v>3</c:v>
                </c:pt>
                <c:pt idx="3">
                  <c:v>4</c:v>
                </c:pt>
                <c:pt idx="4">
                  <c:v>5</c:v>
                </c:pt>
              </c:numCache>
            </c:numRef>
          </c:cat>
          <c:val>
            <c:numRef>
              <c:f>'Ethnic group'!$T$112:$T$116</c:f>
              <c:numCache>
                <c:formatCode>0.0</c:formatCode>
                <c:ptCount val="5"/>
                <c:pt idx="0">
                  <c:v>7.3652310459834904</c:v>
                </c:pt>
                <c:pt idx="1">
                  <c:v>8.6431395680052905</c:v>
                </c:pt>
                <c:pt idx="2">
                  <c:v>11.0419626461655</c:v>
                </c:pt>
                <c:pt idx="3">
                  <c:v>14.393151044449599</c:v>
                </c:pt>
                <c:pt idx="4">
                  <c:v>18.144771355977198</c:v>
                </c:pt>
              </c:numCache>
            </c:numRef>
          </c:val>
          <c:extLst>
            <c:ext xmlns:c16="http://schemas.microsoft.com/office/drawing/2014/chart" uri="{C3380CC4-5D6E-409C-BE32-E72D297353CC}">
              <c16:uniqueId val="{00000000-4FB5-4C86-BB89-8EC2F926DB43}"/>
            </c:ext>
          </c:extLst>
        </c:ser>
        <c:dLbls>
          <c:showLegendKey val="0"/>
          <c:showVal val="0"/>
          <c:showCatName val="0"/>
          <c:showSerName val="0"/>
          <c:showPercent val="0"/>
          <c:showBubbleSize val="0"/>
        </c:dLbls>
        <c:gapWidth val="100"/>
        <c:overlap val="-27"/>
        <c:axId val="102445800"/>
        <c:axId val="102439528"/>
      </c:barChart>
      <c:catAx>
        <c:axId val="1024458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439528"/>
        <c:crosses val="autoZero"/>
        <c:auto val="1"/>
        <c:lblAlgn val="ctr"/>
        <c:lblOffset val="100"/>
        <c:noMultiLvlLbl val="0"/>
      </c:catAx>
      <c:valAx>
        <c:axId val="102439528"/>
        <c:scaling>
          <c:orientation val="minMax"/>
          <c:max val="25"/>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4458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sz="1000" b="1" i="0" baseline="0">
                <a:effectLst/>
                <a:latin typeface="Arial" panose="020B0604020202020204" pitchFamily="34" charset="0"/>
                <a:cs typeface="Arial" panose="020B0604020202020204" pitchFamily="34" charset="0"/>
              </a:rPr>
              <a:t>Distribution of methods used by Asian</a:t>
            </a:r>
            <a:endParaRPr lang="en-NZ" sz="8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4660373924754012"/>
          <c:y val="0.27386201724784404"/>
          <c:w val="0.62698696561234935"/>
          <c:h val="0.70555399325084367"/>
        </c:manualLayout>
      </c:layout>
      <c:barChart>
        <c:barDir val="bar"/>
        <c:grouping val="stacked"/>
        <c:varyColors val="0"/>
        <c:ser>
          <c:idx val="0"/>
          <c:order val="0"/>
          <c:tx>
            <c:strRef>
              <c:f>'Ethnic group'!$Q$152</c:f>
              <c:strCache>
                <c:ptCount val="1"/>
                <c:pt idx="0">
                  <c:v>Asian</c:v>
                </c:pt>
              </c:strCache>
            </c:strRef>
          </c:tx>
          <c:spPr>
            <a:solidFill>
              <a:schemeClr val="accent1"/>
            </a:solidFill>
            <a:ln>
              <a:noFill/>
            </a:ln>
            <a:effectLst/>
          </c:spPr>
          <c:invertIfNegative val="0"/>
          <c:cat>
            <c:strRef>
              <c:f>'Ethnic group'!$U$152:$U$159</c:f>
              <c:strCache>
                <c:ptCount val="8"/>
                <c:pt idx="0">
                  <c:v>Hanging, strangulation and suffocation</c:v>
                </c:pt>
                <c:pt idx="1">
                  <c:v>Poisoning by gases and vapours</c:v>
                </c:pt>
                <c:pt idx="2">
                  <c:v>Poisoning by solids and liquids</c:v>
                </c:pt>
                <c:pt idx="3">
                  <c:v>Firearms and explosives</c:v>
                </c:pt>
                <c:pt idx="4">
                  <c:v>Jumping from a high place</c:v>
                </c:pt>
                <c:pt idx="5">
                  <c:v>Submersion (drowning)</c:v>
                </c:pt>
                <c:pt idx="6">
                  <c:v>Sharp object</c:v>
                </c:pt>
                <c:pt idx="7">
                  <c:v>Other</c:v>
                </c:pt>
              </c:strCache>
            </c:strRef>
          </c:cat>
          <c:val>
            <c:numRef>
              <c:f>'Ethnic group'!$V$152:$V$159</c:f>
              <c:numCache>
                <c:formatCode>0.0</c:formatCode>
                <c:ptCount val="8"/>
                <c:pt idx="0">
                  <c:v>68</c:v>
                </c:pt>
                <c:pt idx="1">
                  <c:v>4.7</c:v>
                </c:pt>
                <c:pt idx="2">
                  <c:v>7</c:v>
                </c:pt>
                <c:pt idx="3">
                  <c:v>0.8</c:v>
                </c:pt>
                <c:pt idx="4">
                  <c:v>10.199999999999999</c:v>
                </c:pt>
                <c:pt idx="5">
                  <c:v>2.2999999999999998</c:v>
                </c:pt>
                <c:pt idx="6">
                  <c:v>1.6</c:v>
                </c:pt>
                <c:pt idx="7">
                  <c:v>5.5</c:v>
                </c:pt>
              </c:numCache>
            </c:numRef>
          </c:val>
          <c:extLst>
            <c:ext xmlns:c16="http://schemas.microsoft.com/office/drawing/2014/chart" uri="{C3380CC4-5D6E-409C-BE32-E72D297353CC}">
              <c16:uniqueId val="{00000000-17A4-47E6-84C2-89E871AEB637}"/>
            </c:ext>
          </c:extLst>
        </c:ser>
        <c:dLbls>
          <c:showLegendKey val="0"/>
          <c:showVal val="0"/>
          <c:showCatName val="0"/>
          <c:showSerName val="0"/>
          <c:showPercent val="0"/>
          <c:showBubbleSize val="0"/>
        </c:dLbls>
        <c:gapWidth val="150"/>
        <c:overlap val="100"/>
        <c:axId val="102441880"/>
        <c:axId val="102442272"/>
      </c:barChart>
      <c:catAx>
        <c:axId val="1024418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442272"/>
        <c:crosses val="autoZero"/>
        <c:auto val="1"/>
        <c:lblAlgn val="ctr"/>
        <c:lblOffset val="100"/>
        <c:noMultiLvlLbl val="0"/>
      </c:catAx>
      <c:valAx>
        <c:axId val="102442272"/>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441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sz="1000" b="1" i="0" baseline="0">
                <a:effectLst/>
                <a:latin typeface="Arial" panose="020B0604020202020204" pitchFamily="34" charset="0"/>
                <a:cs typeface="Arial" panose="020B0604020202020204" pitchFamily="34" charset="0"/>
              </a:rPr>
              <a:t>Distribution of methods used by Other</a:t>
            </a:r>
            <a:endParaRPr lang="en-NZ" sz="8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4460953954829721"/>
          <c:y val="0.27386201724784404"/>
          <c:w val="0.62897070736528293"/>
          <c:h val="0.68769685039370065"/>
        </c:manualLayout>
      </c:layout>
      <c:barChart>
        <c:barDir val="bar"/>
        <c:grouping val="stacked"/>
        <c:varyColors val="0"/>
        <c:ser>
          <c:idx val="0"/>
          <c:order val="0"/>
          <c:tx>
            <c:strRef>
              <c:f>'Ethnic group'!$Q$161</c:f>
              <c:strCache>
                <c:ptCount val="1"/>
                <c:pt idx="0">
                  <c:v>Other</c:v>
                </c:pt>
              </c:strCache>
            </c:strRef>
          </c:tx>
          <c:spPr>
            <a:solidFill>
              <a:schemeClr val="accent1"/>
            </a:solidFill>
            <a:ln>
              <a:noFill/>
            </a:ln>
            <a:effectLst/>
          </c:spPr>
          <c:invertIfNegative val="0"/>
          <c:cat>
            <c:strRef>
              <c:f>'Ethnic group'!$U$161:$U$168</c:f>
              <c:strCache>
                <c:ptCount val="8"/>
                <c:pt idx="0">
                  <c:v>Hanging, strangulation and suffocation</c:v>
                </c:pt>
                <c:pt idx="1">
                  <c:v>Poisoning by gases and vapours</c:v>
                </c:pt>
                <c:pt idx="2">
                  <c:v>Poisoning by solids and liquids</c:v>
                </c:pt>
                <c:pt idx="3">
                  <c:v>Firearms and explosives</c:v>
                </c:pt>
                <c:pt idx="4">
                  <c:v>Jumping from a high place</c:v>
                </c:pt>
                <c:pt idx="5">
                  <c:v>Submersion (drowning)</c:v>
                </c:pt>
                <c:pt idx="6">
                  <c:v>Sharp object</c:v>
                </c:pt>
                <c:pt idx="7">
                  <c:v>Other</c:v>
                </c:pt>
              </c:strCache>
            </c:strRef>
          </c:cat>
          <c:val>
            <c:numRef>
              <c:f>'Ethnic group'!$V$161:$V$168</c:f>
              <c:numCache>
                <c:formatCode>0.0</c:formatCode>
                <c:ptCount val="8"/>
                <c:pt idx="0">
                  <c:v>52.3</c:v>
                </c:pt>
                <c:pt idx="1">
                  <c:v>10.6</c:v>
                </c:pt>
                <c:pt idx="2">
                  <c:v>14.1</c:v>
                </c:pt>
                <c:pt idx="3">
                  <c:v>10.8</c:v>
                </c:pt>
                <c:pt idx="4">
                  <c:v>3.3</c:v>
                </c:pt>
                <c:pt idx="5">
                  <c:v>2.6</c:v>
                </c:pt>
                <c:pt idx="6">
                  <c:v>2.2999999999999998</c:v>
                </c:pt>
                <c:pt idx="7">
                  <c:v>4.0999999999999996</c:v>
                </c:pt>
              </c:numCache>
            </c:numRef>
          </c:val>
          <c:extLst>
            <c:ext xmlns:c16="http://schemas.microsoft.com/office/drawing/2014/chart" uri="{C3380CC4-5D6E-409C-BE32-E72D297353CC}">
              <c16:uniqueId val="{00000000-4135-4D0F-B049-BA988CDDB276}"/>
            </c:ext>
          </c:extLst>
        </c:ser>
        <c:dLbls>
          <c:showLegendKey val="0"/>
          <c:showVal val="0"/>
          <c:showCatName val="0"/>
          <c:showSerName val="0"/>
          <c:showPercent val="0"/>
          <c:showBubbleSize val="0"/>
        </c:dLbls>
        <c:gapWidth val="150"/>
        <c:overlap val="100"/>
        <c:axId val="102442664"/>
        <c:axId val="102444232"/>
      </c:barChart>
      <c:catAx>
        <c:axId val="1024426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444232"/>
        <c:crosses val="autoZero"/>
        <c:auto val="1"/>
        <c:lblAlgn val="ctr"/>
        <c:lblOffset val="100"/>
        <c:noMultiLvlLbl val="0"/>
      </c:catAx>
      <c:valAx>
        <c:axId val="102444232"/>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4426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90933878663945E-2"/>
          <c:y val="0.11278340046676819"/>
          <c:w val="0.91125449286991989"/>
          <c:h val="0.57865007890702724"/>
        </c:manualLayout>
      </c:layout>
      <c:lineChart>
        <c:grouping val="standard"/>
        <c:varyColors val="0"/>
        <c:ser>
          <c:idx val="0"/>
          <c:order val="0"/>
          <c:tx>
            <c:strRef>
              <c:f>International!$Q$7</c:f>
              <c:strCache>
                <c:ptCount val="1"/>
                <c:pt idx="0">
                  <c:v>Male</c:v>
                </c:pt>
              </c:strCache>
            </c:strRef>
          </c:tx>
          <c:spPr>
            <a:ln w="28575" cap="rnd">
              <a:noFill/>
              <a:round/>
            </a:ln>
            <a:effectLst/>
          </c:spPr>
          <c:marker>
            <c:symbol val="dash"/>
            <c:size val="9"/>
            <c:spPr>
              <a:solidFill>
                <a:schemeClr val="tx2"/>
              </a:solidFill>
              <a:ln w="9525">
                <a:solidFill>
                  <a:schemeClr val="tx1"/>
                </a:solidFill>
              </a:ln>
              <a:effectLst/>
            </c:spPr>
          </c:marker>
          <c:dLbls>
            <c:dLbl>
              <c:idx val="16"/>
              <c:layout>
                <c:manualLayout>
                  <c:x val="-9.4004065040657891E-4"/>
                  <c:y val="-6.79851394004939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r>
                      <a:rPr lang="en-US"/>
                      <a:t>17th</a:t>
                    </a:r>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borderCallout2">
                      <a:avLst/>
                    </a:prstGeom>
                    <a:noFill/>
                    <a:ln>
                      <a:noFill/>
                    </a:ln>
                  </c15:spPr>
                  <c15:layout>
                    <c:manualLayout>
                      <c:w val="5.5718011811023621E-2"/>
                      <c:h val="4.1172786569995581E-2"/>
                    </c:manualLayout>
                  </c15:layout>
                </c:ext>
                <c:ext xmlns:c16="http://schemas.microsoft.com/office/drawing/2014/chart" uri="{C3380CC4-5D6E-409C-BE32-E72D297353CC}">
                  <c16:uniqueId val="{00000000-236B-4EE3-88D2-3E67D2F6823F}"/>
                </c:ext>
              </c:extLst>
            </c:dLbl>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borderCallout2">
                    <a:avLst/>
                  </a:prstGeom>
                  <a:noFill/>
                  <a:ln>
                    <a:noFill/>
                  </a:ln>
                </c15:spPr>
                <c15:showLeaderLines val="0"/>
              </c:ext>
            </c:extLst>
          </c:dLbls>
          <c:cat>
            <c:strRef>
              <c:f>International!$P$8:$P$41</c:f>
              <c:strCache>
                <c:ptCount val="34"/>
                <c:pt idx="0">
                  <c:v> Lithuania (2016)</c:v>
                </c:pt>
                <c:pt idx="1">
                  <c:v> Republic of Korea (2015)</c:v>
                </c:pt>
                <c:pt idx="2">
                  <c:v> Latvia (2015)</c:v>
                </c:pt>
                <c:pt idx="3">
                  <c:v> Slovenia (2015)</c:v>
                </c:pt>
                <c:pt idx="4">
                  <c:v> Estonia (2015)</c:v>
                </c:pt>
                <c:pt idx="5">
                  <c:v> Poland (2015)</c:v>
                </c:pt>
                <c:pt idx="6">
                  <c:v> Japan (2015)</c:v>
                </c:pt>
                <c:pt idx="7">
                  <c:v> Hungary (2016)</c:v>
                </c:pt>
                <c:pt idx="8">
                  <c:v> Iceland (2016)</c:v>
                </c:pt>
                <c:pt idx="9">
                  <c:v> Belgium (2015)</c:v>
                </c:pt>
                <c:pt idx="10">
                  <c:v> Finland (2014)</c:v>
                </c:pt>
                <c:pt idx="11">
                  <c:v> Australia (2015)</c:v>
                </c:pt>
                <c:pt idx="12">
                  <c:v> France (2014)</c:v>
                </c:pt>
                <c:pt idx="13">
                  <c:v> United States of America (2007)</c:v>
                </c:pt>
                <c:pt idx="14">
                  <c:v> Czech Republic (2016)</c:v>
                </c:pt>
                <c:pt idx="15">
                  <c:v> Ireland (2013)</c:v>
                </c:pt>
                <c:pt idx="16">
                  <c:v> New Zealand (2016)</c:v>
                </c:pt>
                <c:pt idx="17">
                  <c:v> Canada (2005)</c:v>
                </c:pt>
                <c:pt idx="18">
                  <c:v> Austria (2016)</c:v>
                </c:pt>
                <c:pt idx="19">
                  <c:v> Switzerland (2013)</c:v>
                </c:pt>
                <c:pt idx="20">
                  <c:v> Slovakia (2014)</c:v>
                </c:pt>
                <c:pt idx="21">
                  <c:v> Sweden (2015)</c:v>
                </c:pt>
                <c:pt idx="22">
                  <c:v> Norway (2015)</c:v>
                </c:pt>
                <c:pt idx="23">
                  <c:v> Germany (2015)</c:v>
                </c:pt>
                <c:pt idx="24">
                  <c:v> Luxembourg (2015)</c:v>
                </c:pt>
                <c:pt idx="25">
                  <c:v> Portugal (2014)</c:v>
                </c:pt>
                <c:pt idx="26">
                  <c:v> Netherlands (2016)</c:v>
                </c:pt>
                <c:pt idx="27">
                  <c:v> Denmark (2015)</c:v>
                </c:pt>
                <c:pt idx="28">
                  <c:v> United Kingdom (2015)</c:v>
                </c:pt>
                <c:pt idx="29">
                  <c:v> Spain (2015)</c:v>
                </c:pt>
                <c:pt idx="30">
                  <c:v> Italy (2015)</c:v>
                </c:pt>
                <c:pt idx="31">
                  <c:v> Israel (2015)</c:v>
                </c:pt>
                <c:pt idx="32">
                  <c:v> Greece (2015)</c:v>
                </c:pt>
                <c:pt idx="33">
                  <c:v> Turkey (2015)</c:v>
                </c:pt>
              </c:strCache>
            </c:strRef>
          </c:cat>
          <c:val>
            <c:numRef>
              <c:f>International!$Q$8:$Q$41</c:f>
              <c:numCache>
                <c:formatCode>0.0</c:formatCode>
                <c:ptCount val="34"/>
                <c:pt idx="0">
                  <c:v>42.482322561434898</c:v>
                </c:pt>
                <c:pt idx="1">
                  <c:v>29.583734027665962</c:v>
                </c:pt>
                <c:pt idx="2">
                  <c:v>27.599519897041311</c:v>
                </c:pt>
                <c:pt idx="3">
                  <c:v>23.598398488624124</c:v>
                </c:pt>
                <c:pt idx="4">
                  <c:v>22.314809177393411</c:v>
                </c:pt>
                <c:pt idx="5">
                  <c:v>21.180949852477919</c:v>
                </c:pt>
                <c:pt idx="6">
                  <c:v>20.955153662040896</c:v>
                </c:pt>
                <c:pt idx="7">
                  <c:v>20.860173424898946</c:v>
                </c:pt>
                <c:pt idx="8">
                  <c:v>20.029128560902166</c:v>
                </c:pt>
                <c:pt idx="9">
                  <c:v>19.389278280010448</c:v>
                </c:pt>
                <c:pt idx="10">
                  <c:v>19.344822932420925</c:v>
                </c:pt>
                <c:pt idx="11">
                  <c:v>17.584722156998442</c:v>
                </c:pt>
                <c:pt idx="12">
                  <c:v>16.87512149105336</c:v>
                </c:pt>
                <c:pt idx="13">
                  <c:v>16.592327788403477</c:v>
                </c:pt>
                <c:pt idx="14">
                  <c:v>16.408585668171476</c:v>
                </c:pt>
                <c:pt idx="15">
                  <c:v>16.0732233524542</c:v>
                </c:pt>
                <c:pt idx="16">
                  <c:v>16.990960917875199</c:v>
                </c:pt>
                <c:pt idx="17">
                  <c:v>15.727361632951702</c:v>
                </c:pt>
                <c:pt idx="18">
                  <c:v>15.076526050118842</c:v>
                </c:pt>
                <c:pt idx="19">
                  <c:v>14.871246395242283</c:v>
                </c:pt>
                <c:pt idx="20">
                  <c:v>14.454997487284965</c:v>
                </c:pt>
                <c:pt idx="21">
                  <c:v>14.310484368195601</c:v>
                </c:pt>
                <c:pt idx="22">
                  <c:v>13.129047833553045</c:v>
                </c:pt>
                <c:pt idx="23">
                  <c:v>12.905645366103103</c:v>
                </c:pt>
                <c:pt idx="24">
                  <c:v>12.899785491024893</c:v>
                </c:pt>
                <c:pt idx="25">
                  <c:v>12.802676683336061</c:v>
                </c:pt>
                <c:pt idx="26">
                  <c:v>12.248479255064773</c:v>
                </c:pt>
                <c:pt idx="27">
                  <c:v>10.75262982967695</c:v>
                </c:pt>
                <c:pt idx="28">
                  <c:v>10.368557527609658</c:v>
                </c:pt>
                <c:pt idx="29">
                  <c:v>8.5572726606584073</c:v>
                </c:pt>
                <c:pt idx="30">
                  <c:v>7.5537995593317993</c:v>
                </c:pt>
                <c:pt idx="31">
                  <c:v>6.6147803793900248</c:v>
                </c:pt>
                <c:pt idx="32">
                  <c:v>6.0556077604262608</c:v>
                </c:pt>
                <c:pt idx="33">
                  <c:v>2.8667232595295</c:v>
                </c:pt>
              </c:numCache>
            </c:numRef>
          </c:val>
          <c:smooth val="0"/>
          <c:extLst>
            <c:ext xmlns:c16="http://schemas.microsoft.com/office/drawing/2014/chart" uri="{C3380CC4-5D6E-409C-BE32-E72D297353CC}">
              <c16:uniqueId val="{00000001-236B-4EE3-88D2-3E67D2F6823F}"/>
            </c:ext>
          </c:extLst>
        </c:ser>
        <c:ser>
          <c:idx val="1"/>
          <c:order val="1"/>
          <c:tx>
            <c:strRef>
              <c:f>International!$R$7</c:f>
              <c:strCache>
                <c:ptCount val="1"/>
                <c:pt idx="0">
                  <c:v>Female</c:v>
                </c:pt>
              </c:strCache>
            </c:strRef>
          </c:tx>
          <c:spPr>
            <a:ln w="28575" cap="rnd">
              <a:noFill/>
              <a:round/>
            </a:ln>
            <a:effectLst/>
          </c:spPr>
          <c:marker>
            <c:symbol val="dash"/>
            <c:size val="8"/>
            <c:spPr>
              <a:solidFill>
                <a:srgbClr val="4BACC6"/>
              </a:solidFill>
              <a:ln w="12700">
                <a:solidFill>
                  <a:srgbClr val="4BACC6"/>
                </a:solidFill>
              </a:ln>
              <a:effectLst/>
            </c:spPr>
          </c:marker>
          <c:dLbls>
            <c:dLbl>
              <c:idx val="16"/>
              <c:layout>
                <c:manualLayout>
                  <c:x val="-4.9796847993086226E-3"/>
                  <c:y val="-7.6268614176671662E-2"/>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r>
                      <a:rPr lang="en-US"/>
                      <a:t>6th=</a:t>
                    </a:r>
                  </a:p>
                  <a:p>
                    <a:pPr>
                      <a:defRPr/>
                    </a:pPr>
                    <a:endParaRPr lang="en-US"/>
                  </a:p>
                  <a:p>
                    <a:pPr>
                      <a:defRPr/>
                    </a:pPr>
                    <a:endParaRPr lang="en-US"/>
                  </a:p>
                </c:rich>
              </c:tx>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borderCallout2">
                      <a:avLst/>
                    </a:prstGeom>
                    <a:noFill/>
                    <a:ln>
                      <a:noFill/>
                    </a:ln>
                  </c15:spPr>
                  <c15:layout>
                    <c:manualLayout>
                      <c:w val="6.0550360892388452E-2"/>
                      <c:h val="3.9573036043761854E-2"/>
                    </c:manualLayout>
                  </c15:layout>
                </c:ext>
                <c:ext xmlns:c16="http://schemas.microsoft.com/office/drawing/2014/chart" uri="{C3380CC4-5D6E-409C-BE32-E72D297353CC}">
                  <c16:uniqueId val="{00000002-236B-4EE3-88D2-3E67D2F6823F}"/>
                </c:ext>
              </c:extLst>
            </c:dLbl>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borderCallout2">
                    <a:avLst/>
                  </a:prstGeom>
                  <a:noFill/>
                  <a:ln>
                    <a:noFill/>
                  </a:ln>
                </c15:spPr>
                <c15:showLeaderLines val="0"/>
              </c:ext>
            </c:extLst>
          </c:dLbls>
          <c:cat>
            <c:strRef>
              <c:f>International!$P$8:$P$41</c:f>
              <c:strCache>
                <c:ptCount val="34"/>
                <c:pt idx="0">
                  <c:v> Lithuania (2016)</c:v>
                </c:pt>
                <c:pt idx="1">
                  <c:v> Republic of Korea (2015)</c:v>
                </c:pt>
                <c:pt idx="2">
                  <c:v> Latvia (2015)</c:v>
                </c:pt>
                <c:pt idx="3">
                  <c:v> Slovenia (2015)</c:v>
                </c:pt>
                <c:pt idx="4">
                  <c:v> Estonia (2015)</c:v>
                </c:pt>
                <c:pt idx="5">
                  <c:v> Poland (2015)</c:v>
                </c:pt>
                <c:pt idx="6">
                  <c:v> Japan (2015)</c:v>
                </c:pt>
                <c:pt idx="7">
                  <c:v> Hungary (2016)</c:v>
                </c:pt>
                <c:pt idx="8">
                  <c:v> Iceland (2016)</c:v>
                </c:pt>
                <c:pt idx="9">
                  <c:v> Belgium (2015)</c:v>
                </c:pt>
                <c:pt idx="10">
                  <c:v> Finland (2014)</c:v>
                </c:pt>
                <c:pt idx="11">
                  <c:v> Australia (2015)</c:v>
                </c:pt>
                <c:pt idx="12">
                  <c:v> France (2014)</c:v>
                </c:pt>
                <c:pt idx="13">
                  <c:v> United States of America (2007)</c:v>
                </c:pt>
                <c:pt idx="14">
                  <c:v> Czech Republic (2016)</c:v>
                </c:pt>
                <c:pt idx="15">
                  <c:v> Ireland (2013)</c:v>
                </c:pt>
                <c:pt idx="16">
                  <c:v> New Zealand (2016)</c:v>
                </c:pt>
                <c:pt idx="17">
                  <c:v> Canada (2005)</c:v>
                </c:pt>
                <c:pt idx="18">
                  <c:v> Austria (2016)</c:v>
                </c:pt>
                <c:pt idx="19">
                  <c:v> Switzerland (2013)</c:v>
                </c:pt>
                <c:pt idx="20">
                  <c:v> Slovakia (2014)</c:v>
                </c:pt>
                <c:pt idx="21">
                  <c:v> Sweden (2015)</c:v>
                </c:pt>
                <c:pt idx="22">
                  <c:v> Norway (2015)</c:v>
                </c:pt>
                <c:pt idx="23">
                  <c:v> Germany (2015)</c:v>
                </c:pt>
                <c:pt idx="24">
                  <c:v> Luxembourg (2015)</c:v>
                </c:pt>
                <c:pt idx="25">
                  <c:v> Portugal (2014)</c:v>
                </c:pt>
                <c:pt idx="26">
                  <c:v> Netherlands (2016)</c:v>
                </c:pt>
                <c:pt idx="27">
                  <c:v> Denmark (2015)</c:v>
                </c:pt>
                <c:pt idx="28">
                  <c:v> United Kingdom (2015)</c:v>
                </c:pt>
                <c:pt idx="29">
                  <c:v> Spain (2015)</c:v>
                </c:pt>
                <c:pt idx="30">
                  <c:v> Italy (2015)</c:v>
                </c:pt>
                <c:pt idx="31">
                  <c:v> Israel (2015)</c:v>
                </c:pt>
                <c:pt idx="32">
                  <c:v> Greece (2015)</c:v>
                </c:pt>
                <c:pt idx="33">
                  <c:v> Turkey (2015)</c:v>
                </c:pt>
              </c:strCache>
            </c:strRef>
          </c:cat>
          <c:val>
            <c:numRef>
              <c:f>International!$R$8:$R$41</c:f>
              <c:numCache>
                <c:formatCode>0.0</c:formatCode>
                <c:ptCount val="34"/>
                <c:pt idx="0">
                  <c:v>5.7093673705471124</c:v>
                </c:pt>
                <c:pt idx="1">
                  <c:v>11.92906616421045</c:v>
                </c:pt>
                <c:pt idx="2">
                  <c:v>4.8254231775456402</c:v>
                </c:pt>
                <c:pt idx="3">
                  <c:v>5.6266516133234248</c:v>
                </c:pt>
                <c:pt idx="4">
                  <c:v>3.6678472357789782</c:v>
                </c:pt>
                <c:pt idx="5">
                  <c:v>2.9880157897781272</c:v>
                </c:pt>
                <c:pt idx="6">
                  <c:v>8.056227864092806</c:v>
                </c:pt>
                <c:pt idx="7">
                  <c:v>5.6583711185343422</c:v>
                </c:pt>
                <c:pt idx="8">
                  <c:v>2.1791602518770379</c:v>
                </c:pt>
                <c:pt idx="9">
                  <c:v>7.3990298541643842</c:v>
                </c:pt>
                <c:pt idx="10">
                  <c:v>6.2371712897658629</c:v>
                </c:pt>
                <c:pt idx="11">
                  <c:v>5.7054997325907939</c:v>
                </c:pt>
                <c:pt idx="12">
                  <c:v>5.0373451540706116</c:v>
                </c:pt>
                <c:pt idx="13">
                  <c:v>4.2863258218409577</c:v>
                </c:pt>
                <c:pt idx="14">
                  <c:v>3.9671389068060847</c:v>
                </c:pt>
                <c:pt idx="15">
                  <c:v>3.8498179177596699</c:v>
                </c:pt>
                <c:pt idx="16">
                  <c:v>5.8550315461954598</c:v>
                </c:pt>
                <c:pt idx="17">
                  <c:v>4.8503025623435754</c:v>
                </c:pt>
                <c:pt idx="18">
                  <c:v>4.786208331817396</c:v>
                </c:pt>
                <c:pt idx="19">
                  <c:v>5.2028897242116114</c:v>
                </c:pt>
                <c:pt idx="20">
                  <c:v>2.2779671678274811</c:v>
                </c:pt>
                <c:pt idx="21">
                  <c:v>5.9076662532142619</c:v>
                </c:pt>
                <c:pt idx="22">
                  <c:v>6.3260893170201049</c:v>
                </c:pt>
                <c:pt idx="23">
                  <c:v>4.3841046425768022</c:v>
                </c:pt>
                <c:pt idx="24">
                  <c:v>5.2713784880981613</c:v>
                </c:pt>
                <c:pt idx="25">
                  <c:v>3.6393822568581045</c:v>
                </c:pt>
                <c:pt idx="26">
                  <c:v>5.5620270555242977</c:v>
                </c:pt>
                <c:pt idx="27">
                  <c:v>4.4982991737637716</c:v>
                </c:pt>
                <c:pt idx="28">
                  <c:v>3.1165754304650304</c:v>
                </c:pt>
                <c:pt idx="29">
                  <c:v>2.8721164470409164</c:v>
                </c:pt>
                <c:pt idx="30">
                  <c:v>2.0168215269435441</c:v>
                </c:pt>
                <c:pt idx="31">
                  <c:v>1.6440274047066716</c:v>
                </c:pt>
                <c:pt idx="32">
                  <c:v>1.4932851358103347</c:v>
                </c:pt>
                <c:pt idx="33">
                  <c:v>0.99761552293819944</c:v>
                </c:pt>
              </c:numCache>
            </c:numRef>
          </c:val>
          <c:smooth val="0"/>
          <c:extLst>
            <c:ext xmlns:c16="http://schemas.microsoft.com/office/drawing/2014/chart" uri="{C3380CC4-5D6E-409C-BE32-E72D297353CC}">
              <c16:uniqueId val="{00000003-236B-4EE3-88D2-3E67D2F6823F}"/>
            </c:ext>
          </c:extLst>
        </c:ser>
        <c:dLbls>
          <c:showLegendKey val="0"/>
          <c:showVal val="0"/>
          <c:showCatName val="0"/>
          <c:showSerName val="0"/>
          <c:showPercent val="0"/>
          <c:showBubbleSize val="0"/>
        </c:dLbls>
        <c:marker val="1"/>
        <c:smooth val="0"/>
        <c:axId val="102449328"/>
        <c:axId val="102450896"/>
      </c:lineChart>
      <c:catAx>
        <c:axId val="1024493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450896"/>
        <c:crosses val="autoZero"/>
        <c:auto val="1"/>
        <c:lblAlgn val="ctr"/>
        <c:lblOffset val="100"/>
        <c:noMultiLvlLbl val="0"/>
      </c:catAx>
      <c:valAx>
        <c:axId val="102450896"/>
        <c:scaling>
          <c:orientation val="minMax"/>
          <c:max val="4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449328"/>
        <c:crosses val="autoZero"/>
        <c:crossBetween val="between"/>
      </c:valAx>
      <c:spPr>
        <a:noFill/>
        <a:ln>
          <a:noFill/>
        </a:ln>
        <a:effectLst/>
      </c:spPr>
    </c:plotArea>
    <c:legend>
      <c:legendPos val="b"/>
      <c:layout>
        <c:manualLayout>
          <c:xMode val="edge"/>
          <c:yMode val="edge"/>
          <c:x val="0.86544870483980918"/>
          <c:y val="9.3166250997247218E-3"/>
          <c:w val="0.12072955010224946"/>
          <c:h val="0.13810893687793974"/>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79548611111112"/>
          <c:y val="0.15843170234454637"/>
          <c:w val="0.8088251185975126"/>
          <c:h val="0.73165698267074419"/>
        </c:manualLayout>
      </c:layout>
      <c:lineChart>
        <c:grouping val="standard"/>
        <c:varyColors val="0"/>
        <c:ser>
          <c:idx val="2"/>
          <c:order val="0"/>
          <c:tx>
            <c:strRef>
              <c:f>'Māori Non-Māori'!$O$9</c:f>
              <c:strCache>
                <c:ptCount val="1"/>
                <c:pt idx="0">
                  <c:v>Māori</c:v>
                </c:pt>
              </c:strCache>
            </c:strRef>
          </c:tx>
          <c:spPr>
            <a:ln w="22225" cap="rnd">
              <a:solidFill>
                <a:schemeClr val="bg1">
                  <a:lumMod val="50000"/>
                </a:schemeClr>
              </a:solidFill>
              <a:round/>
            </a:ln>
            <a:effectLst/>
          </c:spPr>
          <c:marker>
            <c:symbol val="none"/>
          </c:marker>
          <c:trendline>
            <c:spPr>
              <a:ln w="19050" cap="rnd">
                <a:solidFill>
                  <a:schemeClr val="accent3"/>
                </a:solidFill>
                <a:prstDash val="sysDot"/>
              </a:ln>
              <a:effectLst/>
            </c:spPr>
            <c:trendlineType val="movingAvg"/>
            <c:period val="5"/>
            <c:dispRSqr val="0"/>
            <c:dispEq val="0"/>
          </c:trendline>
          <c:cat>
            <c:numRef>
              <c:f>'Māori Non-Māori'!$BL$8:$CF$8</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Non-Māori'!$S$15:$AM$15</c:f>
              <c:numCache>
                <c:formatCode>0.0</c:formatCode>
                <c:ptCount val="21"/>
                <c:pt idx="0">
                  <c:v>28.6634614636843</c:v>
                </c:pt>
                <c:pt idx="1">
                  <c:v>30.622870852715899</c:v>
                </c:pt>
                <c:pt idx="2">
                  <c:v>34.348686121607798</c:v>
                </c:pt>
                <c:pt idx="3">
                  <c:v>21.453377474962299</c:v>
                </c:pt>
                <c:pt idx="4">
                  <c:v>27.198711801126699</c:v>
                </c:pt>
                <c:pt idx="5">
                  <c:v>22.0828947481947</c:v>
                </c:pt>
                <c:pt idx="6">
                  <c:v>21.881613181334401</c:v>
                </c:pt>
                <c:pt idx="7">
                  <c:v>23.229010507537701</c:v>
                </c:pt>
                <c:pt idx="8">
                  <c:v>30.210797391523901</c:v>
                </c:pt>
                <c:pt idx="9">
                  <c:v>27.973177382021099</c:v>
                </c:pt>
                <c:pt idx="10">
                  <c:v>25.8876809253644</c:v>
                </c:pt>
                <c:pt idx="11">
                  <c:v>25.915091779548401</c:v>
                </c:pt>
                <c:pt idx="12">
                  <c:v>19.8732690696398</c:v>
                </c:pt>
                <c:pt idx="13">
                  <c:v>19.4811396989931</c:v>
                </c:pt>
                <c:pt idx="14">
                  <c:v>23.689392361421</c:v>
                </c:pt>
                <c:pt idx="15">
                  <c:v>26.239623561034499</c:v>
                </c:pt>
                <c:pt idx="16">
                  <c:v>25.431338448587201</c:v>
                </c:pt>
                <c:pt idx="17">
                  <c:v>21.1859227055823</c:v>
                </c:pt>
                <c:pt idx="18">
                  <c:v>22.014569367455099</c:v>
                </c:pt>
                <c:pt idx="19">
                  <c:v>25.5838413177833</c:v>
                </c:pt>
                <c:pt idx="20">
                  <c:v>31.3123998180094</c:v>
                </c:pt>
              </c:numCache>
            </c:numRef>
          </c:val>
          <c:smooth val="0"/>
          <c:extLst>
            <c:ext xmlns:c16="http://schemas.microsoft.com/office/drawing/2014/chart" uri="{C3380CC4-5D6E-409C-BE32-E72D297353CC}">
              <c16:uniqueId val="{00000001-A655-47F4-9313-D88A663767FB}"/>
            </c:ext>
          </c:extLst>
        </c:ser>
        <c:ser>
          <c:idx val="3"/>
          <c:order val="1"/>
          <c:tx>
            <c:strRef>
              <c:f>'Māori Non-Māori'!$O$20</c:f>
              <c:strCache>
                <c:ptCount val="1"/>
                <c:pt idx="0">
                  <c:v>Non-Māori</c:v>
                </c:pt>
              </c:strCache>
            </c:strRef>
          </c:tx>
          <c:spPr>
            <a:ln w="22225" cap="rnd">
              <a:solidFill>
                <a:schemeClr val="accent1"/>
              </a:solidFill>
              <a:round/>
            </a:ln>
            <a:effectLst/>
          </c:spPr>
          <c:marker>
            <c:symbol val="none"/>
          </c:marker>
          <c:trendline>
            <c:spPr>
              <a:ln w="19050" cap="rnd">
                <a:solidFill>
                  <a:schemeClr val="accent4"/>
                </a:solidFill>
                <a:prstDash val="sysDot"/>
              </a:ln>
              <a:effectLst/>
            </c:spPr>
            <c:trendlineType val="movingAvg"/>
            <c:period val="5"/>
            <c:dispRSqr val="0"/>
            <c:dispEq val="0"/>
          </c:trendline>
          <c:cat>
            <c:numRef>
              <c:f>'Māori Non-Māori'!$BL$8:$CF$8</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'Māori Non-Māori'!$S$26:$AM$26</c:f>
              <c:numCache>
                <c:formatCode>0.0</c:formatCode>
                <c:ptCount val="21"/>
                <c:pt idx="0">
                  <c:v>21.479905755824099</c:v>
                </c:pt>
                <c:pt idx="1">
                  <c:v>21.882813084323601</c:v>
                </c:pt>
                <c:pt idx="2">
                  <c:v>21.517130626241698</c:v>
                </c:pt>
                <c:pt idx="3">
                  <c:v>19.451634350980999</c:v>
                </c:pt>
                <c:pt idx="4">
                  <c:v>18.542595685537702</c:v>
                </c:pt>
                <c:pt idx="5">
                  <c:v>19.754574256070502</c:v>
                </c:pt>
                <c:pt idx="6">
                  <c:v>17.053757227886599</c:v>
                </c:pt>
                <c:pt idx="7">
                  <c:v>17.1757108224569</c:v>
                </c:pt>
                <c:pt idx="8">
                  <c:v>16.521659709264298</c:v>
                </c:pt>
                <c:pt idx="9">
                  <c:v>16.809710006140801</c:v>
                </c:pt>
                <c:pt idx="10">
                  <c:v>16.923735957565398</c:v>
                </c:pt>
                <c:pt idx="11">
                  <c:v>16.348296242666599</c:v>
                </c:pt>
                <c:pt idx="12">
                  <c:v>17.136851166956198</c:v>
                </c:pt>
                <c:pt idx="13">
                  <c:v>17.704891753148601</c:v>
                </c:pt>
                <c:pt idx="14">
                  <c:v>16.134328558354198</c:v>
                </c:pt>
                <c:pt idx="15">
                  <c:v>15.374728749309</c:v>
                </c:pt>
                <c:pt idx="16">
                  <c:v>16.829965457080299</c:v>
                </c:pt>
                <c:pt idx="17">
                  <c:v>14.441701119553899</c:v>
                </c:pt>
                <c:pt idx="18">
                  <c:v>15.1820100358589</c:v>
                </c:pt>
                <c:pt idx="19">
                  <c:v>14.713503479130599</c:v>
                </c:pt>
                <c:pt idx="20">
                  <c:v>14.3629391196318</c:v>
                </c:pt>
              </c:numCache>
            </c:numRef>
          </c:val>
          <c:smooth val="0"/>
          <c:extLst>
            <c:ext xmlns:c16="http://schemas.microsoft.com/office/drawing/2014/chart" uri="{C3380CC4-5D6E-409C-BE32-E72D297353CC}">
              <c16:uniqueId val="{00000003-A655-47F4-9313-D88A663767FB}"/>
            </c:ext>
          </c:extLst>
        </c:ser>
        <c:dLbls>
          <c:showLegendKey val="0"/>
          <c:showVal val="0"/>
          <c:showCatName val="0"/>
          <c:showSerName val="0"/>
          <c:showPercent val="0"/>
          <c:showBubbleSize val="0"/>
        </c:dLbls>
        <c:smooth val="0"/>
        <c:axId val="449325816"/>
        <c:axId val="449327776"/>
      </c:lineChart>
      <c:catAx>
        <c:axId val="449325816"/>
        <c:scaling>
          <c:orientation val="minMax"/>
        </c:scaling>
        <c:delete val="0"/>
        <c:axPos val="b"/>
        <c:numFmt formatCode="General"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9327776"/>
        <c:crossesAt val="0"/>
        <c:auto val="1"/>
        <c:lblAlgn val="ctr"/>
        <c:lblOffset val="100"/>
        <c:tickLblSkip val="4"/>
        <c:noMultiLvlLbl val="0"/>
      </c:catAx>
      <c:valAx>
        <c:axId val="449327776"/>
        <c:scaling>
          <c:orientation val="minMax"/>
          <c:max val="40"/>
          <c:min val="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9325816"/>
        <c:crosses val="autoZero"/>
        <c:crossBetween val="between"/>
        <c:majorUnit val="10"/>
      </c:valAx>
      <c:spPr>
        <a:noFill/>
        <a:ln>
          <a:noFill/>
        </a:ln>
        <a:effectLst/>
      </c:spPr>
    </c:plotArea>
    <c:legend>
      <c:legendPos val="r"/>
      <c:legendEntry>
        <c:idx val="2"/>
        <c:delete val="1"/>
      </c:legendEntry>
      <c:legendEntry>
        <c:idx val="3"/>
        <c:delete val="1"/>
      </c:legendEntry>
      <c:layout>
        <c:manualLayout>
          <c:xMode val="edge"/>
          <c:yMode val="edge"/>
          <c:x val="0.67550857338820314"/>
          <c:y val="1.3245419037212866E-2"/>
          <c:w val="0.31360322359396431"/>
          <c:h val="0.158857616517840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90896921017405E-2"/>
          <c:y val="7.7752829218106986E-2"/>
          <c:w val="0.91125449286991989"/>
          <c:h val="0.59457613168724277"/>
        </c:manualLayout>
      </c:layout>
      <c:lineChart>
        <c:grouping val="standard"/>
        <c:varyColors val="0"/>
        <c:ser>
          <c:idx val="0"/>
          <c:order val="0"/>
          <c:tx>
            <c:strRef>
              <c:f>International!$Q$52</c:f>
              <c:strCache>
                <c:ptCount val="1"/>
                <c:pt idx="0">
                  <c:v>Male</c:v>
                </c:pt>
              </c:strCache>
            </c:strRef>
          </c:tx>
          <c:spPr>
            <a:ln w="28575" cap="rnd">
              <a:noFill/>
              <a:round/>
            </a:ln>
            <a:effectLst/>
          </c:spPr>
          <c:marker>
            <c:symbol val="dash"/>
            <c:size val="9"/>
            <c:spPr>
              <a:solidFill>
                <a:schemeClr val="tx1"/>
              </a:solidFill>
              <a:ln w="12700">
                <a:solidFill>
                  <a:schemeClr val="tx1"/>
                </a:solidFill>
              </a:ln>
              <a:effectLst/>
            </c:spPr>
          </c:marker>
          <c:dLbls>
            <c:dLbl>
              <c:idx val="2"/>
              <c:layout>
                <c:manualLayout>
                  <c:x val="1.990049751243781E-3"/>
                  <c:y val="-6.178863370811951E-2"/>
                </c:manualLayout>
              </c:layout>
              <c:tx>
                <c:rich>
                  <a:bodyPr/>
                  <a:lstStyle/>
                  <a:p>
                    <a:r>
                      <a:rPr lang="en-US"/>
                      <a:t>3rd</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FC-4EAF-8820-6DB0E9CD4ADA}"/>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borderCallout2">
                    <a:avLst/>
                  </a:prstGeom>
                  <a:noFill/>
                  <a:ln>
                    <a:noFill/>
                  </a:ln>
                </c15:spPr>
                <c15:showLeaderLines val="0"/>
              </c:ext>
            </c:extLst>
          </c:dLbls>
          <c:cat>
            <c:strRef>
              <c:f>International!$P$54:$P$87</c:f>
              <c:strCache>
                <c:ptCount val="34"/>
                <c:pt idx="0">
                  <c:v> Estonia (2015)</c:v>
                </c:pt>
                <c:pt idx="1">
                  <c:v> Iceland (2016)</c:v>
                </c:pt>
                <c:pt idx="2">
                  <c:v> New Zealand (2016)</c:v>
                </c:pt>
                <c:pt idx="3">
                  <c:v> Lithuania (2016)</c:v>
                </c:pt>
                <c:pt idx="4">
                  <c:v> Latvia (2015)</c:v>
                </c:pt>
                <c:pt idx="5">
                  <c:v> Poland (2015)</c:v>
                </c:pt>
                <c:pt idx="6">
                  <c:v> Finland (2014)</c:v>
                </c:pt>
                <c:pt idx="7">
                  <c:v> Japan (2015)</c:v>
                </c:pt>
                <c:pt idx="8">
                  <c:v> Australia (2015)</c:v>
                </c:pt>
                <c:pt idx="9">
                  <c:v> Canada (2005)</c:v>
                </c:pt>
                <c:pt idx="10">
                  <c:v> Ireland (2013)</c:v>
                </c:pt>
                <c:pt idx="11">
                  <c:v> United States of America (2007)</c:v>
                </c:pt>
                <c:pt idx="12">
                  <c:v> Czech Republic (2016)</c:v>
                </c:pt>
                <c:pt idx="13">
                  <c:v> Belgium (2015)</c:v>
                </c:pt>
                <c:pt idx="14">
                  <c:v> Slovenia (2015)</c:v>
                </c:pt>
                <c:pt idx="15">
                  <c:v> Norway (2015)</c:v>
                </c:pt>
                <c:pt idx="16">
                  <c:v> Republic of Korea (2015)</c:v>
                </c:pt>
                <c:pt idx="17">
                  <c:v> Luxembourg (2015)</c:v>
                </c:pt>
                <c:pt idx="18">
                  <c:v> Sweden (2015)</c:v>
                </c:pt>
                <c:pt idx="19">
                  <c:v> Austria (2016)</c:v>
                </c:pt>
                <c:pt idx="20">
                  <c:v> Switzerland (2013)</c:v>
                </c:pt>
                <c:pt idx="21">
                  <c:v> Hungary (2016)</c:v>
                </c:pt>
                <c:pt idx="22">
                  <c:v> United Kingdom (2015)</c:v>
                </c:pt>
                <c:pt idx="23">
                  <c:v> Slovakia (2014)</c:v>
                </c:pt>
                <c:pt idx="24">
                  <c:v> Germany (2015)</c:v>
                </c:pt>
                <c:pt idx="25">
                  <c:v> France (2014)</c:v>
                </c:pt>
                <c:pt idx="26">
                  <c:v> Netherlands (2016)</c:v>
                </c:pt>
                <c:pt idx="27">
                  <c:v> Israel (2015)</c:v>
                </c:pt>
                <c:pt idx="28">
                  <c:v> Italy (2015)</c:v>
                </c:pt>
                <c:pt idx="29">
                  <c:v> Portugal (2014)</c:v>
                </c:pt>
                <c:pt idx="30">
                  <c:v> Denmark (2015)</c:v>
                </c:pt>
                <c:pt idx="31">
                  <c:v> Spain (2015)</c:v>
                </c:pt>
                <c:pt idx="32">
                  <c:v> Greece (2015)</c:v>
                </c:pt>
                <c:pt idx="33">
                  <c:v> Turkey (2015)</c:v>
                </c:pt>
              </c:strCache>
            </c:strRef>
          </c:cat>
          <c:val>
            <c:numRef>
              <c:f>International!$Q$54:$Q$87</c:f>
              <c:numCache>
                <c:formatCode>0.0</c:formatCode>
                <c:ptCount val="34"/>
                <c:pt idx="0">
                  <c:v>29.92945200598589</c:v>
                </c:pt>
                <c:pt idx="1">
                  <c:v>24.897298643097226</c:v>
                </c:pt>
                <c:pt idx="2">
                  <c:v>24.838262476894599</c:v>
                </c:pt>
                <c:pt idx="3">
                  <c:v>23.048210109731965</c:v>
                </c:pt>
                <c:pt idx="4">
                  <c:v>21.720653508357731</c:v>
                </c:pt>
                <c:pt idx="5">
                  <c:v>19.348220029717108</c:v>
                </c:pt>
                <c:pt idx="6">
                  <c:v>18.935010835033978</c:v>
                </c:pt>
                <c:pt idx="7">
                  <c:v>17.919528015071457</c:v>
                </c:pt>
                <c:pt idx="8">
                  <c:v>17.464372059490735</c:v>
                </c:pt>
                <c:pt idx="9">
                  <c:v>16.804653021703341</c:v>
                </c:pt>
                <c:pt idx="10">
                  <c:v>16.106714303494424</c:v>
                </c:pt>
                <c:pt idx="11">
                  <c:v>15.767007688585291</c:v>
                </c:pt>
                <c:pt idx="12">
                  <c:v>14.77580556555343</c:v>
                </c:pt>
                <c:pt idx="13">
                  <c:v>13.839882971140122</c:v>
                </c:pt>
                <c:pt idx="14">
                  <c:v>13.548693035004016</c:v>
                </c:pt>
                <c:pt idx="15">
                  <c:v>12.459614910971704</c:v>
                </c:pt>
                <c:pt idx="16">
                  <c:v>11.757395499514763</c:v>
                </c:pt>
                <c:pt idx="17">
                  <c:v>11.508473113329689</c:v>
                </c:pt>
                <c:pt idx="18">
                  <c:v>10.946378841293605</c:v>
                </c:pt>
                <c:pt idx="19">
                  <c:v>10.836975761297547</c:v>
                </c:pt>
                <c:pt idx="20">
                  <c:v>10.833062506770663</c:v>
                </c:pt>
                <c:pt idx="21">
                  <c:v>10.210099196394779</c:v>
                </c:pt>
                <c:pt idx="22">
                  <c:v>9.0077244850182758</c:v>
                </c:pt>
                <c:pt idx="23">
                  <c:v>8.7466106883582615</c:v>
                </c:pt>
                <c:pt idx="24">
                  <c:v>8.3180319890272774</c:v>
                </c:pt>
                <c:pt idx="25">
                  <c:v>7.3414118368030179</c:v>
                </c:pt>
                <c:pt idx="26">
                  <c:v>7.2116352710778768</c:v>
                </c:pt>
                <c:pt idx="27">
                  <c:v>5.4291005996829398</c:v>
                </c:pt>
                <c:pt idx="28">
                  <c:v>5.2657244835583477</c:v>
                </c:pt>
                <c:pt idx="29">
                  <c:v>4.9778220250846674</c:v>
                </c:pt>
                <c:pt idx="30">
                  <c:v>4.8121780185054979</c:v>
                </c:pt>
                <c:pt idx="31">
                  <c:v>4.7654023048808209</c:v>
                </c:pt>
                <c:pt idx="32">
                  <c:v>3.5631442610216961</c:v>
                </c:pt>
                <c:pt idx="33">
                  <c:v>3.1489465404714934</c:v>
                </c:pt>
              </c:numCache>
            </c:numRef>
          </c:val>
          <c:smooth val="0"/>
          <c:extLst>
            <c:ext xmlns:c16="http://schemas.microsoft.com/office/drawing/2014/chart" uri="{C3380CC4-5D6E-409C-BE32-E72D297353CC}">
              <c16:uniqueId val="{00000001-02FC-4EAF-8820-6DB0E9CD4ADA}"/>
            </c:ext>
          </c:extLst>
        </c:ser>
        <c:ser>
          <c:idx val="1"/>
          <c:order val="1"/>
          <c:tx>
            <c:strRef>
              <c:f>International!$R$52</c:f>
              <c:strCache>
                <c:ptCount val="1"/>
                <c:pt idx="0">
                  <c:v>Female</c:v>
                </c:pt>
              </c:strCache>
            </c:strRef>
          </c:tx>
          <c:spPr>
            <a:ln w="28575" cap="rnd">
              <a:noFill/>
              <a:round/>
            </a:ln>
            <a:effectLst/>
          </c:spPr>
          <c:marker>
            <c:symbol val="dash"/>
            <c:size val="8"/>
            <c:spPr>
              <a:solidFill>
                <a:srgbClr val="4BACC6"/>
              </a:solidFill>
              <a:ln w="12700">
                <a:solidFill>
                  <a:srgbClr val="4BACC6"/>
                </a:solidFill>
              </a:ln>
              <a:effectLst/>
            </c:spPr>
          </c:marker>
          <c:dLbls>
            <c:dLbl>
              <c:idx val="2"/>
              <c:layout>
                <c:manualLayout>
                  <c:x val="-1.9900497512437849E-3"/>
                  <c:y val="-6.3414650384648968E-2"/>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r>
                      <a:rPr lang="en-US"/>
                      <a:t>1st</a:t>
                    </a:r>
                  </a:p>
                </c:rich>
              </c:tx>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borderCallout2">
                      <a:avLst/>
                    </a:prstGeom>
                    <a:noFill/>
                    <a:ln>
                      <a:noFill/>
                    </a:ln>
                  </c15:spPr>
                  <c15:layout>
                    <c:manualLayout>
                      <c:w val="4.0160770948407559E-2"/>
                      <c:h val="4.7074335080810471E-2"/>
                    </c:manualLayout>
                  </c15:layout>
                </c:ext>
                <c:ext xmlns:c16="http://schemas.microsoft.com/office/drawing/2014/chart" uri="{C3380CC4-5D6E-409C-BE32-E72D297353CC}">
                  <c16:uniqueId val="{00000002-02FC-4EAF-8820-6DB0E9CD4ADA}"/>
                </c:ext>
              </c:extLst>
            </c:dLbl>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borderCallout2">
                    <a:avLst/>
                  </a:prstGeom>
                  <a:noFill/>
                  <a:ln>
                    <a:noFill/>
                  </a:ln>
                </c15:spPr>
                <c15:showLeaderLines val="0"/>
              </c:ext>
            </c:extLst>
          </c:dLbls>
          <c:cat>
            <c:strRef>
              <c:f>International!$P$54:$P$87</c:f>
              <c:strCache>
                <c:ptCount val="34"/>
                <c:pt idx="0">
                  <c:v> Estonia (2015)</c:v>
                </c:pt>
                <c:pt idx="1">
                  <c:v> Iceland (2016)</c:v>
                </c:pt>
                <c:pt idx="2">
                  <c:v> New Zealand (2016)</c:v>
                </c:pt>
                <c:pt idx="3">
                  <c:v> Lithuania (2016)</c:v>
                </c:pt>
                <c:pt idx="4">
                  <c:v> Latvia (2015)</c:v>
                </c:pt>
                <c:pt idx="5">
                  <c:v> Poland (2015)</c:v>
                </c:pt>
                <c:pt idx="6">
                  <c:v> Finland (2014)</c:v>
                </c:pt>
                <c:pt idx="7">
                  <c:v> Japan (2015)</c:v>
                </c:pt>
                <c:pt idx="8">
                  <c:v> Australia (2015)</c:v>
                </c:pt>
                <c:pt idx="9">
                  <c:v> Canada (2005)</c:v>
                </c:pt>
                <c:pt idx="10">
                  <c:v> Ireland (2013)</c:v>
                </c:pt>
                <c:pt idx="11">
                  <c:v> United States of America (2007)</c:v>
                </c:pt>
                <c:pt idx="12">
                  <c:v> Czech Republic (2016)</c:v>
                </c:pt>
                <c:pt idx="13">
                  <c:v> Belgium (2015)</c:v>
                </c:pt>
                <c:pt idx="14">
                  <c:v> Slovenia (2015)</c:v>
                </c:pt>
                <c:pt idx="15">
                  <c:v> Norway (2015)</c:v>
                </c:pt>
                <c:pt idx="16">
                  <c:v> Republic of Korea (2015)</c:v>
                </c:pt>
                <c:pt idx="17">
                  <c:v> Luxembourg (2015)</c:v>
                </c:pt>
                <c:pt idx="18">
                  <c:v> Sweden (2015)</c:v>
                </c:pt>
                <c:pt idx="19">
                  <c:v> Austria (2016)</c:v>
                </c:pt>
                <c:pt idx="20">
                  <c:v> Switzerland (2013)</c:v>
                </c:pt>
                <c:pt idx="21">
                  <c:v> Hungary (2016)</c:v>
                </c:pt>
                <c:pt idx="22">
                  <c:v> United Kingdom (2015)</c:v>
                </c:pt>
                <c:pt idx="23">
                  <c:v> Slovakia (2014)</c:v>
                </c:pt>
                <c:pt idx="24">
                  <c:v> Germany (2015)</c:v>
                </c:pt>
                <c:pt idx="25">
                  <c:v> France (2014)</c:v>
                </c:pt>
                <c:pt idx="26">
                  <c:v> Netherlands (2016)</c:v>
                </c:pt>
                <c:pt idx="27">
                  <c:v> Israel (2015)</c:v>
                </c:pt>
                <c:pt idx="28">
                  <c:v> Italy (2015)</c:v>
                </c:pt>
                <c:pt idx="29">
                  <c:v> Portugal (2014)</c:v>
                </c:pt>
                <c:pt idx="30">
                  <c:v> Denmark (2015)</c:v>
                </c:pt>
                <c:pt idx="31">
                  <c:v> Spain (2015)</c:v>
                </c:pt>
                <c:pt idx="32">
                  <c:v> Greece (2015)</c:v>
                </c:pt>
                <c:pt idx="33">
                  <c:v> Turkey (2015)</c:v>
                </c:pt>
              </c:strCache>
            </c:strRef>
          </c:cat>
          <c:val>
            <c:numRef>
              <c:f>International!$R$54:$R$87</c:f>
              <c:numCache>
                <c:formatCode>0.0</c:formatCode>
                <c:ptCount val="34"/>
                <c:pt idx="0">
                  <c:v>1.5102090129273893</c:v>
                </c:pt>
                <c:pt idx="1">
                  <c:v>0</c:v>
                </c:pt>
                <c:pt idx="2">
                  <c:v>8.07930145116684</c:v>
                </c:pt>
                <c:pt idx="3">
                  <c:v>3.5520403511783893</c:v>
                </c:pt>
                <c:pt idx="4">
                  <c:v>2.9980512666766601</c:v>
                </c:pt>
                <c:pt idx="5">
                  <c:v>2.802739517065008</c:v>
                </c:pt>
                <c:pt idx="6">
                  <c:v>6.9002938897897605</c:v>
                </c:pt>
                <c:pt idx="7">
                  <c:v>7.0674585453715242</c:v>
                </c:pt>
                <c:pt idx="8">
                  <c:v>7.206947497387481</c:v>
                </c:pt>
                <c:pt idx="9">
                  <c:v>6.1098067528755733</c:v>
                </c:pt>
                <c:pt idx="10">
                  <c:v>3.459848458637512</c:v>
                </c:pt>
                <c:pt idx="11">
                  <c:v>3.1735839157951391</c:v>
                </c:pt>
                <c:pt idx="12">
                  <c:v>4.3774648111521888</c:v>
                </c:pt>
                <c:pt idx="13">
                  <c:v>3.2328233169690899</c:v>
                </c:pt>
                <c:pt idx="14">
                  <c:v>3.0744319986882425</c:v>
                </c:pt>
                <c:pt idx="15">
                  <c:v>5.2306565704738661</c:v>
                </c:pt>
                <c:pt idx="16">
                  <c:v>7.9707771383166461</c:v>
                </c:pt>
                <c:pt idx="17">
                  <c:v>3.0147723846849566</c:v>
                </c:pt>
                <c:pt idx="18">
                  <c:v>6.485117508622646</c:v>
                </c:pt>
                <c:pt idx="19">
                  <c:v>4.508011966722675</c:v>
                </c:pt>
                <c:pt idx="20">
                  <c:v>3.6917758093132647</c:v>
                </c:pt>
                <c:pt idx="21">
                  <c:v>2.6077319251580939</c:v>
                </c:pt>
                <c:pt idx="22">
                  <c:v>2.6219166008666441</c:v>
                </c:pt>
                <c:pt idx="23">
                  <c:v>1.5266895873663382</c:v>
                </c:pt>
                <c:pt idx="24">
                  <c:v>3.24181174370141</c:v>
                </c:pt>
                <c:pt idx="25">
                  <c:v>2.4784910084656633</c:v>
                </c:pt>
                <c:pt idx="26">
                  <c:v>3.4131589956730899</c:v>
                </c:pt>
                <c:pt idx="27">
                  <c:v>1.295672454003628</c:v>
                </c:pt>
                <c:pt idx="28">
                  <c:v>1.182754740150523</c:v>
                </c:pt>
                <c:pt idx="29">
                  <c:v>1.4660499483217393</c:v>
                </c:pt>
                <c:pt idx="30">
                  <c:v>1.6812279689084908</c:v>
                </c:pt>
                <c:pt idx="31">
                  <c:v>2.1581343066672116</c:v>
                </c:pt>
                <c:pt idx="32">
                  <c:v>0.55398797476769446</c:v>
                </c:pt>
                <c:pt idx="33">
                  <c:v>2.0901816032745968</c:v>
                </c:pt>
              </c:numCache>
            </c:numRef>
          </c:val>
          <c:smooth val="0"/>
          <c:extLst>
            <c:ext xmlns:c16="http://schemas.microsoft.com/office/drawing/2014/chart" uri="{C3380CC4-5D6E-409C-BE32-E72D297353CC}">
              <c16:uniqueId val="{00000003-02FC-4EAF-8820-6DB0E9CD4ADA}"/>
            </c:ext>
          </c:extLst>
        </c:ser>
        <c:dLbls>
          <c:showLegendKey val="0"/>
          <c:showVal val="0"/>
          <c:showCatName val="0"/>
          <c:showSerName val="0"/>
          <c:showPercent val="0"/>
          <c:showBubbleSize val="0"/>
        </c:dLbls>
        <c:marker val="1"/>
        <c:smooth val="0"/>
        <c:axId val="102450504"/>
        <c:axId val="102449720"/>
      </c:lineChart>
      <c:catAx>
        <c:axId val="102450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449720"/>
        <c:crosses val="autoZero"/>
        <c:auto val="1"/>
        <c:lblAlgn val="ctr"/>
        <c:lblOffset val="100"/>
        <c:noMultiLvlLbl val="0"/>
      </c:catAx>
      <c:valAx>
        <c:axId val="102449720"/>
        <c:scaling>
          <c:orientation val="minMax"/>
          <c:max val="40"/>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450504"/>
        <c:crosses val="autoZero"/>
        <c:crossBetween val="between"/>
      </c:valAx>
      <c:spPr>
        <a:noFill/>
        <a:ln>
          <a:noFill/>
        </a:ln>
        <a:effectLst/>
      </c:spPr>
    </c:plotArea>
    <c:legend>
      <c:legendPos val="b"/>
      <c:layout>
        <c:manualLayout>
          <c:xMode val="edge"/>
          <c:yMode val="edge"/>
          <c:x val="0.85246296484626594"/>
          <c:y val="6.0308641975308644E-3"/>
          <c:w val="0.13371516458531854"/>
          <c:h val="0.13831073199183436"/>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BJ$23" lockText="1" noThreeD="1"/>
</file>

<file path=xl/ctrlProps/ctrlProp2.xml><?xml version="1.0" encoding="utf-8"?>
<formControlPr xmlns="http://schemas.microsoft.com/office/spreadsheetml/2009/9/main" objectType="CheckBox" checked="Checked" fmlaLink="$BJ$24" lockText="1" noThreeD="1"/>
</file>

<file path=xl/ctrlProps/ctrlProp3.xml><?xml version="1.0" encoding="utf-8"?>
<formControlPr xmlns="http://schemas.microsoft.com/office/spreadsheetml/2009/9/main" objectType="CheckBox" checked="Checked" fmlaLink="$BJ$25" lockText="1" noThreeD="1"/>
</file>

<file path=xl/ctrlProps/ctrlProp4.xml><?xml version="1.0" encoding="utf-8"?>
<formControlPr xmlns="http://schemas.microsoft.com/office/spreadsheetml/2009/9/main" objectType="CheckBox" checked="Checked" fmlaLink="$BJ$26" lockText="1" noThreeD="1"/>
</file>

<file path=xl/ctrlProps/ctrlProp5.xml><?xml version="1.0" encoding="utf-8"?>
<formControlPr xmlns="http://schemas.microsoft.com/office/spreadsheetml/2009/9/main" objectType="CheckBox" fmlaLink="$BJ$27" lockText="1" noThreeD="1"/>
</file>

<file path=xl/ctrlProps/ctrlProp6.xml><?xml version="1.0" encoding="utf-8"?>
<formControlPr xmlns="http://schemas.microsoft.com/office/spreadsheetml/2009/9/main" objectType="CheckBox" fmlaLink="$BJ$28" lockText="1" noThreeD="1"/>
</file>

<file path=xl/ctrlProps/ctrlProp7.xml><?xml version="1.0" encoding="utf-8"?>
<formControlPr xmlns="http://schemas.microsoft.com/office/spreadsheetml/2009/9/main" objectType="CheckBox" fmlaLink="$BJ$30" lockText="1" noThreeD="1"/>
</file>

<file path=xl/ctrlProps/ctrlProp8.xml><?xml version="1.0" encoding="utf-8"?>
<formControlPr xmlns="http://schemas.microsoft.com/office/spreadsheetml/2009/9/main" objectType="CheckBox" fmlaLink="$BJ$29"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40.xml"/><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32.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3.xml"/><Relationship Id="rId7" Type="http://schemas.openxmlformats.org/officeDocument/2006/relationships/chart" Target="../charts/chart46.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image" Target="../media/image5.png"/><Relationship Id="rId5" Type="http://schemas.openxmlformats.org/officeDocument/2006/relationships/chart" Target="../charts/chart45.xml"/><Relationship Id="rId10" Type="http://schemas.openxmlformats.org/officeDocument/2006/relationships/chart" Target="../charts/chart49.xml"/><Relationship Id="rId4" Type="http://schemas.openxmlformats.org/officeDocument/2006/relationships/chart" Target="../charts/chart44.xml"/><Relationship Id="rId9" Type="http://schemas.openxmlformats.org/officeDocument/2006/relationships/chart" Target="../charts/chart48.xml"/></Relationships>
</file>

<file path=xl/drawings/_rels/drawing42.xml.rels><?xml version="1.0" encoding="UTF-8" standalone="yes"?>
<Relationships xmlns="http://schemas.openxmlformats.org/package/2006/relationships"><Relationship Id="rId8" Type="http://schemas.openxmlformats.org/officeDocument/2006/relationships/chart" Target="../charts/chart57.xml"/><Relationship Id="rId13" Type="http://schemas.openxmlformats.org/officeDocument/2006/relationships/chart" Target="../charts/chart62.xml"/><Relationship Id="rId18" Type="http://schemas.openxmlformats.org/officeDocument/2006/relationships/chart" Target="../charts/chart67.xml"/><Relationship Id="rId3" Type="http://schemas.openxmlformats.org/officeDocument/2006/relationships/chart" Target="../charts/chart52.xml"/><Relationship Id="rId21" Type="http://schemas.openxmlformats.org/officeDocument/2006/relationships/chart" Target="../charts/chart70.xml"/><Relationship Id="rId7" Type="http://schemas.openxmlformats.org/officeDocument/2006/relationships/chart" Target="../charts/chart56.xml"/><Relationship Id="rId12" Type="http://schemas.openxmlformats.org/officeDocument/2006/relationships/chart" Target="../charts/chart61.xml"/><Relationship Id="rId17" Type="http://schemas.openxmlformats.org/officeDocument/2006/relationships/chart" Target="../charts/chart66.xml"/><Relationship Id="rId2" Type="http://schemas.openxmlformats.org/officeDocument/2006/relationships/chart" Target="../charts/chart51.xml"/><Relationship Id="rId16" Type="http://schemas.openxmlformats.org/officeDocument/2006/relationships/chart" Target="../charts/chart65.xml"/><Relationship Id="rId20" Type="http://schemas.openxmlformats.org/officeDocument/2006/relationships/chart" Target="../charts/chart69.xml"/><Relationship Id="rId1" Type="http://schemas.openxmlformats.org/officeDocument/2006/relationships/chart" Target="../charts/chart50.xml"/><Relationship Id="rId6" Type="http://schemas.openxmlformats.org/officeDocument/2006/relationships/chart" Target="../charts/chart55.xml"/><Relationship Id="rId11" Type="http://schemas.openxmlformats.org/officeDocument/2006/relationships/chart" Target="../charts/chart60.xml"/><Relationship Id="rId5" Type="http://schemas.openxmlformats.org/officeDocument/2006/relationships/chart" Target="../charts/chart54.xml"/><Relationship Id="rId15" Type="http://schemas.openxmlformats.org/officeDocument/2006/relationships/chart" Target="../charts/chart64.xml"/><Relationship Id="rId10" Type="http://schemas.openxmlformats.org/officeDocument/2006/relationships/chart" Target="../charts/chart59.xml"/><Relationship Id="rId19" Type="http://schemas.openxmlformats.org/officeDocument/2006/relationships/chart" Target="../charts/chart68.xml"/><Relationship Id="rId4" Type="http://schemas.openxmlformats.org/officeDocument/2006/relationships/chart" Target="../charts/chart53.xml"/><Relationship Id="rId9" Type="http://schemas.openxmlformats.org/officeDocument/2006/relationships/chart" Target="../charts/chart58.xml"/><Relationship Id="rId14" Type="http://schemas.openxmlformats.org/officeDocument/2006/relationships/chart" Target="../charts/chart63.xml"/><Relationship Id="rId22" Type="http://schemas.openxmlformats.org/officeDocument/2006/relationships/image" Target="../media/image6.png"/></Relationships>
</file>

<file path=xl/drawings/_rels/drawing44.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4" Type="http://schemas.openxmlformats.org/officeDocument/2006/relationships/chart" Target="../charts/chart74.xml"/></Relationships>
</file>

<file path=xl/drawings/_rels/drawing49.xml.rels><?xml version="1.0" encoding="UTF-8" standalone="yes"?>
<Relationships xmlns="http://schemas.openxmlformats.org/package/2006/relationships"><Relationship Id="rId8" Type="http://schemas.openxmlformats.org/officeDocument/2006/relationships/chart" Target="../charts/chart84.xml"/><Relationship Id="rId3" Type="http://schemas.openxmlformats.org/officeDocument/2006/relationships/chart" Target="../charts/chart79.xml"/><Relationship Id="rId7" Type="http://schemas.openxmlformats.org/officeDocument/2006/relationships/chart" Target="../charts/chart83.xml"/><Relationship Id="rId12" Type="http://schemas.openxmlformats.org/officeDocument/2006/relationships/chart" Target="../charts/chart88.xml"/><Relationship Id="rId2" Type="http://schemas.openxmlformats.org/officeDocument/2006/relationships/chart" Target="../charts/chart78.xml"/><Relationship Id="rId1" Type="http://schemas.openxmlformats.org/officeDocument/2006/relationships/chart" Target="../charts/chart77.xml"/><Relationship Id="rId6" Type="http://schemas.openxmlformats.org/officeDocument/2006/relationships/chart" Target="../charts/chart82.xml"/><Relationship Id="rId11" Type="http://schemas.openxmlformats.org/officeDocument/2006/relationships/chart" Target="../charts/chart87.xml"/><Relationship Id="rId5" Type="http://schemas.openxmlformats.org/officeDocument/2006/relationships/chart" Target="../charts/chart81.xml"/><Relationship Id="rId10" Type="http://schemas.openxmlformats.org/officeDocument/2006/relationships/chart" Target="../charts/chart86.xml"/><Relationship Id="rId4" Type="http://schemas.openxmlformats.org/officeDocument/2006/relationships/chart" Target="../charts/chart80.xml"/><Relationship Id="rId9" Type="http://schemas.openxmlformats.org/officeDocument/2006/relationships/chart" Target="../charts/chart85.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5.xml"/><Relationship Id="rId13" Type="http://schemas.openxmlformats.org/officeDocument/2006/relationships/image" Target="../media/image2.png"/><Relationship Id="rId18" Type="http://schemas.openxmlformats.org/officeDocument/2006/relationships/chart" Target="../charts/chart24.xml"/><Relationship Id="rId3" Type="http://schemas.openxmlformats.org/officeDocument/2006/relationships/chart" Target="../charts/chart10.xml"/><Relationship Id="rId21" Type="http://schemas.openxmlformats.org/officeDocument/2006/relationships/image" Target="../media/image3.png"/><Relationship Id="rId7" Type="http://schemas.openxmlformats.org/officeDocument/2006/relationships/chart" Target="../charts/chart14.xml"/><Relationship Id="rId12" Type="http://schemas.openxmlformats.org/officeDocument/2006/relationships/chart" Target="../charts/chart19.xml"/><Relationship Id="rId17" Type="http://schemas.openxmlformats.org/officeDocument/2006/relationships/chart" Target="../charts/chart23.xml"/><Relationship Id="rId2" Type="http://schemas.openxmlformats.org/officeDocument/2006/relationships/chart" Target="../charts/chart9.xml"/><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5" Type="http://schemas.openxmlformats.org/officeDocument/2006/relationships/chart" Target="../charts/chart21.xml"/><Relationship Id="rId10" Type="http://schemas.openxmlformats.org/officeDocument/2006/relationships/chart" Target="../charts/chart17.xml"/><Relationship Id="rId19" Type="http://schemas.openxmlformats.org/officeDocument/2006/relationships/chart" Target="../charts/chart25.xml"/><Relationship Id="rId4" Type="http://schemas.openxmlformats.org/officeDocument/2006/relationships/chart" Target="../charts/chart11.xml"/><Relationship Id="rId9" Type="http://schemas.openxmlformats.org/officeDocument/2006/relationships/chart" Target="../charts/chart16.xml"/><Relationship Id="rId14" Type="http://schemas.openxmlformats.org/officeDocument/2006/relationships/chart" Target="../charts/chart20.xml"/><Relationship Id="rId22"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1447800</xdr:colOff>
      <xdr:row>4</xdr:row>
      <xdr:rowOff>76856</xdr:rowOff>
    </xdr:to>
    <xdr:pic>
      <xdr:nvPicPr>
        <xdr:cNvPr id="2" name="Ministry of Health logo" descr="Ministry of Health logo" title="Ministry of Health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1447800" cy="734081"/>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0.01033</cdr:x>
      <cdr:y>0.01588</cdr:y>
    </cdr:from>
    <cdr:to>
      <cdr:x>0.42765</cdr:x>
      <cdr:y>0.15346</cdr:y>
    </cdr:to>
    <cdr:sp macro="" textlink="">
      <cdr:nvSpPr>
        <cdr:cNvPr id="3" name="TextBox 2"/>
        <cdr:cNvSpPr txBox="1"/>
      </cdr:nvSpPr>
      <cdr:spPr>
        <a:xfrm xmlns:a="http://schemas.openxmlformats.org/drawingml/2006/main">
          <a:off x="30599" y="28739"/>
          <a:ext cx="1236225" cy="2489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dr:relSizeAnchor xmlns:cdr="http://schemas.openxmlformats.org/drawingml/2006/chartDrawing">
    <cdr:from>
      <cdr:x>0</cdr:x>
      <cdr:y>0</cdr:y>
    </cdr:from>
    <cdr:to>
      <cdr:x>0.50957</cdr:x>
      <cdr:y>0.13925</cdr:y>
    </cdr:to>
    <cdr:sp macro="" textlink="">
      <cdr:nvSpPr>
        <cdr:cNvPr id="2" name="TextBox 1"/>
        <cdr:cNvSpPr txBox="1"/>
      </cdr:nvSpPr>
      <cdr:spPr>
        <a:xfrm xmlns:a="http://schemas.openxmlformats.org/drawingml/2006/main">
          <a:off x="0" y="0"/>
          <a:ext cx="148590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0.00651</cdr:x>
      <cdr:y>0.03226</cdr:y>
    </cdr:from>
    <cdr:to>
      <cdr:x>0.41368</cdr:x>
      <cdr:y>0.13441</cdr:y>
    </cdr:to>
    <cdr:sp macro="" textlink="">
      <cdr:nvSpPr>
        <cdr:cNvPr id="4" name="TextBox 1"/>
        <cdr:cNvSpPr txBox="1"/>
      </cdr:nvSpPr>
      <cdr:spPr>
        <a:xfrm xmlns:a="http://schemas.openxmlformats.org/drawingml/2006/main">
          <a:off x="19050" y="57151"/>
          <a:ext cx="119062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0.02623</cdr:x>
      <cdr:y>0.11483</cdr:y>
    </cdr:from>
    <cdr:to>
      <cdr:x>0.43934</cdr:x>
      <cdr:y>0.22178</cdr:y>
    </cdr:to>
    <cdr:sp macro="" textlink="">
      <cdr:nvSpPr>
        <cdr:cNvPr id="5" name="TextBox 2"/>
        <cdr:cNvSpPr txBox="1"/>
      </cdr:nvSpPr>
      <cdr:spPr>
        <a:xfrm xmlns:a="http://schemas.openxmlformats.org/drawingml/2006/main">
          <a:off x="76487" y="236255"/>
          <a:ext cx="1204628" cy="2200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cdr:y>
    </cdr:from>
    <cdr:to>
      <cdr:x>0.50957</cdr:x>
      <cdr:y>0.13925</cdr:y>
    </cdr:to>
    <cdr:sp macro="" textlink="">
      <cdr:nvSpPr>
        <cdr:cNvPr id="2" name="TextBox 1"/>
        <cdr:cNvSpPr txBox="1"/>
      </cdr:nvSpPr>
      <cdr:spPr>
        <a:xfrm xmlns:a="http://schemas.openxmlformats.org/drawingml/2006/main">
          <a:off x="0" y="0"/>
          <a:ext cx="148590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0.00651</cdr:x>
      <cdr:y>0.03226</cdr:y>
    </cdr:from>
    <cdr:to>
      <cdr:x>0.41368</cdr:x>
      <cdr:y>0.13441</cdr:y>
    </cdr:to>
    <cdr:sp macro="" textlink="">
      <cdr:nvSpPr>
        <cdr:cNvPr id="3" name="TextBox 1"/>
        <cdr:cNvSpPr txBox="1"/>
      </cdr:nvSpPr>
      <cdr:spPr>
        <a:xfrm xmlns:a="http://schemas.openxmlformats.org/drawingml/2006/main">
          <a:off x="19050" y="57151"/>
          <a:ext cx="119062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0.0295</cdr:x>
      <cdr:y>0.17718</cdr:y>
    </cdr:from>
    <cdr:to>
      <cdr:x>0.44261</cdr:x>
      <cdr:y>0.27994</cdr:y>
    </cdr:to>
    <cdr:sp macro="" textlink="">
      <cdr:nvSpPr>
        <cdr:cNvPr id="4" name="TextBox 2"/>
        <cdr:cNvSpPr txBox="1"/>
      </cdr:nvSpPr>
      <cdr:spPr>
        <a:xfrm xmlns:a="http://schemas.openxmlformats.org/drawingml/2006/main">
          <a:off x="86012" y="393226"/>
          <a:ext cx="1204628" cy="228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cdr:y>
    </cdr:from>
    <cdr:to>
      <cdr:x>0.50957</cdr:x>
      <cdr:y>0.13925</cdr:y>
    </cdr:to>
    <cdr:sp macro="" textlink="">
      <cdr:nvSpPr>
        <cdr:cNvPr id="3" name="TextBox 1"/>
        <cdr:cNvSpPr txBox="1"/>
      </cdr:nvSpPr>
      <cdr:spPr>
        <a:xfrm xmlns:a="http://schemas.openxmlformats.org/drawingml/2006/main">
          <a:off x="0" y="0"/>
          <a:ext cx="148590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0.00651</cdr:x>
      <cdr:y>0.03226</cdr:y>
    </cdr:from>
    <cdr:to>
      <cdr:x>0.41368</cdr:x>
      <cdr:y>0.13441</cdr:y>
    </cdr:to>
    <cdr:sp macro="" textlink="">
      <cdr:nvSpPr>
        <cdr:cNvPr id="4" name="TextBox 1"/>
        <cdr:cNvSpPr txBox="1"/>
      </cdr:nvSpPr>
      <cdr:spPr>
        <a:xfrm xmlns:a="http://schemas.openxmlformats.org/drawingml/2006/main">
          <a:off x="19050" y="57151"/>
          <a:ext cx="119062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0.02623</cdr:x>
      <cdr:y>0.11483</cdr:y>
    </cdr:from>
    <cdr:to>
      <cdr:x>0.43934</cdr:x>
      <cdr:y>0.22178</cdr:y>
    </cdr:to>
    <cdr:sp macro="" textlink="">
      <cdr:nvSpPr>
        <cdr:cNvPr id="5" name="TextBox 2"/>
        <cdr:cNvSpPr txBox="1"/>
      </cdr:nvSpPr>
      <cdr:spPr>
        <a:xfrm xmlns:a="http://schemas.openxmlformats.org/drawingml/2006/main">
          <a:off x="76487" y="236255"/>
          <a:ext cx="1204628" cy="2200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cdr:y>
    </cdr:from>
    <cdr:to>
      <cdr:x>0.50957</cdr:x>
      <cdr:y>0.13925</cdr:y>
    </cdr:to>
    <cdr:sp macro="" textlink="">
      <cdr:nvSpPr>
        <cdr:cNvPr id="3" name="TextBox 1"/>
        <cdr:cNvSpPr txBox="1"/>
      </cdr:nvSpPr>
      <cdr:spPr>
        <a:xfrm xmlns:a="http://schemas.openxmlformats.org/drawingml/2006/main">
          <a:off x="0" y="0"/>
          <a:ext cx="148590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0.00651</cdr:x>
      <cdr:y>0.03226</cdr:y>
    </cdr:from>
    <cdr:to>
      <cdr:x>0.41368</cdr:x>
      <cdr:y>0.13441</cdr:y>
    </cdr:to>
    <cdr:sp macro="" textlink="">
      <cdr:nvSpPr>
        <cdr:cNvPr id="4" name="TextBox 1"/>
        <cdr:cNvSpPr txBox="1"/>
      </cdr:nvSpPr>
      <cdr:spPr>
        <a:xfrm xmlns:a="http://schemas.openxmlformats.org/drawingml/2006/main">
          <a:off x="19050" y="57151"/>
          <a:ext cx="119062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0.02623</cdr:x>
      <cdr:y>0.11483</cdr:y>
    </cdr:from>
    <cdr:to>
      <cdr:x>0.43934</cdr:x>
      <cdr:y>0.22178</cdr:y>
    </cdr:to>
    <cdr:sp macro="" textlink="">
      <cdr:nvSpPr>
        <cdr:cNvPr id="5" name="TextBox 2"/>
        <cdr:cNvSpPr txBox="1"/>
      </cdr:nvSpPr>
      <cdr:spPr>
        <a:xfrm xmlns:a="http://schemas.openxmlformats.org/drawingml/2006/main">
          <a:off x="76487" y="236255"/>
          <a:ext cx="1204628" cy="2200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0.00653</cdr:y>
    </cdr:from>
    <cdr:to>
      <cdr:x>0.40778</cdr:x>
      <cdr:y>0.14411</cdr:y>
    </cdr:to>
    <cdr:sp macro="" textlink="">
      <cdr:nvSpPr>
        <cdr:cNvPr id="3" name="TextBox 2"/>
        <cdr:cNvSpPr txBox="1"/>
      </cdr:nvSpPr>
      <cdr:spPr>
        <a:xfrm xmlns:a="http://schemas.openxmlformats.org/drawingml/2006/main">
          <a:off x="0" y="13317"/>
          <a:ext cx="1189078" cy="2804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cdr:y>
    </cdr:from>
    <cdr:to>
      <cdr:x>0.46384</cdr:x>
      <cdr:y>0.11651</cdr:y>
    </cdr:to>
    <cdr:sp macro="" textlink="">
      <cdr:nvSpPr>
        <cdr:cNvPr id="2" name="TextBox 1"/>
        <cdr:cNvSpPr txBox="1"/>
      </cdr:nvSpPr>
      <cdr:spPr>
        <a:xfrm xmlns:a="http://schemas.openxmlformats.org/drawingml/2006/main">
          <a:off x="0" y="0"/>
          <a:ext cx="13525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a:t>
          </a:r>
          <a:r>
            <a:rPr lang="en-NZ" sz="900" baseline="0">
              <a:latin typeface="Arial" panose="020B0604020202020204" pitchFamily="34" charset="0"/>
              <a:cs typeface="Arial" panose="020B0604020202020204" pitchFamily="34" charset="0"/>
            </a:rPr>
            <a:t> 100,000</a:t>
          </a:r>
          <a:endParaRPr lang="en-NZ" sz="900">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0.01652</cdr:x>
      <cdr:y>5.55556E-7</cdr:y>
    </cdr:from>
    <cdr:to>
      <cdr:x>0.43932</cdr:x>
      <cdr:y>0.127</cdr:y>
    </cdr:to>
    <cdr:sp macro="" textlink="">
      <cdr:nvSpPr>
        <cdr:cNvPr id="2" name="TextBox 1"/>
        <cdr:cNvSpPr txBox="1"/>
      </cdr:nvSpPr>
      <cdr:spPr>
        <a:xfrm xmlns:a="http://schemas.openxmlformats.org/drawingml/2006/main">
          <a:off x="47625" y="1"/>
          <a:ext cx="12192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a:t>Percent</a:t>
          </a: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0.50957</cdr:x>
      <cdr:y>0.13925</cdr:y>
    </cdr:to>
    <cdr:sp macro="" textlink="">
      <cdr:nvSpPr>
        <cdr:cNvPr id="5" name="TextBox 1"/>
        <cdr:cNvSpPr txBox="1"/>
      </cdr:nvSpPr>
      <cdr:spPr>
        <a:xfrm xmlns:a="http://schemas.openxmlformats.org/drawingml/2006/main">
          <a:off x="0" y="0"/>
          <a:ext cx="148590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0.00651</cdr:x>
      <cdr:y>0.03226</cdr:y>
    </cdr:from>
    <cdr:to>
      <cdr:x>0.41368</cdr:x>
      <cdr:y>0.13441</cdr:y>
    </cdr:to>
    <cdr:sp macro="" textlink="">
      <cdr:nvSpPr>
        <cdr:cNvPr id="6" name="TextBox 1"/>
        <cdr:cNvSpPr txBox="1"/>
      </cdr:nvSpPr>
      <cdr:spPr>
        <a:xfrm xmlns:a="http://schemas.openxmlformats.org/drawingml/2006/main">
          <a:off x="19050" y="57151"/>
          <a:ext cx="119062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0.02623</cdr:x>
      <cdr:y>0.11483</cdr:y>
    </cdr:from>
    <cdr:to>
      <cdr:x>0.43934</cdr:x>
      <cdr:y>0.22178</cdr:y>
    </cdr:to>
    <cdr:sp macro="" textlink="">
      <cdr:nvSpPr>
        <cdr:cNvPr id="7" name="TextBox 2"/>
        <cdr:cNvSpPr txBox="1"/>
      </cdr:nvSpPr>
      <cdr:spPr>
        <a:xfrm xmlns:a="http://schemas.openxmlformats.org/drawingml/2006/main">
          <a:off x="76487" y="236255"/>
          <a:ext cx="1204628" cy="2200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cdr:y>
    </cdr:from>
    <cdr:to>
      <cdr:x>0.50957</cdr:x>
      <cdr:y>0.13925</cdr:y>
    </cdr:to>
    <cdr:sp macro="" textlink="">
      <cdr:nvSpPr>
        <cdr:cNvPr id="2" name="TextBox 1"/>
        <cdr:cNvSpPr txBox="1"/>
      </cdr:nvSpPr>
      <cdr:spPr>
        <a:xfrm xmlns:a="http://schemas.openxmlformats.org/drawingml/2006/main">
          <a:off x="0" y="0"/>
          <a:ext cx="148590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0.00651</cdr:x>
      <cdr:y>0.03226</cdr:y>
    </cdr:from>
    <cdr:to>
      <cdr:x>0.41368</cdr:x>
      <cdr:y>0.13441</cdr:y>
    </cdr:to>
    <cdr:sp macro="" textlink="">
      <cdr:nvSpPr>
        <cdr:cNvPr id="4" name="TextBox 1"/>
        <cdr:cNvSpPr txBox="1"/>
      </cdr:nvSpPr>
      <cdr:spPr>
        <a:xfrm xmlns:a="http://schemas.openxmlformats.org/drawingml/2006/main">
          <a:off x="19050" y="57151"/>
          <a:ext cx="119062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0.02623</cdr:x>
      <cdr:y>0.11483</cdr:y>
    </cdr:from>
    <cdr:to>
      <cdr:x>0.43934</cdr:x>
      <cdr:y>0.22178</cdr:y>
    </cdr:to>
    <cdr:sp macro="" textlink="">
      <cdr:nvSpPr>
        <cdr:cNvPr id="8" name="TextBox 2"/>
        <cdr:cNvSpPr txBox="1"/>
      </cdr:nvSpPr>
      <cdr:spPr>
        <a:xfrm xmlns:a="http://schemas.openxmlformats.org/drawingml/2006/main">
          <a:off x="76487" y="236255"/>
          <a:ext cx="1204628" cy="2200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0.02369</cdr:x>
      <cdr:y>0.02679</cdr:y>
    </cdr:from>
    <cdr:to>
      <cdr:x>0.21167</cdr:x>
      <cdr:y>0.15627</cdr:y>
    </cdr:to>
    <cdr:sp macro="" textlink="">
      <cdr:nvSpPr>
        <cdr:cNvPr id="2" name="TextBox 1"/>
        <cdr:cNvSpPr txBox="1"/>
      </cdr:nvSpPr>
      <cdr:spPr>
        <a:xfrm xmlns:a="http://schemas.openxmlformats.org/drawingml/2006/main">
          <a:off x="142877" y="57149"/>
          <a:ext cx="11334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19.xml><?xml version="1.0" encoding="utf-8"?>
<xdr:wsDr xmlns:xdr="http://schemas.openxmlformats.org/drawingml/2006/spreadsheetDrawing" xmlns:a="http://schemas.openxmlformats.org/drawingml/2006/main">
  <xdr:twoCellAnchor>
    <xdr:from>
      <xdr:col>2</xdr:col>
      <xdr:colOff>9525</xdr:colOff>
      <xdr:row>8</xdr:row>
      <xdr:rowOff>95250</xdr:rowOff>
    </xdr:from>
    <xdr:to>
      <xdr:col>12</xdr:col>
      <xdr:colOff>267300</xdr:colOff>
      <xdr:row>19</xdr:row>
      <xdr:rowOff>114075</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123823</xdr:colOff>
      <xdr:row>27</xdr:row>
      <xdr:rowOff>114300</xdr:rowOff>
    </xdr:from>
    <xdr:to>
      <xdr:col>12</xdr:col>
      <xdr:colOff>238723</xdr:colOff>
      <xdr:row>38</xdr:row>
      <xdr:rowOff>133125</xdr:rowOff>
    </xdr:to>
    <xdr:graphicFrame macro="">
      <xdr:nvGraphicFramePr>
        <xdr:cNvPr id="7" name="Chart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514350</xdr:colOff>
      <xdr:row>60</xdr:row>
      <xdr:rowOff>38100</xdr:rowOff>
    </xdr:from>
    <xdr:to>
      <xdr:col>12</xdr:col>
      <xdr:colOff>276783</xdr:colOff>
      <xdr:row>71</xdr:row>
      <xdr:rowOff>95251</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28575</xdr:colOff>
      <xdr:row>45</xdr:row>
      <xdr:rowOff>82102</xdr:rowOff>
    </xdr:from>
    <xdr:to>
      <xdr:col>6</xdr:col>
      <xdr:colOff>561976</xdr:colOff>
      <xdr:row>58</xdr:row>
      <xdr:rowOff>101152</xdr:rowOff>
    </xdr:to>
    <xdr:graphicFrame macro="">
      <xdr:nvGraphicFramePr>
        <xdr:cNvPr id="10" name="Chart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561976</xdr:colOff>
      <xdr:row>45</xdr:row>
      <xdr:rowOff>82102</xdr:rowOff>
    </xdr:from>
    <xdr:to>
      <xdr:col>12</xdr:col>
      <xdr:colOff>266700</xdr:colOff>
      <xdr:row>58</xdr:row>
      <xdr:rowOff>123601</xdr:rowOff>
    </xdr:to>
    <xdr:graphicFrame macro="">
      <xdr:nvGraphicFramePr>
        <xdr:cNvPr id="11" name="Chart 10">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60</xdr:row>
      <xdr:rowOff>19049</xdr:rowOff>
    </xdr:from>
    <xdr:to>
      <xdr:col>6</xdr:col>
      <xdr:colOff>561975</xdr:colOff>
      <xdr:row>71</xdr:row>
      <xdr:rowOff>85725</xdr:rowOff>
    </xdr:to>
    <xdr:graphicFrame macro="">
      <xdr:nvGraphicFramePr>
        <xdr:cNvPr id="12" name="Chart 1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47622</xdr:colOff>
      <xdr:row>29</xdr:row>
      <xdr:rowOff>85724</xdr:rowOff>
    </xdr:from>
    <xdr:to>
      <xdr:col>15</xdr:col>
      <xdr:colOff>209550</xdr:colOff>
      <xdr:row>42</xdr:row>
      <xdr:rowOff>161924</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171449</xdr:colOff>
      <xdr:row>75</xdr:row>
      <xdr:rowOff>47625</xdr:rowOff>
    </xdr:from>
    <xdr:to>
      <xdr:col>7</xdr:col>
      <xdr:colOff>790575</xdr:colOff>
      <xdr:row>88</xdr:row>
      <xdr:rowOff>104775</xdr:rowOff>
    </xdr:to>
    <xdr:graphicFrame macro="">
      <xdr:nvGraphicFramePr>
        <xdr:cNvPr id="16" name="Chart 15">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695325</xdr:colOff>
      <xdr:row>75</xdr:row>
      <xdr:rowOff>57148</xdr:rowOff>
    </xdr:from>
    <xdr:to>
      <xdr:col>15</xdr:col>
      <xdr:colOff>439725</xdr:colOff>
      <xdr:row>88</xdr:row>
      <xdr:rowOff>123825</xdr:rowOff>
    </xdr:to>
    <xdr:graphicFrame macro="">
      <xdr:nvGraphicFramePr>
        <xdr:cNvPr id="18" name="Chart 17">
          <a:extLst>
            <a:ext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114300</xdr:colOff>
      <xdr:row>96</xdr:row>
      <xdr:rowOff>85725</xdr:rowOff>
    </xdr:from>
    <xdr:to>
      <xdr:col>15</xdr:col>
      <xdr:colOff>342900</xdr:colOff>
      <xdr:row>109</xdr:row>
      <xdr:rowOff>19049</xdr:rowOff>
    </xdr:to>
    <xdr:graphicFrame macro="">
      <xdr:nvGraphicFramePr>
        <xdr:cNvPr id="15" name="Chart 14">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104775</xdr:colOff>
      <xdr:row>51</xdr:row>
      <xdr:rowOff>19050</xdr:rowOff>
    </xdr:from>
    <xdr:to>
      <xdr:col>7</xdr:col>
      <xdr:colOff>523875</xdr:colOff>
      <xdr:row>64</xdr:row>
      <xdr:rowOff>100500</xdr:rowOff>
    </xdr:to>
    <xdr:graphicFrame macro="">
      <xdr:nvGraphicFramePr>
        <xdr:cNvPr id="24" name="Chart 23">
          <a:extLst>
            <a:ext uri="{FF2B5EF4-FFF2-40B4-BE49-F238E27FC236}">
              <a16:creationId xmlns:a16="http://schemas.microsoft.com/office/drawing/2014/main" id="{00000000-0008-0000-0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752475</xdr:colOff>
      <xdr:row>51</xdr:row>
      <xdr:rowOff>47623</xdr:rowOff>
    </xdr:from>
    <xdr:to>
      <xdr:col>15</xdr:col>
      <xdr:colOff>219675</xdr:colOff>
      <xdr:row>64</xdr:row>
      <xdr:rowOff>129073</xdr:rowOff>
    </xdr:to>
    <xdr:graphicFrame macro="">
      <xdr:nvGraphicFramePr>
        <xdr:cNvPr id="28" name="Chart 27">
          <a:extLst>
            <a:ext uri="{FF2B5EF4-FFF2-40B4-BE49-F238E27FC236}">
              <a16:creationId xmlns:a16="http://schemas.microsoft.com/office/drawing/2014/main" id="{00000000-0008-0000-0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104774</xdr:colOff>
      <xdr:row>119</xdr:row>
      <xdr:rowOff>47625</xdr:rowOff>
    </xdr:from>
    <xdr:to>
      <xdr:col>15</xdr:col>
      <xdr:colOff>76200</xdr:colOff>
      <xdr:row>132</xdr:row>
      <xdr:rowOff>257175</xdr:rowOff>
    </xdr:to>
    <xdr:graphicFrame macro="">
      <xdr:nvGraphicFramePr>
        <xdr:cNvPr id="25" name="Chart 24">
          <a:extLst>
            <a:ext uri="{FF2B5EF4-FFF2-40B4-BE49-F238E27FC236}">
              <a16:creationId xmlns:a16="http://schemas.microsoft.com/office/drawing/2014/main" id="{00000000-0008-0000-0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0.021</cdr:x>
      <cdr:y>0.02794</cdr:y>
    </cdr:from>
    <cdr:to>
      <cdr:x>0.22937</cdr:x>
      <cdr:y>0.17321</cdr:y>
    </cdr:to>
    <cdr:sp macro="" textlink="">
      <cdr:nvSpPr>
        <cdr:cNvPr id="5" name="TextBox 4"/>
        <cdr:cNvSpPr txBox="1"/>
      </cdr:nvSpPr>
      <cdr:spPr>
        <a:xfrm xmlns:a="http://schemas.openxmlformats.org/drawingml/2006/main">
          <a:off x="123825" y="47625"/>
          <a:ext cx="12287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21.xml><?xml version="1.0" encoding="utf-8"?>
<c:userShapes xmlns:c="http://schemas.openxmlformats.org/drawingml/2006/chart">
  <cdr:relSizeAnchor xmlns:cdr="http://schemas.openxmlformats.org/drawingml/2006/chartDrawing">
    <cdr:from>
      <cdr:x>0.00812</cdr:x>
      <cdr:y>0.01058</cdr:y>
    </cdr:from>
    <cdr:to>
      <cdr:x>0.23377</cdr:x>
      <cdr:y>0.127</cdr:y>
    </cdr:to>
    <cdr:sp macro="" textlink="">
      <cdr:nvSpPr>
        <cdr:cNvPr id="4" name="TextBox 3"/>
        <cdr:cNvSpPr txBox="1"/>
      </cdr:nvSpPr>
      <cdr:spPr>
        <a:xfrm xmlns:a="http://schemas.openxmlformats.org/drawingml/2006/main">
          <a:off x="47627" y="19050"/>
          <a:ext cx="132397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22.xml><?xml version="1.0" encoding="utf-8"?>
<c:userShapes xmlns:c="http://schemas.openxmlformats.org/drawingml/2006/chart">
  <cdr:relSizeAnchor xmlns:cdr="http://schemas.openxmlformats.org/drawingml/2006/chartDrawing">
    <cdr:from>
      <cdr:x>0.00651</cdr:x>
      <cdr:y>0.03226</cdr:y>
    </cdr:from>
    <cdr:to>
      <cdr:x>0.41368</cdr:x>
      <cdr:y>0.13441</cdr:y>
    </cdr:to>
    <cdr:sp macro="" textlink="">
      <cdr:nvSpPr>
        <cdr:cNvPr id="2" name="TextBox 1"/>
        <cdr:cNvSpPr txBox="1"/>
      </cdr:nvSpPr>
      <cdr:spPr>
        <a:xfrm xmlns:a="http://schemas.openxmlformats.org/drawingml/2006/main">
          <a:off x="19050" y="57151"/>
          <a:ext cx="119062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0.02623</cdr:x>
      <cdr:y>0.13798</cdr:y>
    </cdr:from>
    <cdr:to>
      <cdr:x>0.43934</cdr:x>
      <cdr:y>0.24493</cdr:y>
    </cdr:to>
    <cdr:sp macro="" textlink="">
      <cdr:nvSpPr>
        <cdr:cNvPr id="3" name="TextBox 2"/>
        <cdr:cNvSpPr txBox="1"/>
      </cdr:nvSpPr>
      <cdr:spPr>
        <a:xfrm xmlns:a="http://schemas.openxmlformats.org/drawingml/2006/main">
          <a:off x="76200" y="293085"/>
          <a:ext cx="1200150" cy="2271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23.xml><?xml version="1.0" encoding="utf-8"?>
<xdr:wsDr xmlns:xdr="http://schemas.openxmlformats.org/drawingml/2006/spreadsheetDrawing" xmlns:a="http://schemas.openxmlformats.org/drawingml/2006/main">
  <xdr:twoCellAnchor>
    <xdr:from>
      <xdr:col>2</xdr:col>
      <xdr:colOff>38100</xdr:colOff>
      <xdr:row>26</xdr:row>
      <xdr:rowOff>57150</xdr:rowOff>
    </xdr:from>
    <xdr:to>
      <xdr:col>10</xdr:col>
      <xdr:colOff>143475</xdr:colOff>
      <xdr:row>37</xdr:row>
      <xdr:rowOff>104550</xdr:rowOff>
    </xdr:to>
    <xdr:graphicFrame macro="">
      <xdr:nvGraphicFramePr>
        <xdr:cNvPr id="4"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47624</xdr:colOff>
      <xdr:row>45</xdr:row>
      <xdr:rowOff>38100</xdr:rowOff>
    </xdr:from>
    <xdr:to>
      <xdr:col>10</xdr:col>
      <xdr:colOff>219074</xdr:colOff>
      <xdr:row>56</xdr:row>
      <xdr:rowOff>28575</xdr:rowOff>
    </xdr:to>
    <xdr:graphicFrame macro="">
      <xdr:nvGraphicFramePr>
        <xdr:cNvPr id="7" name="Chart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123822</xdr:colOff>
      <xdr:row>85</xdr:row>
      <xdr:rowOff>66675</xdr:rowOff>
    </xdr:from>
    <xdr:to>
      <xdr:col>6</xdr:col>
      <xdr:colOff>601422</xdr:colOff>
      <xdr:row>97</xdr:row>
      <xdr:rowOff>85575</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95250</xdr:colOff>
      <xdr:row>85</xdr:row>
      <xdr:rowOff>57150</xdr:rowOff>
    </xdr:from>
    <xdr:to>
      <xdr:col>10</xdr:col>
      <xdr:colOff>224625</xdr:colOff>
      <xdr:row>97</xdr:row>
      <xdr:rowOff>76050</xdr:rowOff>
    </xdr:to>
    <xdr:graphicFrame macro="">
      <xdr:nvGraphicFramePr>
        <xdr:cNvPr id="14" name="Chart 13">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76200</xdr:colOff>
      <xdr:row>99</xdr:row>
      <xdr:rowOff>38099</xdr:rowOff>
    </xdr:from>
    <xdr:to>
      <xdr:col>6</xdr:col>
      <xdr:colOff>553800</xdr:colOff>
      <xdr:row>111</xdr:row>
      <xdr:rowOff>56999</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57147</xdr:colOff>
      <xdr:row>99</xdr:row>
      <xdr:rowOff>47624</xdr:rowOff>
    </xdr:from>
    <xdr:to>
      <xdr:col>10</xdr:col>
      <xdr:colOff>186522</xdr:colOff>
      <xdr:row>111</xdr:row>
      <xdr:rowOff>66524</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66674</xdr:colOff>
      <xdr:row>7</xdr:row>
      <xdr:rowOff>57149</xdr:rowOff>
    </xdr:from>
    <xdr:to>
      <xdr:col>10</xdr:col>
      <xdr:colOff>200024</xdr:colOff>
      <xdr:row>18</xdr:row>
      <xdr:rowOff>152399</xdr:rowOff>
    </xdr:to>
    <xdr:graphicFrame macro="">
      <xdr:nvGraphicFramePr>
        <xdr:cNvPr id="12" name="Chart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95249</xdr:colOff>
      <xdr:row>63</xdr:row>
      <xdr:rowOff>85723</xdr:rowOff>
    </xdr:from>
    <xdr:to>
      <xdr:col>10</xdr:col>
      <xdr:colOff>247649</xdr:colOff>
      <xdr:row>75</xdr:row>
      <xdr:rowOff>85724</xdr:rowOff>
    </xdr:to>
    <xdr:graphicFrame macro="">
      <xdr:nvGraphicFramePr>
        <xdr:cNvPr id="13" name="Chart 12">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0.00162</cdr:x>
      <cdr:y>0</cdr:y>
    </cdr:from>
    <cdr:to>
      <cdr:x>0.2029</cdr:x>
      <cdr:y>0.10583</cdr:y>
    </cdr:to>
    <cdr:sp macro="" textlink="">
      <cdr:nvSpPr>
        <cdr:cNvPr id="2" name="TextBox 1"/>
        <cdr:cNvSpPr txBox="1"/>
      </cdr:nvSpPr>
      <cdr:spPr>
        <a:xfrm xmlns:a="http://schemas.openxmlformats.org/drawingml/2006/main">
          <a:off x="9525" y="0"/>
          <a:ext cx="11811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0.02117</cdr:y>
    </cdr:from>
    <cdr:to>
      <cdr:x>0.28731</cdr:x>
      <cdr:y>0.14288</cdr:y>
    </cdr:to>
    <cdr:sp macro="" textlink="">
      <cdr:nvSpPr>
        <cdr:cNvPr id="2"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dr:relSizeAnchor xmlns:cdr="http://schemas.openxmlformats.org/drawingml/2006/chartDrawing">
    <cdr:from>
      <cdr:x>0.00162</cdr:x>
      <cdr:y>0</cdr:y>
    </cdr:from>
    <cdr:to>
      <cdr:x>0.2029</cdr:x>
      <cdr:y>0.10583</cdr:y>
    </cdr:to>
    <cdr:sp macro="" textlink="">
      <cdr:nvSpPr>
        <cdr:cNvPr id="3" name="TextBox 1"/>
        <cdr:cNvSpPr txBox="1"/>
      </cdr:nvSpPr>
      <cdr:spPr>
        <a:xfrm xmlns:a="http://schemas.openxmlformats.org/drawingml/2006/main">
          <a:off x="9525" y="0"/>
          <a:ext cx="11811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0.02117</cdr:y>
    </cdr:from>
    <cdr:to>
      <cdr:x>0.28731</cdr:x>
      <cdr:y>0.14288</cdr:y>
    </cdr:to>
    <cdr:sp macro="" textlink="">
      <cdr:nvSpPr>
        <cdr:cNvPr id="3"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0.41946</cdr:x>
      <cdr:y>0.14288</cdr:y>
    </cdr:to>
    <cdr:sp macro="" textlink="">
      <cdr:nvSpPr>
        <cdr:cNvPr id="4" name="TextBox 1"/>
        <cdr:cNvSpPr txBox="1"/>
      </cdr:nvSpPr>
      <cdr:spPr>
        <a:xfrm xmlns:a="http://schemas.openxmlformats.org/drawingml/2006/main">
          <a:off x="0" y="40531"/>
          <a:ext cx="1190627" cy="2330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5"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0.00162</cdr:x>
      <cdr:y>0</cdr:y>
    </cdr:from>
    <cdr:to>
      <cdr:x>0.2029</cdr:x>
      <cdr:y>0.10583</cdr:y>
    </cdr:to>
    <cdr:sp macro="" textlink="">
      <cdr:nvSpPr>
        <cdr:cNvPr id="6" name="TextBox 1"/>
        <cdr:cNvSpPr txBox="1"/>
      </cdr:nvSpPr>
      <cdr:spPr>
        <a:xfrm xmlns:a="http://schemas.openxmlformats.org/drawingml/2006/main">
          <a:off x="9525" y="0"/>
          <a:ext cx="11811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0.50671</cdr:x>
      <cdr:y>0.16667</cdr:y>
    </cdr:to>
    <cdr:sp macro="" textlink="">
      <cdr:nvSpPr>
        <cdr:cNvPr id="7" name="TextBox 1"/>
        <cdr:cNvSpPr txBox="1"/>
      </cdr:nvSpPr>
      <cdr:spPr>
        <a:xfrm xmlns:a="http://schemas.openxmlformats.org/drawingml/2006/main">
          <a:off x="0" y="43555"/>
          <a:ext cx="1438276" cy="2993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27.xml><?xml version="1.0" encoding="utf-8"?>
<c:userShapes xmlns:c="http://schemas.openxmlformats.org/drawingml/2006/chart">
  <cdr:relSizeAnchor xmlns:cdr="http://schemas.openxmlformats.org/drawingml/2006/chartDrawing">
    <cdr:from>
      <cdr:x>0</cdr:x>
      <cdr:y>0</cdr:y>
    </cdr:from>
    <cdr:to>
      <cdr:x>0.28244</cdr:x>
      <cdr:y>0.16471</cdr:y>
    </cdr:to>
    <cdr:sp macro="" textlink="">
      <cdr:nvSpPr>
        <cdr:cNvPr id="2" name="TextBox 1"/>
        <cdr:cNvSpPr txBox="1"/>
      </cdr:nvSpPr>
      <cdr:spPr>
        <a:xfrm xmlns:a="http://schemas.openxmlformats.org/drawingml/2006/main">
          <a:off x="0" y="0"/>
          <a:ext cx="16573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cdr:y>
    </cdr:from>
    <cdr:to>
      <cdr:x>0.4445</cdr:x>
      <cdr:y>0.16471</cdr:y>
    </cdr:to>
    <cdr:sp macro="" textlink="">
      <cdr:nvSpPr>
        <cdr:cNvPr id="3" name="TextBox 1"/>
        <cdr:cNvSpPr txBox="1"/>
      </cdr:nvSpPr>
      <cdr:spPr>
        <a:xfrm xmlns:a="http://schemas.openxmlformats.org/drawingml/2006/main">
          <a:off x="0" y="0"/>
          <a:ext cx="1200150" cy="29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0.02117</cdr:y>
    </cdr:from>
    <cdr:to>
      <cdr:x>0.28731</cdr:x>
      <cdr:y>0.14288</cdr:y>
    </cdr:to>
    <cdr:sp macro="" textlink="">
      <cdr:nvSpPr>
        <cdr:cNvPr id="4"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5"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6"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7"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0.41946</cdr:x>
      <cdr:y>0.14288</cdr:y>
    </cdr:to>
    <cdr:sp macro="" textlink="">
      <cdr:nvSpPr>
        <cdr:cNvPr id="8" name="TextBox 1"/>
        <cdr:cNvSpPr txBox="1"/>
      </cdr:nvSpPr>
      <cdr:spPr>
        <a:xfrm xmlns:a="http://schemas.openxmlformats.org/drawingml/2006/main">
          <a:off x="0" y="40531"/>
          <a:ext cx="1190627" cy="2330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9"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0.00162</cdr:x>
      <cdr:y>0</cdr:y>
    </cdr:from>
    <cdr:to>
      <cdr:x>0.2029</cdr:x>
      <cdr:y>0.10583</cdr:y>
    </cdr:to>
    <cdr:sp macro="" textlink="">
      <cdr:nvSpPr>
        <cdr:cNvPr id="10" name="TextBox 1"/>
        <cdr:cNvSpPr txBox="1"/>
      </cdr:nvSpPr>
      <cdr:spPr>
        <a:xfrm xmlns:a="http://schemas.openxmlformats.org/drawingml/2006/main">
          <a:off x="9525" y="0"/>
          <a:ext cx="11811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cdr:x>
      <cdr:y>0</cdr:y>
    </cdr:from>
    <cdr:to>
      <cdr:x>0.28244</cdr:x>
      <cdr:y>0.16471</cdr:y>
    </cdr:to>
    <cdr:sp macro="" textlink="">
      <cdr:nvSpPr>
        <cdr:cNvPr id="2" name="TextBox 1"/>
        <cdr:cNvSpPr txBox="1"/>
      </cdr:nvSpPr>
      <cdr:spPr>
        <a:xfrm xmlns:a="http://schemas.openxmlformats.org/drawingml/2006/main">
          <a:off x="0" y="0"/>
          <a:ext cx="16573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cdr:y>
    </cdr:from>
    <cdr:to>
      <cdr:x>0.28244</cdr:x>
      <cdr:y>0.16471</cdr:y>
    </cdr:to>
    <cdr:sp macro="" textlink="">
      <cdr:nvSpPr>
        <cdr:cNvPr id="3" name="TextBox 1"/>
        <cdr:cNvSpPr txBox="1"/>
      </cdr:nvSpPr>
      <cdr:spPr>
        <a:xfrm xmlns:a="http://schemas.openxmlformats.org/drawingml/2006/main">
          <a:off x="0" y="0"/>
          <a:ext cx="16573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cdr:y>
    </cdr:from>
    <cdr:to>
      <cdr:x>0.4445</cdr:x>
      <cdr:y>0.16471</cdr:y>
    </cdr:to>
    <cdr:sp macro="" textlink="">
      <cdr:nvSpPr>
        <cdr:cNvPr id="4" name="TextBox 1"/>
        <cdr:cNvSpPr txBox="1"/>
      </cdr:nvSpPr>
      <cdr:spPr>
        <a:xfrm xmlns:a="http://schemas.openxmlformats.org/drawingml/2006/main">
          <a:off x="0" y="0"/>
          <a:ext cx="1200150" cy="29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0.02117</cdr:y>
    </cdr:from>
    <cdr:to>
      <cdr:x>0.28731</cdr:x>
      <cdr:y>0.14288</cdr:y>
    </cdr:to>
    <cdr:sp macro="" textlink="">
      <cdr:nvSpPr>
        <cdr:cNvPr id="5"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6"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7"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cdr:y>
    </cdr:from>
    <cdr:to>
      <cdr:x>0.28244</cdr:x>
      <cdr:y>0.16471</cdr:y>
    </cdr:to>
    <cdr:sp macro="" textlink="">
      <cdr:nvSpPr>
        <cdr:cNvPr id="8" name="TextBox 1"/>
        <cdr:cNvSpPr txBox="1"/>
      </cdr:nvSpPr>
      <cdr:spPr>
        <a:xfrm xmlns:a="http://schemas.openxmlformats.org/drawingml/2006/main">
          <a:off x="0" y="0"/>
          <a:ext cx="16573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cdr:y>
    </cdr:from>
    <cdr:to>
      <cdr:x>0.4445</cdr:x>
      <cdr:y>0.16471</cdr:y>
    </cdr:to>
    <cdr:sp macro="" textlink="">
      <cdr:nvSpPr>
        <cdr:cNvPr id="9" name="TextBox 1"/>
        <cdr:cNvSpPr txBox="1"/>
      </cdr:nvSpPr>
      <cdr:spPr>
        <a:xfrm xmlns:a="http://schemas.openxmlformats.org/drawingml/2006/main">
          <a:off x="0" y="0"/>
          <a:ext cx="1200150" cy="29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0.02117</cdr:y>
    </cdr:from>
    <cdr:to>
      <cdr:x>0.28731</cdr:x>
      <cdr:y>0.14288</cdr:y>
    </cdr:to>
    <cdr:sp macro="" textlink="">
      <cdr:nvSpPr>
        <cdr:cNvPr id="10"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11"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12"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13"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0.41946</cdr:x>
      <cdr:y>0.14288</cdr:y>
    </cdr:to>
    <cdr:sp macro="" textlink="">
      <cdr:nvSpPr>
        <cdr:cNvPr id="14" name="TextBox 1"/>
        <cdr:cNvSpPr txBox="1"/>
      </cdr:nvSpPr>
      <cdr:spPr>
        <a:xfrm xmlns:a="http://schemas.openxmlformats.org/drawingml/2006/main">
          <a:off x="0" y="40531"/>
          <a:ext cx="1190627" cy="2330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15"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0.00162</cdr:x>
      <cdr:y>0</cdr:y>
    </cdr:from>
    <cdr:to>
      <cdr:x>0.2029</cdr:x>
      <cdr:y>0.10583</cdr:y>
    </cdr:to>
    <cdr:sp macro="" textlink="">
      <cdr:nvSpPr>
        <cdr:cNvPr id="16" name="TextBox 1"/>
        <cdr:cNvSpPr txBox="1"/>
      </cdr:nvSpPr>
      <cdr:spPr>
        <a:xfrm xmlns:a="http://schemas.openxmlformats.org/drawingml/2006/main">
          <a:off x="9525" y="0"/>
          <a:ext cx="11811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cdr:y>
    </cdr:from>
    <cdr:to>
      <cdr:x>0.28244</cdr:x>
      <cdr:y>0.16471</cdr:y>
    </cdr:to>
    <cdr:sp macro="" textlink="">
      <cdr:nvSpPr>
        <cdr:cNvPr id="2" name="TextBox 1"/>
        <cdr:cNvSpPr txBox="1"/>
      </cdr:nvSpPr>
      <cdr:spPr>
        <a:xfrm xmlns:a="http://schemas.openxmlformats.org/drawingml/2006/main">
          <a:off x="0" y="0"/>
          <a:ext cx="16573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cdr:y>
    </cdr:from>
    <cdr:to>
      <cdr:x>0.28244</cdr:x>
      <cdr:y>0.16471</cdr:y>
    </cdr:to>
    <cdr:sp macro="" textlink="">
      <cdr:nvSpPr>
        <cdr:cNvPr id="3" name="TextBox 1"/>
        <cdr:cNvSpPr txBox="1"/>
      </cdr:nvSpPr>
      <cdr:spPr>
        <a:xfrm xmlns:a="http://schemas.openxmlformats.org/drawingml/2006/main">
          <a:off x="0" y="0"/>
          <a:ext cx="16573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cdr:y>
    </cdr:from>
    <cdr:to>
      <cdr:x>0.4445</cdr:x>
      <cdr:y>0.16471</cdr:y>
    </cdr:to>
    <cdr:sp macro="" textlink="">
      <cdr:nvSpPr>
        <cdr:cNvPr id="4" name="TextBox 1"/>
        <cdr:cNvSpPr txBox="1"/>
      </cdr:nvSpPr>
      <cdr:spPr>
        <a:xfrm xmlns:a="http://schemas.openxmlformats.org/drawingml/2006/main">
          <a:off x="0" y="0"/>
          <a:ext cx="1200150" cy="29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0.02117</cdr:y>
    </cdr:from>
    <cdr:to>
      <cdr:x>0.28731</cdr:x>
      <cdr:y>0.14288</cdr:y>
    </cdr:to>
    <cdr:sp macro="" textlink="">
      <cdr:nvSpPr>
        <cdr:cNvPr id="5"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6"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7"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cdr:y>
    </cdr:from>
    <cdr:to>
      <cdr:x>0.28244</cdr:x>
      <cdr:y>0.16471</cdr:y>
    </cdr:to>
    <cdr:sp macro="" textlink="">
      <cdr:nvSpPr>
        <cdr:cNvPr id="8" name="TextBox 1"/>
        <cdr:cNvSpPr txBox="1"/>
      </cdr:nvSpPr>
      <cdr:spPr>
        <a:xfrm xmlns:a="http://schemas.openxmlformats.org/drawingml/2006/main">
          <a:off x="0" y="0"/>
          <a:ext cx="16573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cdr:y>
    </cdr:from>
    <cdr:to>
      <cdr:x>0.4445</cdr:x>
      <cdr:y>0.16471</cdr:y>
    </cdr:to>
    <cdr:sp macro="" textlink="">
      <cdr:nvSpPr>
        <cdr:cNvPr id="9" name="TextBox 1"/>
        <cdr:cNvSpPr txBox="1"/>
      </cdr:nvSpPr>
      <cdr:spPr>
        <a:xfrm xmlns:a="http://schemas.openxmlformats.org/drawingml/2006/main">
          <a:off x="0" y="0"/>
          <a:ext cx="1200150" cy="29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0.02117</cdr:y>
    </cdr:from>
    <cdr:to>
      <cdr:x>0.28731</cdr:x>
      <cdr:y>0.14288</cdr:y>
    </cdr:to>
    <cdr:sp macro="" textlink="">
      <cdr:nvSpPr>
        <cdr:cNvPr id="10"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11"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12"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13"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0.41946</cdr:x>
      <cdr:y>0.14288</cdr:y>
    </cdr:to>
    <cdr:sp macro="" textlink="">
      <cdr:nvSpPr>
        <cdr:cNvPr id="14" name="TextBox 1"/>
        <cdr:cNvSpPr txBox="1"/>
      </cdr:nvSpPr>
      <cdr:spPr>
        <a:xfrm xmlns:a="http://schemas.openxmlformats.org/drawingml/2006/main">
          <a:off x="0" y="40531"/>
          <a:ext cx="1190627" cy="2330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0.14288</cdr:y>
    </cdr:to>
    <cdr:sp macro="" textlink="">
      <cdr:nvSpPr>
        <cdr:cNvPr id="15"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0.00162</cdr:x>
      <cdr:y>0</cdr:y>
    </cdr:from>
    <cdr:to>
      <cdr:x>0.2029</cdr:x>
      <cdr:y>0.10583</cdr:y>
    </cdr:to>
    <cdr:sp macro="" textlink="">
      <cdr:nvSpPr>
        <cdr:cNvPr id="16" name="TextBox 1"/>
        <cdr:cNvSpPr txBox="1"/>
      </cdr:nvSpPr>
      <cdr:spPr>
        <a:xfrm xmlns:a="http://schemas.openxmlformats.org/drawingml/2006/main">
          <a:off x="9525" y="0"/>
          <a:ext cx="11811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0.03222</cdr:x>
      <cdr:y>0.04202</cdr:y>
    </cdr:from>
    <cdr:to>
      <cdr:x>0.2247</cdr:x>
      <cdr:y>0.14847</cdr:y>
    </cdr:to>
    <cdr:sp macro="" textlink="">
      <cdr:nvSpPr>
        <cdr:cNvPr id="2" name="TextBox 1"/>
        <cdr:cNvSpPr txBox="1"/>
      </cdr:nvSpPr>
      <cdr:spPr>
        <a:xfrm xmlns:a="http://schemas.openxmlformats.org/drawingml/2006/main">
          <a:off x="236914" y="92856"/>
          <a:ext cx="1415364" cy="2352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dr:relSizeAnchor xmlns:cdr="http://schemas.openxmlformats.org/drawingml/2006/chartDrawing">
    <cdr:from>
      <cdr:x>0.87114</cdr:x>
      <cdr:y>0.03716</cdr:y>
    </cdr:from>
    <cdr:to>
      <cdr:x>1</cdr:x>
      <cdr:y>0.131</cdr:y>
    </cdr:to>
    <cdr:sp macro="" textlink="">
      <cdr:nvSpPr>
        <cdr:cNvPr id="3" name="TextBox 2"/>
        <cdr:cNvSpPr txBox="1"/>
      </cdr:nvSpPr>
      <cdr:spPr>
        <a:xfrm xmlns:a="http://schemas.openxmlformats.org/drawingml/2006/main">
          <a:off x="5136250" y="81044"/>
          <a:ext cx="759728" cy="2047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Number</a:t>
          </a:r>
        </a:p>
        <a:p xmlns:a="http://schemas.openxmlformats.org/drawingml/2006/main">
          <a:endParaRPr lang="en-NZ" sz="900">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0.00162</cdr:x>
      <cdr:y>0</cdr:y>
    </cdr:from>
    <cdr:to>
      <cdr:x>0.2029</cdr:x>
      <cdr:y>0.10583</cdr:y>
    </cdr:to>
    <cdr:sp macro="" textlink="">
      <cdr:nvSpPr>
        <cdr:cNvPr id="2" name="TextBox 1"/>
        <cdr:cNvSpPr txBox="1"/>
      </cdr:nvSpPr>
      <cdr:spPr>
        <a:xfrm xmlns:a="http://schemas.openxmlformats.org/drawingml/2006/main">
          <a:off x="9525" y="0"/>
          <a:ext cx="11811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0.02117</cdr:y>
    </cdr:from>
    <cdr:to>
      <cdr:x>0.28731</cdr:x>
      <cdr:y>0.16244</cdr:y>
    </cdr:to>
    <cdr:sp macro="" textlink="">
      <cdr:nvSpPr>
        <cdr:cNvPr id="3" name="TextBox 1"/>
        <cdr:cNvSpPr txBox="1"/>
      </cdr:nvSpPr>
      <cdr:spPr>
        <a:xfrm xmlns:a="http://schemas.openxmlformats.org/drawingml/2006/main">
          <a:off x="0" y="39723"/>
          <a:ext cx="1685935" cy="2650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31.xml><?xml version="1.0" encoding="utf-8"?>
<c:userShapes xmlns:c="http://schemas.openxmlformats.org/drawingml/2006/chart">
  <cdr:relSizeAnchor xmlns:cdr="http://schemas.openxmlformats.org/drawingml/2006/chartDrawing">
    <cdr:from>
      <cdr:x>0</cdr:x>
      <cdr:y>0.02117</cdr:y>
    </cdr:from>
    <cdr:to>
      <cdr:x>0.28731</cdr:x>
      <cdr:y>0.14288</cdr:y>
    </cdr:to>
    <cdr:sp macro="" textlink="">
      <cdr:nvSpPr>
        <cdr:cNvPr id="2" name="TextBox 1"/>
        <cdr:cNvSpPr txBox="1"/>
      </cdr:nvSpPr>
      <cdr:spPr>
        <a:xfrm xmlns:a="http://schemas.openxmlformats.org/drawingml/2006/main">
          <a:off x="0" y="38101"/>
          <a:ext cx="1685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dr:relSizeAnchor xmlns:cdr="http://schemas.openxmlformats.org/drawingml/2006/chartDrawing">
    <cdr:from>
      <cdr:x>0.00162</cdr:x>
      <cdr:y>0</cdr:y>
    </cdr:from>
    <cdr:to>
      <cdr:x>0.2029</cdr:x>
      <cdr:y>0.10583</cdr:y>
    </cdr:to>
    <cdr:sp macro="" textlink="">
      <cdr:nvSpPr>
        <cdr:cNvPr id="4" name="TextBox 1"/>
        <cdr:cNvSpPr txBox="1"/>
      </cdr:nvSpPr>
      <cdr:spPr>
        <a:xfrm xmlns:a="http://schemas.openxmlformats.org/drawingml/2006/main">
          <a:off x="9525" y="0"/>
          <a:ext cx="11811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a:latin typeface="Arial" panose="020B0604020202020204" pitchFamily="34" charset="0"/>
            <a:cs typeface="Arial" panose="020B0604020202020204" pitchFamily="34" charset="0"/>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2</xdr:col>
      <xdr:colOff>9524</xdr:colOff>
      <xdr:row>11</xdr:row>
      <xdr:rowOff>38100</xdr:rowOff>
    </xdr:from>
    <xdr:to>
      <xdr:col>10</xdr:col>
      <xdr:colOff>295349</xdr:colOff>
      <xdr:row>24</xdr:row>
      <xdr:rowOff>103875</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28572</xdr:colOff>
      <xdr:row>34</xdr:row>
      <xdr:rowOff>28574</xdr:rowOff>
    </xdr:from>
    <xdr:to>
      <xdr:col>6</xdr:col>
      <xdr:colOff>20397</xdr:colOff>
      <xdr:row>45</xdr:row>
      <xdr:rowOff>47399</xdr:rowOff>
    </xdr:to>
    <xdr:graphicFrame macro="">
      <xdr:nvGraphicFramePr>
        <xdr:cNvPr id="8" name="Chart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19047</xdr:colOff>
      <xdr:row>47</xdr:row>
      <xdr:rowOff>38097</xdr:rowOff>
    </xdr:from>
    <xdr:to>
      <xdr:col>6</xdr:col>
      <xdr:colOff>10872</xdr:colOff>
      <xdr:row>58</xdr:row>
      <xdr:rowOff>56922</xdr:rowOff>
    </xdr:to>
    <xdr:graphicFrame macro="">
      <xdr:nvGraphicFramePr>
        <xdr:cNvPr id="18" name="Chart 17">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19047</xdr:colOff>
      <xdr:row>60</xdr:row>
      <xdr:rowOff>38101</xdr:rowOff>
    </xdr:from>
    <xdr:to>
      <xdr:col>6</xdr:col>
      <xdr:colOff>10872</xdr:colOff>
      <xdr:row>71</xdr:row>
      <xdr:rowOff>56926</xdr:rowOff>
    </xdr:to>
    <xdr:graphicFrame macro="">
      <xdr:nvGraphicFramePr>
        <xdr:cNvPr id="19" name="Chart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9522</xdr:colOff>
      <xdr:row>73</xdr:row>
      <xdr:rowOff>57148</xdr:rowOff>
    </xdr:from>
    <xdr:to>
      <xdr:col>6</xdr:col>
      <xdr:colOff>1347</xdr:colOff>
      <xdr:row>84</xdr:row>
      <xdr:rowOff>75973</xdr:rowOff>
    </xdr:to>
    <xdr:graphicFrame macro="">
      <xdr:nvGraphicFramePr>
        <xdr:cNvPr id="20" name="Chart 19">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238125</xdr:colOff>
          <xdr:row>10</xdr:row>
          <xdr:rowOff>104775</xdr:rowOff>
        </xdr:from>
        <xdr:to>
          <xdr:col>12</xdr:col>
          <xdr:colOff>542925</xdr:colOff>
          <xdr:row>12</xdr:row>
          <xdr:rowOff>28575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7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NZ" sz="800" b="0" i="0" u="none" strike="noStrike" baseline="0">
                  <a:solidFill>
                    <a:srgbClr val="000000"/>
                  </a:solidFill>
                  <a:latin typeface="Segoe UI"/>
                  <a:cs typeface="Segoe UI"/>
                </a:rPr>
                <a:t>  Hanging, stranguation and suffocation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12</xdr:row>
          <xdr:rowOff>19050</xdr:rowOff>
        </xdr:from>
        <xdr:to>
          <xdr:col>12</xdr:col>
          <xdr:colOff>419100</xdr:colOff>
          <xdr:row>13</xdr:row>
          <xdr:rowOff>85725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7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NZ" sz="800" b="0" i="0" u="none" strike="noStrike" baseline="0">
                  <a:solidFill>
                    <a:srgbClr val="000000"/>
                  </a:solidFill>
                  <a:latin typeface="Segoe UI"/>
                  <a:cs typeface="Segoe UI"/>
                </a:rPr>
                <a:t>   Poisoning by gases and vapours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13</xdr:row>
          <xdr:rowOff>66675</xdr:rowOff>
        </xdr:from>
        <xdr:to>
          <xdr:col>12</xdr:col>
          <xdr:colOff>466725</xdr:colOff>
          <xdr:row>14</xdr:row>
          <xdr:rowOff>95250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7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NZ" sz="800" b="0" i="0" u="none" strike="noStrike" baseline="0">
                  <a:solidFill>
                    <a:srgbClr val="000000"/>
                  </a:solidFill>
                  <a:latin typeface="Segoe UI"/>
                  <a:cs typeface="Segoe UI"/>
                </a:rPr>
                <a:t>  Poisoning by solids and liquids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14</xdr:row>
          <xdr:rowOff>85725</xdr:rowOff>
        </xdr:from>
        <xdr:to>
          <xdr:col>12</xdr:col>
          <xdr:colOff>447675</xdr:colOff>
          <xdr:row>15</xdr:row>
          <xdr:rowOff>123825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7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NZ" sz="800" b="0" i="0" u="none" strike="noStrike" baseline="0">
                  <a:solidFill>
                    <a:srgbClr val="000000"/>
                  </a:solidFill>
                  <a:latin typeface="Segoe UI"/>
                  <a:cs typeface="Segoe UI"/>
                </a:rPr>
                <a:t>  Firearms/ Explosives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15</xdr:row>
          <xdr:rowOff>95250</xdr:rowOff>
        </xdr:from>
        <xdr:to>
          <xdr:col>12</xdr:col>
          <xdr:colOff>438150</xdr:colOff>
          <xdr:row>17</xdr:row>
          <xdr:rowOff>28575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7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NZ" sz="800" b="0" i="0" u="none" strike="noStrike" baseline="0">
                  <a:solidFill>
                    <a:srgbClr val="000000"/>
                  </a:solidFill>
                  <a:latin typeface="Segoe UI"/>
                  <a:cs typeface="Segoe UI"/>
                </a:rPr>
                <a:t>    Junping from a high place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16</xdr:row>
          <xdr:rowOff>152400</xdr:rowOff>
        </xdr:from>
        <xdr:to>
          <xdr:col>12</xdr:col>
          <xdr:colOff>438150</xdr:colOff>
          <xdr:row>18</xdr:row>
          <xdr:rowOff>47625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7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NZ" sz="800" b="0" i="0" u="none" strike="noStrike" baseline="0">
                  <a:solidFill>
                    <a:srgbClr val="000000"/>
                  </a:solidFill>
                  <a:latin typeface="Segoe UI"/>
                  <a:cs typeface="Segoe UI"/>
                </a:rPr>
                <a:t>   Submersion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19</xdr:row>
          <xdr:rowOff>95250</xdr:rowOff>
        </xdr:from>
        <xdr:to>
          <xdr:col>12</xdr:col>
          <xdr:colOff>447675</xdr:colOff>
          <xdr:row>21</xdr:row>
          <xdr:rowOff>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7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NZ" sz="800" b="0" i="0" u="none" strike="noStrike" baseline="0">
                  <a:solidFill>
                    <a:srgbClr val="000000"/>
                  </a:solidFill>
                  <a:latin typeface="Segoe UI"/>
                  <a:cs typeface="Segoe UI"/>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18</xdr:row>
          <xdr:rowOff>38100</xdr:rowOff>
        </xdr:from>
        <xdr:to>
          <xdr:col>12</xdr:col>
          <xdr:colOff>447675</xdr:colOff>
          <xdr:row>19</xdr:row>
          <xdr:rowOff>104775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7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NZ" sz="800" b="0" i="0" u="none" strike="noStrike" baseline="0">
                  <a:solidFill>
                    <a:srgbClr val="000000"/>
                  </a:solidFill>
                  <a:latin typeface="Segoe UI"/>
                  <a:cs typeface="Segoe UI"/>
                </a:rPr>
                <a:t>  Sharp object</a:t>
              </a:r>
            </a:p>
          </xdr:txBody>
        </xdr:sp>
        <xdr:clientData/>
      </xdr:twoCellAnchor>
    </mc:Choice>
    <mc:Fallback/>
  </mc:AlternateContent>
  <xdr:twoCellAnchor editAs="oneCell">
    <xdr:from>
      <xdr:col>13</xdr:col>
      <xdr:colOff>9525</xdr:colOff>
      <xdr:row>11</xdr:row>
      <xdr:rowOff>19050</xdr:rowOff>
    </xdr:from>
    <xdr:to>
      <xdr:col>14</xdr:col>
      <xdr:colOff>437575</xdr:colOff>
      <xdr:row>21</xdr:row>
      <xdr:rowOff>19050</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
        <a:stretch>
          <a:fillRect/>
        </a:stretch>
      </xdr:blipFill>
      <xdr:spPr>
        <a:xfrm>
          <a:off x="7410450" y="2000250"/>
          <a:ext cx="2809300" cy="1619250"/>
        </a:xfrm>
        <a:prstGeom prst="rect">
          <a:avLst/>
        </a:prstGeom>
        <a:ln>
          <a:solidFill>
            <a:schemeClr val="tx1">
              <a:lumMod val="65000"/>
              <a:lumOff val="35000"/>
            </a:schemeClr>
          </a:solidFill>
        </a:ln>
      </xdr:spPr>
    </xdr:pic>
    <xdr:clientData/>
  </xdr:twoCellAnchor>
  <xdr:twoCellAnchor>
    <xdr:from>
      <xdr:col>6</xdr:col>
      <xdr:colOff>104775</xdr:colOff>
      <xdr:row>34</xdr:row>
      <xdr:rowOff>38100</xdr:rowOff>
    </xdr:from>
    <xdr:to>
      <xdr:col>10</xdr:col>
      <xdr:colOff>582375</xdr:colOff>
      <xdr:row>45</xdr:row>
      <xdr:rowOff>56925</xdr:rowOff>
    </xdr:to>
    <xdr:graphicFrame macro="">
      <xdr:nvGraphicFramePr>
        <xdr:cNvPr id="17" name="Chart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xdr:colOff>
      <xdr:row>47</xdr:row>
      <xdr:rowOff>47623</xdr:rowOff>
    </xdr:from>
    <xdr:to>
      <xdr:col>10</xdr:col>
      <xdr:colOff>525225</xdr:colOff>
      <xdr:row>58</xdr:row>
      <xdr:rowOff>66448</xdr:rowOff>
    </xdr:to>
    <xdr:graphicFrame macro="">
      <xdr:nvGraphicFramePr>
        <xdr:cNvPr id="21" name="Chart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57150</xdr:colOff>
      <xdr:row>60</xdr:row>
      <xdr:rowOff>38102</xdr:rowOff>
    </xdr:from>
    <xdr:to>
      <xdr:col>10</xdr:col>
      <xdr:colOff>534750</xdr:colOff>
      <xdr:row>71</xdr:row>
      <xdr:rowOff>56927</xdr:rowOff>
    </xdr:to>
    <xdr:graphicFrame macro="">
      <xdr:nvGraphicFramePr>
        <xdr:cNvPr id="22" name="Chart 21">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47625</xdr:colOff>
      <xdr:row>73</xdr:row>
      <xdr:rowOff>57149</xdr:rowOff>
    </xdr:from>
    <xdr:to>
      <xdr:col>10</xdr:col>
      <xdr:colOff>525225</xdr:colOff>
      <xdr:row>84</xdr:row>
      <xdr:rowOff>75974</xdr:rowOff>
    </xdr:to>
    <xdr:graphicFrame macro="">
      <xdr:nvGraphicFramePr>
        <xdr:cNvPr id="23" name="Chart 22">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47625</xdr:colOff>
      <xdr:row>47</xdr:row>
      <xdr:rowOff>142875</xdr:rowOff>
    </xdr:from>
    <xdr:to>
      <xdr:col>14</xdr:col>
      <xdr:colOff>428625</xdr:colOff>
      <xdr:row>57</xdr:row>
      <xdr:rowOff>76201</xdr:rowOff>
    </xdr:to>
    <xdr:pic>
      <xdr:nvPicPr>
        <xdr:cNvPr id="24" name="Picture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6"/>
        <a:stretch>
          <a:fillRect/>
        </a:stretch>
      </xdr:blipFill>
      <xdr:spPr>
        <a:xfrm>
          <a:off x="7448550" y="6972300"/>
          <a:ext cx="2762250" cy="1571626"/>
        </a:xfrm>
        <a:prstGeom prst="rect">
          <a:avLst/>
        </a:prstGeom>
        <a:ln>
          <a:solidFill>
            <a:schemeClr val="tx1">
              <a:lumMod val="65000"/>
              <a:lumOff val="35000"/>
            </a:schemeClr>
          </a:solidFill>
        </a:ln>
      </xdr:spPr>
    </xdr:pic>
    <xdr:clientData/>
  </xdr:twoCellAnchor>
</xdr:wsDr>
</file>

<file path=xl/drawings/drawing33.xml><?xml version="1.0" encoding="utf-8"?>
<c:userShapes xmlns:c="http://schemas.openxmlformats.org/drawingml/2006/chart">
  <cdr:relSizeAnchor xmlns:cdr="http://schemas.openxmlformats.org/drawingml/2006/chartDrawing">
    <cdr:from>
      <cdr:x>0.00487</cdr:x>
      <cdr:y>0.00673</cdr:y>
    </cdr:from>
    <cdr:to>
      <cdr:x>0.11687</cdr:x>
      <cdr:y>0.08754</cdr:y>
    </cdr:to>
    <cdr:sp macro="" textlink="">
      <cdr:nvSpPr>
        <cdr:cNvPr id="2" name="TextBox 1"/>
        <cdr:cNvSpPr txBox="1"/>
      </cdr:nvSpPr>
      <cdr:spPr>
        <a:xfrm xmlns:a="http://schemas.openxmlformats.org/drawingml/2006/main">
          <a:off x="28576" y="19050"/>
          <a:ext cx="6572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Percent</a:t>
          </a:r>
        </a:p>
      </cdr:txBody>
    </cdr:sp>
  </cdr:relSizeAnchor>
</c:userShapes>
</file>

<file path=xl/drawings/drawing34.xml><?xml version="1.0" encoding="utf-8"?>
<c:userShapes xmlns:c="http://schemas.openxmlformats.org/drawingml/2006/chart">
  <cdr:relSizeAnchor xmlns:cdr="http://schemas.openxmlformats.org/drawingml/2006/chartDrawing">
    <cdr:from>
      <cdr:x>0.0098</cdr:x>
      <cdr:y>0</cdr:y>
    </cdr:from>
    <cdr:to>
      <cdr:x>0.24172</cdr:x>
      <cdr:y>0.13002</cdr:y>
    </cdr:to>
    <cdr:sp macro="" textlink="">
      <cdr:nvSpPr>
        <cdr:cNvPr id="2" name="TextBox 1"/>
        <cdr:cNvSpPr txBox="1"/>
      </cdr:nvSpPr>
      <cdr:spPr>
        <a:xfrm xmlns:a="http://schemas.openxmlformats.org/drawingml/2006/main">
          <a:off x="28569" y="0"/>
          <a:ext cx="676284" cy="2476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000">
              <a:latin typeface="Arial" panose="020B0604020202020204" pitchFamily="34" charset="0"/>
              <a:cs typeface="Arial" panose="020B0604020202020204" pitchFamily="34" charset="0"/>
            </a:rPr>
            <a:t>Percent</a:t>
          </a:r>
          <a:endParaRPr lang="en-NZ" sz="1100">
            <a:latin typeface="Arial" panose="020B0604020202020204" pitchFamily="34" charset="0"/>
            <a:cs typeface="Arial" panose="020B0604020202020204" pitchFamily="34" charset="0"/>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0.01307</cdr:x>
      <cdr:y>0</cdr:y>
    </cdr:from>
    <cdr:to>
      <cdr:x>0.24499</cdr:x>
      <cdr:y>0.15346</cdr:y>
    </cdr:to>
    <cdr:sp macro="" textlink="">
      <cdr:nvSpPr>
        <cdr:cNvPr id="2"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3"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4"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36.xml><?xml version="1.0" encoding="utf-8"?>
<c:userShapes xmlns:c="http://schemas.openxmlformats.org/drawingml/2006/chart">
  <cdr:relSizeAnchor xmlns:cdr="http://schemas.openxmlformats.org/drawingml/2006/chartDrawing">
    <cdr:from>
      <cdr:x>0.01307</cdr:x>
      <cdr:y>0</cdr:y>
    </cdr:from>
    <cdr:to>
      <cdr:x>0.24499</cdr:x>
      <cdr:y>0.15346</cdr:y>
    </cdr:to>
    <cdr:sp macro="" textlink="">
      <cdr:nvSpPr>
        <cdr:cNvPr id="2"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3"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4"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37.xml><?xml version="1.0" encoding="utf-8"?>
<c:userShapes xmlns:c="http://schemas.openxmlformats.org/drawingml/2006/chart">
  <cdr:relSizeAnchor xmlns:cdr="http://schemas.openxmlformats.org/drawingml/2006/chartDrawing">
    <cdr:from>
      <cdr:x>0.01307</cdr:x>
      <cdr:y>0</cdr:y>
    </cdr:from>
    <cdr:to>
      <cdr:x>0.24499</cdr:x>
      <cdr:y>0.15346</cdr:y>
    </cdr:to>
    <cdr:sp macro="" textlink="">
      <cdr:nvSpPr>
        <cdr:cNvPr id="2"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3"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4"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38.xml><?xml version="1.0" encoding="utf-8"?>
<c:userShapes xmlns:c="http://schemas.openxmlformats.org/drawingml/2006/chart">
  <cdr:relSizeAnchor xmlns:cdr="http://schemas.openxmlformats.org/drawingml/2006/chartDrawing">
    <cdr:from>
      <cdr:x>0.01307</cdr:x>
      <cdr:y>0</cdr:y>
    </cdr:from>
    <cdr:to>
      <cdr:x>0.24499</cdr:x>
      <cdr:y>0.15346</cdr:y>
    </cdr:to>
    <cdr:sp macro="" textlink="">
      <cdr:nvSpPr>
        <cdr:cNvPr id="2"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39.xml><?xml version="1.0" encoding="utf-8"?>
<c:userShapes xmlns:c="http://schemas.openxmlformats.org/drawingml/2006/chart">
  <cdr:relSizeAnchor xmlns:cdr="http://schemas.openxmlformats.org/drawingml/2006/chartDrawing">
    <cdr:from>
      <cdr:x>0.01307</cdr:x>
      <cdr:y>0</cdr:y>
    </cdr:from>
    <cdr:to>
      <cdr:x>0.24499</cdr:x>
      <cdr:y>0.15346</cdr:y>
    </cdr:to>
    <cdr:sp macro="" textlink="">
      <cdr:nvSpPr>
        <cdr:cNvPr id="2"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3"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4"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4.xml><?xml version="1.0" encoding="utf-8"?>
<c:userShapes xmlns:c="http://schemas.openxmlformats.org/drawingml/2006/chart">
  <cdr:relSizeAnchor xmlns:cdr="http://schemas.openxmlformats.org/drawingml/2006/chartDrawing">
    <cdr:from>
      <cdr:x>0.00741</cdr:x>
      <cdr:y>0</cdr:y>
    </cdr:from>
    <cdr:to>
      <cdr:x>0.29383</cdr:x>
      <cdr:y>0.08929</cdr:y>
    </cdr:to>
    <cdr:sp macro="" textlink="">
      <cdr:nvSpPr>
        <cdr:cNvPr id="2" name="TextBox 1"/>
        <cdr:cNvSpPr txBox="1"/>
      </cdr:nvSpPr>
      <cdr:spPr>
        <a:xfrm xmlns:a="http://schemas.openxmlformats.org/drawingml/2006/main">
          <a:off x="28576" y="0"/>
          <a:ext cx="1104900" cy="2024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Percent</a:t>
          </a:r>
        </a:p>
      </cdr:txBody>
    </cdr:sp>
  </cdr:relSizeAnchor>
</c:userShapes>
</file>

<file path=xl/drawings/drawing40.xml><?xml version="1.0" encoding="utf-8"?>
<c:userShapes xmlns:c="http://schemas.openxmlformats.org/drawingml/2006/chart">
  <cdr:relSizeAnchor xmlns:cdr="http://schemas.openxmlformats.org/drawingml/2006/chartDrawing">
    <cdr:from>
      <cdr:x>0.01307</cdr:x>
      <cdr:y>0</cdr:y>
    </cdr:from>
    <cdr:to>
      <cdr:x>0.24499</cdr:x>
      <cdr:y>0.15346</cdr:y>
    </cdr:to>
    <cdr:sp macro="" textlink="">
      <cdr:nvSpPr>
        <cdr:cNvPr id="2"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3"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4"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41.xml><?xml version="1.0" encoding="utf-8"?>
<c:userShapes xmlns:c="http://schemas.openxmlformats.org/drawingml/2006/chart">
  <cdr:relSizeAnchor xmlns:cdr="http://schemas.openxmlformats.org/drawingml/2006/chartDrawing">
    <cdr:from>
      <cdr:x>0.01307</cdr:x>
      <cdr:y>0</cdr:y>
    </cdr:from>
    <cdr:to>
      <cdr:x>0.24499</cdr:x>
      <cdr:y>0.15346</cdr:y>
    </cdr:to>
    <cdr:sp macro="" textlink="">
      <cdr:nvSpPr>
        <cdr:cNvPr id="2"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3"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0.01307</cdr:x>
      <cdr:y>0</cdr:y>
    </cdr:from>
    <cdr:to>
      <cdr:x>0.24499</cdr:x>
      <cdr:y>0.15346</cdr:y>
    </cdr:to>
    <cdr:sp macro="" textlink="">
      <cdr:nvSpPr>
        <cdr:cNvPr id="4" name="TextBox 1"/>
        <cdr:cNvSpPr txBox="1"/>
      </cdr:nvSpPr>
      <cdr:spPr>
        <a:xfrm xmlns:a="http://schemas.openxmlformats.org/drawingml/2006/main">
          <a:off x="38102" y="0"/>
          <a:ext cx="6762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42.xml><?xml version="1.0" encoding="utf-8"?>
<xdr:wsDr xmlns:xdr="http://schemas.openxmlformats.org/drawingml/2006/spreadsheetDrawing" xmlns:a="http://schemas.openxmlformats.org/drawingml/2006/main">
  <xdr:twoCellAnchor>
    <xdr:from>
      <xdr:col>2</xdr:col>
      <xdr:colOff>0</xdr:colOff>
      <xdr:row>9</xdr:row>
      <xdr:rowOff>161923</xdr:rowOff>
    </xdr:from>
    <xdr:to>
      <xdr:col>5</xdr:col>
      <xdr:colOff>608400</xdr:colOff>
      <xdr:row>19</xdr:row>
      <xdr:rowOff>18673</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9</xdr:row>
      <xdr:rowOff>161923</xdr:rowOff>
    </xdr:from>
    <xdr:to>
      <xdr:col>9</xdr:col>
      <xdr:colOff>608400</xdr:colOff>
      <xdr:row>19</xdr:row>
      <xdr:rowOff>18673</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609599</xdr:colOff>
      <xdr:row>9</xdr:row>
      <xdr:rowOff>161924</xdr:rowOff>
    </xdr:from>
    <xdr:to>
      <xdr:col>14</xdr:col>
      <xdr:colOff>19049</xdr:colOff>
      <xdr:row>19</xdr:row>
      <xdr:rowOff>9525</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609599</xdr:colOff>
      <xdr:row>9</xdr:row>
      <xdr:rowOff>161923</xdr:rowOff>
    </xdr:from>
    <xdr:to>
      <xdr:col>17</xdr:col>
      <xdr:colOff>608399</xdr:colOff>
      <xdr:row>19</xdr:row>
      <xdr:rowOff>18673</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9524</xdr:colOff>
      <xdr:row>18</xdr:row>
      <xdr:rowOff>161924</xdr:rowOff>
    </xdr:from>
    <xdr:to>
      <xdr:col>6</xdr:col>
      <xdr:colOff>8324</xdr:colOff>
      <xdr:row>28</xdr:row>
      <xdr:rowOff>18674</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19</xdr:row>
      <xdr:rowOff>0</xdr:rowOff>
    </xdr:from>
    <xdr:to>
      <xdr:col>9</xdr:col>
      <xdr:colOff>608400</xdr:colOff>
      <xdr:row>28</xdr:row>
      <xdr:rowOff>18675</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609599</xdr:colOff>
      <xdr:row>18</xdr:row>
      <xdr:rowOff>161924</xdr:rowOff>
    </xdr:from>
    <xdr:to>
      <xdr:col>13</xdr:col>
      <xdr:colOff>608399</xdr:colOff>
      <xdr:row>28</xdr:row>
      <xdr:rowOff>18674</xdr:rowOff>
    </xdr:to>
    <xdr:graphicFrame macro="">
      <xdr:nvGraphicFramePr>
        <xdr:cNvPr id="8" name="Chart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609599</xdr:colOff>
      <xdr:row>18</xdr:row>
      <xdr:rowOff>161924</xdr:rowOff>
    </xdr:from>
    <xdr:to>
      <xdr:col>17</xdr:col>
      <xdr:colOff>608399</xdr:colOff>
      <xdr:row>28</xdr:row>
      <xdr:rowOff>18673</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9524</xdr:colOff>
      <xdr:row>27</xdr:row>
      <xdr:rowOff>152400</xdr:rowOff>
    </xdr:from>
    <xdr:to>
      <xdr:col>6</xdr:col>
      <xdr:colOff>8324</xdr:colOff>
      <xdr:row>37</xdr:row>
      <xdr:rowOff>9150</xdr:rowOff>
    </xdr:to>
    <xdr:graphicFrame macro="">
      <xdr:nvGraphicFramePr>
        <xdr:cNvPr id="10" name="Chart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0</xdr:colOff>
      <xdr:row>27</xdr:row>
      <xdr:rowOff>152400</xdr:rowOff>
    </xdr:from>
    <xdr:to>
      <xdr:col>9</xdr:col>
      <xdr:colOff>608400</xdr:colOff>
      <xdr:row>37</xdr:row>
      <xdr:rowOff>9150</xdr:rowOff>
    </xdr:to>
    <xdr:graphicFrame macro="">
      <xdr:nvGraphicFramePr>
        <xdr:cNvPr id="11" name="Chart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609599</xdr:colOff>
      <xdr:row>27</xdr:row>
      <xdr:rowOff>152400</xdr:rowOff>
    </xdr:from>
    <xdr:to>
      <xdr:col>13</xdr:col>
      <xdr:colOff>608399</xdr:colOff>
      <xdr:row>37</xdr:row>
      <xdr:rowOff>9150</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609599</xdr:colOff>
      <xdr:row>27</xdr:row>
      <xdr:rowOff>152400</xdr:rowOff>
    </xdr:from>
    <xdr:to>
      <xdr:col>17</xdr:col>
      <xdr:colOff>608399</xdr:colOff>
      <xdr:row>37</xdr:row>
      <xdr:rowOff>9150</xdr:rowOff>
    </xdr:to>
    <xdr:graphicFrame macro="">
      <xdr:nvGraphicFramePr>
        <xdr:cNvPr id="13" name="Chart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9524</xdr:colOff>
      <xdr:row>36</xdr:row>
      <xdr:rowOff>142873</xdr:rowOff>
    </xdr:from>
    <xdr:to>
      <xdr:col>6</xdr:col>
      <xdr:colOff>8324</xdr:colOff>
      <xdr:row>45</xdr:row>
      <xdr:rowOff>161548</xdr:rowOff>
    </xdr:to>
    <xdr:graphicFrame macro="">
      <xdr:nvGraphicFramePr>
        <xdr:cNvPr id="14" name="Chart 13">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0</xdr:colOff>
      <xdr:row>36</xdr:row>
      <xdr:rowOff>142873</xdr:rowOff>
    </xdr:from>
    <xdr:to>
      <xdr:col>9</xdr:col>
      <xdr:colOff>608400</xdr:colOff>
      <xdr:row>45</xdr:row>
      <xdr:rowOff>161548</xdr:rowOff>
    </xdr:to>
    <xdr:graphicFrame macro="">
      <xdr:nvGraphicFramePr>
        <xdr:cNvPr id="15" name="Chart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609599</xdr:colOff>
      <xdr:row>36</xdr:row>
      <xdr:rowOff>142873</xdr:rowOff>
    </xdr:from>
    <xdr:to>
      <xdr:col>13</xdr:col>
      <xdr:colOff>608399</xdr:colOff>
      <xdr:row>45</xdr:row>
      <xdr:rowOff>161548</xdr:rowOff>
    </xdr:to>
    <xdr:graphicFrame macro="">
      <xdr:nvGraphicFramePr>
        <xdr:cNvPr id="16" name="Chart 15">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609599</xdr:colOff>
      <xdr:row>36</xdr:row>
      <xdr:rowOff>142873</xdr:rowOff>
    </xdr:from>
    <xdr:to>
      <xdr:col>17</xdr:col>
      <xdr:colOff>608399</xdr:colOff>
      <xdr:row>45</xdr:row>
      <xdr:rowOff>161548</xdr:rowOff>
    </xdr:to>
    <xdr:graphicFrame macro="">
      <xdr:nvGraphicFramePr>
        <xdr:cNvPr id="17" name="Chart 16">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9524</xdr:colOff>
      <xdr:row>45</xdr:row>
      <xdr:rowOff>161924</xdr:rowOff>
    </xdr:from>
    <xdr:to>
      <xdr:col>6</xdr:col>
      <xdr:colOff>8324</xdr:colOff>
      <xdr:row>55</xdr:row>
      <xdr:rowOff>9149</xdr:rowOff>
    </xdr:to>
    <xdr:graphicFrame macro="">
      <xdr:nvGraphicFramePr>
        <xdr:cNvPr id="18" name="Chart 17">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0</xdr:colOff>
      <xdr:row>45</xdr:row>
      <xdr:rowOff>161924</xdr:rowOff>
    </xdr:from>
    <xdr:to>
      <xdr:col>9</xdr:col>
      <xdr:colOff>608400</xdr:colOff>
      <xdr:row>55</xdr:row>
      <xdr:rowOff>9149</xdr:rowOff>
    </xdr:to>
    <xdr:graphicFrame macro="">
      <xdr:nvGraphicFramePr>
        <xdr:cNvPr id="19" name="Chart 18">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609599</xdr:colOff>
      <xdr:row>45</xdr:row>
      <xdr:rowOff>161924</xdr:rowOff>
    </xdr:from>
    <xdr:to>
      <xdr:col>13</xdr:col>
      <xdr:colOff>608399</xdr:colOff>
      <xdr:row>55</xdr:row>
      <xdr:rowOff>9149</xdr:rowOff>
    </xdr:to>
    <xdr:graphicFrame macro="">
      <xdr:nvGraphicFramePr>
        <xdr:cNvPr id="20" name="Chart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609599</xdr:colOff>
      <xdr:row>45</xdr:row>
      <xdr:rowOff>161924</xdr:rowOff>
    </xdr:from>
    <xdr:to>
      <xdr:col>17</xdr:col>
      <xdr:colOff>608399</xdr:colOff>
      <xdr:row>55</xdr:row>
      <xdr:rowOff>9149</xdr:rowOff>
    </xdr:to>
    <xdr:graphicFrame macro="">
      <xdr:nvGraphicFramePr>
        <xdr:cNvPr id="21" name="Chart 20">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9525</xdr:colOff>
      <xdr:row>69</xdr:row>
      <xdr:rowOff>285750</xdr:rowOff>
    </xdr:from>
    <xdr:to>
      <xdr:col>14</xdr:col>
      <xdr:colOff>400050</xdr:colOff>
      <xdr:row>95</xdr:row>
      <xdr:rowOff>104775</xdr:rowOff>
    </xdr:to>
    <xdr:graphicFrame macro="">
      <xdr:nvGraphicFramePr>
        <xdr:cNvPr id="22" name="Chart 2">
          <a:extLst>
            <a:ext uri="{FF2B5EF4-FFF2-40B4-BE49-F238E27FC236}">
              <a16:creationId xmlns:a16="http://schemas.microsoft.com/office/drawing/2014/main" id="{00000000-0008-0000-08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16</xdr:col>
      <xdr:colOff>374412</xdr:colOff>
      <xdr:row>7</xdr:row>
      <xdr:rowOff>57040</xdr:rowOff>
    </xdr:from>
    <xdr:to>
      <xdr:col>18</xdr:col>
      <xdr:colOff>9422</xdr:colOff>
      <xdr:row>9</xdr:row>
      <xdr:rowOff>38100</xdr:rowOff>
    </xdr:to>
    <xdr:pic>
      <xdr:nvPicPr>
        <xdr:cNvPr id="24" name="Picture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22"/>
        <a:stretch>
          <a:fillRect/>
        </a:stretch>
      </xdr:blipFill>
      <xdr:spPr>
        <a:xfrm>
          <a:off x="9689862" y="2447815"/>
          <a:ext cx="854210" cy="466835"/>
        </a:xfrm>
        <a:prstGeom prst="rect">
          <a:avLst/>
        </a:prstGeom>
      </xdr:spPr>
    </xdr:pic>
    <xdr:clientData/>
  </xdr:twoCellAnchor>
</xdr:wsDr>
</file>

<file path=xl/drawings/drawing43.xml><?xml version="1.0" encoding="utf-8"?>
<c:userShapes xmlns:c="http://schemas.openxmlformats.org/drawingml/2006/chart">
  <cdr:relSizeAnchor xmlns:cdr="http://schemas.openxmlformats.org/drawingml/2006/chartDrawing">
    <cdr:from>
      <cdr:x>0.84148</cdr:x>
      <cdr:y>0.00331</cdr:y>
    </cdr:from>
    <cdr:to>
      <cdr:x>1</cdr:x>
      <cdr:y>0.06486</cdr:y>
    </cdr:to>
    <cdr:sp macro="" textlink="">
      <cdr:nvSpPr>
        <cdr:cNvPr id="2" name="TextBox 1"/>
        <cdr:cNvSpPr txBox="1"/>
      </cdr:nvSpPr>
      <cdr:spPr>
        <a:xfrm xmlns:a="http://schemas.openxmlformats.org/drawingml/2006/main">
          <a:off x="6067425" y="12453"/>
          <a:ext cx="1143000" cy="2315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dr:relSizeAnchor xmlns:cdr="http://schemas.openxmlformats.org/drawingml/2006/chartDrawing">
    <cdr:from>
      <cdr:x>0.39903</cdr:x>
      <cdr:y>0</cdr:y>
    </cdr:from>
    <cdr:to>
      <cdr:x>0.59492</cdr:x>
      <cdr:y>0.05479</cdr:y>
    </cdr:to>
    <cdr:sp macro="" textlink="">
      <cdr:nvSpPr>
        <cdr:cNvPr id="3" name="TextBox 2"/>
        <cdr:cNvSpPr txBox="1"/>
      </cdr:nvSpPr>
      <cdr:spPr>
        <a:xfrm xmlns:a="http://schemas.openxmlformats.org/drawingml/2006/main">
          <a:off x="3143250" y="0"/>
          <a:ext cx="15430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000" b="1">
              <a:latin typeface="Arial" panose="020B0604020202020204" pitchFamily="34" charset="0"/>
              <a:cs typeface="Arial" panose="020B0604020202020204" pitchFamily="34" charset="0"/>
            </a:rPr>
            <a:t>All ages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352424</xdr:colOff>
      <xdr:row>9</xdr:row>
      <xdr:rowOff>114301</xdr:rowOff>
    </xdr:from>
    <xdr:to>
      <xdr:col>11</xdr:col>
      <xdr:colOff>457200</xdr:colOff>
      <xdr:row>20</xdr:row>
      <xdr:rowOff>133126</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23</xdr:row>
      <xdr:rowOff>76199</xdr:rowOff>
    </xdr:from>
    <xdr:to>
      <xdr:col>11</xdr:col>
      <xdr:colOff>523875</xdr:colOff>
      <xdr:row>34</xdr:row>
      <xdr:rowOff>95024</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37</xdr:row>
      <xdr:rowOff>66675</xdr:rowOff>
    </xdr:from>
    <xdr:to>
      <xdr:col>11</xdr:col>
      <xdr:colOff>561975</xdr:colOff>
      <xdr:row>48</xdr:row>
      <xdr:rowOff>85500</xdr:rowOff>
    </xdr:to>
    <xdr:graphicFrame macro="">
      <xdr:nvGraphicFramePr>
        <xdr:cNvPr id="6" name="Chart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104773</xdr:colOff>
      <xdr:row>59</xdr:row>
      <xdr:rowOff>38098</xdr:rowOff>
    </xdr:from>
    <xdr:to>
      <xdr:col>7</xdr:col>
      <xdr:colOff>100798</xdr:colOff>
      <xdr:row>71</xdr:row>
      <xdr:rowOff>57149</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167024</xdr:colOff>
      <xdr:row>59</xdr:row>
      <xdr:rowOff>123825</xdr:rowOff>
    </xdr:from>
    <xdr:to>
      <xdr:col>11</xdr:col>
      <xdr:colOff>572624</xdr:colOff>
      <xdr:row>71</xdr:row>
      <xdr:rowOff>142725</xdr:rowOff>
    </xdr:to>
    <xdr:graphicFrame macro="">
      <xdr:nvGraphicFramePr>
        <xdr:cNvPr id="9" name="Chart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104774</xdr:colOff>
      <xdr:row>73</xdr:row>
      <xdr:rowOff>9525</xdr:rowOff>
    </xdr:from>
    <xdr:to>
      <xdr:col>7</xdr:col>
      <xdr:colOff>100799</xdr:colOff>
      <xdr:row>85</xdr:row>
      <xdr:rowOff>28425</xdr:rowOff>
    </xdr:to>
    <xdr:graphicFrame macro="">
      <xdr:nvGraphicFramePr>
        <xdr:cNvPr id="11" name="Chart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0.01523</cdr:x>
      <cdr:y>0</cdr:y>
    </cdr:from>
    <cdr:to>
      <cdr:x>0.33672</cdr:x>
      <cdr:y>0.10965</cdr:y>
    </cdr:to>
    <cdr:sp macro="" textlink="">
      <cdr:nvSpPr>
        <cdr:cNvPr id="2" name="TextBox 1"/>
        <cdr:cNvSpPr txBox="1"/>
      </cdr:nvSpPr>
      <cdr:spPr>
        <a:xfrm xmlns:a="http://schemas.openxmlformats.org/drawingml/2006/main">
          <a:off x="86024" y="0"/>
          <a:ext cx="1815880" cy="2381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a:t>
          </a:r>
          <a:r>
            <a:rPr lang="en-NZ" sz="900" baseline="0">
              <a:latin typeface="Arial" panose="020B0604020202020204" pitchFamily="34" charset="0"/>
              <a:cs typeface="Arial" panose="020B0604020202020204" pitchFamily="34" charset="0"/>
            </a:rPr>
            <a:t> 100,000)</a:t>
          </a:r>
          <a:endParaRPr lang="en-N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0.04291</cdr:x>
      <cdr:y>0</cdr:y>
    </cdr:from>
    <cdr:to>
      <cdr:x>0.4506</cdr:x>
      <cdr:y>0.09525</cdr:y>
    </cdr:to>
    <cdr:sp macro="" textlink="">
      <cdr:nvSpPr>
        <cdr:cNvPr id="3" name="TextBox 1"/>
        <cdr:cNvSpPr txBox="1"/>
      </cdr:nvSpPr>
      <cdr:spPr>
        <a:xfrm xmlns:a="http://schemas.openxmlformats.org/drawingml/2006/main">
          <a:off x="247649" y="0"/>
          <a:ext cx="2352675" cy="1714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0.01651</cdr:x>
      <cdr:y>0</cdr:y>
    </cdr:from>
    <cdr:to>
      <cdr:x>0.25088</cdr:x>
      <cdr:y>0.12171</cdr:y>
    </cdr:to>
    <cdr:sp macro="" textlink="">
      <cdr:nvSpPr>
        <cdr:cNvPr id="4" name="TextBox 2"/>
        <cdr:cNvSpPr txBox="1"/>
      </cdr:nvSpPr>
      <cdr:spPr>
        <a:xfrm xmlns:a="http://schemas.openxmlformats.org/drawingml/2006/main">
          <a:off x="95251" y="0"/>
          <a:ext cx="1352550" cy="2190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46.xml><?xml version="1.0" encoding="utf-8"?>
<c:userShapes xmlns:c="http://schemas.openxmlformats.org/drawingml/2006/chart">
  <cdr:relSizeAnchor xmlns:cdr="http://schemas.openxmlformats.org/drawingml/2006/chartDrawing">
    <cdr:from>
      <cdr:x>0.04291</cdr:x>
      <cdr:y>0</cdr:y>
    </cdr:from>
    <cdr:to>
      <cdr:x>0.4506</cdr:x>
      <cdr:y>0.09525</cdr:y>
    </cdr:to>
    <cdr:sp macro="" textlink="">
      <cdr:nvSpPr>
        <cdr:cNvPr id="2" name="TextBox 1"/>
        <cdr:cNvSpPr txBox="1"/>
      </cdr:nvSpPr>
      <cdr:spPr>
        <a:xfrm xmlns:a="http://schemas.openxmlformats.org/drawingml/2006/main">
          <a:off x="247649" y="0"/>
          <a:ext cx="2352675" cy="1714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0.01651</cdr:x>
      <cdr:y>0</cdr:y>
    </cdr:from>
    <cdr:to>
      <cdr:x>0.25088</cdr:x>
      <cdr:y>0.13758</cdr:y>
    </cdr:to>
    <cdr:sp macro="" textlink="">
      <cdr:nvSpPr>
        <cdr:cNvPr id="3" name="TextBox 2"/>
        <cdr:cNvSpPr txBox="1"/>
      </cdr:nvSpPr>
      <cdr:spPr>
        <a:xfrm xmlns:a="http://schemas.openxmlformats.org/drawingml/2006/main">
          <a:off x="95251" y="0"/>
          <a:ext cx="135255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NZ" sz="900">
              <a:effectLst/>
              <a:latin typeface="Arial" panose="020B0604020202020204" pitchFamily="34" charset="0"/>
              <a:ea typeface="+mn-ea"/>
              <a:cs typeface="Arial" panose="020B0604020202020204" pitchFamily="34" charset="0"/>
            </a:rPr>
            <a:t>Rate (per</a:t>
          </a:r>
          <a:r>
            <a:rPr lang="en-NZ" sz="900" baseline="0">
              <a:effectLst/>
              <a:latin typeface="Arial" panose="020B0604020202020204" pitchFamily="34" charset="0"/>
              <a:ea typeface="+mn-ea"/>
              <a:cs typeface="Arial" panose="020B0604020202020204" pitchFamily="34" charset="0"/>
            </a:rPr>
            <a:t> 100,000)</a:t>
          </a:r>
          <a:endParaRPr lang="en-NZ" sz="900">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userShapes>
</file>

<file path=xl/drawings/drawing47.xml><?xml version="1.0" encoding="utf-8"?>
<c:userShapes xmlns:c="http://schemas.openxmlformats.org/drawingml/2006/chart">
  <cdr:relSizeAnchor xmlns:cdr="http://schemas.openxmlformats.org/drawingml/2006/chartDrawing">
    <cdr:from>
      <cdr:x>0.02146</cdr:x>
      <cdr:y>0.03175</cdr:y>
    </cdr:from>
    <cdr:to>
      <cdr:x>0.27564</cdr:x>
      <cdr:y>0.15346</cdr:y>
    </cdr:to>
    <cdr:sp macro="" textlink="">
      <cdr:nvSpPr>
        <cdr:cNvPr id="2" name="TextBox 1"/>
        <cdr:cNvSpPr txBox="1"/>
      </cdr:nvSpPr>
      <cdr:spPr>
        <a:xfrm xmlns:a="http://schemas.openxmlformats.org/drawingml/2006/main">
          <a:off x="123825" y="57150"/>
          <a:ext cx="14668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48.xml><?xml version="1.0" encoding="utf-8"?>
<c:userShapes xmlns:c="http://schemas.openxmlformats.org/drawingml/2006/chart">
  <cdr:relSizeAnchor xmlns:cdr="http://schemas.openxmlformats.org/drawingml/2006/chartDrawing">
    <cdr:from>
      <cdr:x>0</cdr:x>
      <cdr:y>0</cdr:y>
    </cdr:from>
    <cdr:to>
      <cdr:x>0.4572</cdr:x>
      <cdr:y>0.10194</cdr:y>
    </cdr:to>
    <cdr:sp macro="" textlink="">
      <cdr:nvSpPr>
        <cdr:cNvPr id="2" name="TextBox 1"/>
        <cdr:cNvSpPr txBox="1"/>
      </cdr:nvSpPr>
      <cdr:spPr>
        <a:xfrm xmlns:a="http://schemas.openxmlformats.org/drawingml/2006/main">
          <a:off x="0" y="0"/>
          <a:ext cx="1143001" cy="2175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a:t>
          </a:r>
          <a:r>
            <a:rPr lang="en-NZ" sz="900" baseline="0">
              <a:latin typeface="Arial" panose="020B0604020202020204" pitchFamily="34" charset="0"/>
              <a:cs typeface="Arial" panose="020B0604020202020204" pitchFamily="34" charset="0"/>
            </a:rPr>
            <a:t> 100,000</a:t>
          </a:r>
          <a:endParaRPr lang="en-NZ" sz="900">
            <a:latin typeface="Arial" panose="020B0604020202020204" pitchFamily="34" charset="0"/>
            <a:cs typeface="Arial" panose="020B0604020202020204" pitchFamily="34" charset="0"/>
          </a:endParaRPr>
        </a:p>
      </cdr:txBody>
    </cdr:sp>
  </cdr:relSizeAnchor>
</c:userShapes>
</file>

<file path=xl/drawings/drawing49.xml><?xml version="1.0" encoding="utf-8"?>
<xdr:wsDr xmlns:xdr="http://schemas.openxmlformats.org/drawingml/2006/spreadsheetDrawing" xmlns:a="http://schemas.openxmlformats.org/drawingml/2006/main">
  <xdr:twoCellAnchor>
    <xdr:from>
      <xdr:col>1</xdr:col>
      <xdr:colOff>66674</xdr:colOff>
      <xdr:row>115</xdr:row>
      <xdr:rowOff>38100</xdr:rowOff>
    </xdr:from>
    <xdr:to>
      <xdr:col>12</xdr:col>
      <xdr:colOff>0</xdr:colOff>
      <xdr:row>128</xdr:row>
      <xdr:rowOff>142876</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128</xdr:row>
      <xdr:rowOff>133351</xdr:rowOff>
    </xdr:from>
    <xdr:to>
      <xdr:col>11</xdr:col>
      <xdr:colOff>571500</xdr:colOff>
      <xdr:row>142</xdr:row>
      <xdr:rowOff>1</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57150</xdr:colOff>
      <xdr:row>27</xdr:row>
      <xdr:rowOff>76199</xdr:rowOff>
    </xdr:from>
    <xdr:to>
      <xdr:col>7</xdr:col>
      <xdr:colOff>7950</xdr:colOff>
      <xdr:row>40</xdr:row>
      <xdr:rowOff>95174</xdr:rowOff>
    </xdr:to>
    <xdr:graphicFrame macro="">
      <xdr:nvGraphicFramePr>
        <xdr:cNvPr id="3" name="Chart 28">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38100</xdr:colOff>
      <xdr:row>27</xdr:row>
      <xdr:rowOff>76200</xdr:rowOff>
    </xdr:from>
    <xdr:to>
      <xdr:col>11</xdr:col>
      <xdr:colOff>598500</xdr:colOff>
      <xdr:row>40</xdr:row>
      <xdr:rowOff>95175</xdr:rowOff>
    </xdr:to>
    <xdr:graphicFrame macro="">
      <xdr:nvGraphicFramePr>
        <xdr:cNvPr id="5" name="Chart 29">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40</xdr:row>
      <xdr:rowOff>85725</xdr:rowOff>
    </xdr:from>
    <xdr:to>
      <xdr:col>6</xdr:col>
      <xdr:colOff>560400</xdr:colOff>
      <xdr:row>53</xdr:row>
      <xdr:rowOff>104700</xdr:rowOff>
    </xdr:to>
    <xdr:graphicFrame macro="">
      <xdr:nvGraphicFramePr>
        <xdr:cNvPr id="6" name="Chart 30">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7</xdr:row>
      <xdr:rowOff>47623</xdr:rowOff>
    </xdr:from>
    <xdr:to>
      <xdr:col>11</xdr:col>
      <xdr:colOff>410175</xdr:colOff>
      <xdr:row>19</xdr:row>
      <xdr:rowOff>28574</xdr:rowOff>
    </xdr:to>
    <xdr:graphicFrame macro="">
      <xdr:nvGraphicFramePr>
        <xdr:cNvPr id="8" name="Chart 28">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9525</xdr:colOff>
      <xdr:row>68</xdr:row>
      <xdr:rowOff>104774</xdr:rowOff>
    </xdr:from>
    <xdr:to>
      <xdr:col>6</xdr:col>
      <xdr:colOff>569925</xdr:colOff>
      <xdr:row>81</xdr:row>
      <xdr:rowOff>123749</xdr:rowOff>
    </xdr:to>
    <xdr:graphicFrame macro="">
      <xdr:nvGraphicFramePr>
        <xdr:cNvPr id="10" name="Chart 9">
          <a:extLst>
            <a:ext uri="{FF2B5EF4-FFF2-40B4-BE49-F238E27FC236}">
              <a16:creationId xmlns:a16="http://schemas.microsoft.com/office/drawing/2014/main" id="{00000000-0008-0000-0A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561975</xdr:colOff>
      <xdr:row>68</xdr:row>
      <xdr:rowOff>104775</xdr:rowOff>
    </xdr:from>
    <xdr:to>
      <xdr:col>11</xdr:col>
      <xdr:colOff>512775</xdr:colOff>
      <xdr:row>81</xdr:row>
      <xdr:rowOff>123750</xdr:rowOff>
    </xdr:to>
    <xdr:graphicFrame macro="">
      <xdr:nvGraphicFramePr>
        <xdr:cNvPr id="11" name="Chart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9525</xdr:colOff>
      <xdr:row>81</xdr:row>
      <xdr:rowOff>114300</xdr:rowOff>
    </xdr:from>
    <xdr:to>
      <xdr:col>6</xdr:col>
      <xdr:colOff>569925</xdr:colOff>
      <xdr:row>93</xdr:row>
      <xdr:rowOff>76125</xdr:rowOff>
    </xdr:to>
    <xdr:graphicFrame macro="">
      <xdr:nvGraphicFramePr>
        <xdr:cNvPr id="12" name="Chart 11">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561975</xdr:colOff>
      <xdr:row>81</xdr:row>
      <xdr:rowOff>114300</xdr:rowOff>
    </xdr:from>
    <xdr:to>
      <xdr:col>11</xdr:col>
      <xdr:colOff>512775</xdr:colOff>
      <xdr:row>93</xdr:row>
      <xdr:rowOff>76125</xdr:rowOff>
    </xdr:to>
    <xdr:graphicFrame macro="">
      <xdr:nvGraphicFramePr>
        <xdr:cNvPr id="13" name="Chart 12">
          <a:extLst>
            <a:ext uri="{FF2B5EF4-FFF2-40B4-BE49-F238E27FC236}">
              <a16:creationId xmlns:a16="http://schemas.microsoft.com/office/drawing/2014/main" id="{00000000-0008-0000-0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38100</xdr:colOff>
      <xdr:row>142</xdr:row>
      <xdr:rowOff>104775</xdr:rowOff>
    </xdr:from>
    <xdr:to>
      <xdr:col>11</xdr:col>
      <xdr:colOff>571500</xdr:colOff>
      <xdr:row>155</xdr:row>
      <xdr:rowOff>133350</xdr:rowOff>
    </xdr:to>
    <xdr:graphicFrame macro="">
      <xdr:nvGraphicFramePr>
        <xdr:cNvPr id="14" name="Chart 13">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47625</xdr:colOff>
      <xdr:row>156</xdr:row>
      <xdr:rowOff>85725</xdr:rowOff>
    </xdr:from>
    <xdr:to>
      <xdr:col>11</xdr:col>
      <xdr:colOff>571500</xdr:colOff>
      <xdr:row>169</xdr:row>
      <xdr:rowOff>114300</xdr:rowOff>
    </xdr:to>
    <xdr:graphicFrame macro="">
      <xdr:nvGraphicFramePr>
        <xdr:cNvPr id="16" name="Chart 15">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0.0226</cdr:y>
    </cdr:from>
    <cdr:to>
      <cdr:x>0.16576</cdr:x>
      <cdr:y>0.11312</cdr:y>
    </cdr:to>
    <cdr:sp macro="" textlink="">
      <cdr:nvSpPr>
        <cdr:cNvPr id="2" name="TextBox 1"/>
        <cdr:cNvSpPr txBox="1"/>
      </cdr:nvSpPr>
      <cdr:spPr>
        <a:xfrm xmlns:a="http://schemas.openxmlformats.org/drawingml/2006/main">
          <a:off x="0" y="46720"/>
          <a:ext cx="1244145" cy="187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50.xml><?xml version="1.0" encoding="utf-8"?>
<c:userShapes xmlns:c="http://schemas.openxmlformats.org/drawingml/2006/chart">
  <cdr:relSizeAnchor xmlns:cdr="http://schemas.openxmlformats.org/drawingml/2006/chartDrawing">
    <cdr:from>
      <cdr:x>0.89692</cdr:x>
      <cdr:y>0.05936</cdr:y>
    </cdr:from>
    <cdr:to>
      <cdr:x>0.99846</cdr:x>
      <cdr:y>0.15772</cdr:y>
    </cdr:to>
    <cdr:sp macro="" textlink="">
      <cdr:nvSpPr>
        <cdr:cNvPr id="2" name="TextBox 1"/>
        <cdr:cNvSpPr txBox="1"/>
      </cdr:nvSpPr>
      <cdr:spPr>
        <a:xfrm xmlns:a="http://schemas.openxmlformats.org/drawingml/2006/main">
          <a:off x="5553076" y="150951"/>
          <a:ext cx="628650" cy="2501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Percent</a:t>
          </a:r>
        </a:p>
      </cdr:txBody>
    </cdr:sp>
  </cdr:relSizeAnchor>
</c:userShapes>
</file>

<file path=xl/drawings/drawing51.xml><?xml version="1.0" encoding="utf-8"?>
<c:userShapes xmlns:c="http://schemas.openxmlformats.org/drawingml/2006/chart">
  <cdr:relSizeAnchor xmlns:cdr="http://schemas.openxmlformats.org/drawingml/2006/chartDrawing">
    <cdr:from>
      <cdr:x>0.90615</cdr:x>
      <cdr:y>0.04911</cdr:y>
    </cdr:from>
    <cdr:to>
      <cdr:x>1</cdr:x>
      <cdr:y>0.13656</cdr:y>
    </cdr:to>
    <cdr:sp macro="" textlink="">
      <cdr:nvSpPr>
        <cdr:cNvPr id="2" name="TextBox 1"/>
        <cdr:cNvSpPr txBox="1"/>
      </cdr:nvSpPr>
      <cdr:spPr>
        <a:xfrm xmlns:a="http://schemas.openxmlformats.org/drawingml/2006/main">
          <a:off x="5610225" y="106177"/>
          <a:ext cx="581025" cy="189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Percent</a:t>
          </a:r>
        </a:p>
      </cdr:txBody>
    </cdr:sp>
  </cdr:relSizeAnchor>
</c:userShapes>
</file>

<file path=xl/drawings/drawing52.xml><?xml version="1.0" encoding="utf-8"?>
<c:userShapes xmlns:c="http://schemas.openxmlformats.org/drawingml/2006/chart">
  <cdr:relSizeAnchor xmlns:cdr="http://schemas.openxmlformats.org/drawingml/2006/chartDrawing">
    <cdr:from>
      <cdr:x>0</cdr:x>
      <cdr:y>0.0852</cdr:y>
    </cdr:from>
    <cdr:to>
      <cdr:x>0.37798</cdr:x>
      <cdr:y>0.18835</cdr:y>
    </cdr:to>
    <cdr:sp macro="" textlink="">
      <cdr:nvSpPr>
        <cdr:cNvPr id="2" name="TextBox 1"/>
        <cdr:cNvSpPr txBox="1"/>
      </cdr:nvSpPr>
      <cdr:spPr>
        <a:xfrm xmlns:a="http://schemas.openxmlformats.org/drawingml/2006/main">
          <a:off x="0" y="180975"/>
          <a:ext cx="1133475" cy="2190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0.02117</cdr:y>
    </cdr:from>
    <cdr:to>
      <cdr:x>0.23699</cdr:x>
      <cdr:y>0.15346</cdr:y>
    </cdr:to>
    <cdr:sp macro="" textlink="">
      <cdr:nvSpPr>
        <cdr:cNvPr id="2" name="TextBox 1"/>
        <cdr:cNvSpPr txBox="1"/>
      </cdr:nvSpPr>
      <cdr:spPr>
        <a:xfrm xmlns:a="http://schemas.openxmlformats.org/drawingml/2006/main">
          <a:off x="0" y="40732"/>
          <a:ext cx="1390657" cy="2545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54.xml><?xml version="1.0" encoding="utf-8"?>
<c:userShapes xmlns:c="http://schemas.openxmlformats.org/drawingml/2006/chart">
  <cdr:relSizeAnchor xmlns:cdr="http://schemas.openxmlformats.org/drawingml/2006/chartDrawing">
    <cdr:from>
      <cdr:x>0.00635</cdr:x>
      <cdr:y>0.04036</cdr:y>
    </cdr:from>
    <cdr:to>
      <cdr:x>0.41927</cdr:x>
      <cdr:y>0.13005</cdr:y>
    </cdr:to>
    <cdr:sp macro="" textlink="">
      <cdr:nvSpPr>
        <cdr:cNvPr id="2" name="TextBox 1"/>
        <cdr:cNvSpPr txBox="1"/>
      </cdr:nvSpPr>
      <cdr:spPr>
        <a:xfrm xmlns:a="http://schemas.openxmlformats.org/drawingml/2006/main">
          <a:off x="19050" y="85725"/>
          <a:ext cx="1238250" cy="1905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55.xml><?xml version="1.0" encoding="utf-8"?>
<c:userShapes xmlns:c="http://schemas.openxmlformats.org/drawingml/2006/chart">
  <cdr:relSizeAnchor xmlns:cdr="http://schemas.openxmlformats.org/drawingml/2006/chartDrawing">
    <cdr:from>
      <cdr:x>0.89522</cdr:x>
      <cdr:y>0.06696</cdr:y>
    </cdr:from>
    <cdr:to>
      <cdr:x>1</cdr:x>
      <cdr:y>0.18304</cdr:y>
    </cdr:to>
    <cdr:sp macro="" textlink="">
      <cdr:nvSpPr>
        <cdr:cNvPr id="2" name="TextBox 1"/>
        <cdr:cNvSpPr txBox="1"/>
      </cdr:nvSpPr>
      <cdr:spPr>
        <a:xfrm xmlns:a="http://schemas.openxmlformats.org/drawingml/2006/main">
          <a:off x="5534024" y="142875"/>
          <a:ext cx="647701"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Percent</a:t>
          </a:r>
        </a:p>
      </cdr:txBody>
    </cdr:sp>
  </cdr:relSizeAnchor>
</c:userShapes>
</file>

<file path=xl/drawings/drawing56.xml><?xml version="1.0" encoding="utf-8"?>
<c:userShapes xmlns:c="http://schemas.openxmlformats.org/drawingml/2006/chart">
  <cdr:relSizeAnchor xmlns:cdr="http://schemas.openxmlformats.org/drawingml/2006/chartDrawing">
    <cdr:from>
      <cdr:x>0.89352</cdr:x>
      <cdr:y>0.05804</cdr:y>
    </cdr:from>
    <cdr:to>
      <cdr:x>1</cdr:x>
      <cdr:y>0.14732</cdr:y>
    </cdr:to>
    <cdr:sp macro="" textlink="">
      <cdr:nvSpPr>
        <cdr:cNvPr id="2" name="TextBox 1"/>
        <cdr:cNvSpPr txBox="1"/>
      </cdr:nvSpPr>
      <cdr:spPr>
        <a:xfrm xmlns:a="http://schemas.openxmlformats.org/drawingml/2006/main">
          <a:off x="5514976" y="123826"/>
          <a:ext cx="657224" cy="1904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Percent</a:t>
          </a:r>
        </a:p>
      </cdr:txBody>
    </cdr:sp>
  </cdr:relSizeAnchor>
</c:userShapes>
</file>

<file path=xl/drawings/drawing57.xml><?xml version="1.0" encoding="utf-8"?>
<xdr:wsDr xmlns:xdr="http://schemas.openxmlformats.org/drawingml/2006/spreadsheetDrawing" xmlns:a="http://schemas.openxmlformats.org/drawingml/2006/main">
  <xdr:twoCellAnchor>
    <xdr:from>
      <xdr:col>1</xdr:col>
      <xdr:colOff>9525</xdr:colOff>
      <xdr:row>7</xdr:row>
      <xdr:rowOff>57150</xdr:rowOff>
    </xdr:from>
    <xdr:to>
      <xdr:col>12</xdr:col>
      <xdr:colOff>123825</xdr:colOff>
      <xdr:row>30</xdr:row>
      <xdr:rowOff>133350</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53</xdr:row>
      <xdr:rowOff>152400</xdr:rowOff>
    </xdr:from>
    <xdr:to>
      <xdr:col>13</xdr:col>
      <xdr:colOff>95250</xdr:colOff>
      <xdr:row>78</xdr:row>
      <xdr:rowOff>9524</xdr:rowOff>
    </xdr:to>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0.48089</cdr:x>
      <cdr:y>0.03916</cdr:y>
    </cdr:from>
    <cdr:to>
      <cdr:x>0.50796</cdr:x>
      <cdr:y>0.97389</cdr:y>
    </cdr:to>
    <cdr:sp macro="" textlink="">
      <cdr:nvSpPr>
        <cdr:cNvPr id="2" name="TextBox 1"/>
        <cdr:cNvSpPr txBox="1"/>
      </cdr:nvSpPr>
      <cdr:spPr>
        <a:xfrm xmlns:a="http://schemas.openxmlformats.org/drawingml/2006/main">
          <a:off x="2876549" y="142876"/>
          <a:ext cx="161925" cy="3409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0.01452</cdr:x>
      <cdr:y>0.01905</cdr:y>
    </cdr:from>
    <cdr:to>
      <cdr:x>0.27903</cdr:x>
      <cdr:y>0.06562</cdr:y>
    </cdr:to>
    <cdr:sp macro="" textlink="">
      <cdr:nvSpPr>
        <cdr:cNvPr id="4" name="TextBox 3"/>
        <cdr:cNvSpPr txBox="1"/>
      </cdr:nvSpPr>
      <cdr:spPr>
        <a:xfrm xmlns:a="http://schemas.openxmlformats.org/drawingml/2006/main">
          <a:off x="85725" y="76948"/>
          <a:ext cx="1562100" cy="188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59.xml><?xml version="1.0" encoding="utf-8"?>
<c:userShapes xmlns:c="http://schemas.openxmlformats.org/drawingml/2006/chart">
  <cdr:relSizeAnchor xmlns:cdr="http://schemas.openxmlformats.org/drawingml/2006/chartDrawing">
    <cdr:from>
      <cdr:x>0.48089</cdr:x>
      <cdr:y>0.03916</cdr:y>
    </cdr:from>
    <cdr:to>
      <cdr:x>0.50796</cdr:x>
      <cdr:y>0.97389</cdr:y>
    </cdr:to>
    <cdr:sp macro="" textlink="">
      <cdr:nvSpPr>
        <cdr:cNvPr id="2" name="TextBox 1"/>
        <cdr:cNvSpPr txBox="1"/>
      </cdr:nvSpPr>
      <cdr:spPr>
        <a:xfrm xmlns:a="http://schemas.openxmlformats.org/drawingml/2006/main">
          <a:off x="2876549" y="142876"/>
          <a:ext cx="161925" cy="3409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0.48089</cdr:x>
      <cdr:y>0.03655</cdr:y>
    </cdr:from>
    <cdr:to>
      <cdr:x>0.50796</cdr:x>
      <cdr:y>0.96345</cdr:y>
    </cdr:to>
    <cdr:sp macro="" textlink="">
      <cdr:nvSpPr>
        <cdr:cNvPr id="3" name="TextBox 2"/>
        <cdr:cNvSpPr txBox="1"/>
      </cdr:nvSpPr>
      <cdr:spPr>
        <a:xfrm xmlns:a="http://schemas.openxmlformats.org/drawingml/2006/main">
          <a:off x="2876549" y="133350"/>
          <a:ext cx="161925" cy="3381375"/>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0.00969</cdr:x>
      <cdr:y>0</cdr:y>
    </cdr:from>
    <cdr:to>
      <cdr:x>0.21311</cdr:x>
      <cdr:y>0.0637</cdr:y>
    </cdr:to>
    <cdr:sp macro="" textlink="">
      <cdr:nvSpPr>
        <cdr:cNvPr id="5" name="TextBox 4"/>
        <cdr:cNvSpPr txBox="1"/>
      </cdr:nvSpPr>
      <cdr:spPr>
        <a:xfrm xmlns:a="http://schemas.openxmlformats.org/drawingml/2006/main">
          <a:off x="57150" y="0"/>
          <a:ext cx="120015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cdr:y>
    </cdr:from>
    <cdr:to>
      <cdr:x>0.37133</cdr:x>
      <cdr:y>0.14527</cdr:y>
    </cdr:to>
    <cdr:sp macro="" textlink="">
      <cdr:nvSpPr>
        <cdr:cNvPr id="5" name="TextBox 4"/>
        <cdr:cNvSpPr txBox="1"/>
      </cdr:nvSpPr>
      <cdr:spPr>
        <a:xfrm xmlns:a="http://schemas.openxmlformats.org/drawingml/2006/main">
          <a:off x="0" y="0"/>
          <a:ext cx="1199016" cy="2532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r>
            <a:rPr lang="en-NZ" sz="800">
              <a:latin typeface="Arial" panose="020B0604020202020204" pitchFamily="34" charset="0"/>
              <a:cs typeface="Arial" panose="020B0604020202020204" pitchFamily="34" charset="0"/>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0.00915</cdr:x>
      <cdr:y>0.00521</cdr:y>
    </cdr:from>
    <cdr:to>
      <cdr:x>0.22561</cdr:x>
      <cdr:y>0.13542</cdr:y>
    </cdr:to>
    <cdr:sp macro="" textlink="">
      <cdr:nvSpPr>
        <cdr:cNvPr id="2" name="TextBox 1"/>
        <cdr:cNvSpPr txBox="1"/>
      </cdr:nvSpPr>
      <cdr:spPr>
        <a:xfrm xmlns:a="http://schemas.openxmlformats.org/drawingml/2006/main">
          <a:off x="57151" y="9525"/>
          <a:ext cx="13525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dr:relSizeAnchor xmlns:cdr="http://schemas.openxmlformats.org/drawingml/2006/chartDrawing">
    <cdr:from>
      <cdr:x>0.39375</cdr:x>
      <cdr:y>0.02083</cdr:y>
    </cdr:from>
    <cdr:to>
      <cdr:x>0.51875</cdr:x>
      <cdr:y>0.15104</cdr:y>
    </cdr:to>
    <cdr:sp macro="" textlink="">
      <cdr:nvSpPr>
        <cdr:cNvPr id="3" name="TextBox 2"/>
        <cdr:cNvSpPr txBox="1"/>
      </cdr:nvSpPr>
      <cdr:spPr>
        <a:xfrm xmlns:a="http://schemas.openxmlformats.org/drawingml/2006/main">
          <a:off x="2400300" y="38100"/>
          <a:ext cx="7620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latin typeface="Arial" panose="020B0604020202020204" pitchFamily="34" charset="0"/>
              <a:cs typeface="Arial" panose="020B0604020202020204" pitchFamily="34" charset="0"/>
            </a:rPr>
            <a:t>All ages</a:t>
          </a:r>
        </a:p>
      </cdr:txBody>
    </cdr:sp>
  </cdr:relSizeAnchor>
</c:userShapes>
</file>

<file path=xl/drawings/drawing8.xml><?xml version="1.0" encoding="utf-8"?>
<xdr:wsDr xmlns:xdr="http://schemas.openxmlformats.org/drawingml/2006/spreadsheetDrawing" xmlns:a="http://schemas.openxmlformats.org/drawingml/2006/main">
  <xdr:twoCellAnchor>
    <xdr:from>
      <xdr:col>2</xdr:col>
      <xdr:colOff>28573</xdr:colOff>
      <xdr:row>7</xdr:row>
      <xdr:rowOff>104775</xdr:rowOff>
    </xdr:from>
    <xdr:to>
      <xdr:col>11</xdr:col>
      <xdr:colOff>312973</xdr:colOff>
      <xdr:row>17</xdr:row>
      <xdr:rowOff>161700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28</xdr:row>
      <xdr:rowOff>66674</xdr:rowOff>
    </xdr:from>
    <xdr:to>
      <xdr:col>7</xdr:col>
      <xdr:colOff>39450</xdr:colOff>
      <xdr:row>39</xdr:row>
      <xdr:rowOff>47474</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57149</xdr:colOff>
      <xdr:row>80</xdr:row>
      <xdr:rowOff>76198</xdr:rowOff>
    </xdr:from>
    <xdr:to>
      <xdr:col>6</xdr:col>
      <xdr:colOff>591899</xdr:colOff>
      <xdr:row>94</xdr:row>
      <xdr:rowOff>28575</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590547</xdr:colOff>
      <xdr:row>80</xdr:row>
      <xdr:rowOff>66675</xdr:rowOff>
    </xdr:from>
    <xdr:to>
      <xdr:col>12</xdr:col>
      <xdr:colOff>76199</xdr:colOff>
      <xdr:row>94</xdr:row>
      <xdr:rowOff>19050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85724</xdr:colOff>
      <xdr:row>94</xdr:row>
      <xdr:rowOff>85725</xdr:rowOff>
    </xdr:from>
    <xdr:to>
      <xdr:col>7</xdr:col>
      <xdr:colOff>10874</xdr:colOff>
      <xdr:row>105</xdr:row>
      <xdr:rowOff>95250</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54</xdr:row>
      <xdr:rowOff>66675</xdr:rowOff>
    </xdr:from>
    <xdr:to>
      <xdr:col>7</xdr:col>
      <xdr:colOff>68025</xdr:colOff>
      <xdr:row>68</xdr:row>
      <xdr:rowOff>9375</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76199</xdr:colOff>
      <xdr:row>154</xdr:row>
      <xdr:rowOff>142873</xdr:rowOff>
    </xdr:from>
    <xdr:to>
      <xdr:col>7</xdr:col>
      <xdr:colOff>115649</xdr:colOff>
      <xdr:row>165</xdr:row>
      <xdr:rowOff>161773</xdr:rowOff>
    </xdr:to>
    <xdr:graphicFrame macro="">
      <xdr:nvGraphicFramePr>
        <xdr:cNvPr id="13" name="Chart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76199</xdr:colOff>
      <xdr:row>168</xdr:row>
      <xdr:rowOff>0</xdr:rowOff>
    </xdr:from>
    <xdr:to>
      <xdr:col>7</xdr:col>
      <xdr:colOff>28575</xdr:colOff>
      <xdr:row>178</xdr:row>
      <xdr:rowOff>219075</xdr:rowOff>
    </xdr:to>
    <xdr:graphicFrame macro="">
      <xdr:nvGraphicFramePr>
        <xdr:cNvPr id="14" name="Chart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152400</xdr:colOff>
      <xdr:row>201</xdr:row>
      <xdr:rowOff>95249</xdr:rowOff>
    </xdr:from>
    <xdr:to>
      <xdr:col>7</xdr:col>
      <xdr:colOff>73050</xdr:colOff>
      <xdr:row>212</xdr:row>
      <xdr:rowOff>114074</xdr:rowOff>
    </xdr:to>
    <xdr:graphicFrame macro="">
      <xdr:nvGraphicFramePr>
        <xdr:cNvPr id="20" name="Chart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76200</xdr:colOff>
      <xdr:row>214</xdr:row>
      <xdr:rowOff>9525</xdr:rowOff>
    </xdr:from>
    <xdr:to>
      <xdr:col>6</xdr:col>
      <xdr:colOff>606450</xdr:colOff>
      <xdr:row>225</xdr:row>
      <xdr:rowOff>28350</xdr:rowOff>
    </xdr:to>
    <xdr:graphicFrame macro="">
      <xdr:nvGraphicFramePr>
        <xdr:cNvPr id="21" name="Chart 20">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66674</xdr:colOff>
      <xdr:row>227</xdr:row>
      <xdr:rowOff>9525</xdr:rowOff>
    </xdr:from>
    <xdr:to>
      <xdr:col>6</xdr:col>
      <xdr:colOff>596924</xdr:colOff>
      <xdr:row>238</xdr:row>
      <xdr:rowOff>28350</xdr:rowOff>
    </xdr:to>
    <xdr:graphicFrame macro="">
      <xdr:nvGraphicFramePr>
        <xdr:cNvPr id="22" name="Chart 21">
          <a:extLst>
            <a:ext uri="{FF2B5EF4-FFF2-40B4-BE49-F238E27FC236}">
              <a16:creationId xmlns:a16="http://schemas.microsoft.com/office/drawing/2014/main" id="{00000000-0008-0000-0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201</xdr:row>
      <xdr:rowOff>95250</xdr:rowOff>
    </xdr:from>
    <xdr:to>
      <xdr:col>11</xdr:col>
      <xdr:colOff>473100</xdr:colOff>
      <xdr:row>212</xdr:row>
      <xdr:rowOff>114075</xdr:rowOff>
    </xdr:to>
    <xdr:graphicFrame macro="">
      <xdr:nvGraphicFramePr>
        <xdr:cNvPr id="23" name="Chart 22">
          <a:extLst>
            <a:ext uri="{FF2B5EF4-FFF2-40B4-BE49-F238E27FC236}">
              <a16:creationId xmlns:a16="http://schemas.microsoft.com/office/drawing/2014/main" id="{00000000-0008-0000-0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4</xdr:col>
      <xdr:colOff>495300</xdr:colOff>
      <xdr:row>196</xdr:row>
      <xdr:rowOff>66675</xdr:rowOff>
    </xdr:from>
    <xdr:to>
      <xdr:col>8</xdr:col>
      <xdr:colOff>266424</xdr:colOff>
      <xdr:row>200</xdr:row>
      <xdr:rowOff>9440</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3"/>
        <a:stretch>
          <a:fillRect/>
        </a:stretch>
      </xdr:blipFill>
      <xdr:spPr>
        <a:xfrm>
          <a:off x="2019300" y="30794325"/>
          <a:ext cx="2209524" cy="676190"/>
        </a:xfrm>
        <a:prstGeom prst="rect">
          <a:avLst/>
        </a:prstGeom>
      </xdr:spPr>
    </xdr:pic>
    <xdr:clientData/>
  </xdr:twoCellAnchor>
  <xdr:twoCellAnchor>
    <xdr:from>
      <xdr:col>7</xdr:col>
      <xdr:colOff>95249</xdr:colOff>
      <xdr:row>214</xdr:row>
      <xdr:rowOff>76199</xdr:rowOff>
    </xdr:from>
    <xdr:to>
      <xdr:col>11</xdr:col>
      <xdr:colOff>454049</xdr:colOff>
      <xdr:row>225</xdr:row>
      <xdr:rowOff>47625</xdr:rowOff>
    </xdr:to>
    <xdr:graphicFrame macro="">
      <xdr:nvGraphicFramePr>
        <xdr:cNvPr id="25" name="Chart 24">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114300</xdr:colOff>
      <xdr:row>227</xdr:row>
      <xdr:rowOff>76199</xdr:rowOff>
    </xdr:from>
    <xdr:to>
      <xdr:col>11</xdr:col>
      <xdr:colOff>473100</xdr:colOff>
      <xdr:row>238</xdr:row>
      <xdr:rowOff>28349</xdr:rowOff>
    </xdr:to>
    <xdr:graphicFrame macro="">
      <xdr:nvGraphicFramePr>
        <xdr:cNvPr id="26" name="Chart 25">
          <a:extLst>
            <a:ext uri="{FF2B5EF4-FFF2-40B4-BE49-F238E27FC236}">
              <a16:creationId xmlns:a16="http://schemas.microsoft.com/office/drawing/2014/main"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66675</xdr:colOff>
      <xdr:row>28</xdr:row>
      <xdr:rowOff>95250</xdr:rowOff>
    </xdr:from>
    <xdr:to>
      <xdr:col>12</xdr:col>
      <xdr:colOff>39450</xdr:colOff>
      <xdr:row>39</xdr:row>
      <xdr:rowOff>47475</xdr:rowOff>
    </xdr:to>
    <xdr:graphicFrame macro="">
      <xdr:nvGraphicFramePr>
        <xdr:cNvPr id="17" name="Chart 16">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76200</xdr:colOff>
      <xdr:row>55</xdr:row>
      <xdr:rowOff>28575</xdr:rowOff>
    </xdr:from>
    <xdr:to>
      <xdr:col>12</xdr:col>
      <xdr:colOff>48975</xdr:colOff>
      <xdr:row>67</xdr:row>
      <xdr:rowOff>18900</xdr:rowOff>
    </xdr:to>
    <xdr:graphicFrame macro="">
      <xdr:nvGraphicFramePr>
        <xdr:cNvPr id="18" name="Chart 17">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133350</xdr:colOff>
      <xdr:row>154</xdr:row>
      <xdr:rowOff>142875</xdr:rowOff>
    </xdr:from>
    <xdr:to>
      <xdr:col>12</xdr:col>
      <xdr:colOff>106125</xdr:colOff>
      <xdr:row>165</xdr:row>
      <xdr:rowOff>161775</xdr:rowOff>
    </xdr:to>
    <xdr:graphicFrame macro="">
      <xdr:nvGraphicFramePr>
        <xdr:cNvPr id="19" name="Chart 18">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95250</xdr:colOff>
      <xdr:row>168</xdr:row>
      <xdr:rowOff>0</xdr:rowOff>
    </xdr:from>
    <xdr:to>
      <xdr:col>11</xdr:col>
      <xdr:colOff>485776</xdr:colOff>
      <xdr:row>178</xdr:row>
      <xdr:rowOff>219075</xdr:rowOff>
    </xdr:to>
    <xdr:graphicFrame macro="">
      <xdr:nvGraphicFramePr>
        <xdr:cNvPr id="28" name="Chart 27">
          <a:extLst>
            <a:ext uri="{FF2B5EF4-FFF2-40B4-BE49-F238E27FC236}">
              <a16:creationId xmlns:a16="http://schemas.microsoft.com/office/drawing/2014/main" id="{00000000-0008-0000-0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104773</xdr:colOff>
      <xdr:row>129</xdr:row>
      <xdr:rowOff>76200</xdr:rowOff>
    </xdr:from>
    <xdr:to>
      <xdr:col>12</xdr:col>
      <xdr:colOff>200698</xdr:colOff>
      <xdr:row>141</xdr:row>
      <xdr:rowOff>142649</xdr:rowOff>
    </xdr:to>
    <xdr:graphicFrame macro="">
      <xdr:nvGraphicFramePr>
        <xdr:cNvPr id="29" name="Chart 28">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6</xdr:col>
      <xdr:colOff>314325</xdr:colOff>
      <xdr:row>151</xdr:row>
      <xdr:rowOff>333375</xdr:rowOff>
    </xdr:from>
    <xdr:to>
      <xdr:col>8</xdr:col>
      <xdr:colOff>37982</xdr:colOff>
      <xdr:row>154</xdr:row>
      <xdr:rowOff>57100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1"/>
        <a:stretch>
          <a:fillRect/>
        </a:stretch>
      </xdr:blipFill>
      <xdr:spPr>
        <a:xfrm>
          <a:off x="3057525" y="26936700"/>
          <a:ext cx="942857" cy="400000"/>
        </a:xfrm>
        <a:prstGeom prst="rect">
          <a:avLst/>
        </a:prstGeom>
      </xdr:spPr>
    </xdr:pic>
    <xdr:clientData/>
  </xdr:twoCellAnchor>
  <xdr:twoCellAnchor editAs="oneCell">
    <xdr:from>
      <xdr:col>5</xdr:col>
      <xdr:colOff>161925</xdr:colOff>
      <xdr:row>81</xdr:row>
      <xdr:rowOff>28574</xdr:rowOff>
    </xdr:from>
    <xdr:to>
      <xdr:col>6</xdr:col>
      <xdr:colOff>599944</xdr:colOff>
      <xdr:row>84</xdr:row>
      <xdr:rowOff>28574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2"/>
        <a:stretch>
          <a:fillRect/>
        </a:stretch>
      </xdr:blipFill>
      <xdr:spPr>
        <a:xfrm>
          <a:off x="2295525" y="14820899"/>
          <a:ext cx="1047619" cy="485775"/>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0.01486</cdr:x>
      <cdr:y>0.03175</cdr:y>
    </cdr:from>
    <cdr:to>
      <cdr:x>0.33506</cdr:x>
      <cdr:y>0.14288</cdr:y>
    </cdr:to>
    <cdr:sp macro="" textlink="">
      <cdr:nvSpPr>
        <cdr:cNvPr id="2" name="TextBox 1"/>
        <cdr:cNvSpPr txBox="1"/>
      </cdr:nvSpPr>
      <cdr:spPr>
        <a:xfrm xmlns:a="http://schemas.openxmlformats.org/drawingml/2006/main">
          <a:off x="85727" y="57150"/>
          <a:ext cx="18478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latin typeface="Arial" panose="020B0604020202020204" pitchFamily="34" charset="0"/>
              <a:cs typeface="Arial" panose="020B0604020202020204" pitchFamily="34" charset="0"/>
            </a:rPr>
            <a:t>Rate (per 100,000)</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Z:\Suicide\Suicide%20Facts%202015\SuicideAutomated\Analysis\Template_20180612KeyPoints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ntents"/>
      <sheetName val="Overview"/>
      <sheetName val="Key findings"/>
      <sheetName val="AGE SEX"/>
      <sheetName val="DEPRIVATION"/>
      <sheetName val="METHODS"/>
      <sheetName val="DHB"/>
      <sheetName val="URBAN RURAL"/>
      <sheetName val="INTERNATIONAL"/>
      <sheetName val="MĀORI NON-MĀORI"/>
      <sheetName val="MĀORI DEPRIVATION"/>
      <sheetName val="MĀORI METHODS"/>
      <sheetName val="Data"/>
      <sheetName val="ref"/>
      <sheetName val="ETHNIC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S4" t="str">
            <v>Maori</v>
          </cell>
        </row>
        <row r="22">
          <cell r="S22" t="str">
            <v>Maori</v>
          </cell>
          <cell r="T22" t="str">
            <v>Pacific</v>
          </cell>
          <cell r="U22" t="str">
            <v>Asian</v>
          </cell>
          <cell r="V22" t="str">
            <v>Other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s://www.health.govt.nz/nz-health-statistics/national-collections-and-surveys/collections/mortality-collection" TargetMode="External"/><Relationship Id="rId2" Type="http://schemas.openxmlformats.org/officeDocument/2006/relationships/hyperlink" Target="https://www.health.govt.nz/nz-health-statistics/health-statistics-and-data-sets/suicide-facts-deaths-and-intentional-self-harm-hospitalisations-series" TargetMode="External"/><Relationship Id="rId1" Type="http://schemas.openxmlformats.org/officeDocument/2006/relationships/hyperlink" Target="mailto:data-enquiries@health.govt.nz"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57.xml"/><Relationship Id="rId3" Type="http://schemas.openxmlformats.org/officeDocument/2006/relationships/hyperlink" Target="http://www.who.int/healthinfo/mortality_data/en/" TargetMode="External"/><Relationship Id="rId7" Type="http://schemas.openxmlformats.org/officeDocument/2006/relationships/printerSettings" Target="../printerSettings/printerSettings12.bin"/><Relationship Id="rId2" Type="http://schemas.openxmlformats.org/officeDocument/2006/relationships/hyperlink" Target="http://www.who.int/healthinfo/mortality_data/en/" TargetMode="External"/><Relationship Id="rId1" Type="http://schemas.openxmlformats.org/officeDocument/2006/relationships/hyperlink" Target="http://www.who.int/healthinfo/mortality_data/en/" TargetMode="External"/><Relationship Id="rId6" Type="http://schemas.openxmlformats.org/officeDocument/2006/relationships/hyperlink" Target="http://www.who.int/healthinfo/mortality_data/en/" TargetMode="External"/><Relationship Id="rId5" Type="http://schemas.openxmlformats.org/officeDocument/2006/relationships/hyperlink" Target="http://www.who.int/healthinfo/mortality_data/en/" TargetMode="External"/><Relationship Id="rId4" Type="http://schemas.openxmlformats.org/officeDocument/2006/relationships/hyperlink" Target="http://www.who.int/healthinfo/mortality_data/en/" TargetMode="Externa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3.bin"/><Relationship Id="rId3" Type="http://schemas.openxmlformats.org/officeDocument/2006/relationships/hyperlink" Target="https://www.health.govt.nz/our-work/mental-health-and-addictions/working-prevent-suicide" TargetMode="External"/><Relationship Id="rId7" Type="http://schemas.openxmlformats.org/officeDocument/2006/relationships/hyperlink" Target="mailto:enquiries@health.govt.nz" TargetMode="External"/><Relationship Id="rId2" Type="http://schemas.openxmlformats.org/officeDocument/2006/relationships/hyperlink" Target="http://www.health.govt.nz/" TargetMode="External"/><Relationship Id="rId1" Type="http://schemas.openxmlformats.org/officeDocument/2006/relationships/hyperlink" Target="http://www.stats.govt.nz/" TargetMode="External"/><Relationship Id="rId6" Type="http://schemas.openxmlformats.org/officeDocument/2006/relationships/hyperlink" Target="http://www.who.int/healthinfo/mortality_data/en/" TargetMode="External"/><Relationship Id="rId5" Type="http://schemas.openxmlformats.org/officeDocument/2006/relationships/hyperlink" Target="https://www.health.govt.nz/about-ministry/corporate-publications/mental-health-annual-reports" TargetMode="External"/><Relationship Id="rId4" Type="http://schemas.openxmlformats.org/officeDocument/2006/relationships/hyperlink" Target="http://archive.stats.govt.nz/browse_for_stats/Maps_and_geography/Geographic-areas/urban-rural-profile.aspx"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2.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O33"/>
  <sheetViews>
    <sheetView tabSelected="1" zoomScaleNormal="100" workbookViewId="0">
      <selection activeCell="E21" sqref="E21"/>
    </sheetView>
  </sheetViews>
  <sheetFormatPr defaultColWidth="9.140625" defaultRowHeight="12.75"/>
  <cols>
    <col min="1" max="1" width="25" style="76" customWidth="1"/>
    <col min="2" max="2" width="9.140625" style="70"/>
    <col min="3" max="3" width="15.28515625" style="70" customWidth="1"/>
    <col min="4" max="14" width="9.140625" style="70"/>
    <col min="15" max="15" width="29.28515625" style="70" customWidth="1"/>
    <col min="16" max="16384" width="9.140625" style="70"/>
  </cols>
  <sheetData>
    <row r="2" spans="1:15" ht="13.5" customHeight="1"/>
    <row r="7" spans="1:15" ht="15">
      <c r="A7" s="76" t="s">
        <v>256</v>
      </c>
      <c r="B7" s="168" t="s">
        <v>470</v>
      </c>
      <c r="H7" s="5"/>
    </row>
    <row r="9" spans="1:15" ht="144" customHeight="1">
      <c r="A9" s="169" t="s">
        <v>257</v>
      </c>
      <c r="B9" s="630" t="s">
        <v>669</v>
      </c>
      <c r="C9" s="631"/>
      <c r="D9" s="631"/>
      <c r="E9" s="631"/>
      <c r="F9" s="631"/>
      <c r="G9" s="631"/>
      <c r="H9" s="631"/>
      <c r="I9" s="631"/>
      <c r="J9" s="631"/>
      <c r="K9" s="631"/>
      <c r="L9" s="631"/>
      <c r="M9" s="631"/>
      <c r="N9" s="631"/>
      <c r="O9" s="631"/>
    </row>
    <row r="11" spans="1:15">
      <c r="A11" s="76" t="s">
        <v>258</v>
      </c>
      <c r="B11" s="70" t="s">
        <v>259</v>
      </c>
    </row>
    <row r="13" spans="1:15">
      <c r="A13" s="76" t="s">
        <v>141</v>
      </c>
      <c r="B13" s="70" t="s">
        <v>260</v>
      </c>
    </row>
    <row r="15" spans="1:15">
      <c r="A15" s="76" t="s">
        <v>396</v>
      </c>
      <c r="B15" s="477" t="s">
        <v>600</v>
      </c>
    </row>
    <row r="17" spans="1:4">
      <c r="A17" s="76" t="s">
        <v>261</v>
      </c>
      <c r="B17" s="403" t="s">
        <v>471</v>
      </c>
    </row>
    <row r="19" spans="1:4">
      <c r="A19" s="76" t="s">
        <v>262</v>
      </c>
      <c r="B19" s="104" t="s">
        <v>263</v>
      </c>
    </row>
    <row r="20" spans="1:4">
      <c r="B20" s="104" t="s">
        <v>144</v>
      </c>
    </row>
    <row r="23" spans="1:4">
      <c r="B23" s="70" t="s">
        <v>264</v>
      </c>
    </row>
    <row r="24" spans="1:4">
      <c r="B24" s="70" t="s">
        <v>265</v>
      </c>
    </row>
    <row r="26" spans="1:4">
      <c r="C26" s="70" t="s">
        <v>266</v>
      </c>
      <c r="D26" s="70" t="s">
        <v>552</v>
      </c>
    </row>
    <row r="27" spans="1:4">
      <c r="D27" s="70" t="s">
        <v>237</v>
      </c>
    </row>
    <row r="28" spans="1:4">
      <c r="D28" s="70" t="s">
        <v>238</v>
      </c>
    </row>
    <row r="29" spans="1:4">
      <c r="D29" s="70" t="s">
        <v>267</v>
      </c>
    </row>
    <row r="30" spans="1:4">
      <c r="D30" s="70" t="s">
        <v>74</v>
      </c>
    </row>
    <row r="31" spans="1:4">
      <c r="C31" s="70" t="s">
        <v>268</v>
      </c>
      <c r="D31" s="104" t="s">
        <v>472</v>
      </c>
    </row>
    <row r="32" spans="1:4">
      <c r="C32" s="70" t="s">
        <v>269</v>
      </c>
      <c r="D32" s="70" t="s">
        <v>270</v>
      </c>
    </row>
    <row r="33" spans="3:4">
      <c r="C33" s="70" t="s">
        <v>271</v>
      </c>
      <c r="D33" s="70" t="s">
        <v>272</v>
      </c>
    </row>
  </sheetData>
  <mergeCells count="1">
    <mergeCell ref="B9:O9"/>
  </mergeCells>
  <hyperlinks>
    <hyperlink ref="D31" r:id="rId1" xr:uid="{00000000-0004-0000-0000-000000000000}"/>
    <hyperlink ref="B19" r:id="rId2" xr:uid="{00000000-0004-0000-0000-000001000000}"/>
    <hyperlink ref="B20" r:id="rId3" xr:uid="{00000000-0004-0000-0000-000002000000}"/>
  </hyperlinks>
  <pageMargins left="0.7" right="0.7" top="0.75" bottom="0.75" header="0.3" footer="0.3"/>
  <pageSetup paperSize="9" scale="71"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AE131"/>
  <sheetViews>
    <sheetView showGridLines="0" zoomScaleNormal="100" workbookViewId="0">
      <selection activeCell="N61" sqref="N61"/>
    </sheetView>
  </sheetViews>
  <sheetFormatPr defaultRowHeight="12.75"/>
  <cols>
    <col min="1" max="1" width="4.7109375" style="53" customWidth="1"/>
    <col min="2" max="2" width="1.85546875" style="53" customWidth="1"/>
    <col min="3" max="3" width="6.140625" style="53" customWidth="1"/>
    <col min="4" max="5" width="9.140625" style="53"/>
    <col min="6" max="7" width="9.140625" style="53" customWidth="1"/>
    <col min="8" max="11" width="9.140625" style="53"/>
    <col min="12" max="12" width="10.42578125" style="53" customWidth="1"/>
    <col min="13" max="13" width="3.42578125" style="192" customWidth="1"/>
    <col min="14" max="14" width="14.7109375" style="192" customWidth="1"/>
    <col min="15" max="15" width="11" style="53" customWidth="1"/>
    <col min="16" max="16" width="9.140625" style="53"/>
    <col min="17" max="17" width="11.28515625" style="53" customWidth="1"/>
    <col min="18" max="16384" width="9.140625" style="53"/>
  </cols>
  <sheetData>
    <row r="1" spans="2:28">
      <c r="O1" s="126" t="s">
        <v>371</v>
      </c>
    </row>
    <row r="2" spans="2:28" ht="23.25">
      <c r="C2" s="115" t="s">
        <v>292</v>
      </c>
    </row>
    <row r="3" spans="2:28" ht="12.75" customHeight="1">
      <c r="C3" s="115"/>
    </row>
    <row r="4" spans="2:28" ht="25.5" customHeight="1">
      <c r="C4" s="656" t="s">
        <v>533</v>
      </c>
      <c r="D4" s="658"/>
      <c r="E4" s="658"/>
      <c r="F4" s="658"/>
      <c r="G4" s="658"/>
      <c r="H4" s="658"/>
      <c r="I4" s="658"/>
      <c r="J4" s="658"/>
      <c r="K4" s="658"/>
      <c r="L4" s="658"/>
    </row>
    <row r="5" spans="2:28" ht="12.75" customHeight="1">
      <c r="C5" s="656" t="s">
        <v>443</v>
      </c>
      <c r="D5" s="658"/>
      <c r="E5" s="658"/>
      <c r="F5" s="658"/>
      <c r="G5" s="658"/>
      <c r="H5" s="658"/>
      <c r="I5" s="658"/>
      <c r="J5" s="658"/>
      <c r="K5" s="658"/>
      <c r="L5" s="658"/>
    </row>
    <row r="6" spans="2:28" ht="12.75" customHeight="1">
      <c r="C6" s="433"/>
      <c r="D6" s="430"/>
      <c r="E6" s="430"/>
      <c r="F6" s="430"/>
      <c r="G6" s="430"/>
      <c r="H6" s="430"/>
      <c r="I6" s="430"/>
      <c r="J6" s="430"/>
      <c r="K6" s="430"/>
      <c r="L6" s="430"/>
    </row>
    <row r="8" spans="2:28">
      <c r="B8" s="97"/>
      <c r="C8" s="97"/>
      <c r="D8" s="97"/>
      <c r="E8" s="97"/>
      <c r="F8" s="97"/>
      <c r="G8" s="97"/>
      <c r="H8" s="97"/>
      <c r="I8" s="97"/>
      <c r="J8" s="97"/>
      <c r="K8" s="97"/>
      <c r="L8" s="97"/>
      <c r="M8" s="97"/>
    </row>
    <row r="9" spans="2:28" ht="15">
      <c r="B9" s="97"/>
      <c r="C9" s="91" t="s">
        <v>529</v>
      </c>
      <c r="D9" s="91"/>
      <c r="E9" s="91"/>
      <c r="F9" s="91"/>
      <c r="G9" s="91"/>
      <c r="H9" s="91"/>
      <c r="I9" s="97"/>
      <c r="J9" s="97"/>
      <c r="K9" s="97"/>
      <c r="L9" s="97"/>
      <c r="M9" s="97"/>
    </row>
    <row r="10" spans="2:28">
      <c r="B10" s="97"/>
      <c r="C10" s="97"/>
      <c r="D10" s="97"/>
      <c r="E10" s="97"/>
      <c r="F10" s="97"/>
      <c r="G10" s="97"/>
      <c r="H10" s="97"/>
      <c r="I10" s="97"/>
      <c r="J10" s="97"/>
      <c r="K10" s="97"/>
      <c r="L10" s="97"/>
      <c r="M10" s="97"/>
    </row>
    <row r="11" spans="2:28" ht="15">
      <c r="B11" s="97"/>
      <c r="C11" s="97"/>
      <c r="D11" s="97"/>
      <c r="E11" s="97"/>
      <c r="F11" s="97"/>
      <c r="G11" s="97"/>
      <c r="H11" s="97"/>
      <c r="I11" s="97"/>
      <c r="J11" s="97"/>
      <c r="K11" s="97"/>
      <c r="L11" s="97"/>
      <c r="M11" s="97"/>
      <c r="O11" s="127" t="s">
        <v>530</v>
      </c>
    </row>
    <row r="12" spans="2:28">
      <c r="B12" s="97"/>
      <c r="C12" s="97"/>
      <c r="D12" s="97"/>
      <c r="E12" s="97"/>
      <c r="F12" s="97"/>
      <c r="G12" s="97"/>
      <c r="H12" s="97"/>
      <c r="I12" s="97"/>
      <c r="J12" s="97"/>
      <c r="K12" s="97"/>
      <c r="L12" s="97"/>
      <c r="M12" s="97"/>
      <c r="P12" s="24"/>
      <c r="Q12" s="24"/>
      <c r="R12" s="24"/>
    </row>
    <row r="13" spans="2:28">
      <c r="B13" s="97"/>
      <c r="C13" s="97"/>
      <c r="D13" s="97"/>
      <c r="E13" s="97"/>
      <c r="F13" s="97"/>
      <c r="G13" s="97"/>
      <c r="H13" s="97"/>
      <c r="I13" s="97"/>
      <c r="J13" s="97"/>
      <c r="K13" s="97"/>
      <c r="L13" s="97"/>
      <c r="M13" s="97"/>
      <c r="O13" s="22" t="s">
        <v>1</v>
      </c>
      <c r="P13" s="22" t="s">
        <v>98</v>
      </c>
      <c r="Q13" s="22" t="s">
        <v>108</v>
      </c>
      <c r="R13" s="24"/>
      <c r="S13" s="22">
        <v>2007</v>
      </c>
      <c r="T13" s="22">
        <v>2008</v>
      </c>
      <c r="U13" s="22">
        <v>2009</v>
      </c>
      <c r="V13" s="22">
        <v>2010</v>
      </c>
      <c r="W13" s="22">
        <v>2011</v>
      </c>
      <c r="X13" s="22">
        <v>2012</v>
      </c>
      <c r="Y13" s="22">
        <v>2013</v>
      </c>
      <c r="Z13" s="22">
        <v>2014</v>
      </c>
      <c r="AA13" s="22">
        <v>2015</v>
      </c>
      <c r="AB13" s="22">
        <v>2016</v>
      </c>
    </row>
    <row r="14" spans="2:28">
      <c r="B14" s="97"/>
      <c r="C14" s="97"/>
      <c r="D14" s="97"/>
      <c r="E14" s="97"/>
      <c r="F14" s="97"/>
      <c r="G14" s="97"/>
      <c r="H14" s="97"/>
      <c r="I14" s="97"/>
      <c r="J14" s="97"/>
      <c r="K14" s="97"/>
      <c r="L14" s="97"/>
      <c r="M14" s="97"/>
      <c r="O14" s="24"/>
      <c r="P14" s="24"/>
      <c r="Q14" s="24"/>
      <c r="R14" s="24"/>
      <c r="S14" s="24"/>
      <c r="T14" s="24"/>
      <c r="U14" s="24"/>
      <c r="V14" s="24"/>
      <c r="W14" s="24"/>
      <c r="X14" s="24"/>
      <c r="Y14" s="24"/>
      <c r="Z14" s="24"/>
      <c r="AA14" s="24"/>
    </row>
    <row r="15" spans="2:28">
      <c r="B15" s="97"/>
      <c r="C15" s="97"/>
      <c r="D15" s="97"/>
      <c r="E15" s="97"/>
      <c r="F15" s="97"/>
      <c r="G15" s="97"/>
      <c r="H15" s="97"/>
      <c r="I15" s="97"/>
      <c r="J15" s="97"/>
      <c r="K15" s="97"/>
      <c r="L15" s="97"/>
      <c r="M15" s="97"/>
      <c r="O15" s="25" t="s">
        <v>0</v>
      </c>
      <c r="P15" s="25" t="s">
        <v>9</v>
      </c>
      <c r="Q15" s="25" t="s">
        <v>96</v>
      </c>
      <c r="R15" s="25" t="s">
        <v>21</v>
      </c>
      <c r="S15" s="24">
        <f t="shared" ref="S15:AB15" si="0">VLOOKUP(S$13&amp;"AllSex"&amp;"Rural"&amp;19,URtable,6,FALSE)</f>
        <v>78</v>
      </c>
      <c r="T15" s="24">
        <f t="shared" si="0"/>
        <v>87</v>
      </c>
      <c r="U15" s="24">
        <f t="shared" si="0"/>
        <v>71</v>
      </c>
      <c r="V15" s="24">
        <f t="shared" si="0"/>
        <v>94</v>
      </c>
      <c r="W15" s="24">
        <f t="shared" si="0"/>
        <v>80</v>
      </c>
      <c r="X15" s="24">
        <f t="shared" si="0"/>
        <v>84</v>
      </c>
      <c r="Y15" s="24">
        <f t="shared" si="0"/>
        <v>79</v>
      </c>
      <c r="Z15" s="24">
        <f t="shared" si="0"/>
        <v>71</v>
      </c>
      <c r="AA15" s="24">
        <f t="shared" si="0"/>
        <v>90</v>
      </c>
      <c r="AB15" s="24">
        <f t="shared" si="0"/>
        <v>89</v>
      </c>
    </row>
    <row r="16" spans="2:28">
      <c r="B16" s="97"/>
      <c r="C16" s="97"/>
      <c r="D16" s="97"/>
      <c r="E16" s="97"/>
      <c r="F16" s="97"/>
      <c r="G16" s="97"/>
      <c r="H16" s="97"/>
      <c r="I16" s="97"/>
      <c r="J16" s="97"/>
      <c r="K16" s="97"/>
      <c r="L16" s="97"/>
      <c r="M16" s="97"/>
      <c r="O16" s="25" t="s">
        <v>20</v>
      </c>
      <c r="P16" s="25" t="s">
        <v>9</v>
      </c>
      <c r="Q16" s="25" t="s">
        <v>96</v>
      </c>
      <c r="R16" s="25"/>
      <c r="S16" s="24">
        <f t="shared" ref="S16:AB16" si="1">VLOOKUP(S$13&amp;"Male"&amp;"Rural"&amp;19,URtable,6,FALSE)</f>
        <v>63</v>
      </c>
      <c r="T16" s="24">
        <f t="shared" si="1"/>
        <v>73</v>
      </c>
      <c r="U16" s="24">
        <f t="shared" si="1"/>
        <v>63</v>
      </c>
      <c r="V16" s="24">
        <f t="shared" si="1"/>
        <v>80</v>
      </c>
      <c r="W16" s="24">
        <f t="shared" si="1"/>
        <v>67</v>
      </c>
      <c r="X16" s="24">
        <f t="shared" si="1"/>
        <v>62</v>
      </c>
      <c r="Y16" s="24">
        <f t="shared" si="1"/>
        <v>55</v>
      </c>
      <c r="Z16" s="24">
        <f t="shared" si="1"/>
        <v>50</v>
      </c>
      <c r="AA16" s="24">
        <f t="shared" si="1"/>
        <v>64</v>
      </c>
      <c r="AB16" s="24">
        <f t="shared" si="1"/>
        <v>70</v>
      </c>
    </row>
    <row r="17" spans="2:31">
      <c r="B17" s="97"/>
      <c r="C17" s="97"/>
      <c r="D17" s="97"/>
      <c r="E17" s="97"/>
      <c r="F17" s="97"/>
      <c r="G17" s="97"/>
      <c r="H17" s="97"/>
      <c r="I17" s="97"/>
      <c r="J17" s="97"/>
      <c r="K17" s="97"/>
      <c r="L17" s="97"/>
      <c r="M17" s="97"/>
      <c r="O17" s="25" t="s">
        <v>8</v>
      </c>
      <c r="P17" s="25" t="s">
        <v>9</v>
      </c>
      <c r="Q17" s="25" t="s">
        <v>96</v>
      </c>
      <c r="R17" s="25"/>
      <c r="S17" s="24">
        <f t="shared" ref="S17:AB17" si="2">VLOOKUP(S$13&amp;"Female"&amp;"Rural"&amp;19,URtable,6,FALSE)</f>
        <v>15</v>
      </c>
      <c r="T17" s="24">
        <f t="shared" si="2"/>
        <v>14</v>
      </c>
      <c r="U17" s="24">
        <f t="shared" si="2"/>
        <v>8</v>
      </c>
      <c r="V17" s="24">
        <f t="shared" si="2"/>
        <v>14</v>
      </c>
      <c r="W17" s="24">
        <f t="shared" si="2"/>
        <v>13</v>
      </c>
      <c r="X17" s="24">
        <f t="shared" si="2"/>
        <v>22</v>
      </c>
      <c r="Y17" s="24">
        <f t="shared" si="2"/>
        <v>24</v>
      </c>
      <c r="Z17" s="24">
        <f t="shared" si="2"/>
        <v>21</v>
      </c>
      <c r="AA17" s="56">
        <f t="shared" si="2"/>
        <v>26</v>
      </c>
      <c r="AB17" s="56">
        <f t="shared" si="2"/>
        <v>19</v>
      </c>
    </row>
    <row r="18" spans="2:31">
      <c r="B18" s="97"/>
      <c r="C18" s="97"/>
      <c r="D18" s="97"/>
      <c r="E18" s="97"/>
      <c r="F18" s="97"/>
      <c r="G18" s="97"/>
      <c r="H18" s="97"/>
      <c r="I18" s="97"/>
      <c r="J18" s="97"/>
      <c r="K18" s="97"/>
      <c r="L18" s="97"/>
      <c r="M18" s="97"/>
      <c r="O18" s="28"/>
      <c r="P18" s="28"/>
      <c r="Q18" s="28"/>
      <c r="R18" s="28"/>
      <c r="S18" s="26"/>
      <c r="T18" s="26"/>
      <c r="U18" s="26"/>
      <c r="V18" s="26"/>
      <c r="W18" s="26"/>
      <c r="X18" s="26"/>
      <c r="Y18" s="26"/>
      <c r="Z18" s="26"/>
      <c r="AA18" s="30"/>
    </row>
    <row r="19" spans="2:31">
      <c r="B19" s="97"/>
      <c r="C19" s="97"/>
      <c r="D19" s="97"/>
      <c r="E19" s="97"/>
      <c r="F19" s="97"/>
      <c r="G19" s="97"/>
      <c r="H19" s="97"/>
      <c r="I19" s="97"/>
      <c r="J19" s="97"/>
      <c r="K19" s="97"/>
      <c r="L19" s="97"/>
      <c r="M19" s="97"/>
      <c r="O19" s="25" t="s">
        <v>0</v>
      </c>
      <c r="P19" s="25" t="s">
        <v>9</v>
      </c>
      <c r="Q19" s="25" t="s">
        <v>97</v>
      </c>
      <c r="R19" s="25" t="s">
        <v>21</v>
      </c>
      <c r="S19" s="24">
        <f t="shared" ref="S19:AB19" si="3">VLOOKUP(S$13&amp;"AllSex"&amp;"Urban"&amp;19,URtable,6,FALSE)</f>
        <v>420</v>
      </c>
      <c r="T19" s="24">
        <f t="shared" si="3"/>
        <v>424</v>
      </c>
      <c r="U19" s="24">
        <f t="shared" si="3"/>
        <v>438</v>
      </c>
      <c r="V19" s="24">
        <f t="shared" si="3"/>
        <v>434</v>
      </c>
      <c r="W19" s="24">
        <f t="shared" si="3"/>
        <v>414</v>
      </c>
      <c r="X19" s="24">
        <f t="shared" si="3"/>
        <v>462</v>
      </c>
      <c r="Y19" s="24">
        <f t="shared" si="3"/>
        <v>433</v>
      </c>
      <c r="Z19" s="24">
        <f t="shared" si="3"/>
        <v>433</v>
      </c>
      <c r="AA19" s="24">
        <f t="shared" si="3"/>
        <v>439</v>
      </c>
      <c r="AB19" s="24">
        <f t="shared" si="3"/>
        <v>463</v>
      </c>
    </row>
    <row r="20" spans="2:31">
      <c r="B20" s="97"/>
      <c r="C20" s="97"/>
      <c r="D20" s="97"/>
      <c r="E20" s="97"/>
      <c r="F20" s="97"/>
      <c r="G20" s="97"/>
      <c r="H20" s="97"/>
      <c r="I20" s="97"/>
      <c r="J20" s="97"/>
      <c r="K20" s="97"/>
      <c r="L20" s="97"/>
      <c r="M20" s="97"/>
      <c r="O20" s="25" t="s">
        <v>20</v>
      </c>
      <c r="P20" s="25" t="s">
        <v>9</v>
      </c>
      <c r="Q20" s="25" t="s">
        <v>97</v>
      </c>
      <c r="R20" s="25"/>
      <c r="S20" s="24">
        <f t="shared" ref="S20:AB20" si="4">VLOOKUP(S$13&amp;"Male"&amp;"Urban"&amp;19,URtable,6,FALSE)</f>
        <v>315</v>
      </c>
      <c r="T20" s="24">
        <f t="shared" si="4"/>
        <v>301</v>
      </c>
      <c r="U20" s="24">
        <f t="shared" si="4"/>
        <v>329</v>
      </c>
      <c r="V20" s="24">
        <f t="shared" si="4"/>
        <v>301</v>
      </c>
      <c r="W20" s="24">
        <f t="shared" si="4"/>
        <v>309</v>
      </c>
      <c r="X20" s="24">
        <f t="shared" si="4"/>
        <v>340</v>
      </c>
      <c r="Y20" s="24">
        <f t="shared" si="4"/>
        <v>309</v>
      </c>
      <c r="Z20" s="24">
        <f t="shared" si="4"/>
        <v>324</v>
      </c>
      <c r="AA20" s="24">
        <f t="shared" si="4"/>
        <v>321</v>
      </c>
      <c r="AB20" s="24">
        <f t="shared" si="4"/>
        <v>341</v>
      </c>
    </row>
    <row r="21" spans="2:31">
      <c r="B21" s="97"/>
      <c r="C21" s="97"/>
      <c r="D21" s="97"/>
      <c r="E21" s="97"/>
      <c r="F21" s="97"/>
      <c r="G21" s="97"/>
      <c r="H21" s="97"/>
      <c r="I21" s="97"/>
      <c r="J21" s="97"/>
      <c r="K21" s="97"/>
      <c r="L21" s="97"/>
      <c r="M21" s="97"/>
      <c r="O21" s="25" t="s">
        <v>8</v>
      </c>
      <c r="P21" s="25" t="s">
        <v>9</v>
      </c>
      <c r="Q21" s="25" t="s">
        <v>97</v>
      </c>
      <c r="R21" s="25"/>
      <c r="S21" s="24">
        <f t="shared" ref="S21:AB21" si="5">VLOOKUP(S$13&amp;"Female"&amp;"Urban"&amp;19,URtable,6,FALSE)</f>
        <v>105</v>
      </c>
      <c r="T21" s="24">
        <f t="shared" si="5"/>
        <v>123</v>
      </c>
      <c r="U21" s="24">
        <f t="shared" si="5"/>
        <v>109</v>
      </c>
      <c r="V21" s="24">
        <f t="shared" si="5"/>
        <v>133</v>
      </c>
      <c r="W21" s="24">
        <f t="shared" si="5"/>
        <v>105</v>
      </c>
      <c r="X21" s="24">
        <f t="shared" si="5"/>
        <v>122</v>
      </c>
      <c r="Y21" s="24">
        <f t="shared" si="5"/>
        <v>124</v>
      </c>
      <c r="Z21" s="24">
        <f t="shared" si="5"/>
        <v>109</v>
      </c>
      <c r="AA21" s="56">
        <f t="shared" si="5"/>
        <v>118</v>
      </c>
      <c r="AB21" s="56">
        <f t="shared" si="5"/>
        <v>122</v>
      </c>
    </row>
    <row r="22" spans="2:31">
      <c r="B22" s="97"/>
      <c r="C22" s="97"/>
      <c r="D22" s="97"/>
      <c r="E22" s="97"/>
      <c r="F22" s="97"/>
      <c r="G22" s="97"/>
      <c r="H22" s="97"/>
      <c r="I22" s="97"/>
      <c r="J22" s="97"/>
      <c r="K22" s="97"/>
      <c r="L22" s="97"/>
      <c r="M22" s="97"/>
      <c r="O22" s="28"/>
      <c r="P22" s="28"/>
      <c r="Q22" s="28"/>
      <c r="R22" s="28"/>
      <c r="S22" s="26"/>
      <c r="T22" s="26"/>
      <c r="U22" s="26"/>
      <c r="V22" s="26"/>
      <c r="W22" s="26"/>
      <c r="X22" s="26"/>
      <c r="Y22" s="26"/>
      <c r="Z22" s="26"/>
      <c r="AA22" s="30"/>
    </row>
    <row r="23" spans="2:31" ht="15">
      <c r="B23" s="97"/>
      <c r="C23" s="91" t="s">
        <v>531</v>
      </c>
      <c r="D23" s="97"/>
      <c r="E23" s="97"/>
      <c r="F23" s="97"/>
      <c r="G23" s="97"/>
      <c r="H23" s="97"/>
      <c r="I23" s="97"/>
      <c r="J23" s="97"/>
      <c r="K23" s="97"/>
      <c r="L23" s="97"/>
      <c r="M23" s="97"/>
      <c r="O23" s="24" t="s">
        <v>0</v>
      </c>
      <c r="P23" s="55" t="s">
        <v>9</v>
      </c>
      <c r="Q23" s="55" t="s">
        <v>107</v>
      </c>
      <c r="R23" s="55" t="s">
        <v>21</v>
      </c>
      <c r="S23" s="56">
        <f t="shared" ref="S23:AB23" si="6">VLOOKUP(S$13, Unknown_Urban_Rural, 2, FALSE)</f>
        <v>3</v>
      </c>
      <c r="T23" s="56">
        <f t="shared" si="6"/>
        <v>7</v>
      </c>
      <c r="U23" s="56">
        <f t="shared" si="6"/>
        <v>3</v>
      </c>
      <c r="V23" s="56">
        <f t="shared" si="6"/>
        <v>6</v>
      </c>
      <c r="W23" s="56">
        <f t="shared" si="6"/>
        <v>1</v>
      </c>
      <c r="X23" s="56">
        <f t="shared" si="6"/>
        <v>3</v>
      </c>
      <c r="Y23" s="56">
        <f t="shared" si="6"/>
        <v>1</v>
      </c>
      <c r="Z23" s="56">
        <f t="shared" si="6"/>
        <v>6</v>
      </c>
      <c r="AA23" s="56">
        <f t="shared" si="6"/>
        <v>1</v>
      </c>
      <c r="AB23" s="56">
        <f t="shared" si="6"/>
        <v>2</v>
      </c>
    </row>
    <row r="24" spans="2:31">
      <c r="B24" s="97"/>
      <c r="C24" s="97"/>
      <c r="D24" s="97"/>
      <c r="E24" s="97"/>
      <c r="F24" s="97"/>
      <c r="G24" s="97"/>
      <c r="H24" s="97"/>
      <c r="I24" s="97"/>
      <c r="J24" s="97"/>
      <c r="K24" s="97"/>
      <c r="L24" s="97"/>
      <c r="M24" s="97"/>
      <c r="N24" s="517"/>
      <c r="O24" s="28"/>
      <c r="P24" s="31"/>
      <c r="Q24" s="31"/>
      <c r="R24" s="31"/>
      <c r="S24" s="30"/>
      <c r="T24" s="30"/>
      <c r="U24" s="30"/>
      <c r="V24" s="30"/>
      <c r="W24" s="30"/>
      <c r="X24" s="30"/>
      <c r="Y24" s="30"/>
      <c r="Z24" s="30"/>
      <c r="AA24" s="30"/>
      <c r="AB24" s="30"/>
    </row>
    <row r="25" spans="2:31">
      <c r="B25" s="97"/>
      <c r="C25" s="97"/>
      <c r="D25" s="97"/>
      <c r="E25" s="97"/>
      <c r="F25" s="97"/>
      <c r="G25" s="97"/>
      <c r="H25" s="97"/>
      <c r="I25" s="97"/>
      <c r="J25" s="97"/>
      <c r="K25" s="97"/>
      <c r="L25" s="97"/>
      <c r="M25" s="97"/>
      <c r="N25" s="518"/>
      <c r="O25" s="25" t="s">
        <v>0</v>
      </c>
      <c r="P25" s="25" t="s">
        <v>9</v>
      </c>
      <c r="Q25" s="25" t="s">
        <v>96</v>
      </c>
      <c r="R25" s="25" t="s">
        <v>22</v>
      </c>
      <c r="S25" s="27">
        <f t="shared" ref="S25:AB25" si="7">VLOOKUP(S$13&amp;"AllSex"&amp;"Rural"&amp;19,URtable,7,FALSE)</f>
        <v>14.242406423759199</v>
      </c>
      <c r="T25" s="27">
        <f t="shared" si="7"/>
        <v>15.9554257560563</v>
      </c>
      <c r="U25" s="27">
        <f t="shared" si="7"/>
        <v>12.661821293405801</v>
      </c>
      <c r="V25" s="27">
        <f t="shared" si="7"/>
        <v>16.001422327261199</v>
      </c>
      <c r="W25" s="27">
        <f t="shared" si="7"/>
        <v>13.0281155961354</v>
      </c>
      <c r="X25" s="27">
        <f t="shared" si="7"/>
        <v>13.696405717221101</v>
      </c>
      <c r="Y25" s="27">
        <f t="shared" si="7"/>
        <v>12.778557565856</v>
      </c>
      <c r="Z25" s="27">
        <f t="shared" si="7"/>
        <v>10.812556001474</v>
      </c>
      <c r="AA25" s="27">
        <f t="shared" si="7"/>
        <v>13.5679435015004</v>
      </c>
      <c r="AB25" s="27">
        <f t="shared" si="7"/>
        <v>13.7751295107612</v>
      </c>
      <c r="AE25" s="95"/>
    </row>
    <row r="26" spans="2:31">
      <c r="B26" s="97"/>
      <c r="C26" s="97"/>
      <c r="D26" s="97"/>
      <c r="E26" s="97"/>
      <c r="F26" s="97"/>
      <c r="G26" s="97"/>
      <c r="H26" s="97"/>
      <c r="I26" s="97"/>
      <c r="J26" s="97"/>
      <c r="K26" s="97"/>
      <c r="L26" s="97"/>
      <c r="M26" s="97"/>
      <c r="N26" s="518"/>
      <c r="O26" s="25" t="s">
        <v>20</v>
      </c>
      <c r="P26" s="25" t="s">
        <v>9</v>
      </c>
      <c r="Q26" s="25" t="s">
        <v>96</v>
      </c>
      <c r="R26" s="25"/>
      <c r="S26" s="27">
        <f t="shared" ref="S26:AB26" si="8">VLOOKUP(S$13&amp;"Male"&amp;"Rural"&amp;19,URtable,7,FALSE)</f>
        <v>22.669213241315301</v>
      </c>
      <c r="T26" s="27">
        <f t="shared" si="8"/>
        <v>26.472899772027301</v>
      </c>
      <c r="U26" s="27">
        <f t="shared" si="8"/>
        <v>21.088183746651701</v>
      </c>
      <c r="V26" s="27">
        <f t="shared" si="8"/>
        <v>26.602020536097399</v>
      </c>
      <c r="W26" s="27">
        <f t="shared" si="8"/>
        <v>22.2250104700599</v>
      </c>
      <c r="X26" s="27">
        <f t="shared" si="8"/>
        <v>19.2823725579712</v>
      </c>
      <c r="Y26" s="27">
        <f t="shared" si="8"/>
        <v>16.7790221650707</v>
      </c>
      <c r="Z26" s="27">
        <f t="shared" si="8"/>
        <v>15.8466618190961</v>
      </c>
      <c r="AA26" s="27">
        <f t="shared" si="8"/>
        <v>19.093413625375899</v>
      </c>
      <c r="AB26" s="27">
        <f t="shared" si="8"/>
        <v>20.2822123081305</v>
      </c>
    </row>
    <row r="27" spans="2:31">
      <c r="B27" s="97"/>
      <c r="C27" s="97"/>
      <c r="D27" s="97"/>
      <c r="E27" s="97"/>
      <c r="F27" s="97"/>
      <c r="G27" s="97"/>
      <c r="H27" s="97"/>
      <c r="I27" s="97"/>
      <c r="J27" s="97"/>
      <c r="K27" s="97"/>
      <c r="L27" s="97"/>
      <c r="M27" s="97"/>
      <c r="N27" s="518"/>
      <c r="O27" s="25" t="s">
        <v>8</v>
      </c>
      <c r="P27" s="25" t="s">
        <v>9</v>
      </c>
      <c r="Q27" s="25" t="s">
        <v>96</v>
      </c>
      <c r="R27" s="25"/>
      <c r="S27" s="27">
        <f t="shared" ref="S27:AB27" si="9">VLOOKUP(S$13&amp;"Female"&amp;"Rural"&amp;19,URtable,7,FALSE)</f>
        <v>5.4336190062585397</v>
      </c>
      <c r="T27" s="27">
        <f t="shared" si="9"/>
        <v>4.8492866085801296</v>
      </c>
      <c r="U27" s="27">
        <f t="shared" si="9"/>
        <v>3.7653504454407498</v>
      </c>
      <c r="V27" s="27">
        <f t="shared" si="9"/>
        <v>4.65537787927064</v>
      </c>
      <c r="W27" s="27">
        <f t="shared" si="9"/>
        <v>3.5117478579800698</v>
      </c>
      <c r="X27" s="27">
        <f t="shared" si="9"/>
        <v>7.9779554412925799</v>
      </c>
      <c r="Y27" s="27">
        <f t="shared" si="9"/>
        <v>8.7943398467877394</v>
      </c>
      <c r="Z27" s="27">
        <f t="shared" si="9"/>
        <v>5.5406863993035502</v>
      </c>
      <c r="AA27" s="27">
        <f t="shared" si="9"/>
        <v>7.9392843388666599</v>
      </c>
      <c r="AB27" s="27">
        <f t="shared" si="9"/>
        <v>6.7527001356984702</v>
      </c>
    </row>
    <row r="28" spans="2:31">
      <c r="B28" s="97"/>
      <c r="C28" s="97"/>
      <c r="D28" s="97"/>
      <c r="E28" s="97"/>
      <c r="F28" s="97"/>
      <c r="G28" s="97"/>
      <c r="H28" s="97"/>
      <c r="I28" s="97"/>
      <c r="J28" s="97"/>
      <c r="K28" s="97"/>
      <c r="L28" s="97"/>
      <c r="M28" s="97"/>
      <c r="N28" s="519"/>
      <c r="O28" s="28"/>
      <c r="P28" s="28"/>
      <c r="Q28" s="28"/>
      <c r="R28" s="28"/>
      <c r="S28" s="26"/>
      <c r="T28" s="26"/>
      <c r="U28" s="26"/>
      <c r="V28" s="26"/>
      <c r="W28" s="26"/>
      <c r="X28" s="26"/>
      <c r="Y28" s="26"/>
      <c r="Z28" s="26"/>
      <c r="AA28" s="26"/>
      <c r="AB28" s="26"/>
    </row>
    <row r="29" spans="2:31">
      <c r="B29" s="97"/>
      <c r="C29" s="97"/>
      <c r="D29" s="97"/>
      <c r="E29" s="97"/>
      <c r="F29" s="97"/>
      <c r="G29" s="97"/>
      <c r="H29" s="97"/>
      <c r="I29" s="97"/>
      <c r="J29" s="97"/>
      <c r="K29" s="97"/>
      <c r="L29" s="97"/>
      <c r="M29" s="97"/>
      <c r="N29" s="518"/>
      <c r="O29" s="25" t="s">
        <v>0</v>
      </c>
      <c r="P29" s="25" t="s">
        <v>9</v>
      </c>
      <c r="Q29" s="25" t="s">
        <v>97</v>
      </c>
      <c r="R29" s="25" t="s">
        <v>22</v>
      </c>
      <c r="S29" s="27">
        <f t="shared" ref="S29:AB29" si="10">VLOOKUP(S$13&amp;"AllSex"&amp;"Urban"&amp;19,URtable,7,FALSE)</f>
        <v>11.0358390108014</v>
      </c>
      <c r="T29" s="27">
        <f t="shared" si="10"/>
        <v>11.1776130287529</v>
      </c>
      <c r="U29" s="27">
        <f t="shared" si="10"/>
        <v>11.3576105512283</v>
      </c>
      <c r="V29" s="27">
        <f t="shared" si="10"/>
        <v>11.2105392394219</v>
      </c>
      <c r="W29" s="27">
        <f t="shared" si="10"/>
        <v>10.824707777635901</v>
      </c>
      <c r="X29" s="27">
        <f t="shared" si="10"/>
        <v>12.011479006506899</v>
      </c>
      <c r="Y29" s="27">
        <f t="shared" si="10"/>
        <v>10.7930481573742</v>
      </c>
      <c r="Z29" s="27">
        <f t="shared" si="10"/>
        <v>10.6579533148366</v>
      </c>
      <c r="AA29" s="27">
        <f t="shared" si="10"/>
        <v>10.7388016322244</v>
      </c>
      <c r="AB29" s="27">
        <f t="shared" si="10"/>
        <v>11.0391691669144</v>
      </c>
    </row>
    <row r="30" spans="2:31">
      <c r="B30" s="97"/>
      <c r="C30" s="97"/>
      <c r="D30" s="97"/>
      <c r="E30" s="97"/>
      <c r="F30" s="97"/>
      <c r="G30" s="97"/>
      <c r="H30" s="97"/>
      <c r="I30" s="97"/>
      <c r="J30" s="97"/>
      <c r="K30" s="97"/>
      <c r="L30" s="97"/>
      <c r="M30" s="97"/>
      <c r="N30" s="518"/>
      <c r="O30" s="25" t="s">
        <v>20</v>
      </c>
      <c r="P30" s="25" t="s">
        <v>9</v>
      </c>
      <c r="Q30" s="25" t="s">
        <v>97</v>
      </c>
      <c r="R30" s="25"/>
      <c r="S30" s="27">
        <f t="shared" ref="S30:AB30" si="11">VLOOKUP(S$13&amp;"Male"&amp;"Urban"&amp;19,URtable,7,FALSE)</f>
        <v>17.326727470575801</v>
      </c>
      <c r="T30" s="27">
        <f t="shared" si="11"/>
        <v>16.357413650779002</v>
      </c>
      <c r="U30" s="27">
        <f t="shared" si="11"/>
        <v>17.784069062315101</v>
      </c>
      <c r="V30" s="27">
        <f t="shared" si="11"/>
        <v>16.018934411449798</v>
      </c>
      <c r="W30" s="27">
        <f t="shared" si="11"/>
        <v>16.642211286059698</v>
      </c>
      <c r="X30" s="27">
        <f t="shared" si="11"/>
        <v>18.321223631494401</v>
      </c>
      <c r="Y30" s="27">
        <f t="shared" si="11"/>
        <v>15.746464417441</v>
      </c>
      <c r="Z30" s="27">
        <f t="shared" si="11"/>
        <v>16.3721408834813</v>
      </c>
      <c r="AA30" s="27">
        <f t="shared" si="11"/>
        <v>16.0284336946427</v>
      </c>
      <c r="AB30" s="27">
        <f t="shared" si="11"/>
        <v>16.5808846975895</v>
      </c>
    </row>
    <row r="31" spans="2:31">
      <c r="B31" s="97"/>
      <c r="C31" s="97"/>
      <c r="D31" s="97"/>
      <c r="E31" s="97"/>
      <c r="F31" s="97"/>
      <c r="G31" s="97"/>
      <c r="H31" s="97"/>
      <c r="I31" s="97"/>
      <c r="J31" s="97"/>
      <c r="K31" s="97"/>
      <c r="L31" s="97"/>
      <c r="M31" s="97"/>
      <c r="N31" s="518"/>
      <c r="O31" s="25" t="s">
        <v>8</v>
      </c>
      <c r="P31" s="25" t="s">
        <v>9</v>
      </c>
      <c r="Q31" s="25" t="s">
        <v>97</v>
      </c>
      <c r="R31" s="25"/>
      <c r="S31" s="27">
        <f t="shared" ref="S31:AB31" si="12">VLOOKUP(S$13&amp;"Female"&amp;"Urban"&amp;19,URtable,7,FALSE)</f>
        <v>5.1735806107572904</v>
      </c>
      <c r="T31" s="27">
        <f t="shared" si="12"/>
        <v>6.3795738477370199</v>
      </c>
      <c r="U31" s="27">
        <f t="shared" si="12"/>
        <v>5.3823058570931703</v>
      </c>
      <c r="V31" s="27">
        <f t="shared" si="12"/>
        <v>6.8063565837858899</v>
      </c>
      <c r="W31" s="27">
        <f t="shared" si="12"/>
        <v>5.3784184345601798</v>
      </c>
      <c r="X31" s="27">
        <f t="shared" si="12"/>
        <v>6.09130408691549</v>
      </c>
      <c r="Y31" s="27">
        <f t="shared" si="12"/>
        <v>6.2559324705276298</v>
      </c>
      <c r="Z31" s="27">
        <f t="shared" si="12"/>
        <v>5.33416829501728</v>
      </c>
      <c r="AA31" s="27">
        <f t="shared" si="12"/>
        <v>5.7849207616307599</v>
      </c>
      <c r="AB31" s="27">
        <f t="shared" si="12"/>
        <v>5.7220322760551303</v>
      </c>
    </row>
    <row r="32" spans="2:31">
      <c r="B32" s="97"/>
      <c r="C32" s="97"/>
      <c r="D32" s="97"/>
      <c r="E32" s="97"/>
      <c r="F32" s="97"/>
      <c r="G32" s="97"/>
      <c r="H32" s="97"/>
      <c r="I32" s="97"/>
      <c r="J32" s="97"/>
      <c r="K32" s="97"/>
      <c r="L32" s="97"/>
      <c r="M32" s="97"/>
      <c r="O32" s="131"/>
      <c r="P32" s="131"/>
      <c r="Q32" s="131"/>
      <c r="R32" s="131"/>
      <c r="S32" s="131"/>
      <c r="T32" s="131"/>
      <c r="U32" s="131"/>
      <c r="V32" s="131"/>
      <c r="W32" s="131"/>
      <c r="X32" s="131"/>
      <c r="Y32" s="131"/>
      <c r="Z32" s="131"/>
      <c r="AA32" s="131"/>
      <c r="AB32" s="131"/>
      <c r="AC32" s="131"/>
      <c r="AD32" s="131"/>
      <c r="AE32" s="131"/>
    </row>
    <row r="33" spans="2:31">
      <c r="B33" s="97"/>
      <c r="C33" s="97"/>
      <c r="D33" s="97"/>
      <c r="E33" s="97"/>
      <c r="F33" s="97"/>
      <c r="G33" s="97"/>
      <c r="H33" s="97"/>
      <c r="I33" s="97"/>
      <c r="J33" s="97"/>
      <c r="K33" s="97"/>
      <c r="L33" s="97"/>
      <c r="M33" s="97"/>
      <c r="O33" s="51" t="s">
        <v>99</v>
      </c>
      <c r="P33" s="193" t="s">
        <v>106</v>
      </c>
      <c r="Q33" s="50"/>
      <c r="R33" s="50"/>
    </row>
    <row r="34" spans="2:31">
      <c r="B34" s="97"/>
      <c r="C34" s="97"/>
      <c r="D34" s="97"/>
      <c r="E34" s="97"/>
      <c r="F34" s="97"/>
      <c r="G34" s="97"/>
      <c r="H34" s="97"/>
      <c r="I34" s="97"/>
      <c r="J34" s="97"/>
      <c r="K34" s="97"/>
      <c r="L34" s="97"/>
      <c r="M34" s="97"/>
      <c r="P34" s="193" t="s">
        <v>351</v>
      </c>
      <c r="Q34" s="9"/>
    </row>
    <row r="35" spans="2:31">
      <c r="B35" s="97"/>
      <c r="C35" s="97"/>
      <c r="D35" s="97"/>
      <c r="E35" s="97"/>
      <c r="F35" s="97"/>
      <c r="G35" s="97"/>
      <c r="H35" s="97"/>
      <c r="I35" s="97"/>
      <c r="J35" s="97"/>
      <c r="K35" s="97"/>
      <c r="L35" s="97"/>
      <c r="M35" s="97"/>
      <c r="P35" s="193" t="s">
        <v>379</v>
      </c>
    </row>
    <row r="36" spans="2:31">
      <c r="B36" s="97"/>
      <c r="C36" s="97"/>
      <c r="D36" s="97"/>
      <c r="E36" s="97"/>
      <c r="F36" s="97"/>
      <c r="G36" s="97"/>
      <c r="H36" s="97"/>
      <c r="I36" s="97"/>
      <c r="J36" s="97"/>
      <c r="K36" s="97"/>
      <c r="L36" s="97"/>
      <c r="M36" s="97"/>
      <c r="O36" s="51" t="s">
        <v>141</v>
      </c>
      <c r="P36" s="51" t="s">
        <v>144</v>
      </c>
    </row>
    <row r="37" spans="2:31" ht="15">
      <c r="B37" s="97"/>
      <c r="C37" s="91" t="s">
        <v>532</v>
      </c>
      <c r="D37" s="97"/>
      <c r="E37" s="97"/>
      <c r="F37" s="97"/>
      <c r="G37" s="97"/>
      <c r="H37" s="97"/>
      <c r="I37" s="97"/>
      <c r="J37" s="97"/>
      <c r="K37" s="97"/>
      <c r="L37" s="97"/>
      <c r="M37" s="97"/>
      <c r="O37" s="96"/>
      <c r="P37" s="96"/>
      <c r="Q37" s="96"/>
      <c r="R37" s="96"/>
      <c r="S37" s="96"/>
      <c r="T37" s="96"/>
      <c r="U37" s="96"/>
      <c r="V37" s="96"/>
      <c r="W37" s="96"/>
      <c r="X37" s="96"/>
      <c r="Y37" s="96"/>
      <c r="Z37" s="96"/>
      <c r="AA37" s="96"/>
      <c r="AB37" s="96"/>
      <c r="AC37" s="131"/>
      <c r="AD37" s="131"/>
      <c r="AE37" s="131"/>
    </row>
    <row r="38" spans="2:31">
      <c r="B38" s="97"/>
      <c r="C38" s="97"/>
      <c r="D38" s="97"/>
      <c r="E38" s="97"/>
      <c r="F38" s="97"/>
      <c r="G38" s="97"/>
      <c r="H38" s="97"/>
      <c r="I38" s="97"/>
      <c r="J38" s="97"/>
      <c r="K38" s="97"/>
      <c r="L38" s="97"/>
      <c r="M38" s="97"/>
    </row>
    <row r="39" spans="2:31">
      <c r="B39" s="97"/>
      <c r="C39" s="97"/>
      <c r="D39" s="97"/>
      <c r="E39" s="97"/>
      <c r="F39" s="97"/>
      <c r="G39" s="97"/>
      <c r="H39" s="97"/>
      <c r="I39" s="97"/>
      <c r="J39" s="97"/>
      <c r="K39" s="97"/>
      <c r="L39" s="97"/>
      <c r="M39" s="97"/>
    </row>
    <row r="40" spans="2:31">
      <c r="L40" s="97"/>
      <c r="M40" s="97"/>
    </row>
    <row r="41" spans="2:31">
      <c r="L41" s="97"/>
      <c r="M41" s="97"/>
    </row>
    <row r="42" spans="2:31">
      <c r="L42" s="97"/>
      <c r="M42" s="97"/>
    </row>
    <row r="43" spans="2:31">
      <c r="L43" s="97"/>
      <c r="M43" s="97"/>
    </row>
    <row r="44" spans="2:31">
      <c r="L44" s="97"/>
      <c r="M44" s="97"/>
    </row>
    <row r="45" spans="2:31">
      <c r="L45" s="97"/>
      <c r="M45" s="97"/>
    </row>
    <row r="46" spans="2:31">
      <c r="L46" s="97"/>
      <c r="M46" s="97"/>
    </row>
    <row r="47" spans="2:31">
      <c r="L47" s="97"/>
      <c r="M47" s="97"/>
    </row>
    <row r="48" spans="2:31">
      <c r="L48" s="97"/>
      <c r="M48" s="97"/>
    </row>
    <row r="49" spans="2:31">
      <c r="B49" s="97"/>
      <c r="C49" s="97"/>
      <c r="D49" s="97"/>
      <c r="E49" s="97"/>
      <c r="F49" s="97"/>
      <c r="G49" s="97"/>
      <c r="H49" s="97"/>
      <c r="I49" s="97"/>
      <c r="J49" s="97"/>
      <c r="K49" s="97"/>
      <c r="L49" s="97"/>
      <c r="M49" s="97"/>
    </row>
    <row r="50" spans="2:31">
      <c r="B50" s="97"/>
      <c r="C50" s="78" t="s">
        <v>99</v>
      </c>
      <c r="D50" s="81" t="s">
        <v>155</v>
      </c>
      <c r="E50" s="79"/>
      <c r="F50" s="79"/>
      <c r="G50" s="97"/>
      <c r="H50" s="97"/>
      <c r="I50" s="97"/>
      <c r="J50" s="97"/>
      <c r="K50" s="97"/>
      <c r="L50" s="97"/>
      <c r="M50" s="97"/>
    </row>
    <row r="51" spans="2:31">
      <c r="B51" s="81"/>
      <c r="C51" s="78" t="s">
        <v>141</v>
      </c>
      <c r="D51" s="78" t="s">
        <v>142</v>
      </c>
      <c r="E51" s="77"/>
      <c r="F51" s="97"/>
      <c r="G51" s="97"/>
      <c r="H51" s="97"/>
      <c r="I51" s="97"/>
      <c r="J51" s="97"/>
      <c r="K51" s="97"/>
      <c r="L51" s="97"/>
      <c r="M51" s="97"/>
    </row>
    <row r="52" spans="2:31">
      <c r="B52" s="97"/>
      <c r="C52" s="97"/>
      <c r="D52" s="97"/>
      <c r="E52" s="97"/>
      <c r="F52" s="97"/>
      <c r="G52" s="97"/>
      <c r="H52" s="97"/>
      <c r="I52" s="97"/>
      <c r="J52" s="97"/>
      <c r="K52" s="97"/>
      <c r="L52" s="97"/>
      <c r="M52" s="97"/>
    </row>
    <row r="53" spans="2:31" ht="15.75" customHeight="1">
      <c r="B53" s="192"/>
      <c r="C53" s="192"/>
      <c r="D53" s="192"/>
      <c r="E53" s="192"/>
      <c r="F53" s="192"/>
      <c r="G53" s="192"/>
      <c r="H53" s="192"/>
      <c r="I53" s="192"/>
      <c r="J53" s="192"/>
      <c r="K53" s="192"/>
      <c r="L53" s="192"/>
    </row>
    <row r="54" spans="2:31" ht="57" customHeight="1">
      <c r="C54" s="656" t="s">
        <v>455</v>
      </c>
      <c r="D54" s="657"/>
      <c r="E54" s="657"/>
      <c r="F54" s="657"/>
      <c r="G54" s="657"/>
      <c r="H54" s="657"/>
      <c r="I54" s="657"/>
      <c r="J54" s="657"/>
      <c r="K54" s="657"/>
      <c r="L54" s="657"/>
      <c r="M54" s="194"/>
      <c r="N54" s="194"/>
    </row>
    <row r="55" spans="2:31">
      <c r="C55" s="23"/>
      <c r="D55" s="23"/>
      <c r="E55" s="23"/>
      <c r="F55" s="23"/>
      <c r="G55" s="23"/>
      <c r="H55" s="23"/>
      <c r="I55" s="23"/>
      <c r="J55" s="23"/>
      <c r="K55" s="23"/>
      <c r="L55" s="23"/>
      <c r="M55" s="175"/>
      <c r="N55" s="175"/>
    </row>
    <row r="56" spans="2:31" ht="15">
      <c r="B56" s="97"/>
      <c r="C56" s="97"/>
      <c r="D56" s="97"/>
      <c r="E56" s="97"/>
      <c r="F56" s="97"/>
      <c r="G56" s="97"/>
      <c r="H56" s="97"/>
      <c r="I56" s="97"/>
      <c r="J56" s="97"/>
      <c r="K56" s="97"/>
      <c r="L56" s="97"/>
      <c r="M56" s="97"/>
      <c r="O56" s="127" t="s">
        <v>535</v>
      </c>
      <c r="P56" s="24"/>
      <c r="Q56" s="24"/>
      <c r="R56" s="24"/>
      <c r="S56" s="24"/>
      <c r="T56" s="24"/>
      <c r="U56" s="24"/>
      <c r="V56" s="24"/>
      <c r="W56" s="24"/>
      <c r="X56" s="24"/>
      <c r="Y56" s="24"/>
      <c r="Z56" s="24"/>
      <c r="AA56" s="24"/>
      <c r="AB56" s="24"/>
      <c r="AC56" s="24"/>
      <c r="AD56" s="24"/>
      <c r="AE56" s="24"/>
    </row>
    <row r="57" spans="2:31" ht="15">
      <c r="B57" s="97"/>
      <c r="C57" s="91" t="s">
        <v>534</v>
      </c>
      <c r="D57" s="97"/>
      <c r="E57" s="97"/>
      <c r="F57" s="97"/>
      <c r="G57" s="97"/>
      <c r="H57" s="97"/>
      <c r="I57" s="97"/>
      <c r="J57" s="97"/>
      <c r="K57" s="97"/>
      <c r="L57" s="97"/>
      <c r="M57" s="97"/>
    </row>
    <row r="58" spans="2:31">
      <c r="B58" s="97"/>
      <c r="C58" s="97"/>
      <c r="D58" s="97"/>
      <c r="E58" s="97"/>
      <c r="F58" s="97"/>
      <c r="G58" s="97"/>
      <c r="H58" s="97"/>
      <c r="I58" s="97"/>
      <c r="J58" s="97"/>
      <c r="K58" s="97"/>
      <c r="L58" s="97"/>
      <c r="M58" s="97"/>
      <c r="O58" s="23" t="s">
        <v>290</v>
      </c>
      <c r="P58" s="24"/>
      <c r="Q58" s="24"/>
      <c r="R58" s="24"/>
    </row>
    <row r="59" spans="2:31">
      <c r="B59" s="97"/>
      <c r="C59" s="97"/>
      <c r="D59" s="97"/>
      <c r="E59" s="326" t="s">
        <v>348</v>
      </c>
      <c r="F59" s="97"/>
      <c r="G59" s="97"/>
      <c r="H59" s="97"/>
      <c r="I59" s="97"/>
      <c r="J59" s="327" t="s">
        <v>349</v>
      </c>
      <c r="K59" s="97"/>
      <c r="L59" s="97"/>
      <c r="M59" s="97"/>
    </row>
    <row r="60" spans="2:31">
      <c r="B60" s="97"/>
      <c r="C60" s="97"/>
      <c r="D60" s="97"/>
      <c r="E60" s="97"/>
      <c r="F60" s="97"/>
      <c r="G60" s="97"/>
      <c r="H60" s="97"/>
      <c r="I60" s="97"/>
      <c r="J60" s="97"/>
      <c r="K60" s="97"/>
      <c r="L60" s="97"/>
      <c r="M60" s="97"/>
      <c r="O60" s="22" t="s">
        <v>1</v>
      </c>
      <c r="P60" s="22" t="s">
        <v>37</v>
      </c>
      <c r="Q60" s="24"/>
      <c r="R60" s="24"/>
      <c r="S60" s="22">
        <v>2007</v>
      </c>
      <c r="T60" s="22">
        <v>2008</v>
      </c>
      <c r="U60" s="22">
        <v>2009</v>
      </c>
      <c r="V60" s="22">
        <v>2010</v>
      </c>
      <c r="W60" s="22">
        <v>2011</v>
      </c>
      <c r="X60" s="22">
        <v>2012</v>
      </c>
      <c r="Y60" s="22">
        <v>2013</v>
      </c>
      <c r="Z60" s="22">
        <v>2014</v>
      </c>
      <c r="AA60" s="22">
        <v>2015</v>
      </c>
      <c r="AB60" s="22">
        <v>2016</v>
      </c>
    </row>
    <row r="61" spans="2:31">
      <c r="B61" s="97"/>
      <c r="C61" s="97"/>
      <c r="D61" s="97"/>
      <c r="E61" s="97"/>
      <c r="F61" s="97"/>
      <c r="G61" s="97"/>
      <c r="H61" s="97"/>
      <c r="I61" s="97"/>
      <c r="J61" s="97"/>
      <c r="K61" s="97"/>
      <c r="L61" s="97"/>
      <c r="M61" s="97"/>
      <c r="O61" s="24"/>
      <c r="P61" s="24"/>
      <c r="Q61" s="24"/>
      <c r="R61" s="24"/>
      <c r="S61" s="24"/>
      <c r="T61" s="24"/>
      <c r="U61" s="24"/>
      <c r="V61" s="24"/>
      <c r="W61" s="24"/>
      <c r="X61" s="24"/>
      <c r="Y61" s="24"/>
      <c r="Z61" s="24"/>
      <c r="AA61" s="24"/>
      <c r="AB61" s="24"/>
    </row>
    <row r="62" spans="2:31">
      <c r="B62" s="97"/>
      <c r="C62" s="97"/>
      <c r="D62" s="97"/>
      <c r="E62" s="97"/>
      <c r="F62" s="97"/>
      <c r="G62" s="97"/>
      <c r="H62" s="97"/>
      <c r="I62" s="97"/>
      <c r="J62" s="97"/>
      <c r="K62" s="97"/>
      <c r="L62" s="97"/>
      <c r="M62" s="97"/>
      <c r="O62" s="24" t="s">
        <v>0</v>
      </c>
      <c r="P62" s="24" t="s">
        <v>150</v>
      </c>
      <c r="Q62" s="24"/>
      <c r="R62" s="24" t="s">
        <v>21</v>
      </c>
      <c r="S62" s="24">
        <f t="shared" ref="S62:AB62" si="13">VLOOKUP(S$13&amp;"AllSex"&amp;"Rural"&amp;22,URtable,6,FALSE)</f>
        <v>16</v>
      </c>
      <c r="T62" s="24">
        <f t="shared" si="13"/>
        <v>15</v>
      </c>
      <c r="U62" s="24">
        <f t="shared" si="13"/>
        <v>23</v>
      </c>
      <c r="V62" s="24">
        <f t="shared" si="13"/>
        <v>17</v>
      </c>
      <c r="W62" s="24">
        <f t="shared" si="13"/>
        <v>15</v>
      </c>
      <c r="X62" s="24">
        <f t="shared" si="13"/>
        <v>17</v>
      </c>
      <c r="Y62" s="24">
        <f t="shared" si="13"/>
        <v>16</v>
      </c>
      <c r="Z62" s="24">
        <f t="shared" si="13"/>
        <v>8</v>
      </c>
      <c r="AA62" s="24">
        <f t="shared" si="13"/>
        <v>10</v>
      </c>
      <c r="AB62" s="24">
        <f t="shared" si="13"/>
        <v>16</v>
      </c>
    </row>
    <row r="63" spans="2:31">
      <c r="B63" s="97"/>
      <c r="C63" s="97"/>
      <c r="D63" s="97"/>
      <c r="E63" s="97"/>
      <c r="F63" s="97"/>
      <c r="G63" s="97"/>
      <c r="H63" s="97"/>
      <c r="I63" s="97"/>
      <c r="J63" s="97"/>
      <c r="K63" s="97"/>
      <c r="L63" s="97"/>
      <c r="M63" s="97"/>
      <c r="O63" s="24"/>
      <c r="P63" s="24" t="s">
        <v>35</v>
      </c>
      <c r="Q63" s="24"/>
      <c r="R63" s="24"/>
      <c r="S63" s="24">
        <f t="shared" ref="S63:AB63" si="14">VLOOKUP(S$13&amp;"AllSex"&amp;"Rural"&amp;23,URtable,6,FALSE)</f>
        <v>30</v>
      </c>
      <c r="T63" s="24">
        <f t="shared" si="14"/>
        <v>28</v>
      </c>
      <c r="U63" s="24">
        <f t="shared" si="14"/>
        <v>20</v>
      </c>
      <c r="V63" s="24">
        <f t="shared" si="14"/>
        <v>38</v>
      </c>
      <c r="W63" s="24">
        <f t="shared" si="14"/>
        <v>24</v>
      </c>
      <c r="X63" s="24">
        <f t="shared" si="14"/>
        <v>23</v>
      </c>
      <c r="Y63" s="24">
        <f t="shared" si="14"/>
        <v>25</v>
      </c>
      <c r="Z63" s="24">
        <f t="shared" si="14"/>
        <v>23</v>
      </c>
      <c r="AA63" s="24">
        <f t="shared" si="14"/>
        <v>27</v>
      </c>
      <c r="AB63" s="24">
        <f t="shared" si="14"/>
        <v>27</v>
      </c>
    </row>
    <row r="64" spans="2:31">
      <c r="B64" s="97"/>
      <c r="C64" s="97"/>
      <c r="D64" s="97"/>
      <c r="E64" s="97"/>
      <c r="F64" s="97"/>
      <c r="G64" s="97"/>
      <c r="H64" s="97"/>
      <c r="I64" s="97"/>
      <c r="J64" s="97"/>
      <c r="K64" s="97"/>
      <c r="L64" s="97"/>
      <c r="M64" s="97"/>
      <c r="O64" s="24"/>
      <c r="P64" s="24" t="s">
        <v>36</v>
      </c>
      <c r="Q64" s="24"/>
      <c r="R64" s="24"/>
      <c r="S64" s="24">
        <f t="shared" ref="S64:AB64" si="15">VLOOKUP(S$13&amp;"AllSex"&amp;"Rural"&amp;24,URtable,6,FALSE)</f>
        <v>20</v>
      </c>
      <c r="T64" s="24">
        <f t="shared" si="15"/>
        <v>33</v>
      </c>
      <c r="U64" s="24">
        <f t="shared" si="15"/>
        <v>23</v>
      </c>
      <c r="V64" s="24">
        <f t="shared" si="15"/>
        <v>30</v>
      </c>
      <c r="W64" s="24">
        <f t="shared" si="15"/>
        <v>30</v>
      </c>
      <c r="X64" s="24">
        <f t="shared" si="15"/>
        <v>35</v>
      </c>
      <c r="Y64" s="24">
        <f t="shared" si="15"/>
        <v>32</v>
      </c>
      <c r="Z64" s="24">
        <f t="shared" si="15"/>
        <v>31</v>
      </c>
      <c r="AA64" s="24">
        <f t="shared" si="15"/>
        <v>42</v>
      </c>
      <c r="AB64" s="24">
        <f t="shared" si="15"/>
        <v>31</v>
      </c>
    </row>
    <row r="65" spans="2:28">
      <c r="B65" s="97"/>
      <c r="C65" s="97"/>
      <c r="D65" s="97"/>
      <c r="E65" s="97"/>
      <c r="F65" s="97"/>
      <c r="G65" s="97"/>
      <c r="H65" s="97"/>
      <c r="I65" s="97"/>
      <c r="J65" s="97"/>
      <c r="K65" s="97"/>
      <c r="L65" s="97"/>
      <c r="M65" s="97"/>
      <c r="O65" s="24"/>
      <c r="P65" s="24" t="s">
        <v>26</v>
      </c>
      <c r="Q65" s="24"/>
      <c r="R65" s="24"/>
      <c r="S65" s="24">
        <f t="shared" ref="S65:AB65" si="16">VLOOKUP(S$13&amp;"AllSex"&amp;"Rural"&amp;25,URtable,6,FALSE)</f>
        <v>12</v>
      </c>
      <c r="T65" s="24">
        <f t="shared" si="16"/>
        <v>10</v>
      </c>
      <c r="U65" s="24">
        <f t="shared" si="16"/>
        <v>5</v>
      </c>
      <c r="V65" s="24">
        <f t="shared" si="16"/>
        <v>9</v>
      </c>
      <c r="W65" s="24">
        <f t="shared" si="16"/>
        <v>8</v>
      </c>
      <c r="X65" s="24">
        <f t="shared" si="16"/>
        <v>6</v>
      </c>
      <c r="Y65" s="24">
        <f t="shared" si="16"/>
        <v>6</v>
      </c>
      <c r="Z65" s="24">
        <f t="shared" si="16"/>
        <v>7</v>
      </c>
      <c r="AA65" s="24">
        <f t="shared" si="16"/>
        <v>11</v>
      </c>
      <c r="AB65" s="24">
        <f t="shared" si="16"/>
        <v>14</v>
      </c>
    </row>
    <row r="66" spans="2:28">
      <c r="B66" s="97"/>
      <c r="C66" s="97"/>
      <c r="D66" s="97"/>
      <c r="E66" s="97"/>
      <c r="F66" s="97"/>
      <c r="G66" s="97"/>
      <c r="H66" s="97"/>
      <c r="I66" s="97"/>
      <c r="J66" s="97"/>
      <c r="K66" s="97"/>
      <c r="L66" s="97"/>
      <c r="M66" s="97"/>
      <c r="O66" s="26"/>
      <c r="P66" s="26"/>
      <c r="Q66" s="26"/>
      <c r="R66" s="26"/>
      <c r="S66" s="26"/>
      <c r="T66" s="26"/>
      <c r="U66" s="26"/>
      <c r="V66" s="26"/>
      <c r="W66" s="26"/>
      <c r="X66" s="26"/>
      <c r="Y66" s="26"/>
      <c r="Z66" s="26"/>
      <c r="AA66" s="26"/>
      <c r="AB66" s="26"/>
    </row>
    <row r="67" spans="2:28">
      <c r="B67" s="97"/>
      <c r="C67" s="97"/>
      <c r="D67" s="97"/>
      <c r="E67" s="97"/>
      <c r="F67" s="97"/>
      <c r="G67" s="97"/>
      <c r="H67" s="97"/>
      <c r="I67" s="97"/>
      <c r="J67" s="97"/>
      <c r="K67" s="97"/>
      <c r="L67" s="97"/>
      <c r="M67" s="97"/>
      <c r="O67" s="24" t="s">
        <v>20</v>
      </c>
      <c r="P67" s="24" t="s">
        <v>150</v>
      </c>
      <c r="Q67" s="24"/>
      <c r="R67" s="24" t="s">
        <v>21</v>
      </c>
      <c r="S67" s="24">
        <f t="shared" ref="S67:AB67" si="17">VLOOKUP(S$13&amp;"Male"&amp;"Rural"&amp;22,URtable,6,FALSE)</f>
        <v>11</v>
      </c>
      <c r="T67" s="24">
        <f t="shared" si="17"/>
        <v>12</v>
      </c>
      <c r="U67" s="24">
        <f t="shared" si="17"/>
        <v>20</v>
      </c>
      <c r="V67" s="24">
        <f t="shared" si="17"/>
        <v>17</v>
      </c>
      <c r="W67" s="24">
        <f t="shared" si="17"/>
        <v>14</v>
      </c>
      <c r="X67" s="24">
        <f t="shared" si="17"/>
        <v>10</v>
      </c>
      <c r="Y67" s="24">
        <f t="shared" si="17"/>
        <v>9</v>
      </c>
      <c r="Z67" s="24">
        <f t="shared" si="17"/>
        <v>7</v>
      </c>
      <c r="AA67" s="24">
        <f t="shared" si="17"/>
        <v>6</v>
      </c>
      <c r="AB67" s="24">
        <f t="shared" si="17"/>
        <v>13</v>
      </c>
    </row>
    <row r="68" spans="2:28">
      <c r="B68" s="97"/>
      <c r="C68" s="97"/>
      <c r="D68" s="97"/>
      <c r="E68" s="97"/>
      <c r="F68" s="97"/>
      <c r="G68" s="97"/>
      <c r="H68" s="97"/>
      <c r="I68" s="97"/>
      <c r="J68" s="97"/>
      <c r="K68" s="97"/>
      <c r="L68" s="97"/>
      <c r="M68" s="97"/>
      <c r="O68" s="24"/>
      <c r="P68" s="24" t="s">
        <v>35</v>
      </c>
      <c r="Q68" s="24"/>
      <c r="R68" s="24"/>
      <c r="S68" s="24">
        <f t="shared" ref="S68:AB68" si="18">VLOOKUP(S$13&amp;"Male"&amp;"Rural"&amp;23,URtable,6,FALSE)</f>
        <v>26</v>
      </c>
      <c r="T68" s="24">
        <f t="shared" si="18"/>
        <v>23</v>
      </c>
      <c r="U68" s="24">
        <f t="shared" si="18"/>
        <v>17</v>
      </c>
      <c r="V68" s="24">
        <f t="shared" si="18"/>
        <v>29</v>
      </c>
      <c r="W68" s="24">
        <f t="shared" si="18"/>
        <v>21</v>
      </c>
      <c r="X68" s="24">
        <f t="shared" si="18"/>
        <v>16</v>
      </c>
      <c r="Y68" s="24">
        <f t="shared" si="18"/>
        <v>17</v>
      </c>
      <c r="Z68" s="24">
        <f t="shared" si="18"/>
        <v>18</v>
      </c>
      <c r="AA68" s="24">
        <f t="shared" si="18"/>
        <v>19</v>
      </c>
      <c r="AB68" s="24">
        <f t="shared" si="18"/>
        <v>18</v>
      </c>
    </row>
    <row r="69" spans="2:28">
      <c r="B69" s="97"/>
      <c r="C69" s="97"/>
      <c r="D69" s="97"/>
      <c r="E69" s="97"/>
      <c r="F69" s="97"/>
      <c r="G69" s="97"/>
      <c r="H69" s="97"/>
      <c r="I69" s="97"/>
      <c r="J69" s="97"/>
      <c r="K69" s="97"/>
      <c r="L69" s="97"/>
      <c r="M69" s="97"/>
      <c r="O69" s="24"/>
      <c r="P69" s="24" t="s">
        <v>36</v>
      </c>
      <c r="Q69" s="24"/>
      <c r="R69" s="24"/>
      <c r="S69" s="24">
        <f t="shared" ref="S69:AB69" si="19">VLOOKUP(S$13&amp;"Male"&amp;"Rural"&amp;24,URtable,6,FALSE)</f>
        <v>14</v>
      </c>
      <c r="T69" s="24">
        <f t="shared" si="19"/>
        <v>27</v>
      </c>
      <c r="U69" s="24">
        <f t="shared" si="19"/>
        <v>22</v>
      </c>
      <c r="V69" s="24">
        <f t="shared" si="19"/>
        <v>25</v>
      </c>
      <c r="W69" s="24">
        <f t="shared" si="19"/>
        <v>23</v>
      </c>
      <c r="X69" s="24">
        <f t="shared" si="19"/>
        <v>28</v>
      </c>
      <c r="Y69" s="24">
        <f t="shared" si="19"/>
        <v>23</v>
      </c>
      <c r="Z69" s="24">
        <f t="shared" si="19"/>
        <v>19</v>
      </c>
      <c r="AA69" s="24">
        <f t="shared" si="19"/>
        <v>30</v>
      </c>
      <c r="AB69" s="24">
        <f t="shared" si="19"/>
        <v>26</v>
      </c>
    </row>
    <row r="70" spans="2:28">
      <c r="B70" s="97"/>
      <c r="C70" s="97"/>
      <c r="D70" s="97"/>
      <c r="E70" s="97"/>
      <c r="F70" s="97"/>
      <c r="G70" s="97"/>
      <c r="H70" s="97"/>
      <c r="I70" s="97"/>
      <c r="J70" s="97"/>
      <c r="K70" s="97"/>
      <c r="L70" s="97"/>
      <c r="M70" s="97"/>
      <c r="O70" s="24"/>
      <c r="P70" s="24" t="s">
        <v>26</v>
      </c>
      <c r="Q70" s="24"/>
      <c r="R70" s="24"/>
      <c r="S70" s="24">
        <f t="shared" ref="S70:AB70" si="20">VLOOKUP(S$13&amp;"Male"&amp;"Rural"&amp;25,URtable,6,FALSE)</f>
        <v>12</v>
      </c>
      <c r="T70" s="24">
        <f t="shared" si="20"/>
        <v>10</v>
      </c>
      <c r="U70" s="24">
        <f t="shared" si="20"/>
        <v>4</v>
      </c>
      <c r="V70" s="24">
        <f t="shared" si="20"/>
        <v>9</v>
      </c>
      <c r="W70" s="24">
        <f t="shared" si="20"/>
        <v>7</v>
      </c>
      <c r="X70" s="24">
        <f t="shared" si="20"/>
        <v>6</v>
      </c>
      <c r="Y70" s="24">
        <f t="shared" si="20"/>
        <v>6</v>
      </c>
      <c r="Z70" s="24">
        <f t="shared" si="20"/>
        <v>6</v>
      </c>
      <c r="AA70" s="24">
        <f t="shared" si="20"/>
        <v>9</v>
      </c>
      <c r="AB70" s="24">
        <f t="shared" si="20"/>
        <v>13</v>
      </c>
    </row>
    <row r="71" spans="2:28">
      <c r="B71" s="97"/>
      <c r="C71" s="97"/>
      <c r="D71" s="97"/>
      <c r="E71" s="97"/>
      <c r="F71" s="97"/>
      <c r="G71" s="97"/>
      <c r="H71" s="97"/>
      <c r="I71" s="97"/>
      <c r="J71" s="97"/>
      <c r="K71" s="97"/>
      <c r="L71" s="97"/>
      <c r="M71" s="97"/>
      <c r="O71" s="26"/>
      <c r="P71" s="26"/>
      <c r="Q71" s="26"/>
      <c r="R71" s="26"/>
      <c r="S71" s="26"/>
      <c r="T71" s="26"/>
      <c r="U71" s="26"/>
      <c r="V71" s="26"/>
      <c r="W71" s="26"/>
      <c r="X71" s="26"/>
      <c r="Y71" s="26"/>
      <c r="Z71" s="26"/>
      <c r="AA71" s="26"/>
      <c r="AB71" s="26"/>
    </row>
    <row r="72" spans="2:28" ht="11.25" customHeight="1">
      <c r="B72" s="97"/>
      <c r="C72" s="97"/>
      <c r="D72" s="97"/>
      <c r="E72" s="97"/>
      <c r="F72" s="97"/>
      <c r="G72" s="97"/>
      <c r="H72" s="97"/>
      <c r="I72" s="97"/>
      <c r="J72" s="97"/>
      <c r="K72" s="97"/>
      <c r="L72" s="97"/>
      <c r="M72" s="97"/>
      <c r="O72" s="24" t="s">
        <v>8</v>
      </c>
      <c r="P72" s="24" t="s">
        <v>150</v>
      </c>
      <c r="Q72" s="24"/>
      <c r="R72" s="24" t="s">
        <v>21</v>
      </c>
      <c r="S72" s="24">
        <f t="shared" ref="S72:AB72" si="21">VLOOKUP(S$13&amp;"Female"&amp;"Rural"&amp;22,URtable,6,FALSE)</f>
        <v>5</v>
      </c>
      <c r="T72" s="24">
        <f t="shared" si="21"/>
        <v>3</v>
      </c>
      <c r="U72" s="24">
        <f t="shared" si="21"/>
        <v>3</v>
      </c>
      <c r="V72" s="24">
        <f t="shared" si="21"/>
        <v>0</v>
      </c>
      <c r="W72" s="24">
        <f t="shared" si="21"/>
        <v>1</v>
      </c>
      <c r="X72" s="24">
        <f t="shared" si="21"/>
        <v>7</v>
      </c>
      <c r="Y72" s="24">
        <f t="shared" si="21"/>
        <v>7</v>
      </c>
      <c r="Z72" s="24">
        <f t="shared" si="21"/>
        <v>1</v>
      </c>
      <c r="AA72" s="24">
        <f t="shared" si="21"/>
        <v>4</v>
      </c>
      <c r="AB72" s="24">
        <f t="shared" si="21"/>
        <v>3</v>
      </c>
    </row>
    <row r="73" spans="2:28">
      <c r="B73" s="97"/>
      <c r="C73" s="97"/>
      <c r="D73" s="97"/>
      <c r="E73" s="326" t="s">
        <v>350</v>
      </c>
      <c r="F73" s="97"/>
      <c r="G73" s="97"/>
      <c r="H73" s="97"/>
      <c r="I73" s="97"/>
      <c r="J73" s="109"/>
      <c r="K73" s="97"/>
      <c r="L73" s="97"/>
      <c r="M73" s="97"/>
      <c r="O73" s="24"/>
      <c r="P73" s="24" t="s">
        <v>35</v>
      </c>
      <c r="Q73" s="24"/>
      <c r="R73" s="24"/>
      <c r="S73" s="24">
        <f t="shared" ref="S73:AB73" si="22">VLOOKUP(S$13&amp;"Female"&amp;"Rural"&amp;23,URtable,6,FALSE)</f>
        <v>4</v>
      </c>
      <c r="T73" s="24">
        <f t="shared" si="22"/>
        <v>5</v>
      </c>
      <c r="U73" s="24">
        <f t="shared" si="22"/>
        <v>3</v>
      </c>
      <c r="V73" s="24">
        <f t="shared" si="22"/>
        <v>9</v>
      </c>
      <c r="W73" s="24">
        <f t="shared" si="22"/>
        <v>3</v>
      </c>
      <c r="X73" s="24">
        <f t="shared" si="22"/>
        <v>7</v>
      </c>
      <c r="Y73" s="24">
        <f t="shared" si="22"/>
        <v>8</v>
      </c>
      <c r="Z73" s="24">
        <f t="shared" si="22"/>
        <v>5</v>
      </c>
      <c r="AA73" s="24">
        <f t="shared" si="22"/>
        <v>8</v>
      </c>
      <c r="AB73" s="24">
        <f t="shared" si="22"/>
        <v>9</v>
      </c>
    </row>
    <row r="74" spans="2:28">
      <c r="B74" s="97"/>
      <c r="C74" s="97"/>
      <c r="D74" s="97"/>
      <c r="E74" s="97"/>
      <c r="F74" s="97"/>
      <c r="G74" s="97"/>
      <c r="H74" s="97"/>
      <c r="I74" s="97"/>
      <c r="J74" s="97"/>
      <c r="K74" s="97"/>
      <c r="L74" s="97"/>
      <c r="M74" s="97"/>
      <c r="O74" s="24"/>
      <c r="P74" s="24" t="s">
        <v>36</v>
      </c>
      <c r="Q74" s="24"/>
      <c r="R74" s="24"/>
      <c r="S74" s="24">
        <f t="shared" ref="S74:AB74" si="23">VLOOKUP(S$13&amp;"Female"&amp;"Rural"&amp;24,URtable,6,FALSE)</f>
        <v>6</v>
      </c>
      <c r="T74" s="24">
        <f t="shared" si="23"/>
        <v>6</v>
      </c>
      <c r="U74" s="24">
        <f t="shared" si="23"/>
        <v>1</v>
      </c>
      <c r="V74" s="24">
        <f t="shared" si="23"/>
        <v>5</v>
      </c>
      <c r="W74" s="24">
        <f t="shared" si="23"/>
        <v>7</v>
      </c>
      <c r="X74" s="24">
        <f t="shared" si="23"/>
        <v>7</v>
      </c>
      <c r="Y74" s="24">
        <f t="shared" si="23"/>
        <v>9</v>
      </c>
      <c r="Z74" s="24">
        <f t="shared" si="23"/>
        <v>12</v>
      </c>
      <c r="AA74" s="24">
        <f t="shared" si="23"/>
        <v>12</v>
      </c>
      <c r="AB74" s="24">
        <f t="shared" si="23"/>
        <v>5</v>
      </c>
    </row>
    <row r="75" spans="2:28">
      <c r="B75" s="97"/>
      <c r="C75" s="97"/>
      <c r="D75" s="97"/>
      <c r="E75" s="97"/>
      <c r="F75" s="97"/>
      <c r="G75" s="97"/>
      <c r="H75" s="97"/>
      <c r="I75" s="97"/>
      <c r="J75" s="97"/>
      <c r="K75" s="97"/>
      <c r="L75" s="97"/>
      <c r="M75" s="97"/>
      <c r="O75" s="24"/>
      <c r="P75" s="24" t="s">
        <v>26</v>
      </c>
      <c r="Q75" s="24"/>
      <c r="R75" s="24"/>
      <c r="S75" s="24">
        <f t="shared" ref="S75:AB75" si="24">VLOOKUP(S$13&amp;"Female"&amp;"Rural"&amp;25,URtable,6,FALSE)</f>
        <v>0</v>
      </c>
      <c r="T75" s="24">
        <f t="shared" si="24"/>
        <v>0</v>
      </c>
      <c r="U75" s="24">
        <f t="shared" si="24"/>
        <v>1</v>
      </c>
      <c r="V75" s="24">
        <f t="shared" si="24"/>
        <v>0</v>
      </c>
      <c r="W75" s="24">
        <f t="shared" si="24"/>
        <v>1</v>
      </c>
      <c r="X75" s="24">
        <f t="shared" si="24"/>
        <v>0</v>
      </c>
      <c r="Y75" s="24">
        <f t="shared" si="24"/>
        <v>0</v>
      </c>
      <c r="Z75" s="24">
        <f t="shared" si="24"/>
        <v>1</v>
      </c>
      <c r="AA75" s="24">
        <f t="shared" si="24"/>
        <v>2</v>
      </c>
      <c r="AB75" s="24">
        <f t="shared" si="24"/>
        <v>1</v>
      </c>
    </row>
    <row r="76" spans="2:28">
      <c r="B76" s="97"/>
      <c r="C76" s="97"/>
      <c r="D76" s="97"/>
      <c r="E76" s="97"/>
      <c r="F76" s="97"/>
      <c r="G76" s="97"/>
      <c r="H76" s="97"/>
      <c r="I76" s="97"/>
      <c r="J76" s="97"/>
      <c r="K76" s="97"/>
      <c r="L76" s="97"/>
      <c r="M76" s="97"/>
      <c r="O76" s="26"/>
      <c r="P76" s="26"/>
      <c r="Q76" s="26"/>
      <c r="R76" s="26"/>
      <c r="S76" s="26"/>
      <c r="T76" s="26"/>
      <c r="U76" s="26"/>
      <c r="V76" s="26"/>
      <c r="W76" s="26"/>
      <c r="X76" s="26"/>
      <c r="Y76" s="26"/>
      <c r="Z76" s="26"/>
      <c r="AA76" s="26"/>
      <c r="AB76" s="26"/>
    </row>
    <row r="77" spans="2:28">
      <c r="B77" s="97"/>
      <c r="C77" s="97"/>
      <c r="D77" s="97"/>
      <c r="E77" s="97"/>
      <c r="F77" s="97"/>
      <c r="G77" s="97"/>
      <c r="H77" s="97"/>
      <c r="I77" s="97"/>
      <c r="J77" s="97"/>
      <c r="K77" s="97"/>
      <c r="L77" s="97"/>
      <c r="M77" s="97"/>
      <c r="O77" s="24" t="s">
        <v>0</v>
      </c>
      <c r="P77" s="24" t="s">
        <v>150</v>
      </c>
      <c r="Q77" s="24"/>
      <c r="R77" s="24" t="s">
        <v>22</v>
      </c>
      <c r="S77" s="27">
        <f t="shared" ref="S77:AB77" si="25">IF(S62&lt;5,"-",VLOOKUP(S$13&amp;"AllSex"&amp;"Rural"&amp;22,URtable,7,FALSE))</f>
        <v>24.2792109256449</v>
      </c>
      <c r="T77" s="27">
        <f t="shared" si="25"/>
        <v>22.199200828770199</v>
      </c>
      <c r="U77" s="27">
        <f t="shared" si="25"/>
        <v>33.430232558139501</v>
      </c>
      <c r="V77" s="27">
        <f t="shared" si="25"/>
        <v>24.337866857551901</v>
      </c>
      <c r="W77" s="27">
        <f t="shared" si="25"/>
        <v>21.195421788893601</v>
      </c>
      <c r="X77" s="27">
        <f t="shared" si="25"/>
        <v>24.086143383394699</v>
      </c>
      <c r="Y77" s="27">
        <f t="shared" si="25"/>
        <v>22.873481057898498</v>
      </c>
      <c r="Z77" s="27">
        <f t="shared" si="25"/>
        <v>11.160714285714301</v>
      </c>
      <c r="AA77" s="27">
        <f t="shared" si="25"/>
        <v>13.5043889264011</v>
      </c>
      <c r="AB77" s="27">
        <f t="shared" si="25"/>
        <v>21.1640211640212</v>
      </c>
    </row>
    <row r="78" spans="2:28">
      <c r="B78" s="97"/>
      <c r="C78" s="97"/>
      <c r="D78" s="97"/>
      <c r="E78" s="97"/>
      <c r="F78" s="97"/>
      <c r="G78" s="97"/>
      <c r="H78" s="97"/>
      <c r="I78" s="97"/>
      <c r="J78" s="97"/>
      <c r="K78" s="97"/>
      <c r="L78" s="97"/>
      <c r="M78" s="97"/>
      <c r="O78" s="24"/>
      <c r="P78" s="24" t="s">
        <v>35</v>
      </c>
      <c r="Q78" s="24"/>
      <c r="R78" s="24"/>
      <c r="S78" s="27">
        <f t="shared" ref="S78:AB78" si="26">IF(S67&lt;5,"-",VLOOKUP(S$13&amp;"AllSex"&amp;"Rural"&amp;23,URtable,7,FALSE))</f>
        <v>19.822915290075301</v>
      </c>
      <c r="T78" s="27">
        <f t="shared" si="26"/>
        <v>18.736616702355501</v>
      </c>
      <c r="U78" s="27">
        <f t="shared" si="26"/>
        <v>13.5135135135135</v>
      </c>
      <c r="V78" s="27">
        <f t="shared" si="26"/>
        <v>25.871459694989099</v>
      </c>
      <c r="W78" s="27">
        <f t="shared" si="26"/>
        <v>16.359918200408998</v>
      </c>
      <c r="X78" s="27">
        <f t="shared" si="26"/>
        <v>15.891660333033901</v>
      </c>
      <c r="Y78" s="27">
        <f t="shared" si="26"/>
        <v>17.618040873854799</v>
      </c>
      <c r="Z78" s="27">
        <f t="shared" si="26"/>
        <v>16.524175587326699</v>
      </c>
      <c r="AA78" s="27">
        <f t="shared" si="26"/>
        <v>19.4230630889864</v>
      </c>
      <c r="AB78" s="27">
        <f t="shared" si="26"/>
        <v>19.3465176268272</v>
      </c>
    </row>
    <row r="79" spans="2:28">
      <c r="B79" s="97"/>
      <c r="C79" s="97"/>
      <c r="D79" s="97"/>
      <c r="E79" s="97"/>
      <c r="F79" s="97"/>
      <c r="G79" s="97"/>
      <c r="H79" s="97"/>
      <c r="I79" s="97"/>
      <c r="J79" s="97"/>
      <c r="K79" s="97"/>
      <c r="L79" s="97"/>
      <c r="M79" s="97"/>
      <c r="O79" s="24"/>
      <c r="P79" s="24" t="s">
        <v>36</v>
      </c>
      <c r="Q79" s="24"/>
      <c r="R79" s="24"/>
      <c r="S79" s="27">
        <f t="shared" ref="S79:AB79" si="27">IF(S64&lt;5,"-",VLOOKUP(S$13&amp;"AllSex"&amp;"Rural"&amp;24,URtable,7,FALSE))</f>
        <v>11.5160937410031</v>
      </c>
      <c r="T79" s="27">
        <f t="shared" si="27"/>
        <v>18.391573315499102</v>
      </c>
      <c r="U79" s="27">
        <f t="shared" si="27"/>
        <v>12.459371614301199</v>
      </c>
      <c r="V79" s="27">
        <f t="shared" si="27"/>
        <v>15.841165909811</v>
      </c>
      <c r="W79" s="27">
        <f t="shared" si="27"/>
        <v>15.403573629081899</v>
      </c>
      <c r="X79" s="27">
        <f t="shared" si="27"/>
        <v>17.736786094359701</v>
      </c>
      <c r="Y79" s="27">
        <f t="shared" si="27"/>
        <v>16.1812297734628</v>
      </c>
      <c r="Z79" s="27">
        <f t="shared" si="27"/>
        <v>15.630514798568001</v>
      </c>
      <c r="AA79" s="27">
        <f t="shared" si="27"/>
        <v>20.842638082477301</v>
      </c>
      <c r="AB79" s="27">
        <f t="shared" si="27"/>
        <v>15.1197385748427</v>
      </c>
    </row>
    <row r="80" spans="2:28">
      <c r="B80" s="97"/>
      <c r="C80" s="97"/>
      <c r="D80" s="97"/>
      <c r="E80" s="97"/>
      <c r="F80" s="97"/>
      <c r="G80" s="97"/>
      <c r="H80" s="97"/>
      <c r="I80" s="97"/>
      <c r="J80" s="97"/>
      <c r="K80" s="97"/>
      <c r="L80" s="97"/>
      <c r="M80" s="97"/>
      <c r="O80" s="24"/>
      <c r="P80" s="24" t="s">
        <v>26</v>
      </c>
      <c r="Q80" s="24"/>
      <c r="R80" s="24"/>
      <c r="S80" s="27">
        <f t="shared" ref="S80:AB80" si="28">IF(S65&lt;5,"-",VLOOKUP(S$13&amp;"AllSex"&amp;"Rural"&amp;25,URtable,7,FALSE))</f>
        <v>19.132653061224499</v>
      </c>
      <c r="T80" s="27">
        <f t="shared" si="28"/>
        <v>15.2695067949305</v>
      </c>
      <c r="U80" s="27">
        <f t="shared" si="28"/>
        <v>7.2706121855460202</v>
      </c>
      <c r="V80" s="27">
        <f t="shared" si="28"/>
        <v>12.4653739612188</v>
      </c>
      <c r="W80" s="27">
        <f t="shared" si="28"/>
        <v>10.438413361169101</v>
      </c>
      <c r="X80" s="27">
        <f t="shared" si="28"/>
        <v>7.3260073260073302</v>
      </c>
      <c r="Y80" s="27">
        <f t="shared" si="28"/>
        <v>6.9629801555065596</v>
      </c>
      <c r="Z80" s="27">
        <f t="shared" si="28"/>
        <v>7.7846975088967998</v>
      </c>
      <c r="AA80" s="27">
        <f t="shared" si="28"/>
        <v>11.413156256484699</v>
      </c>
      <c r="AB80" s="27">
        <f t="shared" si="28"/>
        <v>13.593552772113799</v>
      </c>
    </row>
    <row r="81" spans="2:28">
      <c r="B81" s="97"/>
      <c r="C81" s="97"/>
      <c r="D81" s="97"/>
      <c r="E81" s="97"/>
      <c r="F81" s="97"/>
      <c r="G81" s="97"/>
      <c r="H81" s="97"/>
      <c r="I81" s="97"/>
      <c r="J81" s="97"/>
      <c r="K81" s="97"/>
      <c r="L81" s="97"/>
      <c r="M81" s="97"/>
      <c r="O81" s="26"/>
      <c r="P81" s="26"/>
      <c r="Q81" s="26"/>
      <c r="R81" s="26"/>
      <c r="S81" s="29"/>
      <c r="T81" s="29"/>
      <c r="U81" s="29"/>
      <c r="V81" s="29"/>
      <c r="W81" s="29"/>
      <c r="X81" s="29"/>
      <c r="Y81" s="29"/>
      <c r="Z81" s="29"/>
      <c r="AA81" s="29"/>
      <c r="AB81" s="29"/>
    </row>
    <row r="82" spans="2:28">
      <c r="B82" s="97"/>
      <c r="C82" s="97"/>
      <c r="D82" s="97"/>
      <c r="E82" s="97"/>
      <c r="F82" s="97"/>
      <c r="G82" s="97"/>
      <c r="H82" s="97"/>
      <c r="I82" s="97"/>
      <c r="J82" s="97"/>
      <c r="K82" s="97"/>
      <c r="L82" s="97"/>
      <c r="M82" s="97"/>
      <c r="O82" s="24" t="s">
        <v>20</v>
      </c>
      <c r="P82" s="24" t="s">
        <v>150</v>
      </c>
      <c r="Q82" s="24"/>
      <c r="R82" s="24" t="s">
        <v>22</v>
      </c>
      <c r="S82" s="27">
        <f t="shared" ref="S82:AB82" si="29">VLOOKUP(S$13&amp;"Male"&amp;"Rural"&amp;22,URtable,7,FALSE)</f>
        <v>31.108597285067901</v>
      </c>
      <c r="T82" s="27">
        <f t="shared" si="29"/>
        <v>33.176665745092599</v>
      </c>
      <c r="U82" s="27">
        <f t="shared" si="29"/>
        <v>54.436581382689198</v>
      </c>
      <c r="V82" s="27">
        <f t="shared" si="29"/>
        <v>45.418113812449903</v>
      </c>
      <c r="W82" s="27">
        <f t="shared" si="29"/>
        <v>36.9295700342917</v>
      </c>
      <c r="X82" s="27">
        <f t="shared" si="29"/>
        <v>26.441036488630399</v>
      </c>
      <c r="Y82" s="27">
        <f t="shared" si="29"/>
        <v>23.9170874302418</v>
      </c>
      <c r="Z82" s="27">
        <f t="shared" si="29"/>
        <v>18.027298480556301</v>
      </c>
      <c r="AA82" s="27">
        <f t="shared" si="29"/>
        <v>14.951407924246199</v>
      </c>
      <c r="AB82" s="27">
        <f t="shared" si="29"/>
        <v>31.707317073170699</v>
      </c>
    </row>
    <row r="83" spans="2:28">
      <c r="B83" s="97"/>
      <c r="C83" s="97"/>
      <c r="D83" s="97"/>
      <c r="E83" s="97"/>
      <c r="F83" s="97"/>
      <c r="G83" s="97"/>
      <c r="H83" s="97"/>
      <c r="I83" s="97"/>
      <c r="J83" s="97"/>
      <c r="K83" s="97"/>
      <c r="L83" s="97"/>
      <c r="M83" s="97"/>
      <c r="O83" s="24"/>
      <c r="P83" s="24" t="s">
        <v>35</v>
      </c>
      <c r="Q83" s="24"/>
      <c r="R83" s="24"/>
      <c r="S83" s="27">
        <f>IF(S68&lt;5,"-",VLOOKUP(S$13&amp;ref!$X$2&amp;"Rural"&amp;23,URtable,7,FALSE))</f>
        <v>35.163646199621297</v>
      </c>
      <c r="T83" s="27">
        <f>IF(T68&lt;5,"-",VLOOKUP(T$13&amp;ref!$X$2&amp;"Rural"&amp;23,URtable,7,FALSE))</f>
        <v>31.5111659131388</v>
      </c>
      <c r="U83" s="27">
        <f>IF(U68&lt;5,"-",VLOOKUP(U$13&amp;ref!$X$2&amp;"Rural"&amp;23,URtable,7,FALSE))</f>
        <v>23.4903965731657</v>
      </c>
      <c r="V83" s="27">
        <f>IF(V68&lt;5,"-",VLOOKUP(V$13&amp;ref!$X$2&amp;"Rural"&amp;23,URtable,7,FALSE))</f>
        <v>40.406855231991102</v>
      </c>
      <c r="W83" s="27">
        <f>IF(W68&lt;5,"-",VLOOKUP(W$13&amp;ref!$X$2&amp;"Rural"&amp;23,URtable,7,FALSE))</f>
        <v>29.296875</v>
      </c>
      <c r="X83" s="27">
        <f>IF(X68&lt;5,"-",VLOOKUP(X$13&amp;ref!$X$2&amp;"Rural"&amp;23,URtable,7,FALSE))</f>
        <v>22.611644997173499</v>
      </c>
      <c r="Y83" s="27">
        <f>IF(Y68&lt;5,"-",VLOOKUP(Y$13&amp;ref!$X$2&amp;"Rural"&amp;23,URtable,7,FALSE))</f>
        <v>24.516873377559801</v>
      </c>
      <c r="Z83" s="27">
        <f>IF(Z68&lt;5,"-",VLOOKUP(Z$13&amp;ref!$X$2&amp;"Rural"&amp;23,URtable,7,FALSE))</f>
        <v>26.197060107698999</v>
      </c>
      <c r="AA83" s="27">
        <f>IF(AA68&lt;5,"-",VLOOKUP(AA$13&amp;ref!$X$2&amp;"Rural"&amp;23,URtable,7,FALSE))</f>
        <v>27.668559778651499</v>
      </c>
      <c r="AB83" s="27">
        <f>IF(AB68&lt;5,"-",VLOOKUP(AB$13&amp;ref!$X$2&amp;"Rural"&amp;23,URtable,7,FALSE))</f>
        <v>26.011560693641599</v>
      </c>
    </row>
    <row r="84" spans="2:28">
      <c r="B84" s="97"/>
      <c r="C84" s="97"/>
      <c r="D84" s="97"/>
      <c r="E84" s="97"/>
      <c r="F84" s="97"/>
      <c r="G84" s="97"/>
      <c r="H84" s="97"/>
      <c r="I84" s="97"/>
      <c r="J84" s="97"/>
      <c r="K84" s="97"/>
      <c r="L84" s="97"/>
      <c r="M84" s="97"/>
      <c r="O84" s="24"/>
      <c r="P84" s="24" t="s">
        <v>36</v>
      </c>
      <c r="Q84" s="24"/>
      <c r="R84" s="24"/>
      <c r="S84" s="27">
        <f>IF(S69&lt;5,"-",VLOOKUP(S$13&amp;ref!$X$2&amp;"Rural"&amp;24,URtable,7,FALSE))</f>
        <v>15.612802498048399</v>
      </c>
      <c r="T84" s="27">
        <f>IF(T69&lt;5,"-",VLOOKUP(T$13&amp;ref!$X$2&amp;"Rural"&amp;24,URtable,7,FALSE))</f>
        <v>29.2112950340798</v>
      </c>
      <c r="U84" s="27">
        <f>IF(U69&lt;5,"-",VLOOKUP(U$13&amp;ref!$X$2&amp;"Rural"&amp;24,URtable,7,FALSE))</f>
        <v>23.226351351351401</v>
      </c>
      <c r="V84" s="27">
        <f>IF(V69&lt;5,"-",VLOOKUP(V$13&amp;ref!$X$2&amp;"Rural"&amp;24,URtable,7,FALSE))</f>
        <v>25.802456393848701</v>
      </c>
      <c r="W84" s="27">
        <f>IF(W69&lt;5,"-",VLOOKUP(W$13&amp;ref!$X$2&amp;"Rural"&amp;24,URtable,7,FALSE))</f>
        <v>23.1761386537686</v>
      </c>
      <c r="X84" s="27">
        <f>IF(X69&lt;5,"-",VLOOKUP(X$13&amp;ref!$X$2&amp;"Rural"&amp;24,URtable,7,FALSE))</f>
        <v>27.955271565495199</v>
      </c>
      <c r="Y84" s="27">
        <f>IF(Y69&lt;5,"-",VLOOKUP(Y$13&amp;ref!$X$2&amp;"Rural"&amp;24,URtable,7,FALSE))</f>
        <v>22.9885057471264</v>
      </c>
      <c r="Z84" s="27">
        <f>IF(Z69&lt;5,"-",VLOOKUP(Z$13&amp;ref!$X$2&amp;"Rural"&amp;24,URtable,7,FALSE))</f>
        <v>18.954509177972898</v>
      </c>
      <c r="AA84" s="27">
        <f>IF(AA69&lt;5,"-",VLOOKUP(AA$13&amp;ref!$X$2&amp;"Rural"&amp;24,URtable,7,FALSE))</f>
        <v>29.597474348855599</v>
      </c>
      <c r="AB84" s="27">
        <f>IF(AB69&lt;5,"-",VLOOKUP(AB$13&amp;ref!$X$2&amp;"Rural"&amp;24,URtable,7,FALSE))</f>
        <v>25.360905189231399</v>
      </c>
    </row>
    <row r="85" spans="2:28">
      <c r="B85" s="97"/>
      <c r="C85" s="81"/>
      <c r="D85" s="97"/>
      <c r="E85" s="97"/>
      <c r="F85" s="97"/>
      <c r="G85" s="97"/>
      <c r="H85" s="97"/>
      <c r="I85" s="97"/>
      <c r="J85" s="97"/>
      <c r="K85" s="97"/>
      <c r="L85" s="97"/>
      <c r="M85" s="97"/>
      <c r="O85" s="24"/>
      <c r="P85" s="24" t="s">
        <v>26</v>
      </c>
      <c r="Q85" s="24"/>
      <c r="R85" s="24"/>
      <c r="S85" s="27">
        <f>IF(S70&lt;5,"-",VLOOKUP(S$13&amp;ref!$X$2&amp;"Rural"&amp;25,URtable,7,FALSE))</f>
        <v>35.810205908683997</v>
      </c>
      <c r="T85" s="27">
        <f>IF(T70&lt;5,"-",VLOOKUP(T$13&amp;ref!$X$2&amp;"Rural"&amp;25,URtable,7,FALSE))</f>
        <v>28.636884306987401</v>
      </c>
      <c r="U85" s="36" t="str">
        <f>IF(U70&lt;5,"-",VLOOKUP(U$13&amp;ref!$X$2&amp;"Rural"&amp;25,URtable,7,FALSE))</f>
        <v>-</v>
      </c>
      <c r="V85" s="27">
        <f>IF(V70&lt;5,"-",VLOOKUP(V$13&amp;ref!$X$2&amp;"Rural"&amp;25,URtable,7,FALSE))</f>
        <v>23.3402489626556</v>
      </c>
      <c r="W85" s="27">
        <f>IF(W70&lt;5,"-",VLOOKUP(W$13&amp;ref!$X$2&amp;"Rural"&amp;25,URtable,7,FALSE))</f>
        <v>17.085672443251202</v>
      </c>
      <c r="X85" s="27">
        <f>IF(X70&lt;5,"-",VLOOKUP(X$13&amp;ref!$X$2&amp;"Rural"&amp;25,URtable,7,FALSE))</f>
        <v>13.7362637362637</v>
      </c>
      <c r="Y85" s="27">
        <f>IF(Y70&lt;5,"-",VLOOKUP(Y$13&amp;ref!$X$2&amp;"Rural"&amp;25,URtable,7,FALSE))</f>
        <v>13.057671381936901</v>
      </c>
      <c r="Z85" s="27">
        <f>IF(Z70&lt;5,"-",VLOOKUP(Z$13&amp;ref!$X$2&amp;"Rural"&amp;25,URtable,7,FALSE))</f>
        <v>12.6528890763391</v>
      </c>
      <c r="AA85" s="27">
        <f>IF(AA70&lt;5,"-",VLOOKUP(AA$13&amp;ref!$X$2&amp;"Rural"&amp;25,URtable,7,FALSE))</f>
        <v>17.8041543026706</v>
      </c>
      <c r="AB85" s="27">
        <f>IF(AB70&lt;5,"-",VLOOKUP(AB$13&amp;ref!$X$2&amp;"Rural"&amp;25,URtable,7,FALSE))</f>
        <v>24.177050399851201</v>
      </c>
    </row>
    <row r="86" spans="2:28">
      <c r="B86" s="81"/>
      <c r="C86" s="78" t="s">
        <v>140</v>
      </c>
      <c r="D86" s="81" t="s">
        <v>101</v>
      </c>
      <c r="E86" s="106"/>
      <c r="F86" s="106"/>
      <c r="G86" s="81"/>
      <c r="H86" s="81"/>
      <c r="I86" s="81"/>
      <c r="J86" s="81"/>
      <c r="K86" s="81"/>
      <c r="L86" s="81"/>
      <c r="M86" s="81"/>
      <c r="N86" s="190"/>
      <c r="O86" s="26"/>
      <c r="P86" s="26"/>
      <c r="Q86" s="26"/>
      <c r="R86" s="26"/>
      <c r="S86" s="38"/>
      <c r="T86" s="38"/>
      <c r="U86" s="38"/>
      <c r="V86" s="38"/>
      <c r="W86" s="38"/>
      <c r="X86" s="38"/>
      <c r="Y86" s="38"/>
      <c r="Z86" s="38"/>
      <c r="AA86" s="38"/>
      <c r="AB86" s="38"/>
    </row>
    <row r="87" spans="2:28" ht="24" customHeight="1">
      <c r="B87" s="81"/>
      <c r="C87" s="97"/>
      <c r="D87" s="662" t="s">
        <v>445</v>
      </c>
      <c r="E87" s="658"/>
      <c r="F87" s="658"/>
      <c r="G87" s="658"/>
      <c r="H87" s="658"/>
      <c r="I87" s="658"/>
      <c r="J87" s="658"/>
      <c r="K87" s="658"/>
      <c r="L87" s="658"/>
      <c r="M87" s="241"/>
      <c r="N87" s="195"/>
      <c r="O87" s="24" t="s">
        <v>8</v>
      </c>
      <c r="P87" s="24" t="s">
        <v>150</v>
      </c>
      <c r="Q87" s="24"/>
      <c r="R87" s="24" t="s">
        <v>22</v>
      </c>
      <c r="S87" s="47">
        <f>IF(S72&lt;5,"-",VLOOKUP(S$13&amp;ref!$X$3&amp;"Rural"&amp;22,URtable,7,FALSE))</f>
        <v>16.382699868938399</v>
      </c>
      <c r="T87" s="47" t="str">
        <f>IF(T72&lt;5,"-",VLOOKUP(T$13&amp;ref!$X$3&amp;"Rural"&amp;22,URtable,7,FALSE))</f>
        <v>-</v>
      </c>
      <c r="U87" s="47" t="str">
        <f>IF(U72&lt;5,"-",VLOOKUP(U$13&amp;ref!$X$3&amp;"Rural"&amp;22,URtable,7,FALSE))</f>
        <v>-</v>
      </c>
      <c r="V87" s="47" t="str">
        <f>IF(V72&lt;5,"-",VLOOKUP(V$13&amp;ref!$X$3&amp;"Rural"&amp;22,URtable,7,FALSE))</f>
        <v>-</v>
      </c>
      <c r="W87" s="47" t="str">
        <f>IF(W72&lt;5,"-",VLOOKUP(W$13&amp;ref!$X$3&amp;"Rural"&amp;22,URtable,7,FALSE))</f>
        <v>-</v>
      </c>
      <c r="X87" s="47">
        <f>IF(X72&lt;5,"-",VLOOKUP(X$13&amp;ref!$X$3&amp;"Rural"&amp;22,URtable,7,FALSE))</f>
        <v>21.374045801526702</v>
      </c>
      <c r="Y87" s="47">
        <f>IF(Y72&lt;5,"-",VLOOKUP(Y$13&amp;ref!$X$3&amp;"Rural"&amp;22,URtable,7,FALSE))</f>
        <v>21.665119158155399</v>
      </c>
      <c r="Z87" s="47" t="str">
        <f>IF(Z72&lt;5,"-",VLOOKUP(Z$13&amp;ref!$X$3&amp;"Rural"&amp;22,URtable,7,FALSE))</f>
        <v>-</v>
      </c>
      <c r="AA87" s="47" t="str">
        <f>IF(AA72&lt;5,"-",VLOOKUP(AA$13&amp;ref!$X$3&amp;"Rural"&amp;22,URtable,7,FALSE))</f>
        <v>-</v>
      </c>
      <c r="AB87" s="47" t="str">
        <f>IF(AB72&lt;5,"-",VLOOKUP(AB$13&amp;ref!$X$3&amp;"Rural"&amp;22,URtable,7,FALSE))</f>
        <v>-</v>
      </c>
    </row>
    <row r="88" spans="2:28">
      <c r="B88" s="81"/>
      <c r="C88" s="78" t="s">
        <v>141</v>
      </c>
      <c r="D88" s="665" t="s">
        <v>144</v>
      </c>
      <c r="E88" s="635"/>
      <c r="F88" s="635"/>
      <c r="G88" s="635"/>
      <c r="H88" s="635"/>
      <c r="I88" s="635"/>
      <c r="J88" s="635"/>
      <c r="K88" s="635"/>
      <c r="L88" s="635"/>
      <c r="M88" s="81"/>
      <c r="N88" s="190"/>
      <c r="O88" s="24"/>
      <c r="P88" s="24" t="s">
        <v>35</v>
      </c>
      <c r="Q88" s="24"/>
      <c r="R88" s="24"/>
      <c r="S88" s="47" t="str">
        <f>IF(S73&lt;5,"-",VLOOKUP(S$13&amp;ref!$X$3&amp;"Rural"&amp;23,URtable,7,FALSE))</f>
        <v>-</v>
      </c>
      <c r="T88" s="47">
        <f>IF(T73&lt;5,"-",VLOOKUP(T$13&amp;ref!$X$3&amp;"Rural"&amp;23,URtable,7,FALSE))</f>
        <v>6.5436461196178497</v>
      </c>
      <c r="U88" s="47" t="str">
        <f>IF(U73&lt;5,"-",VLOOKUP(U$13&amp;ref!$X$3&amp;"Rural"&amp;23,URtable,7,FALSE))</f>
        <v>-</v>
      </c>
      <c r="V88" s="47">
        <f>IF(V73&lt;5,"-",VLOOKUP(V$13&amp;ref!$X$3&amp;"Rural"&amp;23,URtable,7,FALSE))</f>
        <v>11.9776417354272</v>
      </c>
      <c r="W88" s="47" t="str">
        <f>IF(W73&lt;5,"-",VLOOKUP(W$13&amp;ref!$X$3&amp;"Rural"&amp;23,URtable,7,FALSE))</f>
        <v>-</v>
      </c>
      <c r="X88" s="47">
        <f>IF(X73&lt;5,"-",VLOOKUP(X$13&amp;ref!$X$3&amp;"Rural"&amp;23,URtable,7,FALSE))</f>
        <v>9.4658553076403003</v>
      </c>
      <c r="Y88" s="47">
        <f>IF(Y73&lt;5,"-",VLOOKUP(Y$13&amp;ref!$X$3&amp;"Rural"&amp;23,URtable,7,FALSE))</f>
        <v>11.026878015162</v>
      </c>
      <c r="Z88" s="47">
        <f>IF(Z73&lt;5,"-",VLOOKUP(Z$13&amp;ref!$X$3&amp;"Rural"&amp;23,URtable,7,FALSE))</f>
        <v>7.0952178231871699</v>
      </c>
      <c r="AA88" s="47">
        <f>IF(AA73&lt;5,"-",VLOOKUP(AA$13&amp;ref!$X$3&amp;"Rural"&amp;23,URtable,7,FALSE))</f>
        <v>11.3765642775882</v>
      </c>
      <c r="AB88" s="47">
        <f>IF(AB73&lt;5,"-",VLOOKUP(AB$13&amp;ref!$X$3&amp;"Rural"&amp;23,URtable,7,FALSE))</f>
        <v>12.7859070890752</v>
      </c>
    </row>
    <row r="89" spans="2:28">
      <c r="B89" s="81"/>
      <c r="C89" s="97"/>
      <c r="D89" s="78"/>
      <c r="E89" s="97"/>
      <c r="F89" s="97"/>
      <c r="G89" s="81"/>
      <c r="H89" s="81"/>
      <c r="I89" s="97"/>
      <c r="J89" s="97"/>
      <c r="K89" s="97"/>
      <c r="L89" s="97"/>
      <c r="M89" s="97"/>
      <c r="O89" s="24"/>
      <c r="P89" s="24" t="s">
        <v>36</v>
      </c>
      <c r="Q89" s="24"/>
      <c r="R89" s="24"/>
      <c r="S89" s="47">
        <f>IF(S74&lt;5,"-",VLOOKUP(S$13&amp;ref!$X$3&amp;"Rural"&amp;24,URtable,7,FALSE))</f>
        <v>7.1437075842362203</v>
      </c>
      <c r="T89" s="47">
        <f>IF(T74&lt;5,"-",VLOOKUP(T$13&amp;ref!$X$3&amp;"Rural"&amp;24,URtable,7,FALSE))</f>
        <v>6.8949666743277396</v>
      </c>
      <c r="U89" s="47" t="str">
        <f>IF(U74&lt;5,"-",VLOOKUP(U$13&amp;ref!$X$3&amp;"Rural"&amp;24,URtable,7,FALSE))</f>
        <v>-</v>
      </c>
      <c r="V89" s="47">
        <f>IF(V74&lt;5,"-",VLOOKUP(V$13&amp;ref!$X$3&amp;"Rural"&amp;24,URtable,7,FALSE))</f>
        <v>5.4054054054054097</v>
      </c>
      <c r="W89" s="47">
        <f>IF(W74&lt;5,"-",VLOOKUP(W$13&amp;ref!$X$3&amp;"Rural"&amp;24,URtable,7,FALSE))</f>
        <v>7.3283082077051898</v>
      </c>
      <c r="X89" s="47">
        <f>IF(X74&lt;5,"-",VLOOKUP(X$13&amp;ref!$X$3&amp;"Rural"&amp;24,URtable,7,FALSE))</f>
        <v>7.2023870768597602</v>
      </c>
      <c r="Y89" s="47">
        <f>IF(Y74&lt;5,"-",VLOOKUP(Y$13&amp;ref!$X$3&amp;"Rural"&amp;24,URtable,7,FALSE))</f>
        <v>9.2109303039606996</v>
      </c>
      <c r="Z89" s="47">
        <f>IF(Z74&lt;5,"-",VLOOKUP(Z$13&amp;ref!$X$3&amp;"Rural"&amp;24,URtable,7,FALSE))</f>
        <v>12.233662962585401</v>
      </c>
      <c r="AA89" s="47">
        <f>IF(AA74&lt;5,"-",VLOOKUP(AA$13&amp;ref!$X$3&amp;"Rural"&amp;24,URtable,7,FALSE))</f>
        <v>11.9796346211441</v>
      </c>
      <c r="AB89" s="47">
        <f>IF(AB74&lt;5,"-",VLOOKUP(AB$13&amp;ref!$X$3&amp;"Rural"&amp;24,URtable,7,FALSE))</f>
        <v>4.8775729197151501</v>
      </c>
    </row>
    <row r="90" spans="2:28">
      <c r="B90" s="449"/>
      <c r="C90" s="449"/>
      <c r="D90" s="449"/>
      <c r="E90" s="449"/>
      <c r="F90" s="449"/>
      <c r="G90" s="449"/>
      <c r="H90" s="449"/>
      <c r="I90" s="449"/>
      <c r="J90" s="449"/>
      <c r="K90" s="449"/>
      <c r="L90" s="449"/>
      <c r="M90" s="449"/>
      <c r="O90" s="24"/>
      <c r="P90" s="24" t="s">
        <v>26</v>
      </c>
      <c r="Q90" s="24"/>
      <c r="R90" s="24"/>
      <c r="S90" s="47" t="str">
        <f>IF(S75&lt;5,"-",VLOOKUP(S$13&amp;ref!$X$3&amp;"Rural"&amp;25,URtable,7,FALSE))</f>
        <v>-</v>
      </c>
      <c r="T90" s="47" t="str">
        <f>IF(T75&lt;5,"-",VLOOKUP(T$13&amp;ref!$X$3&amp;"Rural"&amp;25,URtable,7,FALSE))</f>
        <v>-</v>
      </c>
      <c r="U90" s="47" t="str">
        <f>IF(U75&lt;5,"-",VLOOKUP(U$13&amp;ref!$X$3&amp;"Rural"&amp;25,URtable,7,FALSE))</f>
        <v>-</v>
      </c>
      <c r="V90" s="47" t="str">
        <f>IF(V75&lt;5,"-",VLOOKUP(V$13&amp;ref!$X$3&amp;"Rural"&amp;25,URtable,7,FALSE))</f>
        <v>-</v>
      </c>
      <c r="W90" s="47" t="str">
        <f>IF(W75&lt;5,"-",VLOOKUP(W$13&amp;ref!$X$3&amp;"Rural"&amp;25,URtable,7,FALSE))</f>
        <v>-</v>
      </c>
      <c r="X90" s="47" t="str">
        <f>IF(X75&lt;5,"-",VLOOKUP(X$13&amp;ref!$X$3&amp;"Rural"&amp;25,URtable,7,FALSE))</f>
        <v>-</v>
      </c>
      <c r="Y90" s="47" t="str">
        <f>IF(Y75&lt;5,"-",VLOOKUP(Y$13&amp;ref!$X$3&amp;"Rural"&amp;25,URtable,7,FALSE))</f>
        <v>-</v>
      </c>
      <c r="Z90" s="47" t="str">
        <f>IF(Z75&lt;5,"-",VLOOKUP(Z$13&amp;ref!$X$3&amp;"Rural"&amp;25,URtable,7,FALSE))</f>
        <v>-</v>
      </c>
      <c r="AA90" s="47" t="str">
        <f>IF(AA75&lt;5,"-",VLOOKUP(AA$13&amp;ref!$X$3&amp;"Rural"&amp;25,URtable,7,FALSE))</f>
        <v>-</v>
      </c>
      <c r="AB90" s="47" t="str">
        <f>IF(AB75&lt;5,"-",VLOOKUP(AB$13&amp;ref!$X$3&amp;"Rural"&amp;25,URtable,7,FALSE))</f>
        <v>-</v>
      </c>
    </row>
    <row r="91" spans="2:28">
      <c r="B91" s="449"/>
      <c r="C91" s="449"/>
      <c r="D91" s="449"/>
      <c r="E91" s="449"/>
      <c r="F91" s="449"/>
      <c r="G91" s="449"/>
      <c r="H91" s="449"/>
      <c r="I91" s="449"/>
      <c r="J91" s="449"/>
      <c r="K91" s="449"/>
      <c r="L91" s="449"/>
      <c r="M91" s="449"/>
      <c r="O91" s="26"/>
      <c r="P91" s="26"/>
      <c r="Q91" s="26"/>
      <c r="R91" s="26"/>
      <c r="S91" s="26"/>
      <c r="T91" s="26"/>
      <c r="U91" s="26"/>
      <c r="V91" s="26"/>
      <c r="W91" s="26"/>
      <c r="X91" s="26"/>
      <c r="Y91" s="26"/>
      <c r="Z91" s="26"/>
      <c r="AA91" s="26"/>
    </row>
    <row r="92" spans="2:28">
      <c r="O92" s="23" t="s">
        <v>289</v>
      </c>
    </row>
    <row r="93" spans="2:28">
      <c r="O93" s="24"/>
      <c r="P93" s="24"/>
      <c r="Q93" s="24"/>
      <c r="R93" s="24"/>
    </row>
    <row r="94" spans="2:28">
      <c r="O94" s="22" t="s">
        <v>1</v>
      </c>
      <c r="P94" s="22" t="s">
        <v>37</v>
      </c>
      <c r="Q94" s="24"/>
      <c r="R94" s="24"/>
      <c r="S94" s="22">
        <v>2007</v>
      </c>
      <c r="T94" s="22">
        <v>2008</v>
      </c>
      <c r="U94" s="22">
        <v>2009</v>
      </c>
      <c r="V94" s="22">
        <v>2010</v>
      </c>
      <c r="W94" s="22">
        <v>2011</v>
      </c>
      <c r="X94" s="22">
        <v>2012</v>
      </c>
      <c r="Y94" s="22">
        <v>2013</v>
      </c>
      <c r="Z94" s="22">
        <v>2014</v>
      </c>
      <c r="AA94" s="22">
        <v>2015</v>
      </c>
      <c r="AB94" s="22">
        <v>2016</v>
      </c>
    </row>
    <row r="95" spans="2:28">
      <c r="O95" s="22"/>
      <c r="P95" s="22"/>
      <c r="Q95" s="24"/>
      <c r="R95" s="24"/>
      <c r="S95" s="24"/>
      <c r="T95" s="24"/>
      <c r="U95" s="24"/>
      <c r="V95" s="24"/>
      <c r="W95" s="24"/>
      <c r="X95" s="24"/>
      <c r="Y95" s="24"/>
      <c r="Z95" s="24"/>
      <c r="AA95" s="24"/>
      <c r="AB95" s="24"/>
    </row>
    <row r="96" spans="2:28">
      <c r="O96" s="24" t="s">
        <v>0</v>
      </c>
      <c r="P96" s="24" t="s">
        <v>150</v>
      </c>
      <c r="Q96" s="24"/>
      <c r="R96" s="24" t="s">
        <v>21</v>
      </c>
      <c r="S96" s="24">
        <f t="shared" ref="S96:AB96" si="30">VLOOKUP(S$13&amp;"AllSex"&amp;"Urban"&amp;22,URtable,6,FALSE)</f>
        <v>77</v>
      </c>
      <c r="T96" s="24">
        <f t="shared" si="30"/>
        <v>104</v>
      </c>
      <c r="U96" s="24">
        <f t="shared" si="30"/>
        <v>93</v>
      </c>
      <c r="V96" s="24">
        <f t="shared" si="30"/>
        <v>94</v>
      </c>
      <c r="W96" s="24">
        <f t="shared" si="30"/>
        <v>116</v>
      </c>
      <c r="X96" s="24">
        <f t="shared" si="30"/>
        <v>131</v>
      </c>
      <c r="Y96" s="24">
        <f t="shared" si="30"/>
        <v>95</v>
      </c>
      <c r="Z96" s="24">
        <f t="shared" si="30"/>
        <v>81</v>
      </c>
      <c r="AA96" s="24">
        <f t="shared" si="30"/>
        <v>101</v>
      </c>
      <c r="AB96" s="24">
        <f t="shared" si="30"/>
        <v>95</v>
      </c>
    </row>
    <row r="97" spans="15:28">
      <c r="O97" s="24"/>
      <c r="P97" s="24" t="s">
        <v>35</v>
      </c>
      <c r="Q97" s="24"/>
      <c r="R97" s="24"/>
      <c r="S97" s="24">
        <f t="shared" ref="S97:AB97" si="31">VLOOKUP(S$13&amp;"AllSex"&amp;"Urban"&amp;23,URtable,6,FALSE)</f>
        <v>183</v>
      </c>
      <c r="T97" s="24">
        <f t="shared" si="31"/>
        <v>151</v>
      </c>
      <c r="U97" s="24">
        <f t="shared" si="31"/>
        <v>153</v>
      </c>
      <c r="V97" s="24">
        <f t="shared" si="31"/>
        <v>158</v>
      </c>
      <c r="W97" s="24">
        <f t="shared" si="31"/>
        <v>139</v>
      </c>
      <c r="X97" s="24">
        <f t="shared" si="31"/>
        <v>161</v>
      </c>
      <c r="Y97" s="24">
        <f t="shared" si="31"/>
        <v>136</v>
      </c>
      <c r="Z97" s="24">
        <f t="shared" si="31"/>
        <v>165</v>
      </c>
      <c r="AA97" s="24">
        <f t="shared" si="31"/>
        <v>145</v>
      </c>
      <c r="AB97" s="24">
        <f t="shared" si="31"/>
        <v>172</v>
      </c>
    </row>
    <row r="98" spans="15:28">
      <c r="O98" s="24"/>
      <c r="P98" s="24" t="s">
        <v>36</v>
      </c>
      <c r="Q98" s="24"/>
      <c r="R98" s="24"/>
      <c r="S98" s="24">
        <f t="shared" ref="S98:AB98" si="32">VLOOKUP(S$13&amp;"AllSex"&amp;"Urban"&amp;24,URtable,6,FALSE)</f>
        <v>120</v>
      </c>
      <c r="T98" s="24">
        <f t="shared" si="32"/>
        <v>124</v>
      </c>
      <c r="U98" s="24">
        <f t="shared" si="32"/>
        <v>133</v>
      </c>
      <c r="V98" s="24">
        <f t="shared" si="32"/>
        <v>128</v>
      </c>
      <c r="W98" s="24">
        <f t="shared" si="32"/>
        <v>120</v>
      </c>
      <c r="X98" s="24">
        <f t="shared" si="32"/>
        <v>111</v>
      </c>
      <c r="Y98" s="24">
        <f t="shared" si="32"/>
        <v>151</v>
      </c>
      <c r="Z98" s="24">
        <f t="shared" si="32"/>
        <v>130</v>
      </c>
      <c r="AA98" s="24">
        <f t="shared" si="32"/>
        <v>130</v>
      </c>
      <c r="AB98" s="24">
        <f t="shared" si="32"/>
        <v>140</v>
      </c>
    </row>
    <row r="99" spans="15:28">
      <c r="O99" s="24"/>
      <c r="P99" s="24" t="s">
        <v>26</v>
      </c>
      <c r="Q99" s="24"/>
      <c r="R99" s="24"/>
      <c r="S99" s="24">
        <f t="shared" ref="S99:AB99" si="33">VLOOKUP(S$13&amp;"AllSex"&amp;"Urban"&amp;25,URtable,6,FALSE)</f>
        <v>38</v>
      </c>
      <c r="T99" s="24">
        <f t="shared" si="33"/>
        <v>41</v>
      </c>
      <c r="U99" s="24">
        <f t="shared" si="33"/>
        <v>49</v>
      </c>
      <c r="V99" s="24">
        <f t="shared" si="33"/>
        <v>48</v>
      </c>
      <c r="W99" s="24">
        <f t="shared" si="33"/>
        <v>36</v>
      </c>
      <c r="X99" s="24">
        <f t="shared" si="33"/>
        <v>51</v>
      </c>
      <c r="Y99" s="24">
        <f t="shared" si="33"/>
        <v>49</v>
      </c>
      <c r="Z99" s="24">
        <f t="shared" si="33"/>
        <v>53</v>
      </c>
      <c r="AA99" s="24">
        <f t="shared" si="33"/>
        <v>54</v>
      </c>
      <c r="AB99" s="24">
        <f t="shared" si="33"/>
        <v>49</v>
      </c>
    </row>
    <row r="100" spans="15:28">
      <c r="O100" s="26"/>
      <c r="P100" s="26"/>
      <c r="Q100" s="26"/>
      <c r="R100" s="26"/>
      <c r="S100" s="26"/>
      <c r="T100" s="26"/>
      <c r="U100" s="26"/>
      <c r="V100" s="26"/>
      <c r="W100" s="26"/>
      <c r="X100" s="26"/>
      <c r="Y100" s="26"/>
      <c r="Z100" s="26"/>
      <c r="AA100" s="26"/>
      <c r="AB100" s="26"/>
    </row>
    <row r="101" spans="15:28">
      <c r="O101" s="24" t="s">
        <v>20</v>
      </c>
      <c r="P101" s="24" t="s">
        <v>150</v>
      </c>
      <c r="Q101" s="24"/>
      <c r="R101" s="24" t="s">
        <v>21</v>
      </c>
      <c r="S101" s="24">
        <f t="shared" ref="S101:AB101" si="34">VLOOKUP(S$13&amp;"Male"&amp;"Urban"&amp;22,URtable,6,FALSE)</f>
        <v>59</v>
      </c>
      <c r="T101" s="24">
        <f t="shared" si="34"/>
        <v>69</v>
      </c>
      <c r="U101" s="24">
        <f t="shared" si="34"/>
        <v>75</v>
      </c>
      <c r="V101" s="24">
        <f t="shared" si="34"/>
        <v>60</v>
      </c>
      <c r="W101" s="24">
        <f t="shared" si="34"/>
        <v>82</v>
      </c>
      <c r="X101" s="24">
        <f t="shared" si="34"/>
        <v>97</v>
      </c>
      <c r="Y101" s="24">
        <f t="shared" si="34"/>
        <v>64</v>
      </c>
      <c r="Z101" s="24">
        <f t="shared" si="34"/>
        <v>61</v>
      </c>
      <c r="AA101" s="24">
        <f t="shared" si="34"/>
        <v>64</v>
      </c>
      <c r="AB101" s="24">
        <f t="shared" si="34"/>
        <v>73</v>
      </c>
    </row>
    <row r="102" spans="15:28">
      <c r="O102" s="24"/>
      <c r="P102" s="24" t="s">
        <v>35</v>
      </c>
      <c r="Q102" s="24"/>
      <c r="R102" s="24"/>
      <c r="S102" s="24">
        <f t="shared" ref="S102:AB102" si="35">VLOOKUP(S$13&amp;"Male"&amp;"Urban"&amp;23,URtable,6,FALSE)</f>
        <v>139</v>
      </c>
      <c r="T102" s="24">
        <f t="shared" si="35"/>
        <v>108</v>
      </c>
      <c r="U102" s="24">
        <f t="shared" si="35"/>
        <v>115</v>
      </c>
      <c r="V102" s="24">
        <f t="shared" si="35"/>
        <v>114</v>
      </c>
      <c r="W102" s="24">
        <f t="shared" si="35"/>
        <v>109</v>
      </c>
      <c r="X102" s="24">
        <f t="shared" si="35"/>
        <v>126</v>
      </c>
      <c r="Y102" s="24">
        <f t="shared" si="35"/>
        <v>97</v>
      </c>
      <c r="Z102" s="24">
        <f t="shared" si="35"/>
        <v>120</v>
      </c>
      <c r="AA102" s="24">
        <f t="shared" si="35"/>
        <v>117</v>
      </c>
      <c r="AB102" s="24">
        <f t="shared" si="35"/>
        <v>124</v>
      </c>
    </row>
    <row r="103" spans="15:28">
      <c r="O103" s="24"/>
      <c r="P103" s="24" t="s">
        <v>36</v>
      </c>
      <c r="Q103" s="24"/>
      <c r="R103" s="24"/>
      <c r="S103" s="24">
        <f t="shared" ref="S103:AB103" si="36">VLOOKUP(S$13&amp;"Male"&amp;"Urban"&amp;24,URtable,6,FALSE)</f>
        <v>86</v>
      </c>
      <c r="T103" s="24">
        <f t="shared" si="36"/>
        <v>97</v>
      </c>
      <c r="U103" s="24">
        <f t="shared" si="36"/>
        <v>96</v>
      </c>
      <c r="V103" s="24">
        <f t="shared" si="36"/>
        <v>90</v>
      </c>
      <c r="W103" s="24">
        <f t="shared" si="36"/>
        <v>94</v>
      </c>
      <c r="X103" s="24">
        <f t="shared" si="36"/>
        <v>76</v>
      </c>
      <c r="Y103" s="24">
        <f t="shared" si="36"/>
        <v>107</v>
      </c>
      <c r="Z103" s="24">
        <f t="shared" si="36"/>
        <v>98</v>
      </c>
      <c r="AA103" s="24">
        <f t="shared" si="36"/>
        <v>95</v>
      </c>
      <c r="AB103" s="24">
        <f t="shared" si="36"/>
        <v>101</v>
      </c>
    </row>
    <row r="104" spans="15:28">
      <c r="O104" s="24"/>
      <c r="P104" s="24" t="s">
        <v>26</v>
      </c>
      <c r="Q104" s="24"/>
      <c r="R104" s="24"/>
      <c r="S104" s="24">
        <f t="shared" ref="S104:AB104" si="37">VLOOKUP(S$13&amp;"Male"&amp;"Urban"&amp;25,URtable,6,FALSE)</f>
        <v>30</v>
      </c>
      <c r="T104" s="24">
        <f t="shared" si="37"/>
        <v>26</v>
      </c>
      <c r="U104" s="24">
        <f t="shared" si="37"/>
        <v>37</v>
      </c>
      <c r="V104" s="24">
        <f t="shared" si="37"/>
        <v>34</v>
      </c>
      <c r="W104" s="24">
        <f t="shared" si="37"/>
        <v>23</v>
      </c>
      <c r="X104" s="24">
        <f t="shared" si="37"/>
        <v>37</v>
      </c>
      <c r="Y104" s="24">
        <f t="shared" si="37"/>
        <v>41</v>
      </c>
      <c r="Z104" s="24">
        <f t="shared" si="37"/>
        <v>43</v>
      </c>
      <c r="AA104" s="24">
        <f t="shared" si="37"/>
        <v>40</v>
      </c>
      <c r="AB104" s="24">
        <f t="shared" si="37"/>
        <v>38</v>
      </c>
    </row>
    <row r="105" spans="15:28">
      <c r="O105" s="26"/>
      <c r="P105" s="26"/>
      <c r="Q105" s="26"/>
      <c r="R105" s="26"/>
      <c r="S105" s="26"/>
      <c r="T105" s="26"/>
      <c r="U105" s="26"/>
      <c r="V105" s="26"/>
      <c r="W105" s="26"/>
      <c r="X105" s="26"/>
      <c r="Y105" s="26"/>
      <c r="Z105" s="26"/>
      <c r="AA105" s="26"/>
      <c r="AB105" s="26"/>
    </row>
    <row r="106" spans="15:28">
      <c r="O106" s="24" t="s">
        <v>8</v>
      </c>
      <c r="P106" s="24" t="s">
        <v>150</v>
      </c>
      <c r="Q106" s="24"/>
      <c r="R106" s="24" t="s">
        <v>21</v>
      </c>
      <c r="S106" s="24">
        <f t="shared" ref="S106:AB106" si="38">VLOOKUP(S$13&amp;"Female"&amp;"Urban"&amp;22,URtable,6,FALSE)</f>
        <v>18</v>
      </c>
      <c r="T106" s="24">
        <f t="shared" si="38"/>
        <v>35</v>
      </c>
      <c r="U106" s="24">
        <f t="shared" si="38"/>
        <v>18</v>
      </c>
      <c r="V106" s="24">
        <f t="shared" si="38"/>
        <v>34</v>
      </c>
      <c r="W106" s="24">
        <f t="shared" si="38"/>
        <v>34</v>
      </c>
      <c r="X106" s="24">
        <f t="shared" si="38"/>
        <v>34</v>
      </c>
      <c r="Y106" s="24">
        <f t="shared" si="38"/>
        <v>31</v>
      </c>
      <c r="Z106" s="24">
        <f t="shared" si="38"/>
        <v>20</v>
      </c>
      <c r="AA106" s="24">
        <f t="shared" si="38"/>
        <v>37</v>
      </c>
      <c r="AB106" s="24">
        <f t="shared" si="38"/>
        <v>22</v>
      </c>
    </row>
    <row r="107" spans="15:28">
      <c r="O107" s="24"/>
      <c r="P107" s="24" t="s">
        <v>35</v>
      </c>
      <c r="Q107" s="24"/>
      <c r="R107" s="24"/>
      <c r="S107" s="24">
        <f t="shared" ref="S107:AB107" si="39">VLOOKUP(S$13&amp;"Female"&amp;"Urban"&amp;23,URtable,6,FALSE)</f>
        <v>44</v>
      </c>
      <c r="T107" s="24">
        <f t="shared" si="39"/>
        <v>43</v>
      </c>
      <c r="U107" s="24">
        <f t="shared" si="39"/>
        <v>38</v>
      </c>
      <c r="V107" s="24">
        <f t="shared" si="39"/>
        <v>44</v>
      </c>
      <c r="W107" s="24">
        <f t="shared" si="39"/>
        <v>30</v>
      </c>
      <c r="X107" s="24">
        <f t="shared" si="39"/>
        <v>35</v>
      </c>
      <c r="Y107" s="24">
        <f t="shared" si="39"/>
        <v>39</v>
      </c>
      <c r="Z107" s="24">
        <f t="shared" si="39"/>
        <v>45</v>
      </c>
      <c r="AA107" s="24">
        <f t="shared" si="39"/>
        <v>28</v>
      </c>
      <c r="AB107" s="24">
        <f t="shared" si="39"/>
        <v>48</v>
      </c>
    </row>
    <row r="108" spans="15:28">
      <c r="O108" s="24"/>
      <c r="P108" s="24" t="s">
        <v>36</v>
      </c>
      <c r="Q108" s="24"/>
      <c r="R108" s="24"/>
      <c r="S108" s="24">
        <f t="shared" ref="S108:AB108" si="40">VLOOKUP(S$13&amp;"Female"&amp;"Urban"&amp;24,URtable,6,FALSE)</f>
        <v>34</v>
      </c>
      <c r="T108" s="24">
        <f t="shared" si="40"/>
        <v>27</v>
      </c>
      <c r="U108" s="24">
        <f t="shared" si="40"/>
        <v>37</v>
      </c>
      <c r="V108" s="24">
        <f t="shared" si="40"/>
        <v>38</v>
      </c>
      <c r="W108" s="24">
        <f t="shared" si="40"/>
        <v>26</v>
      </c>
      <c r="X108" s="24">
        <f t="shared" si="40"/>
        <v>35</v>
      </c>
      <c r="Y108" s="24">
        <f t="shared" si="40"/>
        <v>44</v>
      </c>
      <c r="Z108" s="24">
        <f t="shared" si="40"/>
        <v>32</v>
      </c>
      <c r="AA108" s="24">
        <f t="shared" si="40"/>
        <v>35</v>
      </c>
      <c r="AB108" s="24">
        <f t="shared" si="40"/>
        <v>39</v>
      </c>
    </row>
    <row r="109" spans="15:28">
      <c r="O109" s="24"/>
      <c r="P109" s="24" t="s">
        <v>26</v>
      </c>
      <c r="Q109" s="24"/>
      <c r="R109" s="24"/>
      <c r="S109" s="24">
        <f t="shared" ref="S109:AB109" si="41">VLOOKUP(S$13&amp;"Female"&amp;"Urban"&amp;25,URtable,6,FALSE)</f>
        <v>8</v>
      </c>
      <c r="T109" s="24">
        <f t="shared" si="41"/>
        <v>15</v>
      </c>
      <c r="U109" s="24">
        <f t="shared" si="41"/>
        <v>12</v>
      </c>
      <c r="V109" s="24">
        <f t="shared" si="41"/>
        <v>14</v>
      </c>
      <c r="W109" s="24">
        <f t="shared" si="41"/>
        <v>13</v>
      </c>
      <c r="X109" s="24">
        <f t="shared" si="41"/>
        <v>14</v>
      </c>
      <c r="Y109" s="24">
        <f t="shared" si="41"/>
        <v>8</v>
      </c>
      <c r="Z109" s="24">
        <f t="shared" si="41"/>
        <v>10</v>
      </c>
      <c r="AA109" s="24">
        <f t="shared" si="41"/>
        <v>14</v>
      </c>
      <c r="AB109" s="24">
        <f t="shared" si="41"/>
        <v>11</v>
      </c>
    </row>
    <row r="110" spans="15:28">
      <c r="O110" s="26"/>
      <c r="P110" s="26"/>
      <c r="Q110" s="26"/>
      <c r="R110" s="26"/>
      <c r="S110" s="26"/>
      <c r="T110" s="26"/>
      <c r="U110" s="26"/>
      <c r="V110" s="26"/>
      <c r="W110" s="26"/>
      <c r="X110" s="26"/>
      <c r="Y110" s="26"/>
      <c r="Z110" s="26"/>
      <c r="AA110" s="26"/>
      <c r="AB110" s="26"/>
    </row>
    <row r="111" spans="15:28">
      <c r="O111" s="24" t="s">
        <v>0</v>
      </c>
      <c r="P111" s="24" t="s">
        <v>150</v>
      </c>
      <c r="Q111" s="24"/>
      <c r="R111" s="24" t="s">
        <v>22</v>
      </c>
      <c r="S111" s="27">
        <f t="shared" ref="S111:AB111" si="42">VLOOKUP(S$13&amp;"AllSex"&amp;"Urban"&amp;22,URtable,7,FALSE)</f>
        <v>14.2724745134384</v>
      </c>
      <c r="T111" s="27">
        <f t="shared" si="42"/>
        <v>19.326185122554001</v>
      </c>
      <c r="U111" s="27">
        <f t="shared" si="42"/>
        <v>17.2059721374258</v>
      </c>
      <c r="V111" s="27">
        <f t="shared" si="42"/>
        <v>17.184643510054801</v>
      </c>
      <c r="W111" s="27">
        <f t="shared" si="42"/>
        <v>21.053013666309699</v>
      </c>
      <c r="X111" s="27">
        <f t="shared" si="42"/>
        <v>23.693682287615999</v>
      </c>
      <c r="Y111" s="27">
        <f t="shared" si="42"/>
        <v>17.043110098491201</v>
      </c>
      <c r="Z111" s="27">
        <f t="shared" si="42"/>
        <v>14.272876248876701</v>
      </c>
      <c r="AA111" s="27">
        <f t="shared" si="42"/>
        <v>17.372159823870401</v>
      </c>
      <c r="AB111" s="27">
        <f t="shared" si="42"/>
        <v>16.060319177711701</v>
      </c>
    </row>
    <row r="112" spans="15:28">
      <c r="O112" s="24"/>
      <c r="P112" s="24" t="s">
        <v>35</v>
      </c>
      <c r="Q112" s="24"/>
      <c r="R112" s="24"/>
      <c r="S112" s="27">
        <f t="shared" ref="S112:AB112" si="43">VLOOKUP(S$13&amp;"AllSex"&amp;"Urban"&amp;23,URtable,7,FALSE)</f>
        <v>17.842169919856499</v>
      </c>
      <c r="T112" s="27">
        <f t="shared" si="43"/>
        <v>14.802325239435</v>
      </c>
      <c r="U112" s="27">
        <f t="shared" si="43"/>
        <v>15.0424728645588</v>
      </c>
      <c r="V112" s="27">
        <f t="shared" si="43"/>
        <v>15.5668091982108</v>
      </c>
      <c r="W112" s="27">
        <f t="shared" si="43"/>
        <v>13.8018687134474</v>
      </c>
      <c r="X112" s="27">
        <f t="shared" si="43"/>
        <v>16.103381710159098</v>
      </c>
      <c r="Y112" s="27">
        <f t="shared" si="43"/>
        <v>13.606939539164999</v>
      </c>
      <c r="Z112" s="27">
        <f t="shared" si="43"/>
        <v>16.2368014485195</v>
      </c>
      <c r="AA112" s="27">
        <f t="shared" si="43"/>
        <v>13.8994066391235</v>
      </c>
      <c r="AB112" s="27">
        <f t="shared" si="43"/>
        <v>15.955029080823399</v>
      </c>
    </row>
    <row r="113" spans="15:31">
      <c r="O113" s="24"/>
      <c r="P113" s="24" t="s">
        <v>36</v>
      </c>
      <c r="Q113" s="24"/>
      <c r="R113" s="24"/>
      <c r="S113" s="27">
        <f t="shared" ref="S113:AB113" si="44">VLOOKUP(S$13&amp;"AllSex"&amp;"Urban"&amp;24,URtable,7,FALSE)</f>
        <v>14.1096792399586</v>
      </c>
      <c r="T113" s="27">
        <f t="shared" si="44"/>
        <v>14.190727961456201</v>
      </c>
      <c r="U113" s="27">
        <f t="shared" si="44"/>
        <v>14.8871153695475</v>
      </c>
      <c r="V113" s="27">
        <f t="shared" si="44"/>
        <v>14.061452943567399</v>
      </c>
      <c r="W113" s="27">
        <f t="shared" si="44"/>
        <v>13.0112330311836</v>
      </c>
      <c r="X113" s="27">
        <f t="shared" si="44"/>
        <v>11.9447314049587</v>
      </c>
      <c r="Y113" s="27">
        <f t="shared" si="44"/>
        <v>16.059387828898402</v>
      </c>
      <c r="Z113" s="27">
        <f t="shared" si="44"/>
        <v>13.616129876931099</v>
      </c>
      <c r="AA113" s="27">
        <f t="shared" si="44"/>
        <v>13.4386371154482</v>
      </c>
      <c r="AB113" s="27">
        <f t="shared" si="44"/>
        <v>14.2434200486311</v>
      </c>
    </row>
    <row r="114" spans="15:31">
      <c r="O114" s="24"/>
      <c r="P114" s="24" t="s">
        <v>26</v>
      </c>
      <c r="Q114" s="24"/>
      <c r="R114" s="24"/>
      <c r="S114" s="27">
        <f t="shared" ref="S114:AB114" si="45">VLOOKUP(S$13&amp;"AllSex"&amp;"Urban"&amp;25,URtable,7,FALSE)</f>
        <v>8.2181708081922196</v>
      </c>
      <c r="T114" s="27">
        <f t="shared" si="45"/>
        <v>8.7336244541484707</v>
      </c>
      <c r="U114" s="27">
        <f t="shared" si="45"/>
        <v>10.2211097204839</v>
      </c>
      <c r="V114" s="27">
        <f t="shared" si="45"/>
        <v>9.7733797568871807</v>
      </c>
      <c r="W114" s="27">
        <f t="shared" si="45"/>
        <v>7.1536443843891604</v>
      </c>
      <c r="X114" s="27">
        <f t="shared" si="45"/>
        <v>9.7896191646191593</v>
      </c>
      <c r="Y114" s="27">
        <f t="shared" si="45"/>
        <v>9.0799592328360994</v>
      </c>
      <c r="Z114" s="27">
        <f t="shared" si="45"/>
        <v>9.4587118305284399</v>
      </c>
      <c r="AA114" s="27">
        <f t="shared" si="45"/>
        <v>9.34660320207702</v>
      </c>
      <c r="AB114" s="27">
        <f t="shared" si="45"/>
        <v>8.2328035216237101</v>
      </c>
    </row>
    <row r="115" spans="15:31">
      <c r="O115" s="26"/>
      <c r="P115" s="26"/>
      <c r="Q115" s="26"/>
      <c r="R115" s="26"/>
      <c r="S115" s="29"/>
      <c r="T115" s="29"/>
      <c r="U115" s="29"/>
      <c r="V115" s="29"/>
      <c r="W115" s="29"/>
      <c r="X115" s="29"/>
      <c r="Y115" s="29"/>
      <c r="Z115" s="29"/>
      <c r="AA115" s="29"/>
      <c r="AB115" s="29"/>
    </row>
    <row r="116" spans="15:31">
      <c r="O116" s="24" t="s">
        <v>20</v>
      </c>
      <c r="P116" s="24" t="s">
        <v>150</v>
      </c>
      <c r="Q116" s="24"/>
      <c r="R116" s="24" t="s">
        <v>22</v>
      </c>
      <c r="S116" s="27">
        <f t="shared" ref="S116:AB116" si="46">VLOOKUP(S$13&amp;"Male"&amp;"Urban"&amp;22,URtable,7,FALSE)</f>
        <v>21.889956591103001</v>
      </c>
      <c r="T116" s="27">
        <f t="shared" si="46"/>
        <v>25.6801518478544</v>
      </c>
      <c r="U116" s="27">
        <f t="shared" si="46"/>
        <v>27.764409728649198</v>
      </c>
      <c r="V116" s="27">
        <f t="shared" si="46"/>
        <v>21.909004600890999</v>
      </c>
      <c r="W116" s="27">
        <f t="shared" si="46"/>
        <v>29.6157180005779</v>
      </c>
      <c r="X116" s="27">
        <f t="shared" si="46"/>
        <v>34.8469607702256</v>
      </c>
      <c r="Y116" s="27">
        <f t="shared" si="46"/>
        <v>22.721624596158598</v>
      </c>
      <c r="Z116" s="27">
        <f t="shared" si="46"/>
        <v>21.114572516441701</v>
      </c>
      <c r="AA116" s="27">
        <f t="shared" si="46"/>
        <v>21.4211600897011</v>
      </c>
      <c r="AB116" s="27">
        <f t="shared" si="46"/>
        <v>23.934426229508201</v>
      </c>
    </row>
    <row r="117" spans="15:31">
      <c r="O117" s="24"/>
      <c r="P117" s="24" t="s">
        <v>35</v>
      </c>
      <c r="Q117" s="24"/>
      <c r="R117" s="24"/>
      <c r="S117" s="27">
        <f t="shared" ref="S117:AB117" si="47">VLOOKUP(S$13&amp;"Male"&amp;"Urban"&amp;23,URtable,7,FALSE)</f>
        <v>28.263521756811699</v>
      </c>
      <c r="T117" s="27">
        <f t="shared" si="47"/>
        <v>22.086341233972099</v>
      </c>
      <c r="U117" s="27">
        <f t="shared" si="47"/>
        <v>23.603300357128202</v>
      </c>
      <c r="V117" s="27">
        <f t="shared" si="47"/>
        <v>23.487720454920101</v>
      </c>
      <c r="W117" s="27">
        <f t="shared" si="47"/>
        <v>22.672435310758001</v>
      </c>
      <c r="X117" s="27">
        <f t="shared" si="47"/>
        <v>26.4106648780079</v>
      </c>
      <c r="Y117" s="27">
        <f t="shared" si="47"/>
        <v>20.331167470132002</v>
      </c>
      <c r="Z117" s="27">
        <f t="shared" si="47"/>
        <v>24.647742677566399</v>
      </c>
      <c r="AA117" s="27">
        <f t="shared" si="47"/>
        <v>23.258587786259501</v>
      </c>
      <c r="AB117" s="27">
        <f t="shared" si="47"/>
        <v>23.7030240471002</v>
      </c>
    </row>
    <row r="118" spans="15:31">
      <c r="O118" s="24"/>
      <c r="P118" s="24" t="s">
        <v>36</v>
      </c>
      <c r="Q118" s="24"/>
      <c r="R118" s="24"/>
      <c r="S118" s="27">
        <f t="shared" ref="S118:AB118" si="48">VLOOKUP(S$13&amp;"Male"&amp;"Urban"&amp;24,URtable,7,FALSE)</f>
        <v>20.821732077573099</v>
      </c>
      <c r="T118" s="27">
        <f t="shared" si="48"/>
        <v>22.907072853937901</v>
      </c>
      <c r="U118" s="27">
        <f t="shared" si="48"/>
        <v>22.204746264514</v>
      </c>
      <c r="V118" s="27">
        <f t="shared" si="48"/>
        <v>20.462916647719499</v>
      </c>
      <c r="W118" s="27">
        <f t="shared" si="48"/>
        <v>21.131668277768998</v>
      </c>
      <c r="X118" s="27">
        <f t="shared" si="48"/>
        <v>17.001856781727501</v>
      </c>
      <c r="Y118" s="27">
        <f t="shared" si="48"/>
        <v>23.696682464455002</v>
      </c>
      <c r="Z118" s="27">
        <f t="shared" si="48"/>
        <v>21.4095337964783</v>
      </c>
      <c r="AA118" s="27">
        <f t="shared" si="48"/>
        <v>20.497993354334799</v>
      </c>
      <c r="AB118" s="27">
        <f t="shared" si="48"/>
        <v>21.472457852329001</v>
      </c>
    </row>
    <row r="119" spans="15:31">
      <c r="O119" s="24"/>
      <c r="P119" s="24" t="s">
        <v>26</v>
      </c>
      <c r="Q119" s="24"/>
      <c r="R119" s="24"/>
      <c r="S119" s="27">
        <f t="shared" ref="S119:AB119" si="49">VLOOKUP(S$13&amp;"Male"&amp;"Urban"&amp;25,URtable,7,FALSE)</f>
        <v>14.8089643597591</v>
      </c>
      <c r="T119" s="27">
        <f t="shared" si="49"/>
        <v>12.59323839969</v>
      </c>
      <c r="U119" s="27">
        <f t="shared" si="49"/>
        <v>17.466012084592101</v>
      </c>
      <c r="V119" s="27">
        <f t="shared" si="49"/>
        <v>15.6099352646802</v>
      </c>
      <c r="W119" s="27">
        <f t="shared" si="49"/>
        <v>10.2660239242992</v>
      </c>
      <c r="X119" s="27">
        <f t="shared" si="49"/>
        <v>15.8716540837337</v>
      </c>
      <c r="Y119" s="27">
        <f t="shared" si="49"/>
        <v>16.9072164948454</v>
      </c>
      <c r="Z119" s="27">
        <f t="shared" si="49"/>
        <v>16.969888314456</v>
      </c>
      <c r="AA119" s="27">
        <f t="shared" si="49"/>
        <v>15.2660102282269</v>
      </c>
      <c r="AB119" s="27">
        <f t="shared" si="49"/>
        <v>14.0283520378027</v>
      </c>
    </row>
    <row r="120" spans="15:31">
      <c r="O120" s="26"/>
      <c r="P120" s="26"/>
      <c r="Q120" s="26"/>
      <c r="R120" s="26"/>
      <c r="S120" s="29"/>
      <c r="T120" s="29"/>
      <c r="U120" s="29"/>
      <c r="V120" s="29"/>
      <c r="W120" s="29"/>
      <c r="X120" s="29"/>
      <c r="Y120" s="29"/>
      <c r="Z120" s="29"/>
      <c r="AA120" s="29"/>
      <c r="AB120" s="29"/>
    </row>
    <row r="121" spans="15:31">
      <c r="O121" s="24" t="s">
        <v>8</v>
      </c>
      <c r="P121" s="24" t="s">
        <v>150</v>
      </c>
      <c r="Q121" s="24"/>
      <c r="R121" s="24" t="s">
        <v>22</v>
      </c>
      <c r="S121" s="27">
        <f t="shared" ref="S121:AB121" si="50">VLOOKUP(S$13&amp;"Female"&amp;"Urban"&amp;22,URtable,7,FALSE)</f>
        <v>6.6671605304096602</v>
      </c>
      <c r="T121" s="27">
        <f t="shared" si="50"/>
        <v>12.990387113536</v>
      </c>
      <c r="U121" s="27">
        <f t="shared" si="50"/>
        <v>6.6575433664977597</v>
      </c>
      <c r="V121" s="27">
        <f t="shared" si="50"/>
        <v>12.4469175574755</v>
      </c>
      <c r="W121" s="27">
        <f t="shared" si="50"/>
        <v>12.404232032105099</v>
      </c>
      <c r="X121" s="27">
        <f t="shared" si="50"/>
        <v>12.3857054387818</v>
      </c>
      <c r="Y121" s="27">
        <f t="shared" si="50"/>
        <v>11.2416594139832</v>
      </c>
      <c r="Z121" s="27">
        <f t="shared" si="50"/>
        <v>7.1782355896920498</v>
      </c>
      <c r="AA121" s="27">
        <f t="shared" si="50"/>
        <v>13.0917840209469</v>
      </c>
      <c r="AB121" s="27">
        <f t="shared" si="50"/>
        <v>7.6778111258462998</v>
      </c>
    </row>
    <row r="122" spans="15:31">
      <c r="O122" s="24"/>
      <c r="P122" s="24" t="s">
        <v>35</v>
      </c>
      <c r="Q122" s="24"/>
      <c r="R122" s="24"/>
      <c r="S122" s="27">
        <f t="shared" ref="S122:AB122" si="51">VLOOKUP(S$13&amp;"Female"&amp;"Urban"&amp;23,URtable,7,FALSE)</f>
        <v>8.2418611621024205</v>
      </c>
      <c r="T122" s="27">
        <f t="shared" si="51"/>
        <v>8.0962512473875492</v>
      </c>
      <c r="U122" s="27">
        <f t="shared" si="51"/>
        <v>7.1707584020531003</v>
      </c>
      <c r="V122" s="27">
        <f t="shared" si="51"/>
        <v>8.3076864981213294</v>
      </c>
      <c r="W122" s="27">
        <f t="shared" si="51"/>
        <v>5.6996295240809296</v>
      </c>
      <c r="X122" s="27">
        <f t="shared" si="51"/>
        <v>6.6956172402578797</v>
      </c>
      <c r="Y122" s="27">
        <f t="shared" si="51"/>
        <v>7.4655436447166901</v>
      </c>
      <c r="Z122" s="27">
        <f t="shared" si="51"/>
        <v>8.5011523784335203</v>
      </c>
      <c r="AA122" s="27">
        <f t="shared" si="51"/>
        <v>5.18364928909953</v>
      </c>
      <c r="AB122" s="27">
        <f t="shared" si="51"/>
        <v>8.6502072445485698</v>
      </c>
    </row>
    <row r="123" spans="15:31">
      <c r="O123" s="24"/>
      <c r="P123" s="24" t="s">
        <v>36</v>
      </c>
      <c r="Q123" s="24"/>
      <c r="R123" s="24"/>
      <c r="S123" s="27">
        <f t="shared" ref="S123:AB123" si="52">VLOOKUP(S$13&amp;"Female"&amp;"Urban"&amp;24,URtable,7,FALSE)</f>
        <v>7.7724945135332799</v>
      </c>
      <c r="T123" s="27">
        <f t="shared" si="52"/>
        <v>5.9950707196305304</v>
      </c>
      <c r="U123" s="27">
        <f t="shared" si="52"/>
        <v>8.0255081014250695</v>
      </c>
      <c r="V123" s="27">
        <f t="shared" si="52"/>
        <v>8.0768576772657692</v>
      </c>
      <c r="W123" s="27">
        <f t="shared" si="52"/>
        <v>5.4457104557640701</v>
      </c>
      <c r="X123" s="27">
        <f t="shared" si="52"/>
        <v>7.2571949904619704</v>
      </c>
      <c r="Y123" s="27">
        <f t="shared" si="52"/>
        <v>9.0029259509340491</v>
      </c>
      <c r="Z123" s="27">
        <f t="shared" si="52"/>
        <v>6.4386317907444699</v>
      </c>
      <c r="AA123" s="27">
        <f t="shared" si="52"/>
        <v>6.9465118586881003</v>
      </c>
      <c r="AB123" s="27">
        <f t="shared" si="52"/>
        <v>7.6090137547556296</v>
      </c>
    </row>
    <row r="124" spans="15:31">
      <c r="O124" s="24"/>
      <c r="P124" s="24" t="s">
        <v>26</v>
      </c>
      <c r="Q124" s="24"/>
      <c r="R124" s="24"/>
      <c r="S124" s="27">
        <f t="shared" ref="S124:AB124" si="53">VLOOKUP(S$13&amp;"Female"&amp;"Urban"&amp;25,URtable,7,FALSE)</f>
        <v>3.0790547301978299</v>
      </c>
      <c r="T124" s="27">
        <f t="shared" si="53"/>
        <v>5.7038558065252101</v>
      </c>
      <c r="U124" s="27">
        <f t="shared" si="53"/>
        <v>4.4843049327354301</v>
      </c>
      <c r="V124" s="27">
        <f t="shared" si="53"/>
        <v>5.1223884965789797</v>
      </c>
      <c r="W124" s="27">
        <f t="shared" si="53"/>
        <v>4.6566608159902598</v>
      </c>
      <c r="X124" s="27">
        <f t="shared" si="53"/>
        <v>4.8641512056146201</v>
      </c>
      <c r="Y124" s="27">
        <f t="shared" si="53"/>
        <v>2.6923335801305801</v>
      </c>
      <c r="Z124" s="27">
        <f t="shared" si="53"/>
        <v>3.2577534532186601</v>
      </c>
      <c r="AA124" s="27">
        <f t="shared" si="53"/>
        <v>4.4341684350552697</v>
      </c>
      <c r="AB124" s="27">
        <f t="shared" si="53"/>
        <v>3.3920256560486002</v>
      </c>
    </row>
    <row r="125" spans="15:31">
      <c r="O125" s="131"/>
      <c r="P125" s="131"/>
      <c r="Q125" s="131"/>
      <c r="R125" s="131"/>
      <c r="S125" s="131"/>
      <c r="T125" s="131"/>
      <c r="U125" s="131"/>
      <c r="V125" s="131"/>
      <c r="W125" s="131"/>
      <c r="X125" s="131"/>
      <c r="Y125" s="131"/>
      <c r="Z125" s="131"/>
      <c r="AA125" s="131"/>
      <c r="AB125" s="131"/>
      <c r="AC125" s="131"/>
      <c r="AD125" s="131"/>
      <c r="AE125" s="131"/>
    </row>
    <row r="126" spans="15:31">
      <c r="O126" s="132" t="s">
        <v>140</v>
      </c>
      <c r="P126" s="132" t="s">
        <v>101</v>
      </c>
      <c r="Q126" s="132"/>
      <c r="R126" s="132"/>
      <c r="S126" s="50"/>
    </row>
    <row r="127" spans="15:31">
      <c r="O127" s="132"/>
      <c r="P127" s="132" t="s">
        <v>666</v>
      </c>
      <c r="Q127" s="132"/>
      <c r="R127" s="132"/>
      <c r="S127" s="50"/>
    </row>
    <row r="128" spans="15:31">
      <c r="O128" s="132"/>
      <c r="P128" s="132" t="s">
        <v>400</v>
      </c>
      <c r="Q128" s="132"/>
      <c r="R128" s="132"/>
      <c r="S128" s="50"/>
    </row>
    <row r="129" spans="15:31">
      <c r="O129" s="132" t="s">
        <v>141</v>
      </c>
      <c r="P129" s="132" t="s">
        <v>144</v>
      </c>
      <c r="Q129" s="132"/>
      <c r="R129" s="132"/>
      <c r="S129" s="50"/>
      <c r="AC129" s="131"/>
      <c r="AD129" s="131"/>
      <c r="AE129" s="131"/>
    </row>
    <row r="130" spans="15:31">
      <c r="O130" s="54"/>
      <c r="P130" s="54"/>
      <c r="Q130" s="54"/>
      <c r="R130" s="54"/>
      <c r="S130" s="54"/>
      <c r="T130" s="96"/>
      <c r="U130" s="96"/>
      <c r="V130" s="96"/>
      <c r="W130" s="96"/>
      <c r="X130" s="96"/>
      <c r="Y130" s="96"/>
      <c r="Z130" s="96"/>
      <c r="AA130" s="96"/>
      <c r="AB130" s="96"/>
    </row>
    <row r="131" spans="15:31">
      <c r="O131" s="50"/>
      <c r="P131" s="50"/>
      <c r="Q131" s="50"/>
      <c r="R131" s="50"/>
      <c r="S131" s="50"/>
    </row>
  </sheetData>
  <mergeCells count="5">
    <mergeCell ref="C54:L54"/>
    <mergeCell ref="D87:L87"/>
    <mergeCell ref="C4:L4"/>
    <mergeCell ref="D88:L88"/>
    <mergeCell ref="C5:L5"/>
  </mergeCells>
  <hyperlinks>
    <hyperlink ref="O1" location="'Key findings'!A1" display="Back to Key Findings" xr:uid="{00000000-0004-0000-0900-000000000000}"/>
  </hyperlinks>
  <pageMargins left="0.7" right="0.7" top="0.75" bottom="0.75" header="0.3" footer="0.3"/>
  <pageSetup paperSize="9" scale="2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BB174"/>
  <sheetViews>
    <sheetView showGridLines="0" zoomScaleNormal="100" workbookViewId="0">
      <selection activeCell="AV58" sqref="AV1:AY1048576"/>
    </sheetView>
  </sheetViews>
  <sheetFormatPr defaultRowHeight="12.75"/>
  <cols>
    <col min="1" max="1" width="4.7109375" style="174" customWidth="1"/>
    <col min="2" max="2" width="2.42578125" style="174" customWidth="1"/>
    <col min="3" max="11" width="9.140625" style="174"/>
    <col min="12" max="12" width="9.140625" style="174" customWidth="1"/>
    <col min="13" max="13" width="3.85546875" style="174" customWidth="1"/>
    <col min="14" max="16" width="9.140625" style="174"/>
    <col min="17" max="17" width="15.7109375" style="174" customWidth="1"/>
    <col min="18" max="18" width="14.28515625" style="174" customWidth="1"/>
    <col min="19" max="19" width="9.42578125" style="174" customWidth="1"/>
    <col min="20" max="20" width="17.42578125" style="249" customWidth="1"/>
    <col min="21" max="21" width="16.28515625" style="249" customWidth="1"/>
    <col min="22" max="41" width="14.7109375" style="249" customWidth="1"/>
    <col min="42" max="42" width="14.7109375" style="607" customWidth="1"/>
    <col min="43" max="51" width="9.140625" style="600"/>
    <col min="52" max="16384" width="9.140625" style="174"/>
  </cols>
  <sheetData>
    <row r="1" spans="2:54">
      <c r="Q1" s="126" t="s">
        <v>371</v>
      </c>
      <c r="R1" s="329"/>
    </row>
    <row r="2" spans="2:54" ht="23.25">
      <c r="C2" s="254" t="s">
        <v>301</v>
      </c>
      <c r="Q2" s="380" t="s">
        <v>380</v>
      </c>
    </row>
    <row r="3" spans="2:54" ht="100.5" customHeight="1">
      <c r="C3" s="681" t="s">
        <v>536</v>
      </c>
      <c r="D3" s="682"/>
      <c r="E3" s="682"/>
      <c r="F3" s="682"/>
      <c r="G3" s="682"/>
      <c r="H3" s="682"/>
      <c r="I3" s="682"/>
      <c r="J3" s="682"/>
      <c r="K3" s="682"/>
      <c r="L3" s="682"/>
      <c r="M3" s="682"/>
      <c r="Q3" s="333" t="s">
        <v>381</v>
      </c>
    </row>
    <row r="4" spans="2:54" ht="43.5" customHeight="1">
      <c r="C4" s="253" t="s">
        <v>382</v>
      </c>
      <c r="Q4" s="684" t="s">
        <v>541</v>
      </c>
      <c r="R4" s="635"/>
      <c r="S4" s="635"/>
      <c r="T4" s="635"/>
      <c r="U4" s="635"/>
      <c r="V4" s="635"/>
    </row>
    <row r="5" spans="2:54" ht="15">
      <c r="R5" s="257"/>
      <c r="S5" s="258"/>
    </row>
    <row r="6" spans="2:54">
      <c r="B6" s="70"/>
      <c r="C6" s="70"/>
      <c r="D6" s="70"/>
      <c r="E6" s="70"/>
      <c r="F6" s="70"/>
      <c r="G6" s="70"/>
      <c r="H6" s="70"/>
      <c r="I6" s="70"/>
      <c r="J6" s="70"/>
      <c r="K6" s="70"/>
      <c r="L6" s="70"/>
      <c r="M6" s="70"/>
      <c r="Q6" s="372" t="s">
        <v>302</v>
      </c>
      <c r="R6" s="372" t="s">
        <v>37</v>
      </c>
      <c r="S6" s="372"/>
      <c r="T6" s="247" t="s">
        <v>0</v>
      </c>
      <c r="U6" s="247" t="s">
        <v>20</v>
      </c>
      <c r="V6" s="247" t="s">
        <v>8</v>
      </c>
      <c r="W6" s="247"/>
      <c r="X6" s="247"/>
      <c r="Y6" s="247"/>
      <c r="Z6" s="247"/>
      <c r="AA6" s="247"/>
      <c r="AB6" s="247"/>
      <c r="AC6" s="247"/>
      <c r="AD6" s="247"/>
      <c r="AE6" s="247"/>
      <c r="AF6" s="247"/>
      <c r="AG6" s="247"/>
      <c r="AH6" s="247"/>
      <c r="AI6" s="247"/>
      <c r="AJ6" s="247"/>
      <c r="AK6" s="247"/>
      <c r="AL6" s="247"/>
      <c r="AM6" s="247"/>
      <c r="AN6" s="247"/>
      <c r="AO6" s="247"/>
      <c r="AP6" s="608"/>
    </row>
    <row r="7" spans="2:54" ht="15">
      <c r="B7" s="70"/>
      <c r="C7" s="91" t="s">
        <v>537</v>
      </c>
      <c r="D7" s="70"/>
      <c r="E7" s="70"/>
      <c r="F7" s="70"/>
      <c r="G7" s="70"/>
      <c r="H7" s="70"/>
      <c r="I7" s="70"/>
      <c r="J7" s="70"/>
      <c r="K7" s="70"/>
      <c r="L7" s="70"/>
      <c r="M7" s="70"/>
      <c r="Q7" s="246"/>
      <c r="R7" s="246"/>
      <c r="S7" s="246"/>
      <c r="T7" s="274"/>
      <c r="U7" s="274"/>
      <c r="V7" s="274"/>
      <c r="W7" s="274"/>
      <c r="X7" s="274"/>
      <c r="Y7" s="274"/>
      <c r="Z7" s="274"/>
      <c r="AA7" s="274"/>
      <c r="AB7" s="274"/>
      <c r="AC7" s="274"/>
      <c r="AD7" s="274"/>
      <c r="AE7" s="274"/>
      <c r="AF7" s="274"/>
      <c r="AG7" s="274"/>
      <c r="AH7" s="274"/>
      <c r="AI7" s="274"/>
      <c r="AJ7" s="274"/>
      <c r="AK7" s="274"/>
      <c r="AL7" s="274"/>
      <c r="AM7" s="274"/>
      <c r="AN7" s="274"/>
      <c r="AO7" s="274"/>
      <c r="AP7" s="601"/>
    </row>
    <row r="8" spans="2:54">
      <c r="B8" s="70"/>
      <c r="C8" s="70"/>
      <c r="D8" s="70"/>
      <c r="E8" s="70"/>
      <c r="F8" s="70"/>
      <c r="G8" s="70"/>
      <c r="H8" s="70"/>
      <c r="I8" s="70"/>
      <c r="J8" s="70"/>
      <c r="K8" s="70"/>
      <c r="L8" s="70"/>
      <c r="M8" s="70"/>
      <c r="Q8" s="246" t="s">
        <v>3</v>
      </c>
      <c r="R8" s="246" t="s">
        <v>9</v>
      </c>
      <c r="S8" s="246" t="s">
        <v>21</v>
      </c>
      <c r="T8" s="381">
        <f>VLOOKUP(ref!$X$1&amp;ref!W1&amp;19,MPAO5yr,5,FALSE)</f>
        <v>568</v>
      </c>
      <c r="U8" s="381">
        <f>VLOOKUP(ref!$X$2&amp;ref!W1&amp;19,MPAO5yr,5,FALSE)</f>
        <v>388</v>
      </c>
      <c r="V8" s="381">
        <f>VLOOKUP(ref!$X$3&amp;ref!W1&amp;19,MPAO5yr,5,FALSE)</f>
        <v>180</v>
      </c>
      <c r="W8" s="381"/>
      <c r="X8" s="381"/>
      <c r="Y8" s="381"/>
      <c r="Z8" s="381"/>
      <c r="AA8" s="381"/>
      <c r="AB8" s="381"/>
      <c r="AC8" s="381"/>
      <c r="AD8" s="381"/>
      <c r="AE8" s="381"/>
      <c r="AF8" s="381"/>
      <c r="AG8" s="381"/>
      <c r="AH8" s="381"/>
      <c r="AI8" s="381"/>
      <c r="AJ8" s="381"/>
      <c r="AK8" s="381"/>
      <c r="AL8" s="381"/>
      <c r="AM8" s="381"/>
      <c r="AN8" s="381"/>
      <c r="AO8" s="381"/>
      <c r="AP8" s="609"/>
      <c r="AZ8" s="439"/>
      <c r="BA8" s="439"/>
      <c r="BB8" s="439"/>
    </row>
    <row r="9" spans="2:54">
      <c r="B9" s="70"/>
      <c r="C9" s="70"/>
      <c r="D9" s="70"/>
      <c r="E9" s="70"/>
      <c r="F9" s="70"/>
      <c r="G9" s="70"/>
      <c r="H9" s="70"/>
      <c r="I9" s="70"/>
      <c r="J9" s="70"/>
      <c r="K9" s="70"/>
      <c r="L9" s="70"/>
      <c r="M9" s="70"/>
      <c r="Q9" s="246" t="s">
        <v>79</v>
      </c>
      <c r="R9" s="246" t="s">
        <v>9</v>
      </c>
      <c r="S9" s="246" t="s">
        <v>21</v>
      </c>
      <c r="T9" s="381">
        <f>VLOOKUP(ref!$X$1&amp;ref!W2&amp;19,MPAO5yr,5,FALSE)</f>
        <v>119</v>
      </c>
      <c r="U9" s="381">
        <f>VLOOKUP(ref!$X$2&amp;ref!W2&amp;19,MPAO5yr,5,FALSE)</f>
        <v>91</v>
      </c>
      <c r="V9" s="381">
        <f>VLOOKUP(ref!$X$3&amp;ref!W2&amp;19,MPAO5yr,5,FALSE)</f>
        <v>28</v>
      </c>
      <c r="W9" s="381"/>
      <c r="X9" s="381"/>
      <c r="Y9" s="381"/>
      <c r="Z9" s="381"/>
      <c r="AA9" s="381"/>
      <c r="AB9" s="381"/>
      <c r="AC9" s="381"/>
      <c r="AD9" s="381"/>
      <c r="AE9" s="381"/>
      <c r="AF9" s="381"/>
      <c r="AG9" s="381"/>
      <c r="AH9" s="381"/>
      <c r="AI9" s="381"/>
      <c r="AJ9" s="381"/>
      <c r="AK9" s="381"/>
      <c r="AL9" s="381"/>
      <c r="AM9" s="381"/>
      <c r="AN9" s="381"/>
      <c r="AO9" s="381"/>
      <c r="AP9" s="609"/>
      <c r="AQ9" s="608" t="s">
        <v>306</v>
      </c>
      <c r="AR9" s="610" t="s">
        <v>9</v>
      </c>
      <c r="AS9" s="611" t="s">
        <v>0</v>
      </c>
      <c r="AT9" s="608" t="s">
        <v>307</v>
      </c>
      <c r="AU9" s="611" t="s">
        <v>308</v>
      </c>
      <c r="AZ9" s="439"/>
      <c r="BA9" s="439"/>
      <c r="BB9" s="439"/>
    </row>
    <row r="10" spans="2:54">
      <c r="B10" s="70"/>
      <c r="C10" s="70"/>
      <c r="D10" s="70"/>
      <c r="E10" s="70"/>
      <c r="F10" s="70"/>
      <c r="G10" s="70"/>
      <c r="H10" s="70"/>
      <c r="I10" s="70"/>
      <c r="J10" s="70"/>
      <c r="K10" s="70"/>
      <c r="L10" s="70"/>
      <c r="M10" s="70"/>
      <c r="Q10" s="246" t="s">
        <v>78</v>
      </c>
      <c r="R10" s="246" t="s">
        <v>9</v>
      </c>
      <c r="S10" s="246" t="s">
        <v>21</v>
      </c>
      <c r="T10" s="381">
        <f>VLOOKUP(ref!$X$1&amp;ref!W3&amp;19,MPAO5yr,5,FALSE)</f>
        <v>128</v>
      </c>
      <c r="U10" s="381">
        <f>VLOOKUP(ref!$X$2&amp;ref!W3&amp;19,MPAO5yr,5,FALSE)</f>
        <v>87</v>
      </c>
      <c r="V10" s="381">
        <f>VLOOKUP(ref!$X$3&amp;ref!W3&amp;19,MPAO5yr,5,FALSE)</f>
        <v>41</v>
      </c>
      <c r="W10" s="381"/>
      <c r="X10" s="381"/>
      <c r="Y10" s="381"/>
      <c r="Z10" s="381"/>
      <c r="AA10" s="381"/>
      <c r="AB10" s="381"/>
      <c r="AC10" s="381"/>
      <c r="AD10" s="381"/>
      <c r="AE10" s="381"/>
      <c r="AF10" s="381"/>
      <c r="AG10" s="381"/>
      <c r="AH10" s="381"/>
      <c r="AI10" s="381"/>
      <c r="AJ10" s="381"/>
      <c r="AK10" s="381"/>
      <c r="AL10" s="381"/>
      <c r="AM10" s="381"/>
      <c r="AN10" s="381"/>
      <c r="AO10" s="381"/>
      <c r="AP10" s="609"/>
      <c r="AR10" s="612"/>
      <c r="BB10" s="439"/>
    </row>
    <row r="11" spans="2:54">
      <c r="B11" s="70"/>
      <c r="C11" s="70"/>
      <c r="D11" s="70"/>
      <c r="E11" s="70"/>
      <c r="F11" s="70"/>
      <c r="G11" s="70"/>
      <c r="H11" s="70"/>
      <c r="I11" s="70"/>
      <c r="J11" s="70"/>
      <c r="K11" s="70"/>
      <c r="L11" s="70"/>
      <c r="M11" s="70"/>
      <c r="Q11" s="246" t="s">
        <v>45</v>
      </c>
      <c r="R11" s="246" t="s">
        <v>9</v>
      </c>
      <c r="S11" s="246" t="s">
        <v>21</v>
      </c>
      <c r="T11" s="381">
        <f>VLOOKUP(ref!$X$1&amp;ref!W4&amp;19,MPAO5yr,5,FALSE)</f>
        <v>1841</v>
      </c>
      <c r="U11" s="381">
        <f>VLOOKUP(ref!$X$2&amp;ref!W4&amp;19,MPAO5yr,5,FALSE)</f>
        <v>1380</v>
      </c>
      <c r="V11" s="381">
        <f>VLOOKUP(ref!$X$3&amp;ref!W4&amp;19,MPAO5yr,5,FALSE)</f>
        <v>461</v>
      </c>
      <c r="W11" s="381"/>
      <c r="X11" s="381"/>
      <c r="Y11" s="381"/>
      <c r="Z11" s="381"/>
      <c r="AA11" s="381"/>
      <c r="AB11" s="381"/>
      <c r="AC11" s="381"/>
      <c r="AD11" s="381"/>
      <c r="AE11" s="381"/>
      <c r="AF11" s="381"/>
      <c r="AG11" s="381"/>
      <c r="AH11" s="381"/>
      <c r="AI11" s="381"/>
      <c r="AJ11" s="381"/>
      <c r="AK11" s="381"/>
      <c r="AL11" s="381"/>
      <c r="AM11" s="381"/>
      <c r="AN11" s="381"/>
      <c r="AO11" s="381"/>
      <c r="AP11" s="609"/>
      <c r="AQ11" s="613" t="s">
        <v>3</v>
      </c>
      <c r="AR11" s="612"/>
      <c r="AS11" s="600">
        <f>VLOOKUP(ref!$X$1&amp;ref!W1&amp;19,MPAO5yr,7,FALSE)</f>
        <v>1.4</v>
      </c>
      <c r="AT11" s="600">
        <f>VLOOKUP(ref!$X$2&amp;ref!W1&amp;19,MPAO5yr,7,FALSE)</f>
        <v>2.5</v>
      </c>
      <c r="AU11" s="600">
        <f>VLOOKUP(ref!$X$3&amp;ref!W1&amp;19,MPAO5yr,7,FALSE)</f>
        <v>1.5</v>
      </c>
      <c r="BB11" s="439"/>
    </row>
    <row r="12" spans="2:54">
      <c r="B12" s="70"/>
      <c r="C12" s="70"/>
      <c r="D12" s="70"/>
      <c r="E12" s="70"/>
      <c r="F12" s="70"/>
      <c r="G12" s="70"/>
      <c r="H12" s="70"/>
      <c r="I12" s="70"/>
      <c r="J12" s="70"/>
      <c r="K12" s="70"/>
      <c r="L12" s="70"/>
      <c r="M12" s="70"/>
      <c r="Q12" s="263"/>
      <c r="R12" s="264"/>
      <c r="S12" s="264"/>
      <c r="T12" s="266"/>
      <c r="U12" s="266"/>
      <c r="V12" s="266"/>
      <c r="W12" s="574"/>
      <c r="X12" s="574"/>
      <c r="Y12" s="574"/>
      <c r="Z12" s="574"/>
      <c r="AA12" s="574"/>
      <c r="AB12" s="574"/>
      <c r="AC12" s="574"/>
      <c r="AD12" s="574"/>
      <c r="AE12" s="574"/>
      <c r="AF12" s="574"/>
      <c r="AG12" s="574"/>
      <c r="AH12" s="574"/>
      <c r="AI12" s="574"/>
      <c r="AJ12" s="574"/>
      <c r="AK12" s="574"/>
      <c r="AL12" s="574"/>
      <c r="AM12" s="574"/>
      <c r="AN12" s="574"/>
      <c r="AO12" s="574"/>
      <c r="AP12" s="614"/>
      <c r="AQ12" s="613" t="s">
        <v>79</v>
      </c>
      <c r="AR12" s="612"/>
      <c r="AS12" s="600">
        <f>VLOOKUP(ref!$X$1&amp;ref!W2&amp;19,MPAO5yr,7,FALSE)</f>
        <v>1.4</v>
      </c>
      <c r="AT12" s="600">
        <f>VLOOKUP(ref!$X$2&amp;ref!W2&amp;19,MPAO5yr,7,FALSE)</f>
        <v>2.6</v>
      </c>
      <c r="AU12" s="600">
        <f>VLOOKUP(ref!$X$3&amp;ref!W2&amp;19,MPAO5yr,7,FALSE)</f>
        <v>1.3</v>
      </c>
      <c r="BB12" s="439"/>
    </row>
    <row r="13" spans="2:54">
      <c r="B13" s="70"/>
      <c r="C13" s="70"/>
      <c r="D13" s="70"/>
      <c r="E13" s="70"/>
      <c r="F13" s="70"/>
      <c r="G13" s="70"/>
      <c r="H13" s="70"/>
      <c r="I13" s="70"/>
      <c r="J13" s="70"/>
      <c r="K13" s="70"/>
      <c r="L13" s="70"/>
      <c r="M13" s="70"/>
      <c r="Q13" s="246" t="s">
        <v>3</v>
      </c>
      <c r="R13" s="274" t="s">
        <v>150</v>
      </c>
      <c r="S13" s="248" t="s">
        <v>21</v>
      </c>
      <c r="T13" s="250">
        <f>VLOOKUP(ref!$X$1&amp;ref!W1&amp;22,MPAO5yr,5,FALSE)</f>
        <v>225</v>
      </c>
      <c r="U13" s="250">
        <f>VLOOKUP(ref!$X$2&amp;ref!W1&amp;22,MPAO5yr,5,FALSE)</f>
        <v>140</v>
      </c>
      <c r="V13" s="250">
        <f>VLOOKUP(ref!$X$3&amp;ref!W1&amp;22,MPAO5yr,5,FALSE)</f>
        <v>85</v>
      </c>
      <c r="W13" s="250"/>
      <c r="X13" s="250"/>
      <c r="Y13" s="250"/>
      <c r="Z13" s="250"/>
      <c r="AA13" s="250"/>
      <c r="AB13" s="250"/>
      <c r="AC13" s="250"/>
      <c r="AD13" s="250"/>
      <c r="AE13" s="250"/>
      <c r="AF13" s="250"/>
      <c r="AG13" s="250"/>
      <c r="AH13" s="250"/>
      <c r="AI13" s="250"/>
      <c r="AJ13" s="250"/>
      <c r="AK13" s="250"/>
      <c r="AL13" s="250"/>
      <c r="AM13" s="250"/>
      <c r="AN13" s="250"/>
      <c r="AO13" s="250"/>
      <c r="AP13" s="602"/>
      <c r="AQ13" s="613" t="s">
        <v>78</v>
      </c>
      <c r="AS13" s="600">
        <f>VLOOKUP(ref!$X$1&amp;ref!W3&amp;19,MPAO5yr,7,FALSE)</f>
        <v>0.7</v>
      </c>
      <c r="AT13" s="600">
        <f>VLOOKUP(ref!$X$2&amp;ref!W3&amp;19,MPAO5yr,7,FALSE)</f>
        <v>1.2</v>
      </c>
      <c r="AU13" s="600">
        <f>VLOOKUP(ref!$X$3&amp;ref!W3&amp;19,MPAO5yr,7,FALSE)</f>
        <v>0.8</v>
      </c>
      <c r="BB13" s="439"/>
    </row>
    <row r="14" spans="2:54">
      <c r="B14" s="70"/>
      <c r="C14" s="70"/>
      <c r="D14" s="70"/>
      <c r="E14" s="70"/>
      <c r="F14" s="70"/>
      <c r="G14" s="70"/>
      <c r="H14" s="70"/>
      <c r="I14" s="70"/>
      <c r="J14" s="70"/>
      <c r="K14" s="70"/>
      <c r="L14" s="70"/>
      <c r="M14" s="70"/>
      <c r="Q14" s="246" t="s">
        <v>79</v>
      </c>
      <c r="R14" s="274" t="s">
        <v>150</v>
      </c>
      <c r="S14" s="248" t="s">
        <v>21</v>
      </c>
      <c r="T14" s="250">
        <f>VLOOKUP(ref!$X$1&amp;ref!W2&amp;22,MPAO5yr,5,FALSE)</f>
        <v>50</v>
      </c>
      <c r="U14" s="250">
        <f>VLOOKUP(ref!$X$2&amp;ref!W2&amp;22,MPAO5yr,5,FALSE)</f>
        <v>36</v>
      </c>
      <c r="V14" s="250">
        <f>VLOOKUP(ref!$X$3&amp;ref!W2&amp;22,MPAO5yr,5,FALSE)</f>
        <v>14</v>
      </c>
      <c r="W14" s="250"/>
      <c r="X14" s="250"/>
      <c r="Y14" s="250"/>
      <c r="Z14" s="250"/>
      <c r="AA14" s="250"/>
      <c r="AB14" s="250"/>
      <c r="AC14" s="250"/>
      <c r="AD14" s="250"/>
      <c r="AE14" s="250"/>
      <c r="AF14" s="250"/>
      <c r="AG14" s="250"/>
      <c r="AH14" s="250"/>
      <c r="AI14" s="250"/>
      <c r="AJ14" s="250"/>
      <c r="AK14" s="250"/>
      <c r="AL14" s="250"/>
      <c r="AM14" s="250"/>
      <c r="AN14" s="250"/>
      <c r="AO14" s="250"/>
      <c r="AP14" s="602"/>
      <c r="AQ14" s="613" t="s">
        <v>45</v>
      </c>
      <c r="AS14" s="600">
        <f>VLOOKUP(ref!$X$1&amp;ref!W4&amp;19,MPAO5yr,7,FALSE)</f>
        <v>0.5</v>
      </c>
      <c r="AT14" s="600">
        <f>VLOOKUP(ref!$X$2&amp;ref!W4&amp;19,MPAO5yr,7,FALSE)</f>
        <v>0.9</v>
      </c>
      <c r="AU14" s="600">
        <f>VLOOKUP(ref!$X$3&amp;ref!W4&amp;19,MPAO5yr,7,FALSE)</f>
        <v>0.5</v>
      </c>
      <c r="BB14" s="439"/>
    </row>
    <row r="15" spans="2:54">
      <c r="B15" s="70"/>
      <c r="C15" s="70"/>
      <c r="D15" s="70"/>
      <c r="E15" s="70"/>
      <c r="F15" s="70"/>
      <c r="G15" s="70"/>
      <c r="H15" s="70"/>
      <c r="I15" s="70"/>
      <c r="J15" s="70"/>
      <c r="K15" s="70"/>
      <c r="L15" s="70"/>
      <c r="M15" s="70"/>
      <c r="Q15" s="246" t="s">
        <v>78</v>
      </c>
      <c r="R15" s="274" t="s">
        <v>150</v>
      </c>
      <c r="S15" s="248" t="s">
        <v>21</v>
      </c>
      <c r="T15" s="250">
        <f>VLOOKUP(ref!$X$1&amp;ref!W3&amp;22,MPAO5yr,5,FALSE)</f>
        <v>29</v>
      </c>
      <c r="U15" s="250">
        <f>VLOOKUP(ref!$X$2&amp;ref!W3&amp;22,MPAO5yr,5,FALSE)</f>
        <v>24</v>
      </c>
      <c r="V15" s="250">
        <f>VLOOKUP(ref!$X$3&amp;ref!W3&amp;22,MPAO5yr,5,FALSE)</f>
        <v>5</v>
      </c>
      <c r="W15" s="250"/>
      <c r="X15" s="250"/>
      <c r="Y15" s="250"/>
      <c r="Z15" s="250"/>
      <c r="AA15" s="250"/>
      <c r="AB15" s="250"/>
      <c r="AC15" s="250"/>
      <c r="AD15" s="250"/>
      <c r="AE15" s="250"/>
      <c r="AF15" s="250"/>
      <c r="AG15" s="250"/>
      <c r="AH15" s="250"/>
      <c r="AI15" s="250"/>
      <c r="AJ15" s="250"/>
      <c r="AK15" s="250"/>
      <c r="AL15" s="250"/>
      <c r="AM15" s="250"/>
      <c r="AN15" s="250"/>
      <c r="AO15" s="250"/>
      <c r="AP15" s="602"/>
      <c r="BB15" s="439"/>
    </row>
    <row r="16" spans="2:54">
      <c r="B16" s="70"/>
      <c r="C16" s="70"/>
      <c r="D16" s="70"/>
      <c r="E16" s="70"/>
      <c r="F16" s="70"/>
      <c r="G16" s="70"/>
      <c r="H16" s="70"/>
      <c r="I16" s="70"/>
      <c r="J16" s="70"/>
      <c r="K16" s="70"/>
      <c r="L16" s="70"/>
      <c r="M16" s="70"/>
      <c r="Q16" s="246" t="s">
        <v>45</v>
      </c>
      <c r="R16" s="274" t="s">
        <v>150</v>
      </c>
      <c r="S16" s="248" t="s">
        <v>21</v>
      </c>
      <c r="T16" s="250">
        <f>VLOOKUP(ref!$X$1&amp;ref!W4&amp;22,MPAO5yr,5,FALSE)</f>
        <v>267</v>
      </c>
      <c r="U16" s="250">
        <f>VLOOKUP(ref!$X$2&amp;ref!W4&amp;22,MPAO5yr,5,FALSE)</f>
        <v>204</v>
      </c>
      <c r="V16" s="250">
        <f>VLOOKUP(ref!$X$3&amp;ref!W4&amp;22,MPAO5yr,5,FALSE)</f>
        <v>63</v>
      </c>
      <c r="W16" s="250"/>
      <c r="X16" s="250"/>
      <c r="Y16" s="250"/>
      <c r="Z16" s="250"/>
      <c r="AA16" s="250"/>
      <c r="AB16" s="250"/>
      <c r="AC16" s="250"/>
      <c r="AD16" s="250"/>
      <c r="AE16" s="250"/>
      <c r="AF16" s="250"/>
      <c r="AG16" s="250"/>
      <c r="AH16" s="250"/>
      <c r="AI16" s="250"/>
      <c r="AJ16" s="250"/>
      <c r="AK16" s="250"/>
      <c r="AL16" s="250"/>
      <c r="AM16" s="250"/>
      <c r="AN16" s="250"/>
      <c r="AO16" s="250"/>
      <c r="AP16" s="602"/>
      <c r="AQ16" s="605"/>
      <c r="AR16" s="605"/>
      <c r="BB16" s="439"/>
    </row>
    <row r="17" spans="2:44">
      <c r="B17" s="70"/>
      <c r="C17" s="70"/>
      <c r="D17" s="70"/>
      <c r="E17" s="70"/>
      <c r="F17" s="70"/>
      <c r="G17" s="70"/>
      <c r="H17" s="70"/>
      <c r="I17" s="70"/>
      <c r="J17" s="70"/>
      <c r="K17" s="70"/>
      <c r="L17" s="70"/>
      <c r="M17" s="70"/>
      <c r="Q17" s="262"/>
      <c r="R17" s="262"/>
      <c r="S17" s="303"/>
      <c r="T17" s="266"/>
      <c r="U17" s="266"/>
      <c r="V17" s="266"/>
      <c r="W17" s="574"/>
      <c r="X17" s="574"/>
      <c r="Y17" s="574"/>
      <c r="Z17" s="574"/>
      <c r="AA17" s="574"/>
      <c r="AB17" s="574"/>
      <c r="AC17" s="574"/>
      <c r="AD17" s="574"/>
      <c r="AE17" s="574"/>
      <c r="AF17" s="574"/>
      <c r="AG17" s="574"/>
      <c r="AH17" s="574"/>
      <c r="AI17" s="574"/>
      <c r="AJ17" s="574"/>
      <c r="AK17" s="574"/>
      <c r="AL17" s="574"/>
      <c r="AM17" s="574"/>
      <c r="AN17" s="574"/>
      <c r="AO17" s="574"/>
      <c r="AP17" s="614"/>
    </row>
    <row r="18" spans="2:44">
      <c r="B18" s="70"/>
      <c r="C18" s="70"/>
      <c r="D18" s="70"/>
      <c r="E18" s="70"/>
      <c r="F18" s="70"/>
      <c r="G18" s="70"/>
      <c r="H18" s="70"/>
      <c r="I18" s="70"/>
      <c r="J18" s="70"/>
      <c r="K18" s="70"/>
      <c r="L18" s="70"/>
      <c r="M18" s="70"/>
      <c r="Q18" s="246" t="s">
        <v>3</v>
      </c>
      <c r="R18" s="274" t="s">
        <v>35</v>
      </c>
      <c r="S18" s="248" t="s">
        <v>21</v>
      </c>
      <c r="T18" s="250">
        <f>VLOOKUP(ref!X$1&amp;ref!$W1&amp;23,MPAO5yr,5,FALSE)</f>
        <v>247</v>
      </c>
      <c r="U18" s="250">
        <f>VLOOKUP(ref!X$2&amp;ref!$W1&amp;23,MPAO5yr,5,FALSE)</f>
        <v>181</v>
      </c>
      <c r="V18" s="250">
        <f>VLOOKUP(ref!$X$3&amp;ref!$W1&amp;23,MPAO5yr,5,FALSE)</f>
        <v>66</v>
      </c>
      <c r="W18" s="250"/>
      <c r="X18" s="250"/>
      <c r="Y18" s="250"/>
      <c r="Z18" s="250"/>
      <c r="AA18" s="250"/>
      <c r="AB18" s="250"/>
      <c r="AC18" s="250"/>
      <c r="AD18" s="250"/>
      <c r="AE18" s="250"/>
      <c r="AF18" s="250"/>
      <c r="AG18" s="250"/>
      <c r="AH18" s="250"/>
      <c r="AI18" s="250"/>
      <c r="AJ18" s="250"/>
      <c r="AK18" s="250"/>
      <c r="AL18" s="250"/>
      <c r="AM18" s="250"/>
      <c r="AN18" s="250"/>
      <c r="AO18" s="250"/>
      <c r="AP18" s="602"/>
    </row>
    <row r="19" spans="2:44">
      <c r="B19" s="70"/>
      <c r="C19" s="70"/>
      <c r="D19" s="70"/>
      <c r="E19" s="70"/>
      <c r="F19" s="70"/>
      <c r="G19" s="70"/>
      <c r="H19" s="70"/>
      <c r="I19" s="70"/>
      <c r="J19" s="70"/>
      <c r="K19" s="70"/>
      <c r="L19" s="70"/>
      <c r="M19" s="70"/>
      <c r="Q19" s="246" t="s">
        <v>79</v>
      </c>
      <c r="R19" s="274" t="s">
        <v>35</v>
      </c>
      <c r="S19" s="248" t="s">
        <v>21</v>
      </c>
      <c r="T19" s="250">
        <f>VLOOKUP(ref!X$1&amp;ref!$W2&amp;23,MPAO5yr,5,FALSE)</f>
        <v>34</v>
      </c>
      <c r="U19" s="250">
        <f>VLOOKUP(ref!X$2&amp;ref!$W2&amp;23,MPAO5yr,5,FALSE)</f>
        <v>31</v>
      </c>
      <c r="V19" s="250">
        <f>VLOOKUP(ref!$X$3&amp;ref!$W2&amp;23,MPAO5yr,5,FALSE)</f>
        <v>3</v>
      </c>
      <c r="W19" s="250"/>
      <c r="X19" s="250"/>
      <c r="Y19" s="250"/>
      <c r="Z19" s="250"/>
      <c r="AA19" s="250"/>
      <c r="AB19" s="250"/>
      <c r="AC19" s="250"/>
      <c r="AD19" s="250"/>
      <c r="AE19" s="250"/>
      <c r="AF19" s="250"/>
      <c r="AG19" s="250"/>
      <c r="AH19" s="250"/>
      <c r="AI19" s="250"/>
      <c r="AJ19" s="250"/>
      <c r="AK19" s="250"/>
      <c r="AL19" s="250"/>
      <c r="AM19" s="250"/>
      <c r="AN19" s="250"/>
      <c r="AO19" s="250"/>
      <c r="AP19" s="602"/>
    </row>
    <row r="20" spans="2:44">
      <c r="B20" s="70"/>
      <c r="C20" s="81" t="s">
        <v>99</v>
      </c>
      <c r="D20" s="70"/>
      <c r="E20" s="70"/>
      <c r="F20" s="70"/>
      <c r="G20" s="70"/>
      <c r="H20" s="70"/>
      <c r="I20" s="70"/>
      <c r="J20" s="70"/>
      <c r="K20" s="70"/>
      <c r="L20" s="70"/>
      <c r="M20" s="70"/>
      <c r="Q20" s="246" t="s">
        <v>78</v>
      </c>
      <c r="R20" s="274" t="s">
        <v>35</v>
      </c>
      <c r="S20" s="248" t="s">
        <v>21</v>
      </c>
      <c r="T20" s="250">
        <f>VLOOKUP(ref!X$1&amp;ref!$W3&amp;23,MPAO5yr,5,FALSE)</f>
        <v>46</v>
      </c>
      <c r="U20" s="250">
        <f>VLOOKUP(ref!X$2&amp;ref!$W3&amp;23,MPAO5yr,5,FALSE)</f>
        <v>33</v>
      </c>
      <c r="V20" s="250">
        <f>VLOOKUP(ref!$X$3&amp;ref!$W3&amp;23,MPAO5yr,5,FALSE)</f>
        <v>13</v>
      </c>
      <c r="W20" s="250"/>
      <c r="X20" s="250"/>
      <c r="Y20" s="250"/>
      <c r="Z20" s="250"/>
      <c r="AA20" s="250"/>
      <c r="AB20" s="250"/>
      <c r="AC20" s="250"/>
      <c r="AD20" s="250"/>
      <c r="AE20" s="250"/>
      <c r="AF20" s="250"/>
      <c r="AG20" s="250"/>
      <c r="AH20" s="250"/>
      <c r="AI20" s="250"/>
      <c r="AJ20" s="250"/>
      <c r="AK20" s="250"/>
      <c r="AL20" s="250"/>
      <c r="AM20" s="250"/>
      <c r="AN20" s="250"/>
      <c r="AO20" s="250"/>
      <c r="AP20" s="602"/>
    </row>
    <row r="21" spans="2:44" ht="23.25" customHeight="1">
      <c r="B21" s="70"/>
      <c r="C21" s="665" t="s">
        <v>540</v>
      </c>
      <c r="D21" s="635"/>
      <c r="E21" s="635"/>
      <c r="F21" s="635"/>
      <c r="G21" s="635"/>
      <c r="H21" s="635"/>
      <c r="I21" s="635"/>
      <c r="J21" s="635"/>
      <c r="K21" s="635"/>
      <c r="L21" s="635"/>
      <c r="M21" s="70"/>
      <c r="Q21" s="246" t="s">
        <v>45</v>
      </c>
      <c r="R21" s="274" t="s">
        <v>35</v>
      </c>
      <c r="S21" s="248" t="s">
        <v>21</v>
      </c>
      <c r="T21" s="250">
        <f>VLOOKUP(ref!X$1&amp;ref!$W4&amp;23,MPAO5yr,5,FALSE)</f>
        <v>583</v>
      </c>
      <c r="U21" s="250">
        <f>VLOOKUP(ref!X$2&amp;ref!$W4&amp;23,MPAO5yr,5,FALSE)</f>
        <v>432</v>
      </c>
      <c r="V21" s="250">
        <f>VLOOKUP(ref!$X$3&amp;ref!$W4&amp;23,MPAO5yr,5,FALSE)</f>
        <v>151</v>
      </c>
      <c r="W21" s="250"/>
      <c r="X21" s="250"/>
      <c r="Y21" s="250"/>
      <c r="Z21" s="250"/>
      <c r="AA21" s="250"/>
      <c r="AB21" s="250"/>
      <c r="AC21" s="250"/>
      <c r="AD21" s="250"/>
      <c r="AE21" s="250"/>
      <c r="AF21" s="250"/>
      <c r="AG21" s="250"/>
      <c r="AH21" s="250"/>
      <c r="AI21" s="250"/>
      <c r="AJ21" s="250"/>
      <c r="AK21" s="250"/>
      <c r="AL21" s="250"/>
      <c r="AM21" s="250"/>
      <c r="AN21" s="250"/>
      <c r="AO21" s="250"/>
      <c r="AP21" s="602"/>
    </row>
    <row r="22" spans="2:44">
      <c r="B22" s="70"/>
      <c r="C22" s="81" t="s">
        <v>246</v>
      </c>
      <c r="D22" s="241"/>
      <c r="E22" s="241"/>
      <c r="F22" s="241"/>
      <c r="G22" s="211"/>
      <c r="H22" s="211"/>
      <c r="I22" s="211"/>
      <c r="J22" s="211"/>
      <c r="K22" s="241"/>
      <c r="L22" s="241"/>
      <c r="M22" s="70"/>
      <c r="Q22" s="303"/>
      <c r="R22" s="303"/>
      <c r="S22" s="303"/>
      <c r="T22" s="266"/>
      <c r="U22" s="266"/>
      <c r="V22" s="382"/>
      <c r="W22" s="287"/>
      <c r="X22" s="287"/>
      <c r="Y22" s="287"/>
      <c r="Z22" s="287"/>
      <c r="AA22" s="287"/>
      <c r="AB22" s="287"/>
      <c r="AC22" s="287"/>
      <c r="AD22" s="287"/>
      <c r="AE22" s="287"/>
      <c r="AF22" s="287"/>
      <c r="AG22" s="287"/>
      <c r="AH22" s="287"/>
      <c r="AI22" s="287"/>
      <c r="AJ22" s="287"/>
      <c r="AK22" s="287"/>
      <c r="AL22" s="287"/>
      <c r="AM22" s="287"/>
      <c r="AN22" s="287"/>
      <c r="AO22" s="287"/>
      <c r="AP22" s="615"/>
    </row>
    <row r="23" spans="2:44" ht="12.75" customHeight="1">
      <c r="B23" s="70"/>
      <c r="C23" s="81" t="s">
        <v>300</v>
      </c>
      <c r="D23" s="70"/>
      <c r="E23" s="70"/>
      <c r="F23" s="70"/>
      <c r="G23" s="70"/>
      <c r="H23" s="70"/>
      <c r="I23" s="70"/>
      <c r="J23" s="70"/>
      <c r="K23" s="70"/>
      <c r="L23" s="70"/>
      <c r="M23" s="70"/>
      <c r="Q23" s="274" t="s">
        <v>3</v>
      </c>
      <c r="R23" s="274" t="s">
        <v>36</v>
      </c>
      <c r="S23" s="274" t="s">
        <v>21</v>
      </c>
      <c r="T23" s="250">
        <f>VLOOKUP(ref!X$1&amp;ref!$W1&amp;24,MPAO5yr,5,FALSE)</f>
        <v>73</v>
      </c>
      <c r="U23" s="381">
        <f>VLOOKUP(ref!X$2&amp;ref!$W1&amp;24,MPAO5yr,5,FALSE)</f>
        <v>53</v>
      </c>
      <c r="V23" s="381">
        <f>VLOOKUP(ref!$X$3&amp;ref!$W1&amp;24,MPAO5yr,5,FALSE)</f>
        <v>20</v>
      </c>
      <c r="W23" s="381"/>
      <c r="X23" s="381"/>
      <c r="Y23" s="381"/>
      <c r="Z23" s="381"/>
      <c r="AA23" s="381"/>
      <c r="AB23" s="381"/>
      <c r="AC23" s="381"/>
      <c r="AD23" s="381"/>
      <c r="AE23" s="381"/>
      <c r="AF23" s="381"/>
      <c r="AG23" s="381"/>
      <c r="AH23" s="381"/>
      <c r="AI23" s="381"/>
      <c r="AJ23" s="381"/>
      <c r="AK23" s="381"/>
      <c r="AL23" s="381"/>
      <c r="AM23" s="381"/>
      <c r="AN23" s="381"/>
      <c r="AO23" s="381"/>
      <c r="AP23" s="609"/>
      <c r="AQ23" s="605"/>
      <c r="AR23" s="605"/>
    </row>
    <row r="24" spans="2:44">
      <c r="B24" s="70"/>
      <c r="C24" s="70"/>
      <c r="D24" s="70"/>
      <c r="E24" s="70"/>
      <c r="F24" s="70"/>
      <c r="G24" s="70"/>
      <c r="H24" s="70"/>
      <c r="I24" s="70"/>
      <c r="J24" s="70"/>
      <c r="K24" s="70"/>
      <c r="L24" s="70"/>
      <c r="M24" s="70"/>
      <c r="Q24" s="274" t="s">
        <v>79</v>
      </c>
      <c r="R24" s="274" t="s">
        <v>36</v>
      </c>
      <c r="S24" s="274" t="s">
        <v>21</v>
      </c>
      <c r="T24" s="250">
        <f>VLOOKUP(ref!X$1&amp;ref!$W2&amp;24,MPAO5yr,5,FALSE)</f>
        <v>24</v>
      </c>
      <c r="U24" s="381">
        <f>VLOOKUP(ref!X$2&amp;ref!$W2&amp;24,MPAO5yr,5,FALSE)</f>
        <v>19</v>
      </c>
      <c r="V24" s="381">
        <f>VLOOKUP(ref!$X$3&amp;ref!$W2&amp;24,MPAO5yr,5,FALSE)</f>
        <v>5</v>
      </c>
      <c r="W24" s="381"/>
      <c r="X24" s="381"/>
      <c r="Y24" s="381"/>
      <c r="Z24" s="381"/>
      <c r="AA24" s="381"/>
      <c r="AB24" s="381"/>
      <c r="AC24" s="381"/>
      <c r="AD24" s="381"/>
      <c r="AE24" s="381"/>
      <c r="AF24" s="381"/>
      <c r="AG24" s="381"/>
      <c r="AH24" s="381"/>
      <c r="AI24" s="381"/>
      <c r="AJ24" s="381"/>
      <c r="AK24" s="381"/>
      <c r="AL24" s="381"/>
      <c r="AM24" s="381"/>
      <c r="AN24" s="381"/>
      <c r="AO24" s="381"/>
      <c r="AP24" s="609"/>
      <c r="AQ24" s="605"/>
      <c r="AR24" s="605"/>
    </row>
    <row r="25" spans="2:44">
      <c r="Q25" s="274" t="s">
        <v>78</v>
      </c>
      <c r="R25" s="274" t="s">
        <v>36</v>
      </c>
      <c r="S25" s="274" t="s">
        <v>21</v>
      </c>
      <c r="T25" s="250">
        <f>VLOOKUP(ref!X$1&amp;ref!$W3&amp;24,MPAO5yr,5,FALSE)</f>
        <v>41</v>
      </c>
      <c r="U25" s="381">
        <f>VLOOKUP(ref!X$2&amp;ref!$W3&amp;24,MPAO5yr,5,FALSE)</f>
        <v>23</v>
      </c>
      <c r="V25" s="381">
        <f>VLOOKUP(ref!$X$3&amp;ref!$W3&amp;24,MPAO5yr,5,FALSE)</f>
        <v>18</v>
      </c>
      <c r="W25" s="381"/>
      <c r="X25" s="381"/>
      <c r="Y25" s="381"/>
      <c r="Z25" s="381"/>
      <c r="AA25" s="381"/>
      <c r="AB25" s="381"/>
      <c r="AC25" s="381"/>
      <c r="AD25" s="381"/>
      <c r="AE25" s="381"/>
      <c r="AF25" s="381"/>
      <c r="AG25" s="381"/>
      <c r="AH25" s="381"/>
      <c r="AI25" s="381"/>
      <c r="AJ25" s="381"/>
      <c r="AK25" s="381"/>
      <c r="AL25" s="381"/>
      <c r="AM25" s="381"/>
      <c r="AN25" s="381"/>
      <c r="AO25" s="381"/>
      <c r="AP25" s="609"/>
      <c r="AQ25" s="605"/>
      <c r="AR25" s="605"/>
    </row>
    <row r="26" spans="2:44">
      <c r="B26" s="70"/>
      <c r="C26" s="70"/>
      <c r="D26" s="70"/>
      <c r="E26" s="70"/>
      <c r="F26" s="70"/>
      <c r="G26" s="70"/>
      <c r="H26" s="70"/>
      <c r="I26" s="70"/>
      <c r="J26" s="70"/>
      <c r="K26" s="70"/>
      <c r="L26" s="70"/>
      <c r="M26" s="70"/>
      <c r="Q26" s="274" t="s">
        <v>45</v>
      </c>
      <c r="R26" s="274" t="s">
        <v>36</v>
      </c>
      <c r="S26" s="274" t="s">
        <v>21</v>
      </c>
      <c r="T26" s="250">
        <f>VLOOKUP(ref!X$1&amp;ref!$W4&amp;24,MPAO5yr,5,FALSE)</f>
        <v>700</v>
      </c>
      <c r="U26" s="381">
        <f>VLOOKUP(ref!X$2&amp;ref!$W4&amp;24,MPAO5yr,5,FALSE)</f>
        <v>512</v>
      </c>
      <c r="V26" s="381">
        <f>VLOOKUP(ref!$X$3&amp;ref!$W4&amp;24,MPAO5yr,5,FALSE)</f>
        <v>188</v>
      </c>
      <c r="W26" s="381"/>
      <c r="X26" s="381"/>
      <c r="Y26" s="381"/>
      <c r="Z26" s="381"/>
      <c r="AA26" s="381"/>
      <c r="AB26" s="381"/>
      <c r="AC26" s="381"/>
      <c r="AD26" s="381"/>
      <c r="AE26" s="381"/>
      <c r="AF26" s="381"/>
      <c r="AG26" s="381"/>
      <c r="AH26" s="381"/>
      <c r="AI26" s="381"/>
      <c r="AJ26" s="381"/>
      <c r="AK26" s="381"/>
      <c r="AL26" s="381"/>
      <c r="AM26" s="381"/>
      <c r="AN26" s="381"/>
      <c r="AO26" s="381"/>
      <c r="AP26" s="609"/>
      <c r="AQ26" s="605"/>
      <c r="AR26" s="605"/>
    </row>
    <row r="27" spans="2:44" ht="15">
      <c r="B27" s="70"/>
      <c r="C27" s="87" t="s">
        <v>538</v>
      </c>
      <c r="D27" s="70"/>
      <c r="E27" s="70"/>
      <c r="F27" s="70"/>
      <c r="G27" s="70"/>
      <c r="H27" s="70"/>
      <c r="I27" s="70"/>
      <c r="J27" s="70"/>
      <c r="K27" s="70"/>
      <c r="L27" s="70"/>
      <c r="M27" s="70"/>
      <c r="Q27" s="303"/>
      <c r="R27" s="303"/>
      <c r="S27" s="303"/>
      <c r="T27" s="266"/>
      <c r="U27" s="266"/>
      <c r="V27" s="266"/>
      <c r="W27" s="574"/>
      <c r="X27" s="574"/>
      <c r="Y27" s="574"/>
      <c r="Z27" s="574"/>
      <c r="AA27" s="574"/>
      <c r="AB27" s="574"/>
      <c r="AC27" s="574"/>
      <c r="AD27" s="574"/>
      <c r="AE27" s="574"/>
      <c r="AF27" s="574"/>
      <c r="AG27" s="574"/>
      <c r="AH27" s="574"/>
      <c r="AI27" s="574"/>
      <c r="AJ27" s="574"/>
      <c r="AK27" s="574"/>
      <c r="AL27" s="574"/>
      <c r="AM27" s="574"/>
      <c r="AN27" s="574"/>
      <c r="AO27" s="574"/>
      <c r="AP27" s="614"/>
    </row>
    <row r="28" spans="2:44">
      <c r="B28" s="70"/>
      <c r="C28" s="70"/>
      <c r="D28" s="70"/>
      <c r="E28" s="70"/>
      <c r="F28" s="70"/>
      <c r="G28" s="70"/>
      <c r="H28" s="70"/>
      <c r="I28" s="70"/>
      <c r="J28" s="70"/>
      <c r="K28" s="70"/>
      <c r="L28" s="70"/>
      <c r="M28" s="70"/>
      <c r="Q28" s="274" t="s">
        <v>3</v>
      </c>
      <c r="R28" s="274" t="s">
        <v>26</v>
      </c>
      <c r="S28" s="274" t="s">
        <v>21</v>
      </c>
      <c r="T28" s="383">
        <f>VLOOKUP(ref!X$1&amp;ref!$W1&amp;25,MPAO5yr,5,FALSE)</f>
        <v>4</v>
      </c>
      <c r="U28" s="383">
        <f>VLOOKUP(ref!X$2&amp;ref!$W1&amp;25,MPAO5yr,5,FALSE)</f>
        <v>4</v>
      </c>
      <c r="V28" s="383">
        <f>VLOOKUP(ref!$X$3&amp;ref!$W1&amp;25,MPAO5yr,5,FALSE)</f>
        <v>0</v>
      </c>
      <c r="W28" s="383"/>
      <c r="X28" s="383"/>
      <c r="Y28" s="383"/>
      <c r="Z28" s="383"/>
      <c r="AA28" s="383"/>
      <c r="AB28" s="383"/>
      <c r="AC28" s="383"/>
      <c r="AD28" s="383"/>
      <c r="AE28" s="383"/>
      <c r="AF28" s="383"/>
      <c r="AG28" s="383"/>
      <c r="AH28" s="383"/>
      <c r="AI28" s="383"/>
      <c r="AJ28" s="383"/>
      <c r="AK28" s="383"/>
      <c r="AL28" s="383"/>
      <c r="AM28" s="383"/>
      <c r="AN28" s="383"/>
      <c r="AO28" s="383"/>
      <c r="AP28" s="602"/>
    </row>
    <row r="29" spans="2:44">
      <c r="B29" s="70"/>
      <c r="C29" s="70"/>
      <c r="D29" s="70"/>
      <c r="E29" s="70"/>
      <c r="F29" s="70"/>
      <c r="G29" s="70"/>
      <c r="H29" s="70"/>
      <c r="I29" s="70"/>
      <c r="J29" s="70"/>
      <c r="K29" s="70"/>
      <c r="L29" s="70"/>
      <c r="M29" s="70"/>
      <c r="Q29" s="274" t="s">
        <v>79</v>
      </c>
      <c r="R29" s="274" t="s">
        <v>26</v>
      </c>
      <c r="S29" s="274" t="s">
        <v>21</v>
      </c>
      <c r="T29" s="383">
        <f>VLOOKUP(ref!X$1&amp;ref!$W2&amp;25,MPAO5yr,5,FALSE)</f>
        <v>4</v>
      </c>
      <c r="U29" s="383">
        <f>VLOOKUP(ref!X$2&amp;ref!$W2&amp;25,MPAO5yr,5,FALSE)</f>
        <v>3</v>
      </c>
      <c r="V29" s="383">
        <f>VLOOKUP(ref!$X$3&amp;ref!$W2&amp;25,MPAO5yr,5,FALSE)</f>
        <v>1</v>
      </c>
      <c r="W29" s="383"/>
      <c r="X29" s="383"/>
      <c r="Y29" s="383"/>
      <c r="Z29" s="383"/>
      <c r="AA29" s="383"/>
      <c r="AB29" s="383"/>
      <c r="AC29" s="383"/>
      <c r="AD29" s="383"/>
      <c r="AE29" s="383"/>
      <c r="AF29" s="383"/>
      <c r="AG29" s="383"/>
      <c r="AH29" s="383"/>
      <c r="AI29" s="383"/>
      <c r="AJ29" s="383"/>
      <c r="AK29" s="383"/>
      <c r="AL29" s="383"/>
      <c r="AM29" s="383"/>
      <c r="AN29" s="383"/>
      <c r="AO29" s="383"/>
      <c r="AP29" s="602"/>
    </row>
    <row r="30" spans="2:44">
      <c r="B30" s="70"/>
      <c r="C30" s="70"/>
      <c r="D30" s="70"/>
      <c r="E30" s="70"/>
      <c r="F30" s="70"/>
      <c r="G30" s="70"/>
      <c r="H30" s="70"/>
      <c r="I30" s="70"/>
      <c r="J30" s="70"/>
      <c r="K30" s="70"/>
      <c r="L30" s="70"/>
      <c r="M30" s="70"/>
      <c r="Q30" s="274" t="s">
        <v>78</v>
      </c>
      <c r="R30" s="274" t="s">
        <v>26</v>
      </c>
      <c r="S30" s="274" t="s">
        <v>21</v>
      </c>
      <c r="T30" s="250">
        <f>VLOOKUP(ref!X$1&amp;ref!$W3&amp;25,MPAO5yr,5,FALSE)</f>
        <v>11</v>
      </c>
      <c r="U30" s="250">
        <f>VLOOKUP(ref!X$2&amp;ref!$W3&amp;25,MPAO5yr,5,FALSE)</f>
        <v>6</v>
      </c>
      <c r="V30" s="383">
        <f>VLOOKUP(ref!$X$3&amp;ref!$W3&amp;25,MPAO5yr,5,FALSE)</f>
        <v>5</v>
      </c>
      <c r="W30" s="383"/>
      <c r="X30" s="383"/>
      <c r="Y30" s="383"/>
      <c r="Z30" s="383"/>
      <c r="AA30" s="383"/>
      <c r="AB30" s="383"/>
      <c r="AC30" s="383"/>
      <c r="AD30" s="383"/>
      <c r="AE30" s="383"/>
      <c r="AF30" s="383"/>
      <c r="AG30" s="383"/>
      <c r="AH30" s="383"/>
      <c r="AI30" s="383"/>
      <c r="AJ30" s="383"/>
      <c r="AK30" s="383"/>
      <c r="AL30" s="383"/>
      <c r="AM30" s="383"/>
      <c r="AN30" s="383"/>
      <c r="AO30" s="383"/>
      <c r="AP30" s="602"/>
    </row>
    <row r="31" spans="2:44">
      <c r="B31" s="70"/>
      <c r="C31" s="70"/>
      <c r="D31" s="70"/>
      <c r="E31" s="70"/>
      <c r="F31" s="70"/>
      <c r="G31" s="70"/>
      <c r="H31" s="70"/>
      <c r="I31" s="70"/>
      <c r="J31" s="70"/>
      <c r="K31" s="70"/>
      <c r="L31" s="70"/>
      <c r="M31" s="70"/>
      <c r="Q31" s="274" t="s">
        <v>45</v>
      </c>
      <c r="R31" s="274" t="s">
        <v>26</v>
      </c>
      <c r="S31" s="274" t="s">
        <v>21</v>
      </c>
      <c r="T31" s="250">
        <f>VLOOKUP(ref!X$1&amp;ref!$W4&amp;25,MPAO5yr,5,FALSE)</f>
        <v>282</v>
      </c>
      <c r="U31" s="250">
        <f>VLOOKUP(ref!X$2&amp;ref!$W4&amp;25,MPAO5yr,5,FALSE)</f>
        <v>227</v>
      </c>
      <c r="V31" s="383">
        <f>VLOOKUP(ref!$X$3&amp;ref!$W4&amp;25,MPAO5yr,5,FALSE)</f>
        <v>55</v>
      </c>
      <c r="W31" s="383"/>
      <c r="X31" s="383"/>
      <c r="Y31" s="383"/>
      <c r="Z31" s="383"/>
      <c r="AA31" s="383"/>
      <c r="AB31" s="383"/>
      <c r="AC31" s="383"/>
      <c r="AD31" s="383"/>
      <c r="AE31" s="383"/>
      <c r="AF31" s="383"/>
      <c r="AG31" s="383"/>
      <c r="AH31" s="383"/>
      <c r="AI31" s="383"/>
      <c r="AJ31" s="383"/>
      <c r="AK31" s="383"/>
      <c r="AL31" s="383"/>
      <c r="AM31" s="383"/>
      <c r="AN31" s="383"/>
      <c r="AO31" s="383"/>
      <c r="AP31" s="602"/>
    </row>
    <row r="32" spans="2:44">
      <c r="B32" s="70"/>
      <c r="C32" s="70"/>
      <c r="D32" s="70"/>
      <c r="E32" s="70"/>
      <c r="F32" s="70"/>
      <c r="G32" s="70"/>
      <c r="H32" s="70"/>
      <c r="I32" s="70"/>
      <c r="J32" s="70"/>
      <c r="K32" s="70"/>
      <c r="L32" s="70"/>
      <c r="M32" s="70"/>
      <c r="Q32" s="262"/>
      <c r="R32" s="262"/>
      <c r="S32" s="262"/>
      <c r="T32" s="266"/>
      <c r="U32" s="266"/>
      <c r="V32" s="266"/>
      <c r="W32" s="574"/>
      <c r="X32" s="574"/>
      <c r="Y32" s="574"/>
      <c r="Z32" s="574"/>
      <c r="AA32" s="574"/>
      <c r="AB32" s="574"/>
      <c r="AC32" s="574"/>
      <c r="AD32" s="574"/>
      <c r="AE32" s="574"/>
      <c r="AF32" s="574"/>
      <c r="AG32" s="574"/>
      <c r="AH32" s="574"/>
      <c r="AI32" s="574"/>
      <c r="AJ32" s="574"/>
      <c r="AK32" s="574"/>
      <c r="AL32" s="574"/>
      <c r="AM32" s="574"/>
      <c r="AN32" s="574"/>
      <c r="AO32" s="574"/>
      <c r="AP32" s="614"/>
    </row>
    <row r="33" spans="2:48">
      <c r="B33" s="70"/>
      <c r="C33" s="70"/>
      <c r="D33" s="70"/>
      <c r="E33" s="70"/>
      <c r="F33" s="70"/>
      <c r="G33" s="70"/>
      <c r="H33" s="70"/>
      <c r="I33" s="70"/>
      <c r="J33" s="70"/>
      <c r="K33" s="70"/>
      <c r="L33" s="70"/>
      <c r="M33" s="70"/>
      <c r="Q33" s="246" t="s">
        <v>3</v>
      </c>
      <c r="R33" s="246" t="s">
        <v>9</v>
      </c>
      <c r="S33" s="248" t="s">
        <v>22</v>
      </c>
      <c r="T33" s="377">
        <f>IF(T8&lt;20,"-",VLOOKUP(ref!$X$1&amp;ref!$W1&amp;19,MPAO5yr,6,FALSE))</f>
        <v>17.1163264219492</v>
      </c>
      <c r="U33" s="377">
        <f>IF(U8&lt;20,"-",VLOOKUP(ref!$X$2&amp;ref!$W1&amp;19,MPAO5yr,6,FALSE))</f>
        <v>25.009592906631699</v>
      </c>
      <c r="V33" s="377">
        <f>IF(V8&lt;20,"-",VLOOKUP(ref!$X$3&amp;ref!$W1&amp;19,MPAO5yr,6,FALSE))</f>
        <v>10.1818538229683</v>
      </c>
      <c r="W33" s="377"/>
      <c r="X33" s="377"/>
      <c r="Y33" s="377"/>
      <c r="Z33" s="377"/>
      <c r="AA33" s="377"/>
      <c r="AB33" s="377"/>
      <c r="AC33" s="377"/>
      <c r="AD33" s="377"/>
      <c r="AE33" s="377"/>
      <c r="AF33" s="377"/>
      <c r="AG33" s="377"/>
      <c r="AH33" s="377"/>
      <c r="AI33" s="377"/>
      <c r="AJ33" s="377"/>
      <c r="AK33" s="377"/>
      <c r="AL33" s="377"/>
      <c r="AM33" s="377"/>
      <c r="AN33" s="377"/>
      <c r="AO33" s="377"/>
      <c r="AP33" s="616"/>
    </row>
    <row r="34" spans="2:48">
      <c r="B34" s="70"/>
      <c r="C34" s="70"/>
      <c r="D34" s="70"/>
      <c r="E34" s="70"/>
      <c r="F34" s="70"/>
      <c r="G34" s="70"/>
      <c r="H34" s="70"/>
      <c r="I34" s="70"/>
      <c r="J34" s="70"/>
      <c r="K34" s="70"/>
      <c r="L34" s="70"/>
      <c r="M34" s="70"/>
      <c r="Q34" s="246" t="s">
        <v>79</v>
      </c>
      <c r="R34" s="246" t="s">
        <v>9</v>
      </c>
      <c r="S34" s="248" t="s">
        <v>22</v>
      </c>
      <c r="T34" s="377">
        <f>IF(T9&lt;20,"-",VLOOKUP(ref!$X$1&amp;ref!$W2&amp;19,MPAO5yr,6,FALSE))</f>
        <v>8.0575490376604098</v>
      </c>
      <c r="U34" s="377">
        <f>IF(U9&lt;20,"-",VLOOKUP(ref!$X$2&amp;ref!$W2&amp;19,MPAO5yr,6,FALSE))</f>
        <v>12.7453600779049</v>
      </c>
      <c r="V34" s="377">
        <f>IF(V9&lt;20,"-",VLOOKUP(ref!$X$3&amp;ref!$W2&amp;19,MPAO5yr,6,FALSE))</f>
        <v>3.5995728387145101</v>
      </c>
      <c r="W34" s="377"/>
      <c r="X34" s="377"/>
      <c r="Y34" s="377"/>
      <c r="Z34" s="377"/>
      <c r="AA34" s="377"/>
      <c r="AB34" s="377"/>
      <c r="AC34" s="377"/>
      <c r="AD34" s="377"/>
      <c r="AE34" s="377"/>
      <c r="AF34" s="377"/>
      <c r="AG34" s="377"/>
      <c r="AH34" s="377"/>
      <c r="AI34" s="377"/>
      <c r="AJ34" s="377"/>
      <c r="AK34" s="377"/>
      <c r="AL34" s="377"/>
      <c r="AM34" s="377"/>
      <c r="AN34" s="377"/>
      <c r="AO34" s="377"/>
      <c r="AP34" s="616"/>
    </row>
    <row r="35" spans="2:48">
      <c r="B35" s="70"/>
      <c r="C35" s="70"/>
      <c r="D35" s="70"/>
      <c r="E35" s="70"/>
      <c r="F35" s="70"/>
      <c r="G35" s="70"/>
      <c r="H35" s="70"/>
      <c r="I35" s="70"/>
      <c r="J35" s="70"/>
      <c r="K35" s="70"/>
      <c r="L35" s="70"/>
      <c r="M35" s="70"/>
      <c r="Q35" s="246" t="s">
        <v>78</v>
      </c>
      <c r="R35" s="246" t="s">
        <v>9</v>
      </c>
      <c r="S35" s="248" t="s">
        <v>22</v>
      </c>
      <c r="T35" s="377">
        <f>IF(T10&lt;20,"-",VLOOKUP(ref!$X$1&amp;ref!$W3&amp;19,MPAO5yr,6,FALSE))</f>
        <v>4.2471211665853597</v>
      </c>
      <c r="U35" s="377">
        <f>IF(U10&lt;20,"-",VLOOKUP(ref!$X$2&amp;ref!$W3&amp;19,MPAO5yr,6,FALSE))</f>
        <v>5.9055924486463098</v>
      </c>
      <c r="V35" s="377">
        <f>IF(V10&lt;20,"-",VLOOKUP(ref!$X$3&amp;ref!$W3&amp;19,MPAO5yr,6,FALSE))</f>
        <v>2.6328691951566099</v>
      </c>
      <c r="W35" s="377"/>
      <c r="X35" s="377"/>
      <c r="Y35" s="377"/>
      <c r="Z35" s="377"/>
      <c r="AA35" s="377"/>
      <c r="AB35" s="377"/>
      <c r="AC35" s="377"/>
      <c r="AD35" s="377"/>
      <c r="AE35" s="377"/>
      <c r="AF35" s="377"/>
      <c r="AG35" s="377"/>
      <c r="AH35" s="377"/>
      <c r="AI35" s="377"/>
      <c r="AJ35" s="377"/>
      <c r="AK35" s="377"/>
      <c r="AL35" s="377"/>
      <c r="AM35" s="377"/>
      <c r="AN35" s="377"/>
      <c r="AO35" s="377"/>
      <c r="AP35" s="616"/>
    </row>
    <row r="36" spans="2:48">
      <c r="B36" s="70"/>
      <c r="C36" s="70"/>
      <c r="D36" s="70"/>
      <c r="E36" s="70"/>
      <c r="F36" s="70"/>
      <c r="G36" s="70"/>
      <c r="H36" s="70"/>
      <c r="I36" s="70"/>
      <c r="J36" s="70"/>
      <c r="K36" s="70"/>
      <c r="L36" s="70"/>
      <c r="M36" s="70"/>
      <c r="Q36" s="246" t="s">
        <v>45</v>
      </c>
      <c r="R36" s="246" t="s">
        <v>9</v>
      </c>
      <c r="S36" s="248" t="s">
        <v>22</v>
      </c>
      <c r="T36" s="377">
        <f>IF(T11&lt;20,"-",VLOOKUP(ref!$X$1&amp;ref!$W4&amp;19,MPAO5yr,6,FALSE))</f>
        <v>11.299548397764401</v>
      </c>
      <c r="U36" s="377">
        <f>IF(U11&lt;20,"-",VLOOKUP(ref!$X$2&amp;ref!$W4&amp;19,MPAO5yr,6,FALSE))</f>
        <v>17.187829947754299</v>
      </c>
      <c r="V36" s="377">
        <f>IF(V11&lt;20,"-",VLOOKUP(ref!$X$3&amp;ref!$W4&amp;19,MPAO5yr,6,FALSE))</f>
        <v>5.6087024914769001</v>
      </c>
      <c r="W36" s="377"/>
      <c r="X36" s="377"/>
      <c r="Y36" s="377"/>
      <c r="Z36" s="377"/>
      <c r="AA36" s="377"/>
      <c r="AB36" s="377"/>
      <c r="AC36" s="377"/>
      <c r="AD36" s="377"/>
      <c r="AE36" s="377"/>
      <c r="AF36" s="377"/>
      <c r="AG36" s="377"/>
      <c r="AH36" s="377"/>
      <c r="AI36" s="377"/>
      <c r="AJ36" s="377"/>
      <c r="AK36" s="377"/>
      <c r="AL36" s="377"/>
      <c r="AM36" s="377"/>
      <c r="AN36" s="377"/>
      <c r="AO36" s="377"/>
      <c r="AP36" s="616"/>
    </row>
    <row r="37" spans="2:48">
      <c r="B37" s="70"/>
      <c r="C37" s="70"/>
      <c r="D37" s="70"/>
      <c r="E37" s="70"/>
      <c r="F37" s="70"/>
      <c r="G37" s="70"/>
      <c r="H37" s="70"/>
      <c r="I37" s="70"/>
      <c r="J37" s="70"/>
      <c r="K37" s="70"/>
      <c r="L37" s="70"/>
      <c r="M37" s="70"/>
      <c r="Q37" s="262"/>
      <c r="R37" s="262"/>
      <c r="S37" s="303"/>
      <c r="T37" s="266"/>
      <c r="U37" s="266"/>
      <c r="V37" s="266"/>
      <c r="W37" s="574"/>
      <c r="X37" s="574"/>
      <c r="Y37" s="574"/>
      <c r="Z37" s="574"/>
      <c r="AA37" s="574"/>
      <c r="AB37" s="574"/>
      <c r="AC37" s="574"/>
      <c r="AD37" s="574"/>
      <c r="AE37" s="574"/>
      <c r="AF37" s="574"/>
      <c r="AG37" s="574"/>
      <c r="AH37" s="574"/>
      <c r="AI37" s="574"/>
      <c r="AJ37" s="574"/>
      <c r="AK37" s="574"/>
      <c r="AL37" s="574"/>
      <c r="AM37" s="574"/>
      <c r="AN37" s="574"/>
      <c r="AO37" s="574"/>
      <c r="AP37" s="614"/>
      <c r="AS37" s="600" t="s">
        <v>657</v>
      </c>
      <c r="AU37" s="600" t="s">
        <v>654</v>
      </c>
      <c r="AV37" s="600" t="s">
        <v>655</v>
      </c>
    </row>
    <row r="38" spans="2:48">
      <c r="B38" s="70"/>
      <c r="C38" s="70"/>
      <c r="D38" s="70"/>
      <c r="E38" s="70"/>
      <c r="F38" s="70"/>
      <c r="G38" s="70"/>
      <c r="H38" s="70"/>
      <c r="I38" s="70"/>
      <c r="J38" s="70"/>
      <c r="K38" s="70"/>
      <c r="L38" s="70"/>
      <c r="M38" s="70"/>
      <c r="Q38" s="246" t="s">
        <v>3</v>
      </c>
      <c r="R38" s="274" t="s">
        <v>150</v>
      </c>
      <c r="S38" s="248" t="s">
        <v>22</v>
      </c>
      <c r="T38" s="377">
        <f>IF(T13&lt;20,"-",VLOOKUP(ref!$X$1&amp;ref!$W1&amp;22,MPAO5yr,6,FALSE))</f>
        <v>34.170121645633103</v>
      </c>
      <c r="U38" s="377">
        <f>IF(U13&lt;20,"-",VLOOKUP(ref!$X$2&amp;ref!$W1&amp;22,MPAO5yr,6,FALSE))</f>
        <v>42.331881954523503</v>
      </c>
      <c r="V38" s="377">
        <f>IF(V13&lt;20,"-",VLOOKUP(ref!$X$3&amp;ref!$W1&amp;22,MPAO5yr,6,FALSE))</f>
        <v>25.933609958506199</v>
      </c>
      <c r="W38" s="377"/>
      <c r="X38" s="377"/>
      <c r="Y38" s="377"/>
      <c r="Z38" s="377"/>
      <c r="AA38" s="377"/>
      <c r="AB38" s="377"/>
      <c r="AC38" s="377"/>
      <c r="AD38" s="377"/>
      <c r="AE38" s="377"/>
      <c r="AF38" s="377"/>
      <c r="AG38" s="377"/>
      <c r="AH38" s="377"/>
      <c r="AI38" s="377"/>
      <c r="AJ38" s="377"/>
      <c r="AK38" s="377"/>
      <c r="AL38" s="377"/>
      <c r="AM38" s="377"/>
      <c r="AN38" s="377"/>
      <c r="AO38" s="377"/>
      <c r="AP38" s="616"/>
      <c r="AQ38" s="617" t="s">
        <v>23</v>
      </c>
      <c r="AR38" s="613" t="s">
        <v>3</v>
      </c>
      <c r="AS38" s="616">
        <f>VLOOKUP(ref!$X$1&amp;ref!$W$1&amp;22,MPAO5yr,7,FALSE)</f>
        <v>4.5</v>
      </c>
      <c r="AU38" s="605">
        <f>T38+AS38</f>
        <v>38.670121645633103</v>
      </c>
      <c r="AV38" s="605">
        <f>T38-AS38</f>
        <v>29.670121645633103</v>
      </c>
    </row>
    <row r="39" spans="2:48">
      <c r="B39" s="70"/>
      <c r="C39" s="70"/>
      <c r="D39" s="75"/>
      <c r="E39" s="75"/>
      <c r="F39" s="75"/>
      <c r="G39" s="75"/>
      <c r="H39" s="75"/>
      <c r="I39" s="75"/>
      <c r="J39" s="75"/>
      <c r="K39" s="70"/>
      <c r="L39" s="70"/>
      <c r="M39" s="70"/>
      <c r="Q39" s="246" t="s">
        <v>79</v>
      </c>
      <c r="R39" s="274" t="s">
        <v>150</v>
      </c>
      <c r="S39" s="248" t="s">
        <v>22</v>
      </c>
      <c r="T39" s="377">
        <f>IF(T14&lt;20,"-",VLOOKUP(ref!$X$1&amp;ref!$W2&amp;22,MPAO5yr,6,FALSE))</f>
        <v>18.051193183869501</v>
      </c>
      <c r="U39" s="377">
        <f>IF(U14&lt;20,"-",VLOOKUP(ref!$X$2&amp;ref!$W2&amp;22,MPAO5yr,6,FALSE))</f>
        <v>26.117237376668601</v>
      </c>
      <c r="V39" s="377" t="str">
        <f>IF(V14&lt;20,"-",VLOOKUP(ref!$X$3&amp;ref!$W2&amp;22,MPAO5yr,6,FALSE))</f>
        <v>-</v>
      </c>
      <c r="W39" s="377"/>
      <c r="X39" s="377"/>
      <c r="Y39" s="377"/>
      <c r="Z39" s="377"/>
      <c r="AA39" s="377"/>
      <c r="AB39" s="377"/>
      <c r="AC39" s="377"/>
      <c r="AD39" s="377"/>
      <c r="AE39" s="377"/>
      <c r="AF39" s="377"/>
      <c r="AG39" s="377"/>
      <c r="AH39" s="377"/>
      <c r="AI39" s="377"/>
      <c r="AJ39" s="377"/>
      <c r="AK39" s="377"/>
      <c r="AL39" s="377"/>
      <c r="AM39" s="377"/>
      <c r="AN39" s="377"/>
      <c r="AO39" s="377"/>
      <c r="AP39" s="616"/>
      <c r="AR39" s="613" t="s">
        <v>79</v>
      </c>
      <c r="AS39" s="616">
        <f>VLOOKUP(ref!$X$1&amp;ref!$W$2&amp;22,MPAO5yr,7,FALSE)</f>
        <v>5</v>
      </c>
      <c r="AU39" s="605">
        <f>T39+AS39</f>
        <v>23.051193183869501</v>
      </c>
      <c r="AV39" s="605">
        <f>T39-AS39</f>
        <v>13.051193183869501</v>
      </c>
    </row>
    <row r="40" spans="2:48">
      <c r="B40" s="70"/>
      <c r="C40" s="70"/>
      <c r="D40" s="70"/>
      <c r="E40" s="70"/>
      <c r="F40" s="70"/>
      <c r="G40" s="70"/>
      <c r="H40" s="70"/>
      <c r="I40" s="70"/>
      <c r="J40" s="70"/>
      <c r="K40" s="70"/>
      <c r="L40" s="70"/>
      <c r="M40" s="70"/>
      <c r="Q40" s="246" t="s">
        <v>78</v>
      </c>
      <c r="R40" s="274" t="s">
        <v>150</v>
      </c>
      <c r="S40" s="248" t="s">
        <v>22</v>
      </c>
      <c r="T40" s="377">
        <f>IF(T15&lt;20,"-",VLOOKUP(ref!$X$1&amp;ref!$W3&amp;22,MPAO5yr,6,FALSE))</f>
        <v>6.0532687651331702</v>
      </c>
      <c r="U40" s="377">
        <f>IF(U15&lt;20,"-",VLOOKUP(ref!$X$2&amp;ref!$W3&amp;22,MPAO5yr,6,FALSE))</f>
        <v>9.4488188976377998</v>
      </c>
      <c r="V40" s="377" t="str">
        <f>IF(V15&lt;20,"-",VLOOKUP(ref!$X$3&amp;ref!$W3&amp;22,MPAO5yr,6,FALSE))</f>
        <v>-</v>
      </c>
      <c r="W40" s="377"/>
      <c r="X40" s="377"/>
      <c r="Y40" s="377"/>
      <c r="Z40" s="377"/>
      <c r="AA40" s="377"/>
      <c r="AB40" s="377"/>
      <c r="AC40" s="377"/>
      <c r="AD40" s="377"/>
      <c r="AE40" s="377"/>
      <c r="AF40" s="377"/>
      <c r="AG40" s="377"/>
      <c r="AH40" s="377"/>
      <c r="AI40" s="377"/>
      <c r="AJ40" s="377"/>
      <c r="AK40" s="377"/>
      <c r="AL40" s="377"/>
      <c r="AM40" s="377"/>
      <c r="AN40" s="377"/>
      <c r="AO40" s="377"/>
      <c r="AP40" s="616"/>
      <c r="AR40" s="613" t="s">
        <v>78</v>
      </c>
      <c r="AS40" s="616">
        <f>VLOOKUP(ref!$X$1&amp;ref!$W$3&amp;22,MPAO5yr,7,FALSE)</f>
        <v>2.2000000000000002</v>
      </c>
      <c r="AU40" s="605">
        <f>T40+AS40</f>
        <v>8.2532687651331713</v>
      </c>
      <c r="AV40" s="605">
        <f>T40-AS40</f>
        <v>3.8532687651331701</v>
      </c>
    </row>
    <row r="41" spans="2:48">
      <c r="B41" s="70"/>
      <c r="C41" s="70"/>
      <c r="D41" s="70"/>
      <c r="E41" s="70"/>
      <c r="F41" s="70"/>
      <c r="G41" s="70"/>
      <c r="H41" s="70"/>
      <c r="I41" s="70"/>
      <c r="J41" s="70"/>
      <c r="K41" s="70"/>
      <c r="L41" s="70"/>
      <c r="M41" s="70"/>
      <c r="Q41" s="246" t="s">
        <v>45</v>
      </c>
      <c r="R41" s="274" t="s">
        <v>150</v>
      </c>
      <c r="S41" s="248" t="s">
        <v>22</v>
      </c>
      <c r="T41" s="377">
        <f>IF(T16&lt;20,"-",VLOOKUP(ref!$X$1&amp;ref!$W4&amp;22,MPAO5yr,6,FALSE))</f>
        <v>14.789785631197001</v>
      </c>
      <c r="U41" s="377">
        <f>IF(U16&lt;20,"-",VLOOKUP(ref!$X$2&amp;ref!$W4&amp;22,MPAO5yr,6,FALSE))</f>
        <v>22.085092562520298</v>
      </c>
      <c r="V41" s="377">
        <f>IF(V16&lt;20,"-",VLOOKUP(ref!$X$3&amp;ref!$W4&amp;22,MPAO5yr,6,FALSE))</f>
        <v>7.1460980036297599</v>
      </c>
      <c r="W41" s="377"/>
      <c r="X41" s="377"/>
      <c r="Y41" s="377"/>
      <c r="Z41" s="377"/>
      <c r="AA41" s="377"/>
      <c r="AB41" s="377"/>
      <c r="AC41" s="377"/>
      <c r="AD41" s="377"/>
      <c r="AE41" s="377"/>
      <c r="AF41" s="377"/>
      <c r="AG41" s="377"/>
      <c r="AH41" s="377"/>
      <c r="AI41" s="377"/>
      <c r="AJ41" s="377"/>
      <c r="AK41" s="377"/>
      <c r="AL41" s="377"/>
      <c r="AM41" s="377"/>
      <c r="AN41" s="377"/>
      <c r="AO41" s="377"/>
      <c r="AP41" s="616"/>
      <c r="AR41" s="613" t="s">
        <v>45</v>
      </c>
      <c r="AS41" s="616">
        <f>VLOOKUP(ref!$X$1&amp;ref!$W$4&amp;22,MPAO5yr,7,FALSE)</f>
        <v>1.8</v>
      </c>
      <c r="AU41" s="605">
        <f>T41+AS41</f>
        <v>16.589785631197</v>
      </c>
      <c r="AV41" s="605">
        <f>T41-AS41</f>
        <v>12.989785631197</v>
      </c>
    </row>
    <row r="42" spans="2:48">
      <c r="B42" s="70"/>
      <c r="C42" s="70"/>
      <c r="D42" s="70"/>
      <c r="E42" s="70"/>
      <c r="F42" s="70"/>
      <c r="G42" s="70"/>
      <c r="H42" s="70"/>
      <c r="I42" s="70"/>
      <c r="J42" s="70"/>
      <c r="K42" s="70"/>
      <c r="L42" s="70"/>
      <c r="M42" s="70"/>
      <c r="Q42" s="303"/>
      <c r="R42" s="303"/>
      <c r="S42" s="303"/>
      <c r="T42" s="266"/>
      <c r="U42" s="266"/>
      <c r="V42" s="266"/>
      <c r="W42" s="574"/>
      <c r="X42" s="574"/>
      <c r="Y42" s="574"/>
      <c r="Z42" s="574"/>
      <c r="AA42" s="574"/>
      <c r="AB42" s="574"/>
      <c r="AC42" s="574"/>
      <c r="AD42" s="574"/>
      <c r="AE42" s="574"/>
      <c r="AF42" s="574"/>
      <c r="AG42" s="574"/>
      <c r="AH42" s="574"/>
      <c r="AI42" s="574"/>
      <c r="AJ42" s="574"/>
      <c r="AK42" s="574"/>
      <c r="AL42" s="574"/>
      <c r="AM42" s="574"/>
      <c r="AN42" s="574"/>
      <c r="AO42" s="574"/>
      <c r="AP42" s="614"/>
      <c r="AS42" s="600" t="s">
        <v>16</v>
      </c>
      <c r="AU42" s="605"/>
      <c r="AV42" s="605"/>
    </row>
    <row r="43" spans="2:48">
      <c r="B43" s="70"/>
      <c r="C43" s="70"/>
      <c r="D43" s="70"/>
      <c r="E43" s="70"/>
      <c r="F43" s="70"/>
      <c r="G43" s="70"/>
      <c r="H43" s="70"/>
      <c r="I43" s="70"/>
      <c r="J43" s="70"/>
      <c r="K43" s="70"/>
      <c r="L43" s="70"/>
      <c r="M43" s="70"/>
      <c r="Q43" s="246" t="s">
        <v>3</v>
      </c>
      <c r="R43" s="274" t="s">
        <v>35</v>
      </c>
      <c r="S43" s="248" t="s">
        <v>22</v>
      </c>
      <c r="T43" s="377">
        <f>IF(T18&lt;20,"-",VLOOKUP(ref!$X$1&amp;ref!$W1&amp;23,MPAO5yr,6,FALSE))</f>
        <v>28.975646379803901</v>
      </c>
      <c r="U43" s="377">
        <f>IF(U18&lt;20,"-",VLOOKUP(ref!$X$2&amp;ref!$W1&amp;23,MPAO5yr,6,FALSE))</f>
        <v>46.075910699284698</v>
      </c>
      <c r="V43" s="377">
        <f>IF(V18&lt;20,"-",VLOOKUP(ref!$X$3&amp;ref!$W1&amp;23,MPAO5yr,6,FALSE))</f>
        <v>14.359376019841999</v>
      </c>
      <c r="W43" s="377"/>
      <c r="X43" s="377"/>
      <c r="Y43" s="377"/>
      <c r="Z43" s="377"/>
      <c r="AA43" s="377"/>
      <c r="AB43" s="377"/>
      <c r="AC43" s="377"/>
      <c r="AD43" s="377"/>
      <c r="AE43" s="377"/>
      <c r="AF43" s="377"/>
      <c r="AG43" s="377"/>
      <c r="AH43" s="377"/>
      <c r="AI43" s="377"/>
      <c r="AJ43" s="377"/>
      <c r="AK43" s="377"/>
      <c r="AL43" s="377"/>
      <c r="AM43" s="377"/>
      <c r="AN43" s="377"/>
      <c r="AO43" s="377"/>
      <c r="AP43" s="616"/>
      <c r="AQ43" s="606" t="s">
        <v>24</v>
      </c>
      <c r="AR43" s="613" t="s">
        <v>3</v>
      </c>
      <c r="AS43" s="616">
        <f>VLOOKUP(ref!$X$1&amp;ref!$W$1&amp;23,MPAO5yr,7,FALSE)</f>
        <v>3.6</v>
      </c>
      <c r="AU43" s="605">
        <f>T43+AS43</f>
        <v>32.575646379803899</v>
      </c>
      <c r="AV43" s="605">
        <f>T43-AS43</f>
        <v>25.3756463798039</v>
      </c>
    </row>
    <row r="44" spans="2:48">
      <c r="B44" s="70"/>
      <c r="C44" s="70"/>
      <c r="D44" s="70"/>
      <c r="E44" s="70"/>
      <c r="F44" s="70"/>
      <c r="G44" s="70"/>
      <c r="H44" s="70"/>
      <c r="I44" s="70"/>
      <c r="J44" s="70"/>
      <c r="K44" s="70"/>
      <c r="L44" s="70"/>
      <c r="M44" s="70"/>
      <c r="Q44" s="246" t="s">
        <v>79</v>
      </c>
      <c r="R44" s="274" t="s">
        <v>35</v>
      </c>
      <c r="S44" s="248" t="s">
        <v>22</v>
      </c>
      <c r="T44" s="377">
        <f>IF(T19&lt;20,"-",VLOOKUP(ref!$X$1&amp;ref!$W2&amp;23,MPAO5yr,6,FALSE))</f>
        <v>8.6865435221379101</v>
      </c>
      <c r="U44" s="377">
        <f>IF(U19&lt;20,"-",VLOOKUP(ref!$X$2&amp;ref!$W2&amp;23,MPAO5yr,6,FALSE))</f>
        <v>16.266988508159699</v>
      </c>
      <c r="V44" s="377" t="str">
        <f>IF(V19&lt;20,"-",VLOOKUP(ref!$X$3&amp;ref!$W2&amp;23,MPAO5yr,6,FALSE))</f>
        <v>-</v>
      </c>
      <c r="W44" s="377"/>
      <c r="X44" s="377"/>
      <c r="Y44" s="377"/>
      <c r="Z44" s="377"/>
      <c r="AA44" s="377"/>
      <c r="AB44" s="377"/>
      <c r="AC44" s="377"/>
      <c r="AD44" s="377"/>
      <c r="AE44" s="377"/>
      <c r="AF44" s="377"/>
      <c r="AG44" s="377"/>
      <c r="AH44" s="377"/>
      <c r="AI44" s="377"/>
      <c r="AJ44" s="377"/>
      <c r="AK44" s="377"/>
      <c r="AL44" s="377"/>
      <c r="AM44" s="377"/>
      <c r="AN44" s="377"/>
      <c r="AO44" s="377"/>
      <c r="AP44" s="616"/>
      <c r="AR44" s="613" t="s">
        <v>79</v>
      </c>
      <c r="AS44" s="616">
        <f>VLOOKUP(ref!$X$1&amp;ref!$W$2&amp;23,MPAO5yr,7,FALSE)</f>
        <v>2.9</v>
      </c>
      <c r="AU44" s="605">
        <f>T44+AS44</f>
        <v>11.586543522137911</v>
      </c>
      <c r="AV44" s="605">
        <f>T44-AS44</f>
        <v>5.7865435221379098</v>
      </c>
    </row>
    <row r="45" spans="2:48">
      <c r="B45" s="70"/>
      <c r="C45" s="70"/>
      <c r="D45" s="70"/>
      <c r="E45" s="70"/>
      <c r="F45" s="70"/>
      <c r="G45" s="70"/>
      <c r="H45" s="70"/>
      <c r="I45" s="70"/>
      <c r="J45" s="70"/>
      <c r="K45" s="70"/>
      <c r="L45" s="70"/>
      <c r="M45" s="70"/>
      <c r="Q45" s="246" t="s">
        <v>78</v>
      </c>
      <c r="R45" s="274" t="s">
        <v>35</v>
      </c>
      <c r="S45" s="248" t="s">
        <v>22</v>
      </c>
      <c r="T45" s="377">
        <f>IF(T20&lt;20,"-",VLOOKUP(ref!$X$1&amp;ref!$W3&amp;23,MPAO5yr,6,FALSE))</f>
        <v>4.5585626653717704</v>
      </c>
      <c r="U45" s="377">
        <f>IF(U20&lt;20,"-",VLOOKUP(ref!$X$2&amp;ref!$W3&amp;23,MPAO5yr,6,FALSE))</f>
        <v>6.8459049041573303</v>
      </c>
      <c r="V45" s="377" t="str">
        <f>IF(V20&lt;20,"-",VLOOKUP(ref!$X$3&amp;ref!$W3&amp;23,MPAO5yr,6,FALSE))</f>
        <v>-</v>
      </c>
      <c r="W45" s="377"/>
      <c r="X45" s="377"/>
      <c r="Y45" s="377"/>
      <c r="Z45" s="377"/>
      <c r="AA45" s="377"/>
      <c r="AB45" s="377"/>
      <c r="AC45" s="377"/>
      <c r="AD45" s="377"/>
      <c r="AE45" s="377"/>
      <c r="AF45" s="377"/>
      <c r="AG45" s="377"/>
      <c r="AH45" s="377"/>
      <c r="AI45" s="377"/>
      <c r="AJ45" s="377"/>
      <c r="AK45" s="377"/>
      <c r="AL45" s="377"/>
      <c r="AM45" s="377"/>
      <c r="AN45" s="377"/>
      <c r="AO45" s="377"/>
      <c r="AP45" s="616"/>
      <c r="AR45" s="613" t="s">
        <v>78</v>
      </c>
      <c r="AS45" s="616">
        <f>VLOOKUP(ref!$X$1&amp;ref!$W$3&amp;23,MPAO5yr,7,FALSE)</f>
        <v>1.3</v>
      </c>
      <c r="AU45" s="605">
        <f>T45+AS45</f>
        <v>5.8585626653717702</v>
      </c>
      <c r="AV45" s="605">
        <f>T45-AS45</f>
        <v>3.2585626653717705</v>
      </c>
    </row>
    <row r="46" spans="2:48">
      <c r="B46" s="70"/>
      <c r="C46" s="70"/>
      <c r="D46" s="70"/>
      <c r="E46" s="70"/>
      <c r="F46" s="70"/>
      <c r="G46" s="70"/>
      <c r="H46" s="70"/>
      <c r="I46" s="70"/>
      <c r="J46" s="70"/>
      <c r="K46" s="70"/>
      <c r="L46" s="70"/>
      <c r="M46" s="70"/>
      <c r="Q46" s="246" t="s">
        <v>45</v>
      </c>
      <c r="R46" s="274" t="s">
        <v>35</v>
      </c>
      <c r="S46" s="248" t="s">
        <v>22</v>
      </c>
      <c r="T46" s="377">
        <f>IF(T21&lt;20,"-",VLOOKUP(ref!$X$1&amp;ref!$W4&amp;23,MPAO5yr,6,FALSE))</f>
        <v>16.107864671833301</v>
      </c>
      <c r="U46" s="377">
        <f>IF(U21&lt;20,"-",VLOOKUP(ref!$X$2&amp;ref!$W4&amp;23,MPAO5yr,6,FALSE))</f>
        <v>24.4554141569675</v>
      </c>
      <c r="V46" s="377">
        <f>IF(V21&lt;20,"-",VLOOKUP(ref!$X$3&amp;ref!$W4&amp;23,MPAO5yr,6,FALSE))</f>
        <v>8.1496513460417503</v>
      </c>
      <c r="W46" s="377"/>
      <c r="X46" s="377"/>
      <c r="Y46" s="377"/>
      <c r="Z46" s="377"/>
      <c r="AA46" s="377"/>
      <c r="AB46" s="377"/>
      <c r="AC46" s="377"/>
      <c r="AD46" s="377"/>
      <c r="AE46" s="377"/>
      <c r="AF46" s="377"/>
      <c r="AG46" s="377"/>
      <c r="AH46" s="377"/>
      <c r="AI46" s="377"/>
      <c r="AJ46" s="377"/>
      <c r="AK46" s="377"/>
      <c r="AL46" s="377"/>
      <c r="AM46" s="377"/>
      <c r="AN46" s="377"/>
      <c r="AO46" s="377"/>
      <c r="AP46" s="616"/>
      <c r="AR46" s="613" t="s">
        <v>45</v>
      </c>
      <c r="AS46" s="616">
        <f>VLOOKUP(ref!$X$1&amp;ref!$W$4&amp;23,MPAO5yr,7,FALSE)</f>
        <v>1.3</v>
      </c>
      <c r="AU46" s="605">
        <f>T46+AS46</f>
        <v>17.407864671833302</v>
      </c>
      <c r="AV46" s="605">
        <f>T46-AS46</f>
        <v>14.8078646718333</v>
      </c>
    </row>
    <row r="47" spans="2:48">
      <c r="B47" s="70"/>
      <c r="C47" s="70"/>
      <c r="D47" s="70"/>
      <c r="E47" s="70"/>
      <c r="F47" s="70"/>
      <c r="G47" s="70"/>
      <c r="H47" s="70"/>
      <c r="I47" s="70"/>
      <c r="J47" s="70"/>
      <c r="K47" s="70"/>
      <c r="L47" s="70"/>
      <c r="M47" s="70"/>
      <c r="Q47" s="303"/>
      <c r="R47" s="303"/>
      <c r="S47" s="303"/>
      <c r="T47" s="266"/>
      <c r="U47" s="266"/>
      <c r="V47" s="266"/>
      <c r="W47" s="574"/>
      <c r="X47" s="574"/>
      <c r="Y47" s="574"/>
      <c r="Z47" s="574"/>
      <c r="AA47" s="574"/>
      <c r="AB47" s="574"/>
      <c r="AC47" s="574"/>
      <c r="AD47" s="574"/>
      <c r="AE47" s="574"/>
      <c r="AF47" s="574"/>
      <c r="AG47" s="574"/>
      <c r="AH47" s="574"/>
      <c r="AI47" s="574"/>
      <c r="AJ47" s="574"/>
      <c r="AK47" s="574"/>
      <c r="AL47" s="574"/>
      <c r="AM47" s="574"/>
      <c r="AN47" s="574"/>
      <c r="AO47" s="574"/>
      <c r="AP47" s="614"/>
      <c r="AS47" s="600" t="s">
        <v>16</v>
      </c>
      <c r="AU47" s="605"/>
      <c r="AV47" s="605"/>
    </row>
    <row r="48" spans="2:48">
      <c r="B48" s="70"/>
      <c r="C48" s="70"/>
      <c r="D48" s="70"/>
      <c r="E48" s="70"/>
      <c r="F48" s="70"/>
      <c r="G48" s="70"/>
      <c r="H48" s="70"/>
      <c r="I48" s="70"/>
      <c r="J48" s="70"/>
      <c r="K48" s="70"/>
      <c r="L48" s="70"/>
      <c r="M48" s="70"/>
      <c r="Q48" s="375" t="s">
        <v>3</v>
      </c>
      <c r="R48" s="375" t="s">
        <v>36</v>
      </c>
      <c r="S48" s="375" t="s">
        <v>22</v>
      </c>
      <c r="T48" s="377">
        <f>IF(T23&lt;20,"-",VLOOKUP(ref!$X$1&amp;ref!$W1&amp;24,MPAO5yr,6,FALSE))</f>
        <v>11.1591788067322</v>
      </c>
      <c r="U48" s="377">
        <f>IF(U23&lt;20,"-",VLOOKUP(ref!$X$2&amp;ref!$W1&amp;24,MPAO5yr,6,FALSE))</f>
        <v>17.275660875517499</v>
      </c>
      <c r="V48" s="377">
        <f>IF(V23&lt;20,"-",VLOOKUP(ref!$X$3&amp;ref!$W1&amp;24,MPAO5yr,6,FALSE))</f>
        <v>5.7577153385536599</v>
      </c>
      <c r="W48" s="377"/>
      <c r="X48" s="377"/>
      <c r="Y48" s="377"/>
      <c r="Z48" s="377"/>
      <c r="AA48" s="377"/>
      <c r="AB48" s="377"/>
      <c r="AC48" s="377"/>
      <c r="AD48" s="377"/>
      <c r="AE48" s="377"/>
      <c r="AF48" s="377"/>
      <c r="AG48" s="377"/>
      <c r="AH48" s="377"/>
      <c r="AI48" s="377"/>
      <c r="AJ48" s="377"/>
      <c r="AK48" s="377"/>
      <c r="AL48" s="377"/>
      <c r="AM48" s="377"/>
      <c r="AN48" s="377"/>
      <c r="AO48" s="377"/>
      <c r="AP48" s="616"/>
      <c r="AQ48" s="606" t="s">
        <v>25</v>
      </c>
      <c r="AR48" s="613" t="s">
        <v>3</v>
      </c>
      <c r="AS48" s="616">
        <f>VLOOKUP(ref!$X$1&amp;ref!$W$1&amp;24,MPAO5yr,7,FALSE)</f>
        <v>2.6</v>
      </c>
      <c r="AU48" s="605">
        <f>T48+AS48</f>
        <v>13.7591788067322</v>
      </c>
      <c r="AV48" s="605">
        <f>T48-AS48</f>
        <v>8.5591788067322003</v>
      </c>
    </row>
    <row r="49" spans="2:48">
      <c r="B49" s="70"/>
      <c r="C49" s="70"/>
      <c r="D49" s="70"/>
      <c r="E49" s="70"/>
      <c r="F49" s="70"/>
      <c r="G49" s="70"/>
      <c r="H49" s="70"/>
      <c r="I49" s="70"/>
      <c r="J49" s="70"/>
      <c r="K49" s="70"/>
      <c r="L49" s="70"/>
      <c r="M49" s="70"/>
      <c r="Q49" s="274" t="s">
        <v>79</v>
      </c>
      <c r="R49" s="274" t="s">
        <v>36</v>
      </c>
      <c r="S49" s="274" t="s">
        <v>22</v>
      </c>
      <c r="T49" s="377">
        <f>IF(T24&lt;20,"-",VLOOKUP(ref!$X$1&amp;ref!$W2&amp;24,MPAO5yr,6,FALSE))</f>
        <v>8.9609080386812501</v>
      </c>
      <c r="U49" s="377" t="str">
        <f>IF(U24&lt;20,"-",VLOOKUP(ref!$X$2&amp;ref!$W2&amp;24,MPAO5yr,6,FALSE))</f>
        <v>-</v>
      </c>
      <c r="V49" s="377" t="str">
        <f>IF(V24&lt;20,"-",VLOOKUP(ref!$X$3&amp;ref!$W2&amp;24,MPAO5yr,6,FALSE))</f>
        <v>-</v>
      </c>
      <c r="W49" s="377"/>
      <c r="X49" s="377"/>
      <c r="Y49" s="377"/>
      <c r="Z49" s="377"/>
      <c r="AA49" s="377"/>
      <c r="AB49" s="377"/>
      <c r="AC49" s="377"/>
      <c r="AD49" s="377"/>
      <c r="AE49" s="377"/>
      <c r="AF49" s="377"/>
      <c r="AG49" s="377"/>
      <c r="AH49" s="377"/>
      <c r="AI49" s="377"/>
      <c r="AJ49" s="377"/>
      <c r="AK49" s="377"/>
      <c r="AL49" s="377"/>
      <c r="AM49" s="377"/>
      <c r="AN49" s="377"/>
      <c r="AO49" s="377"/>
      <c r="AP49" s="616"/>
      <c r="AR49" s="613" t="s">
        <v>79</v>
      </c>
      <c r="AS49" s="616">
        <f>VLOOKUP(ref!$X$1&amp;ref!$W$2&amp;24,MPAO5yr,7,FALSE)</f>
        <v>3.6</v>
      </c>
      <c r="AU49" s="605">
        <f>T49+AS49</f>
        <v>12.56090803868125</v>
      </c>
      <c r="AV49" s="605">
        <f>T49-AS49</f>
        <v>5.3609080386812504</v>
      </c>
    </row>
    <row r="50" spans="2:48">
      <c r="B50" s="70"/>
      <c r="C50" s="70"/>
      <c r="D50" s="70"/>
      <c r="E50" s="70"/>
      <c r="F50" s="70"/>
      <c r="G50" s="70"/>
      <c r="H50" s="70"/>
      <c r="I50" s="70"/>
      <c r="J50" s="70"/>
      <c r="K50" s="70"/>
      <c r="L50" s="70"/>
      <c r="M50" s="70"/>
      <c r="Q50" s="274" t="s">
        <v>78</v>
      </c>
      <c r="R50" s="274" t="s">
        <v>36</v>
      </c>
      <c r="S50" s="274" t="s">
        <v>22</v>
      </c>
      <c r="T50" s="377">
        <f>IF(T25&lt;20,"-",VLOOKUP(ref!$X$1&amp;ref!$W3&amp;24,MPAO5yr,6,FALSE))</f>
        <v>6.8208284811179496</v>
      </c>
      <c r="U50" s="377">
        <f>IF(U25&lt;20,"-",VLOOKUP(ref!$X$2&amp;ref!$W3&amp;24,MPAO5yr,6,FALSE))</f>
        <v>8.4481175390266294</v>
      </c>
      <c r="V50" s="377" t="str">
        <f>IF(V25&lt;20,"-",VLOOKUP(ref!$X$3&amp;ref!$W3&amp;24,MPAO5yr,6,FALSE))</f>
        <v>-</v>
      </c>
      <c r="W50" s="377"/>
      <c r="X50" s="377"/>
      <c r="Y50" s="377"/>
      <c r="Z50" s="377"/>
      <c r="AA50" s="377"/>
      <c r="AB50" s="377"/>
      <c r="AC50" s="377"/>
      <c r="AD50" s="377"/>
      <c r="AE50" s="377"/>
      <c r="AF50" s="377"/>
      <c r="AG50" s="377"/>
      <c r="AH50" s="377"/>
      <c r="AI50" s="377"/>
      <c r="AJ50" s="377"/>
      <c r="AK50" s="377"/>
      <c r="AL50" s="377"/>
      <c r="AM50" s="377"/>
      <c r="AN50" s="377"/>
      <c r="AO50" s="377"/>
      <c r="AP50" s="616"/>
      <c r="AR50" s="613" t="s">
        <v>78</v>
      </c>
      <c r="AS50" s="616">
        <f>VLOOKUP(ref!$X$1&amp;ref!$W$3&amp;24,MPAO5yr,7,FALSE)</f>
        <v>2.1</v>
      </c>
      <c r="AU50" s="605">
        <f>T50+AS50</f>
        <v>8.9208284811179492</v>
      </c>
      <c r="AV50" s="605">
        <f>T50-AS50</f>
        <v>4.7208284811179499</v>
      </c>
    </row>
    <row r="51" spans="2:48">
      <c r="B51" s="70"/>
      <c r="C51" s="70"/>
      <c r="D51" s="70"/>
      <c r="E51" s="70"/>
      <c r="F51" s="70"/>
      <c r="G51" s="70"/>
      <c r="H51" s="70"/>
      <c r="I51" s="70"/>
      <c r="J51" s="70"/>
      <c r="K51" s="70"/>
      <c r="L51" s="70"/>
      <c r="M51" s="70"/>
      <c r="Q51" s="274" t="s">
        <v>45</v>
      </c>
      <c r="R51" s="274" t="s">
        <v>36</v>
      </c>
      <c r="S51" s="274" t="s">
        <v>22</v>
      </c>
      <c r="T51" s="377">
        <f>IF(T26&lt;20,"-",VLOOKUP(ref!$X$1&amp;ref!$W4&amp;24,MPAO5yr,6,FALSE))</f>
        <v>16.5308773172748</v>
      </c>
      <c r="U51" s="377">
        <f>IF(U26&lt;20,"-",VLOOKUP(ref!$X$2&amp;ref!$W4&amp;24,MPAO5yr,6,FALSE))</f>
        <v>24.6378903806362</v>
      </c>
      <c r="V51" s="377">
        <f>IF(V26&lt;20,"-",VLOOKUP(ref!$X$3&amp;ref!$W4&amp;24,MPAO5yr,6,FALSE))</f>
        <v>8.7181936644701192</v>
      </c>
      <c r="W51" s="377"/>
      <c r="X51" s="377"/>
      <c r="Y51" s="377"/>
      <c r="Z51" s="377"/>
      <c r="AA51" s="377"/>
      <c r="AB51" s="377"/>
      <c r="AC51" s="377"/>
      <c r="AD51" s="377"/>
      <c r="AE51" s="377"/>
      <c r="AF51" s="377"/>
      <c r="AG51" s="377"/>
      <c r="AH51" s="377"/>
      <c r="AI51" s="377"/>
      <c r="AJ51" s="377"/>
      <c r="AK51" s="377"/>
      <c r="AL51" s="377"/>
      <c r="AM51" s="377"/>
      <c r="AN51" s="377"/>
      <c r="AO51" s="377"/>
      <c r="AP51" s="616"/>
      <c r="AR51" s="613" t="s">
        <v>45</v>
      </c>
      <c r="AS51" s="616">
        <f>VLOOKUP(ref!$X$1&amp;ref!$W$4&amp;24,MPAO5yr,7,FALSE)</f>
        <v>1.2</v>
      </c>
      <c r="AU51" s="605">
        <f>T51+AS51</f>
        <v>17.7308773172748</v>
      </c>
      <c r="AV51" s="605">
        <f>T51-AS51</f>
        <v>15.330877317274801</v>
      </c>
    </row>
    <row r="52" spans="2:48">
      <c r="B52" s="70"/>
      <c r="C52" s="70"/>
      <c r="D52" s="70"/>
      <c r="E52" s="70"/>
      <c r="F52" s="70"/>
      <c r="G52" s="70"/>
      <c r="H52" s="70"/>
      <c r="I52" s="70"/>
      <c r="J52" s="70"/>
      <c r="K52" s="70"/>
      <c r="L52" s="70"/>
      <c r="M52" s="70"/>
      <c r="Q52" s="303"/>
      <c r="R52" s="303"/>
      <c r="S52" s="303"/>
      <c r="T52" s="266"/>
      <c r="U52" s="266"/>
      <c r="V52" s="266"/>
      <c r="W52" s="574"/>
      <c r="X52" s="574"/>
      <c r="Y52" s="574"/>
      <c r="Z52" s="574"/>
      <c r="AA52" s="574"/>
      <c r="AB52" s="574"/>
      <c r="AC52" s="574"/>
      <c r="AD52" s="574"/>
      <c r="AE52" s="574"/>
      <c r="AF52" s="574"/>
      <c r="AG52" s="574"/>
      <c r="AH52" s="574"/>
      <c r="AI52" s="574"/>
      <c r="AJ52" s="574"/>
      <c r="AK52" s="574"/>
      <c r="AL52" s="574"/>
      <c r="AM52" s="574"/>
      <c r="AN52" s="574"/>
      <c r="AO52" s="574"/>
      <c r="AP52" s="614"/>
    </row>
    <row r="53" spans="2:48">
      <c r="B53" s="70"/>
      <c r="C53" s="70"/>
      <c r="D53" s="70"/>
      <c r="E53" s="70"/>
      <c r="F53" s="70"/>
      <c r="G53" s="70"/>
      <c r="H53" s="70"/>
      <c r="I53" s="70"/>
      <c r="J53" s="70"/>
      <c r="K53" s="70"/>
      <c r="L53" s="70"/>
      <c r="M53" s="70"/>
      <c r="Q53" s="274" t="s">
        <v>3</v>
      </c>
      <c r="R53" s="274" t="s">
        <v>26</v>
      </c>
      <c r="S53" s="274" t="s">
        <v>22</v>
      </c>
      <c r="T53" s="377" t="str">
        <f>IF(T28&lt;20,"-",VLOOKUP(ref!$X$1&amp;ref!$W1&amp;25,MPAO5yr,6,FALSE))</f>
        <v>-</v>
      </c>
      <c r="U53" s="377" t="str">
        <f>IF(U28&lt;20,"-",VLOOKUP(ref!$X$2&amp;ref!$W1&amp;25,MPAO5yr,6,FALSE))</f>
        <v>-</v>
      </c>
      <c r="V53" s="377" t="str">
        <f>IF(V28&lt;20,"-",VLOOKUP(ref!$X$3&amp;ref!$W1&amp;25,MPAO5yr,6,FALSE))</f>
        <v>-</v>
      </c>
      <c r="W53" s="377"/>
      <c r="X53" s="377"/>
      <c r="Y53" s="377"/>
      <c r="Z53" s="377"/>
      <c r="AA53" s="377"/>
      <c r="AB53" s="377"/>
      <c r="AC53" s="377"/>
      <c r="AD53" s="377"/>
      <c r="AE53" s="377"/>
      <c r="AF53" s="377"/>
      <c r="AG53" s="377"/>
      <c r="AH53" s="377"/>
      <c r="AI53" s="377"/>
      <c r="AJ53" s="377"/>
      <c r="AK53" s="377"/>
      <c r="AL53" s="377"/>
      <c r="AM53" s="377"/>
      <c r="AN53" s="377"/>
      <c r="AO53" s="377"/>
      <c r="AP53" s="616"/>
    </row>
    <row r="54" spans="2:48">
      <c r="B54" s="70"/>
      <c r="C54" s="70"/>
      <c r="D54" s="70"/>
      <c r="E54" s="70"/>
      <c r="F54" s="70"/>
      <c r="G54" s="70"/>
      <c r="H54" s="70"/>
      <c r="I54" s="70"/>
      <c r="J54" s="70"/>
      <c r="K54" s="70"/>
      <c r="L54" s="70"/>
      <c r="M54" s="70"/>
      <c r="Q54" s="274" t="s">
        <v>79</v>
      </c>
      <c r="R54" s="274" t="s">
        <v>26</v>
      </c>
      <c r="S54" s="274" t="s">
        <v>22</v>
      </c>
      <c r="T54" s="377" t="str">
        <f>IF(T29&lt;20,"-",VLOOKUP(ref!$X$1&amp;ref!$W2&amp;25,MPAO5yr,6,FALSE))</f>
        <v>-</v>
      </c>
      <c r="U54" s="377" t="str">
        <f>IF(U29&lt;20,"-",VLOOKUP(ref!$X$2&amp;ref!$W2&amp;25,MPAO5yr,6,FALSE))</f>
        <v>-</v>
      </c>
      <c r="V54" s="377" t="str">
        <f>IF(V29&lt;20,"-",VLOOKUP(ref!$X$3&amp;ref!$W2&amp;25,MPAO5yr,6,FALSE))</f>
        <v>-</v>
      </c>
      <c r="W54" s="377"/>
      <c r="X54" s="377"/>
      <c r="Y54" s="377"/>
      <c r="Z54" s="377"/>
      <c r="AA54" s="377"/>
      <c r="AB54" s="377"/>
      <c r="AC54" s="377"/>
      <c r="AD54" s="377"/>
      <c r="AE54" s="377"/>
      <c r="AF54" s="377"/>
      <c r="AG54" s="377"/>
      <c r="AH54" s="377"/>
      <c r="AI54" s="377"/>
      <c r="AJ54" s="377"/>
      <c r="AK54" s="377"/>
      <c r="AL54" s="377"/>
      <c r="AM54" s="377"/>
      <c r="AN54" s="377"/>
      <c r="AO54" s="377"/>
      <c r="AP54" s="616"/>
    </row>
    <row r="55" spans="2:48" ht="13.5" customHeight="1">
      <c r="B55" s="70"/>
      <c r="C55" s="81" t="s">
        <v>99</v>
      </c>
      <c r="D55" s="70"/>
      <c r="E55" s="70"/>
      <c r="F55" s="70"/>
      <c r="G55" s="70"/>
      <c r="H55" s="70"/>
      <c r="I55" s="70"/>
      <c r="J55" s="70"/>
      <c r="K55" s="70"/>
      <c r="L55" s="70"/>
      <c r="M55" s="70"/>
      <c r="Q55" s="274" t="s">
        <v>78</v>
      </c>
      <c r="R55" s="274" t="s">
        <v>26</v>
      </c>
      <c r="S55" s="274" t="s">
        <v>22</v>
      </c>
      <c r="T55" s="377" t="str">
        <f>IF(T30&lt;20,"-",VLOOKUP(ref!$X$1&amp;ref!$W3&amp;25,MPAO5yr,6,FALSE))</f>
        <v>-</v>
      </c>
      <c r="U55" s="377" t="str">
        <f>IF(U30&lt;20,"-",VLOOKUP(ref!$X$2&amp;ref!$W3&amp;25,MPAO5yr,6,FALSE))</f>
        <v>-</v>
      </c>
      <c r="V55" s="377" t="str">
        <f>IF(V30&lt;20,"-",VLOOKUP(ref!$X$3&amp;ref!$W3&amp;25,MPAO5yr,6,FALSE))</f>
        <v>-</v>
      </c>
      <c r="W55" s="377"/>
      <c r="X55" s="377"/>
      <c r="Y55" s="377"/>
      <c r="Z55" s="377"/>
      <c r="AA55" s="377"/>
      <c r="AB55" s="377"/>
      <c r="AC55" s="377"/>
      <c r="AD55" s="377"/>
      <c r="AE55" s="377"/>
      <c r="AF55" s="377"/>
      <c r="AG55" s="377"/>
      <c r="AH55" s="377"/>
      <c r="AI55" s="377"/>
      <c r="AJ55" s="377"/>
      <c r="AK55" s="377"/>
      <c r="AL55" s="377"/>
      <c r="AM55" s="377"/>
      <c r="AN55" s="377"/>
      <c r="AO55" s="377"/>
      <c r="AP55" s="616"/>
    </row>
    <row r="56" spans="2:48" ht="13.5" customHeight="1">
      <c r="B56" s="70"/>
      <c r="C56" s="662" t="s">
        <v>539</v>
      </c>
      <c r="D56" s="635"/>
      <c r="E56" s="635"/>
      <c r="F56" s="635"/>
      <c r="G56" s="635"/>
      <c r="H56" s="635"/>
      <c r="I56" s="635"/>
      <c r="J56" s="635"/>
      <c r="K56" s="635"/>
      <c r="L56" s="635"/>
      <c r="M56" s="635"/>
      <c r="Q56" s="274" t="s">
        <v>45</v>
      </c>
      <c r="R56" s="274" t="s">
        <v>26</v>
      </c>
      <c r="S56" s="274" t="s">
        <v>22</v>
      </c>
      <c r="T56" s="377">
        <f>IF(T31&lt;20,"-",VLOOKUP(ref!$X$1&amp;ref!$W4&amp;25,MPAO5yr,6,FALSE))</f>
        <v>10.161393191866599</v>
      </c>
      <c r="U56" s="377">
        <f>IF(U31&lt;20,"-",VLOOKUP(ref!$X$2&amp;ref!$W4&amp;25,MPAO5yr,6,FALSE))</f>
        <v>17.6682570692487</v>
      </c>
      <c r="V56" s="377">
        <f>IF(V31&lt;20,"-",VLOOKUP(ref!$X$3&amp;ref!$W4&amp;25,MPAO5yr,6,FALSE))</f>
        <v>3.6902102077923802</v>
      </c>
      <c r="W56" s="377"/>
      <c r="X56" s="377"/>
      <c r="Y56" s="377"/>
      <c r="Z56" s="377"/>
      <c r="AA56" s="377"/>
      <c r="AB56" s="377"/>
      <c r="AC56" s="377"/>
      <c r="AD56" s="377"/>
      <c r="AE56" s="377"/>
      <c r="AF56" s="377"/>
      <c r="AG56" s="377"/>
      <c r="AH56" s="377"/>
      <c r="AI56" s="377"/>
      <c r="AJ56" s="377"/>
      <c r="AK56" s="377"/>
      <c r="AL56" s="377"/>
      <c r="AM56" s="377"/>
      <c r="AN56" s="377"/>
      <c r="AO56" s="377"/>
      <c r="AP56" s="616"/>
    </row>
    <row r="57" spans="2:48" ht="24" customHeight="1">
      <c r="B57" s="70"/>
      <c r="C57" s="662" t="s">
        <v>412</v>
      </c>
      <c r="D57" s="658"/>
      <c r="E57" s="658"/>
      <c r="F57" s="658"/>
      <c r="G57" s="658"/>
      <c r="H57" s="658"/>
      <c r="I57" s="658"/>
      <c r="J57" s="658"/>
      <c r="K57" s="658"/>
      <c r="L57" s="658"/>
      <c r="M57" s="70"/>
      <c r="Q57" s="265" t="s">
        <v>99</v>
      </c>
      <c r="R57" s="188"/>
      <c r="S57" s="188"/>
      <c r="T57" s="267"/>
      <c r="U57" s="267"/>
      <c r="V57" s="267"/>
      <c r="W57" s="267"/>
      <c r="X57" s="267"/>
      <c r="Y57" s="267"/>
      <c r="Z57" s="267"/>
      <c r="AA57" s="267"/>
      <c r="AB57" s="267"/>
      <c r="AC57" s="267"/>
      <c r="AD57" s="267"/>
      <c r="AE57" s="267"/>
      <c r="AF57" s="267"/>
      <c r="AG57" s="267"/>
      <c r="AH57" s="267"/>
      <c r="AI57" s="267"/>
      <c r="AJ57" s="267"/>
      <c r="AK57" s="267"/>
      <c r="AL57" s="267"/>
      <c r="AM57" s="267"/>
      <c r="AN57" s="267"/>
      <c r="AO57" s="267"/>
      <c r="AP57" s="618"/>
      <c r="AQ57" s="619"/>
    </row>
    <row r="58" spans="2:48" ht="24" customHeight="1">
      <c r="B58" s="70"/>
      <c r="C58" s="455" t="s">
        <v>300</v>
      </c>
      <c r="D58" s="70"/>
      <c r="E58" s="70"/>
      <c r="F58" s="70"/>
      <c r="G58" s="70"/>
      <c r="H58" s="70"/>
      <c r="I58" s="70"/>
      <c r="J58" s="70"/>
      <c r="K58" s="70"/>
      <c r="L58" s="423"/>
      <c r="M58" s="70"/>
      <c r="N58" s="265"/>
      <c r="P58" s="265"/>
      <c r="Q58" s="676" t="s">
        <v>599</v>
      </c>
      <c r="R58" s="683"/>
      <c r="S58" s="683"/>
      <c r="T58" s="683"/>
      <c r="U58" s="683"/>
      <c r="V58" s="683"/>
      <c r="W58" s="571"/>
      <c r="X58" s="571"/>
      <c r="Y58" s="571"/>
      <c r="Z58" s="571"/>
      <c r="AA58" s="571"/>
      <c r="AB58" s="571"/>
      <c r="AC58" s="571"/>
      <c r="AD58" s="571"/>
      <c r="AE58" s="571"/>
      <c r="AF58" s="571"/>
      <c r="AG58" s="571"/>
      <c r="AH58" s="571"/>
      <c r="AI58" s="571"/>
      <c r="AJ58" s="571"/>
      <c r="AK58" s="571"/>
      <c r="AL58" s="571"/>
      <c r="AM58" s="571"/>
      <c r="AN58" s="571"/>
      <c r="AO58" s="571"/>
      <c r="AP58" s="604"/>
    </row>
    <row r="59" spans="2:48" ht="23.25" customHeight="1">
      <c r="M59" s="195"/>
      <c r="N59" s="195"/>
      <c r="O59" s="195"/>
      <c r="P59" s="195"/>
      <c r="Q59" s="676" t="s">
        <v>543</v>
      </c>
      <c r="R59" s="683"/>
      <c r="S59" s="683"/>
      <c r="T59" s="683"/>
      <c r="U59" s="683"/>
      <c r="V59" s="683"/>
      <c r="W59" s="571"/>
      <c r="X59" s="571"/>
      <c r="Y59" s="571"/>
      <c r="Z59" s="571"/>
      <c r="AA59" s="571"/>
      <c r="AB59" s="571"/>
      <c r="AC59" s="571"/>
      <c r="AD59" s="571"/>
      <c r="AE59" s="571"/>
      <c r="AF59" s="571"/>
      <c r="AG59" s="571"/>
      <c r="AH59" s="571"/>
      <c r="AI59" s="571"/>
      <c r="AJ59" s="571"/>
      <c r="AK59" s="571"/>
      <c r="AL59" s="571"/>
      <c r="AM59" s="571"/>
      <c r="AN59" s="571"/>
      <c r="AO59" s="571"/>
      <c r="AP59" s="604"/>
    </row>
    <row r="60" spans="2:48" ht="24.75" customHeight="1">
      <c r="Q60" s="645" t="s">
        <v>421</v>
      </c>
      <c r="R60" s="639"/>
      <c r="S60" s="639"/>
      <c r="T60" s="639"/>
      <c r="U60" s="639"/>
      <c r="V60" s="639"/>
      <c r="W60" s="569"/>
      <c r="X60" s="569"/>
      <c r="Y60" s="569"/>
      <c r="Z60" s="569"/>
      <c r="AA60" s="569"/>
      <c r="AB60" s="569"/>
      <c r="AC60" s="569"/>
      <c r="AD60" s="569"/>
      <c r="AE60" s="569"/>
      <c r="AF60" s="569"/>
      <c r="AG60" s="569"/>
      <c r="AH60" s="569"/>
      <c r="AI60" s="569"/>
      <c r="AJ60" s="569"/>
      <c r="AK60" s="569"/>
      <c r="AL60" s="569"/>
      <c r="AM60" s="569"/>
      <c r="AN60" s="569"/>
      <c r="AO60" s="569"/>
      <c r="AP60" s="620"/>
      <c r="AQ60" s="621"/>
    </row>
    <row r="61" spans="2:48" ht="12.75" customHeight="1">
      <c r="Q61" s="188" t="s">
        <v>100</v>
      </c>
      <c r="AQ61" s="622"/>
    </row>
    <row r="62" spans="2:48">
      <c r="O62" s="329"/>
      <c r="P62" s="329"/>
      <c r="Q62" s="187"/>
      <c r="R62" s="187"/>
      <c r="S62" s="187"/>
      <c r="T62" s="259"/>
      <c r="U62" s="259"/>
      <c r="V62" s="259"/>
      <c r="W62" s="259"/>
      <c r="X62" s="259"/>
      <c r="Y62" s="259"/>
      <c r="Z62" s="259"/>
      <c r="AA62" s="259"/>
      <c r="AB62" s="259"/>
      <c r="AC62" s="259"/>
      <c r="AD62" s="259"/>
      <c r="AE62" s="259"/>
      <c r="AF62" s="259"/>
      <c r="AG62" s="259"/>
      <c r="AH62" s="259"/>
      <c r="AI62" s="259"/>
      <c r="AJ62" s="259"/>
      <c r="AK62" s="259"/>
      <c r="AL62" s="259"/>
      <c r="AM62" s="259"/>
      <c r="AN62" s="259"/>
      <c r="AO62" s="259"/>
      <c r="AP62" s="623"/>
    </row>
    <row r="65" spans="2:50" ht="15.75">
      <c r="C65" s="253" t="s">
        <v>5</v>
      </c>
      <c r="Q65" s="258" t="s">
        <v>542</v>
      </c>
      <c r="R65" s="252"/>
      <c r="S65" s="252"/>
    </row>
    <row r="67" spans="2:50">
      <c r="B67" s="70"/>
      <c r="C67" s="70"/>
      <c r="D67" s="70"/>
      <c r="E67" s="70"/>
      <c r="F67" s="70"/>
      <c r="G67" s="70"/>
      <c r="H67" s="70"/>
      <c r="I67" s="70"/>
      <c r="J67" s="70"/>
      <c r="K67" s="70"/>
      <c r="L67" s="70"/>
      <c r="M67" s="70"/>
      <c r="Q67" s="372" t="s">
        <v>302</v>
      </c>
      <c r="R67" s="440" t="s">
        <v>5</v>
      </c>
      <c r="S67" s="440"/>
      <c r="T67" s="441" t="s">
        <v>0</v>
      </c>
      <c r="U67" s="441" t="s">
        <v>20</v>
      </c>
      <c r="V67" s="441" t="s">
        <v>8</v>
      </c>
      <c r="W67" s="441"/>
      <c r="X67" s="441"/>
      <c r="Y67" s="441"/>
      <c r="Z67" s="441"/>
      <c r="AA67" s="441"/>
      <c r="AB67" s="441"/>
      <c r="AC67" s="441"/>
      <c r="AD67" s="441"/>
      <c r="AE67" s="441"/>
      <c r="AF67" s="441"/>
      <c r="AG67" s="441"/>
      <c r="AH67" s="441"/>
      <c r="AI67" s="441"/>
      <c r="AJ67" s="441"/>
      <c r="AK67" s="441"/>
      <c r="AL67" s="441"/>
      <c r="AM67" s="441"/>
      <c r="AN67" s="441"/>
      <c r="AO67" s="441"/>
      <c r="AP67" s="608"/>
    </row>
    <row r="68" spans="2:50" ht="15">
      <c r="B68" s="70"/>
      <c r="C68" s="91" t="s">
        <v>545</v>
      </c>
      <c r="D68" s="70"/>
      <c r="E68" s="70"/>
      <c r="F68" s="70"/>
      <c r="G68" s="70"/>
      <c r="H68" s="70"/>
      <c r="I68" s="70"/>
      <c r="J68" s="70"/>
      <c r="K68" s="70"/>
      <c r="L68" s="70"/>
      <c r="M68" s="70"/>
      <c r="O68" s="329" t="s">
        <v>153</v>
      </c>
      <c r="Q68" s="274"/>
      <c r="R68" s="440" t="s">
        <v>384</v>
      </c>
      <c r="S68" s="274"/>
      <c r="T68" s="274"/>
      <c r="U68" s="274"/>
      <c r="V68" s="274"/>
      <c r="W68" s="274"/>
      <c r="X68" s="274"/>
      <c r="Y68" s="274"/>
      <c r="Z68" s="274"/>
      <c r="AA68" s="274"/>
      <c r="AB68" s="274"/>
      <c r="AC68" s="274"/>
      <c r="AD68" s="274"/>
      <c r="AE68" s="274"/>
      <c r="AF68" s="274"/>
      <c r="AG68" s="274"/>
      <c r="AH68" s="274"/>
      <c r="AI68" s="274"/>
      <c r="AJ68" s="274"/>
      <c r="AK68" s="274"/>
      <c r="AL68" s="274"/>
      <c r="AM68" s="274"/>
      <c r="AN68" s="274"/>
      <c r="AO68" s="274"/>
      <c r="AP68" s="601"/>
    </row>
    <row r="69" spans="2:50">
      <c r="B69" s="70"/>
      <c r="C69" s="70"/>
      <c r="D69" s="70"/>
      <c r="E69" s="70"/>
      <c r="F69" s="70"/>
      <c r="G69" s="70"/>
      <c r="H69" s="70"/>
      <c r="I69" s="70"/>
      <c r="J69" s="70"/>
      <c r="K69" s="70"/>
      <c r="L69" s="70"/>
      <c r="M69" s="70"/>
      <c r="Q69" s="274"/>
      <c r="R69" s="440"/>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601"/>
    </row>
    <row r="70" spans="2:50">
      <c r="B70" s="70"/>
      <c r="C70" s="70"/>
      <c r="D70" s="70"/>
      <c r="E70" s="70"/>
      <c r="F70" s="70"/>
      <c r="G70" s="70"/>
      <c r="H70" s="70"/>
      <c r="I70" s="70"/>
      <c r="J70" s="70"/>
      <c r="K70" s="70"/>
      <c r="L70" s="70"/>
      <c r="M70" s="70"/>
      <c r="Q70" s="246" t="s">
        <v>3</v>
      </c>
      <c r="R70" s="246">
        <v>1</v>
      </c>
      <c r="S70" s="246" t="s">
        <v>304</v>
      </c>
      <c r="T70" s="381">
        <f>VLOOKUP(ref!$X$1&amp;ref!$W$1&amp;19&amp;ref!$Y1,MPAOdep5yr,6,FALSE)</f>
        <v>17</v>
      </c>
      <c r="U70" s="381">
        <f>VLOOKUP(ref!$X$2&amp;ref!$W$1&amp;19&amp;ref!$Y1,MPAOdep5yr,6,FALSE)</f>
        <v>10</v>
      </c>
      <c r="V70" s="381">
        <f>VLOOKUP(ref!$X$3&amp;ref!$W$1&amp;19&amp;ref!$Y1,MPAOdep5yr,6,FALSE)</f>
        <v>7</v>
      </c>
      <c r="W70" s="381"/>
      <c r="X70" s="381"/>
      <c r="Y70" s="381"/>
      <c r="Z70" s="381"/>
      <c r="AA70" s="381"/>
      <c r="AB70" s="381"/>
      <c r="AC70" s="381"/>
      <c r="AD70" s="381"/>
      <c r="AE70" s="381"/>
      <c r="AF70" s="381"/>
      <c r="AG70" s="381"/>
      <c r="AH70" s="381"/>
      <c r="AI70" s="381"/>
      <c r="AJ70" s="381"/>
      <c r="AK70" s="381"/>
      <c r="AL70" s="381"/>
      <c r="AM70" s="381"/>
      <c r="AN70" s="381"/>
      <c r="AO70" s="381"/>
      <c r="AP70" s="609"/>
    </row>
    <row r="71" spans="2:50">
      <c r="B71" s="70"/>
      <c r="C71" s="70"/>
      <c r="D71" s="70"/>
      <c r="E71" s="70"/>
      <c r="F71" s="70"/>
      <c r="G71" s="70"/>
      <c r="H71" s="70"/>
      <c r="I71" s="70"/>
      <c r="J71" s="70"/>
      <c r="K71" s="70"/>
      <c r="L71" s="70"/>
      <c r="M71" s="70"/>
      <c r="Q71" s="246"/>
      <c r="R71" s="246">
        <v>2</v>
      </c>
      <c r="S71" s="246" t="s">
        <v>21</v>
      </c>
      <c r="T71" s="381">
        <f>VLOOKUP(ref!$X$1&amp;ref!$W$1&amp;19&amp;ref!$Y2,MPAOdep5yr,6,FALSE)</f>
        <v>45</v>
      </c>
      <c r="U71" s="381">
        <f>VLOOKUP(ref!$X$2&amp;ref!$W$1&amp;19&amp;ref!$Y2,MPAOdep5yr,6,FALSE)</f>
        <v>31</v>
      </c>
      <c r="V71" s="381">
        <f>VLOOKUP(ref!$X$3&amp;ref!$W$1&amp;19&amp;ref!$Y2,MPAOdep5yr,6,FALSE)</f>
        <v>14</v>
      </c>
      <c r="W71" s="381"/>
      <c r="X71" s="381"/>
      <c r="Y71" s="381"/>
      <c r="Z71" s="381"/>
      <c r="AA71" s="381"/>
      <c r="AB71" s="381"/>
      <c r="AC71" s="381"/>
      <c r="AD71" s="381"/>
      <c r="AE71" s="381"/>
      <c r="AF71" s="381"/>
      <c r="AG71" s="381"/>
      <c r="AH71" s="381"/>
      <c r="AI71" s="381"/>
      <c r="AJ71" s="381"/>
      <c r="AK71" s="381"/>
      <c r="AL71" s="381"/>
      <c r="AM71" s="381"/>
      <c r="AN71" s="381"/>
      <c r="AO71" s="381"/>
      <c r="AP71" s="609"/>
    </row>
    <row r="72" spans="2:50">
      <c r="B72" s="70"/>
      <c r="C72" s="70"/>
      <c r="D72" s="70"/>
      <c r="E72" s="70"/>
      <c r="F72" s="70"/>
      <c r="G72" s="70"/>
      <c r="H72" s="70"/>
      <c r="I72" s="70"/>
      <c r="J72" s="70"/>
      <c r="K72" s="70"/>
      <c r="L72" s="70"/>
      <c r="M72" s="70"/>
      <c r="Q72" s="246"/>
      <c r="R72" s="246">
        <v>3</v>
      </c>
      <c r="S72" s="246" t="s">
        <v>21</v>
      </c>
      <c r="T72" s="381">
        <f>VLOOKUP(ref!$X$1&amp;ref!$W$1&amp;19&amp;ref!$Y3,MPAOdep5yr,6,FALSE)</f>
        <v>84</v>
      </c>
      <c r="U72" s="381">
        <f>VLOOKUP(ref!$X$2&amp;ref!$W$1&amp;19&amp;ref!$Y3,MPAOdep5yr,6,FALSE)</f>
        <v>59</v>
      </c>
      <c r="V72" s="381">
        <f>VLOOKUP(ref!$X$3&amp;ref!$W$1&amp;19&amp;ref!$Y3,MPAOdep5yr,6,FALSE)</f>
        <v>25</v>
      </c>
      <c r="W72" s="381"/>
      <c r="X72" s="381"/>
      <c r="Y72" s="381"/>
      <c r="Z72" s="381"/>
      <c r="AA72" s="381"/>
      <c r="AB72" s="381"/>
      <c r="AC72" s="381"/>
      <c r="AD72" s="381"/>
      <c r="AE72" s="381"/>
      <c r="AF72" s="381"/>
      <c r="AG72" s="381"/>
      <c r="AH72" s="381"/>
      <c r="AI72" s="381"/>
      <c r="AJ72" s="381"/>
      <c r="AK72" s="381"/>
      <c r="AL72" s="381"/>
      <c r="AM72" s="381"/>
      <c r="AN72" s="381"/>
      <c r="AO72" s="381"/>
      <c r="AP72" s="609"/>
      <c r="AW72" s="624" t="s">
        <v>9</v>
      </c>
      <c r="AX72" s="624" t="s">
        <v>0</v>
      </c>
    </row>
    <row r="73" spans="2:50">
      <c r="B73" s="70"/>
      <c r="C73" s="70"/>
      <c r="D73" s="70"/>
      <c r="E73" s="70"/>
      <c r="F73" s="70"/>
      <c r="G73" s="70"/>
      <c r="H73" s="70"/>
      <c r="I73" s="70"/>
      <c r="J73" s="70"/>
      <c r="K73" s="70"/>
      <c r="L73" s="70"/>
      <c r="M73" s="70"/>
      <c r="Q73" s="246"/>
      <c r="R73" s="246">
        <v>4</v>
      </c>
      <c r="S73" s="246" t="s">
        <v>21</v>
      </c>
      <c r="T73" s="381">
        <f>VLOOKUP(ref!$X$1&amp;ref!$W$1&amp;19&amp;ref!$Y4,MPAOdep5yr,6,FALSE)</f>
        <v>149</v>
      </c>
      <c r="U73" s="381">
        <f>VLOOKUP(ref!$X$2&amp;ref!$W$1&amp;19&amp;ref!$Y4,MPAOdep5yr,6,FALSE)</f>
        <v>107</v>
      </c>
      <c r="V73" s="381">
        <f>VLOOKUP(ref!$X$3&amp;ref!$W$1&amp;19&amp;ref!$Y4,MPAOdep5yr,6,FALSE)</f>
        <v>42</v>
      </c>
      <c r="W73" s="381"/>
      <c r="X73" s="381"/>
      <c r="Y73" s="381"/>
      <c r="Z73" s="381"/>
      <c r="AA73" s="381"/>
      <c r="AB73" s="381"/>
      <c r="AC73" s="381"/>
      <c r="AD73" s="381"/>
      <c r="AE73" s="381"/>
      <c r="AF73" s="381"/>
      <c r="AG73" s="381"/>
      <c r="AH73" s="381"/>
      <c r="AI73" s="381"/>
      <c r="AJ73" s="381"/>
      <c r="AK73" s="381"/>
      <c r="AL73" s="381"/>
      <c r="AM73" s="381"/>
      <c r="AN73" s="381"/>
      <c r="AO73" s="381"/>
      <c r="AP73" s="609"/>
    </row>
    <row r="74" spans="2:50">
      <c r="B74" s="70"/>
      <c r="C74" s="70"/>
      <c r="D74" s="70"/>
      <c r="E74" s="70"/>
      <c r="F74" s="70"/>
      <c r="G74" s="70"/>
      <c r="H74" s="70"/>
      <c r="I74" s="70"/>
      <c r="J74" s="70"/>
      <c r="K74" s="70"/>
      <c r="L74" s="70"/>
      <c r="M74" s="70"/>
      <c r="Q74" s="248"/>
      <c r="R74" s="246">
        <v>5</v>
      </c>
      <c r="S74" s="246" t="s">
        <v>21</v>
      </c>
      <c r="T74" s="381">
        <f>VLOOKUP(ref!$X$1&amp;ref!$W$1&amp;19&amp;ref!$Y5,MPAOdep5yr,6,FALSE)</f>
        <v>266</v>
      </c>
      <c r="U74" s="381">
        <f>VLOOKUP(ref!$X$2&amp;ref!$W$1&amp;19&amp;ref!$Y5,MPAOdep5yr,6,FALSE)</f>
        <v>177</v>
      </c>
      <c r="V74" s="381">
        <f>VLOOKUP(ref!$X$3&amp;ref!$W$1&amp;19&amp;ref!$Y5,MPAOdep5yr,6,FALSE)</f>
        <v>89</v>
      </c>
      <c r="W74" s="381"/>
      <c r="X74" s="381"/>
      <c r="Y74" s="381"/>
      <c r="Z74" s="381"/>
      <c r="AA74" s="381"/>
      <c r="AB74" s="381"/>
      <c r="AC74" s="381"/>
      <c r="AD74" s="381"/>
      <c r="AE74" s="381"/>
      <c r="AF74" s="381"/>
      <c r="AG74" s="381"/>
      <c r="AH74" s="381"/>
      <c r="AI74" s="381"/>
      <c r="AJ74" s="381"/>
      <c r="AK74" s="381"/>
      <c r="AL74" s="381"/>
      <c r="AM74" s="381"/>
      <c r="AN74" s="381"/>
      <c r="AO74" s="381"/>
      <c r="AP74" s="609"/>
      <c r="AX74" s="605" t="str">
        <f>IF(T70&lt;20, "-",VLOOKUP(ref!$X$1&amp;ref!$W$1&amp;19&amp;ref!$Y1,MPAOdep5yr,8,FALSE))</f>
        <v>-</v>
      </c>
    </row>
    <row r="75" spans="2:50">
      <c r="B75" s="70"/>
      <c r="C75" s="70"/>
      <c r="D75" s="70"/>
      <c r="E75" s="70"/>
      <c r="F75" s="70"/>
      <c r="G75" s="70"/>
      <c r="H75" s="70"/>
      <c r="I75" s="70"/>
      <c r="J75" s="70"/>
      <c r="K75" s="70"/>
      <c r="L75" s="70"/>
      <c r="M75" s="70"/>
      <c r="Q75" s="262"/>
      <c r="R75" s="262"/>
      <c r="S75" s="262"/>
      <c r="T75" s="266"/>
      <c r="U75" s="266"/>
      <c r="V75" s="266"/>
      <c r="W75" s="574"/>
      <c r="X75" s="574"/>
      <c r="Y75" s="574"/>
      <c r="Z75" s="574"/>
      <c r="AA75" s="574"/>
      <c r="AB75" s="574"/>
      <c r="AC75" s="574"/>
      <c r="AD75" s="574"/>
      <c r="AE75" s="574"/>
      <c r="AF75" s="574"/>
      <c r="AG75" s="574"/>
      <c r="AH75" s="574"/>
      <c r="AI75" s="574"/>
      <c r="AJ75" s="574"/>
      <c r="AK75" s="574"/>
      <c r="AL75" s="574"/>
      <c r="AM75" s="574"/>
      <c r="AN75" s="574"/>
      <c r="AO75" s="574"/>
      <c r="AP75" s="614"/>
      <c r="AX75" s="605">
        <f>IF(T71&lt;20, "-",VLOOKUP(ref!$X$1&amp;ref!$W$1&amp;19&amp;ref!$Y2,MPAOdep5yr,8,FALSE))</f>
        <v>3.5</v>
      </c>
    </row>
    <row r="76" spans="2:50">
      <c r="B76" s="70"/>
      <c r="C76" s="70"/>
      <c r="D76" s="70"/>
      <c r="E76" s="70"/>
      <c r="F76" s="70"/>
      <c r="G76" s="70"/>
      <c r="H76" s="70"/>
      <c r="I76" s="70"/>
      <c r="J76" s="70"/>
      <c r="K76" s="70"/>
      <c r="L76" s="70"/>
      <c r="M76" s="70"/>
      <c r="Q76" s="246" t="s">
        <v>79</v>
      </c>
      <c r="R76" s="246">
        <v>1</v>
      </c>
      <c r="S76" s="246" t="s">
        <v>21</v>
      </c>
      <c r="T76" s="384">
        <f>VLOOKUP(ref!$X$1&amp;ref!$W$2&amp;19&amp;ref!$Y1,MPAOdep5yr,6,FALSE)</f>
        <v>4</v>
      </c>
      <c r="U76" s="384">
        <f>VLOOKUP(ref!$X$2&amp;ref!$W$2&amp;19&amp;ref!$Y1,MPAOdep5yr,6,FALSE)</f>
        <v>3</v>
      </c>
      <c r="V76" s="384">
        <f>VLOOKUP(ref!$X$3&amp;ref!$W$2&amp;19&amp;ref!$Y1,MPAOdep5yr,6,FALSE)</f>
        <v>1</v>
      </c>
      <c r="W76" s="384"/>
      <c r="X76" s="384"/>
      <c r="Y76" s="384"/>
      <c r="Z76" s="384"/>
      <c r="AA76" s="384"/>
      <c r="AB76" s="384"/>
      <c r="AC76" s="384"/>
      <c r="AD76" s="384"/>
      <c r="AE76" s="384"/>
      <c r="AF76" s="384"/>
      <c r="AG76" s="384"/>
      <c r="AH76" s="384"/>
      <c r="AI76" s="384"/>
      <c r="AJ76" s="384"/>
      <c r="AK76" s="384"/>
      <c r="AL76" s="384"/>
      <c r="AM76" s="384"/>
      <c r="AN76" s="384"/>
      <c r="AO76" s="384"/>
      <c r="AP76" s="609"/>
      <c r="AX76" s="605">
        <f>IF(T72&lt;20, "-",VLOOKUP(ref!$X$1&amp;ref!$W$1&amp;19&amp;ref!$Y3,MPAOdep5yr,8,FALSE))</f>
        <v>3.3</v>
      </c>
    </row>
    <row r="77" spans="2:50">
      <c r="B77" s="70"/>
      <c r="C77" s="70"/>
      <c r="D77" s="70"/>
      <c r="E77" s="70"/>
      <c r="F77" s="70"/>
      <c r="G77" s="70"/>
      <c r="H77" s="70"/>
      <c r="I77" s="70"/>
      <c r="J77" s="70"/>
      <c r="K77" s="70"/>
      <c r="L77" s="70"/>
      <c r="M77" s="70"/>
      <c r="Q77" s="246"/>
      <c r="R77" s="246">
        <v>2</v>
      </c>
      <c r="S77" s="246" t="s">
        <v>21</v>
      </c>
      <c r="T77" s="381">
        <f>VLOOKUP(ref!$X$1&amp;ref!$W$2&amp;19&amp;ref!$Y2,MPAOdep5yr,6,FALSE)</f>
        <v>9</v>
      </c>
      <c r="U77" s="384">
        <f>VLOOKUP(ref!$X$2&amp;ref!$W$2&amp;19&amp;ref!$Y2,MPAOdep5yr,6,FALSE)</f>
        <v>7</v>
      </c>
      <c r="V77" s="384">
        <f>VLOOKUP(ref!$X$3&amp;ref!$W$2&amp;19&amp;ref!$Y2,MPAOdep5yr,6,FALSE)</f>
        <v>2</v>
      </c>
      <c r="W77" s="384"/>
      <c r="X77" s="384"/>
      <c r="Y77" s="384"/>
      <c r="Z77" s="384"/>
      <c r="AA77" s="384"/>
      <c r="AB77" s="384"/>
      <c r="AC77" s="384"/>
      <c r="AD77" s="384"/>
      <c r="AE77" s="384"/>
      <c r="AF77" s="384"/>
      <c r="AG77" s="384"/>
      <c r="AH77" s="384"/>
      <c r="AI77" s="384"/>
      <c r="AJ77" s="384"/>
      <c r="AK77" s="384"/>
      <c r="AL77" s="384"/>
      <c r="AM77" s="384"/>
      <c r="AN77" s="384"/>
      <c r="AO77" s="384"/>
      <c r="AP77" s="609"/>
      <c r="AX77" s="605">
        <f>IF(T73&lt;20, "-",VLOOKUP(ref!$X$1&amp;ref!$W$1&amp;19&amp;ref!$Y4,MPAOdep5yr,8,FALSE))</f>
        <v>3</v>
      </c>
    </row>
    <row r="78" spans="2:50">
      <c r="B78" s="70"/>
      <c r="C78" s="70"/>
      <c r="D78" s="70"/>
      <c r="E78" s="70"/>
      <c r="F78" s="70"/>
      <c r="G78" s="70"/>
      <c r="H78" s="70"/>
      <c r="I78" s="70"/>
      <c r="J78" s="70"/>
      <c r="K78" s="70"/>
      <c r="L78" s="70"/>
      <c r="M78" s="70"/>
      <c r="Q78" s="246"/>
      <c r="R78" s="246">
        <v>3</v>
      </c>
      <c r="S78" s="246" t="s">
        <v>21</v>
      </c>
      <c r="T78" s="381">
        <f>VLOOKUP(ref!$X$1&amp;ref!$W$2&amp;19&amp;ref!$Y3,MPAOdep5yr,6,FALSE)</f>
        <v>11</v>
      </c>
      <c r="U78" s="384">
        <f>VLOOKUP(ref!$X$2&amp;ref!$W$2&amp;19&amp;ref!$Y3,MPAOdep5yr,6,FALSE)</f>
        <v>9</v>
      </c>
      <c r="V78" s="384">
        <f>VLOOKUP(ref!$X$3&amp;ref!$W$2&amp;19&amp;ref!$Y3,MPAOdep5yr,6,FALSE)</f>
        <v>2</v>
      </c>
      <c r="W78" s="384"/>
      <c r="X78" s="384"/>
      <c r="Y78" s="384"/>
      <c r="Z78" s="384"/>
      <c r="AA78" s="384"/>
      <c r="AB78" s="384"/>
      <c r="AC78" s="384"/>
      <c r="AD78" s="384"/>
      <c r="AE78" s="384"/>
      <c r="AF78" s="384"/>
      <c r="AG78" s="384"/>
      <c r="AH78" s="384"/>
      <c r="AI78" s="384"/>
      <c r="AJ78" s="384"/>
      <c r="AK78" s="384"/>
      <c r="AL78" s="384"/>
      <c r="AM78" s="384"/>
      <c r="AN78" s="384"/>
      <c r="AO78" s="384"/>
      <c r="AP78" s="609"/>
      <c r="AX78" s="605">
        <f>IF(T74&lt;20, "-",VLOOKUP(ref!$X$1&amp;ref!$W$1&amp;19&amp;ref!$Y5,MPAOdep5yr,8,FALSE))</f>
        <v>2.5</v>
      </c>
    </row>
    <row r="79" spans="2:50">
      <c r="B79" s="70"/>
      <c r="C79" s="70"/>
      <c r="D79" s="70"/>
      <c r="E79" s="70"/>
      <c r="F79" s="70"/>
      <c r="G79" s="70"/>
      <c r="H79" s="70"/>
      <c r="I79" s="70"/>
      <c r="J79" s="70"/>
      <c r="K79" s="70"/>
      <c r="L79" s="70"/>
      <c r="M79" s="70"/>
      <c r="Q79" s="246"/>
      <c r="R79" s="246">
        <v>4</v>
      </c>
      <c r="S79" s="246" t="s">
        <v>21</v>
      </c>
      <c r="T79" s="381">
        <f>VLOOKUP(ref!$X$1&amp;ref!$W$2&amp;19&amp;ref!$Y4,MPAOdep5yr,6,FALSE)</f>
        <v>26</v>
      </c>
      <c r="U79" s="381">
        <f>VLOOKUP(ref!$X$2&amp;ref!$W$2&amp;19&amp;ref!$Y4,MPAOdep5yr,6,FALSE)</f>
        <v>19</v>
      </c>
      <c r="V79" s="381">
        <f>VLOOKUP(ref!$X$3&amp;ref!$W$2&amp;19&amp;ref!$Y4,MPAOdep5yr,6,FALSE)</f>
        <v>7</v>
      </c>
      <c r="W79" s="381"/>
      <c r="X79" s="381"/>
      <c r="Y79" s="381"/>
      <c r="Z79" s="381"/>
      <c r="AA79" s="381"/>
      <c r="AB79" s="381"/>
      <c r="AC79" s="381"/>
      <c r="AD79" s="381"/>
      <c r="AE79" s="381"/>
      <c r="AF79" s="381"/>
      <c r="AG79" s="381"/>
      <c r="AH79" s="381"/>
      <c r="AI79" s="381"/>
      <c r="AJ79" s="381"/>
      <c r="AK79" s="381"/>
      <c r="AL79" s="381"/>
      <c r="AM79" s="381"/>
      <c r="AN79" s="381"/>
      <c r="AO79" s="381"/>
      <c r="AP79" s="609"/>
      <c r="AV79" s="605"/>
      <c r="AX79" s="605"/>
    </row>
    <row r="80" spans="2:50">
      <c r="B80" s="70"/>
      <c r="C80" s="70"/>
      <c r="D80" s="70"/>
      <c r="E80" s="70"/>
      <c r="F80" s="70"/>
      <c r="G80" s="70"/>
      <c r="H80" s="70"/>
      <c r="I80" s="70"/>
      <c r="J80" s="70"/>
      <c r="K80" s="70"/>
      <c r="L80" s="70"/>
      <c r="M80" s="70"/>
      <c r="Q80" s="248"/>
      <c r="R80" s="246">
        <v>5</v>
      </c>
      <c r="S80" s="246" t="s">
        <v>21</v>
      </c>
      <c r="T80" s="381">
        <f>VLOOKUP(ref!$X$1&amp;ref!$W$2&amp;19&amp;ref!$Y5,MPAOdep5yr,6,FALSE)</f>
        <v>64</v>
      </c>
      <c r="U80" s="381">
        <f>VLOOKUP(ref!$X$2&amp;ref!$W$2&amp;19&amp;ref!$Y5,MPAOdep5yr,6,FALSE)</f>
        <v>48</v>
      </c>
      <c r="V80" s="381">
        <f>VLOOKUP(ref!$X$3&amp;ref!$W$2&amp;19&amp;ref!$Y5,MPAOdep5yr,6,FALSE)</f>
        <v>16</v>
      </c>
      <c r="W80" s="381"/>
      <c r="X80" s="381"/>
      <c r="Y80" s="381"/>
      <c r="Z80" s="381"/>
      <c r="AA80" s="381"/>
      <c r="AB80" s="381"/>
      <c r="AC80" s="381"/>
      <c r="AD80" s="381"/>
      <c r="AE80" s="381"/>
      <c r="AF80" s="381"/>
      <c r="AG80" s="381"/>
      <c r="AH80" s="381"/>
      <c r="AI80" s="381"/>
      <c r="AJ80" s="381"/>
      <c r="AK80" s="381"/>
      <c r="AL80" s="381"/>
      <c r="AM80" s="381"/>
      <c r="AN80" s="381"/>
      <c r="AO80" s="381"/>
      <c r="AP80" s="609"/>
      <c r="AV80" s="605"/>
      <c r="AX80" s="629" t="str">
        <f>IF(T76&lt;20,"-",VLOOKUP(ref!$X$1&amp;ref!$W$2&amp;19&amp;ref!$Y1,MPAOdep5yr,8,FALSE))</f>
        <v>-</v>
      </c>
    </row>
    <row r="81" spans="2:50">
      <c r="B81" s="70"/>
      <c r="C81" s="70"/>
      <c r="D81" s="70"/>
      <c r="E81" s="70"/>
      <c r="F81" s="70"/>
      <c r="G81" s="70"/>
      <c r="H81" s="70"/>
      <c r="I81" s="70"/>
      <c r="J81" s="70"/>
      <c r="K81" s="70"/>
      <c r="L81" s="70"/>
      <c r="M81" s="70"/>
      <c r="Q81" s="262"/>
      <c r="R81" s="262"/>
      <c r="S81" s="262"/>
      <c r="T81" s="266"/>
      <c r="U81" s="266"/>
      <c r="V81" s="266"/>
      <c r="W81" s="574"/>
      <c r="X81" s="574"/>
      <c r="Y81" s="574"/>
      <c r="Z81" s="574"/>
      <c r="AA81" s="574"/>
      <c r="AB81" s="574"/>
      <c r="AC81" s="574"/>
      <c r="AD81" s="574"/>
      <c r="AE81" s="574"/>
      <c r="AF81" s="574"/>
      <c r="AG81" s="574"/>
      <c r="AH81" s="574"/>
      <c r="AI81" s="574"/>
      <c r="AJ81" s="574"/>
      <c r="AK81" s="574"/>
      <c r="AL81" s="574"/>
      <c r="AM81" s="574"/>
      <c r="AN81" s="574"/>
      <c r="AO81" s="574"/>
      <c r="AP81" s="614"/>
      <c r="AV81" s="605"/>
      <c r="AX81" s="629" t="str">
        <f>IF(T77&lt;20,"-",VLOOKUP(ref!$X$1&amp;ref!$W$2&amp;19&amp;ref!$Y2,MPAOdep5yr,8,FALSE))</f>
        <v>-</v>
      </c>
    </row>
    <row r="82" spans="2:50">
      <c r="B82" s="70"/>
      <c r="C82" s="70"/>
      <c r="D82" s="70"/>
      <c r="E82" s="70"/>
      <c r="F82" s="70"/>
      <c r="G82" s="70"/>
      <c r="H82" s="70"/>
      <c r="I82" s="70"/>
      <c r="J82" s="70"/>
      <c r="K82" s="70"/>
      <c r="L82" s="70"/>
      <c r="M82" s="70"/>
      <c r="Q82" s="246" t="s">
        <v>78</v>
      </c>
      <c r="R82" s="246">
        <v>1</v>
      </c>
      <c r="S82" s="246" t="s">
        <v>21</v>
      </c>
      <c r="T82" s="381">
        <f>VLOOKUP(ref!$X$1&amp;ref!$W$3&amp;19&amp;ref!$Y1,MPAOdep5yr,6,FALSE)</f>
        <v>16</v>
      </c>
      <c r="U82" s="381">
        <f>VLOOKUP(ref!$X$2&amp;ref!$W$3&amp;19&amp;ref!$Y1,MPAOdep5yr,6,FALSE)</f>
        <v>10</v>
      </c>
      <c r="V82" s="381">
        <f>VLOOKUP(ref!$X$3&amp;ref!$W$3&amp;19&amp;ref!$Y1,MPAOdep5yr,6,FALSE)</f>
        <v>6</v>
      </c>
      <c r="W82" s="381"/>
      <c r="X82" s="381"/>
      <c r="Y82" s="381"/>
      <c r="Z82" s="381"/>
      <c r="AA82" s="381"/>
      <c r="AB82" s="381"/>
      <c r="AC82" s="381"/>
      <c r="AD82" s="381"/>
      <c r="AE82" s="381"/>
      <c r="AF82" s="381"/>
      <c r="AG82" s="381"/>
      <c r="AH82" s="381"/>
      <c r="AI82" s="381"/>
      <c r="AJ82" s="381"/>
      <c r="AK82" s="381"/>
      <c r="AL82" s="381"/>
      <c r="AM82" s="381"/>
      <c r="AN82" s="381"/>
      <c r="AO82" s="381"/>
      <c r="AP82" s="609"/>
      <c r="AV82" s="605"/>
      <c r="AX82" s="629" t="str">
        <f>IF(T78&lt;20,"-",VLOOKUP(ref!$X$1&amp;ref!$W$2&amp;19&amp;ref!$Y3,MPAOdep5yr,8,FALSE))</f>
        <v>-</v>
      </c>
    </row>
    <row r="83" spans="2:50">
      <c r="B83" s="70"/>
      <c r="C83" s="70"/>
      <c r="D83" s="70"/>
      <c r="E83" s="70"/>
      <c r="F83" s="70"/>
      <c r="G83" s="70"/>
      <c r="H83" s="70"/>
      <c r="I83" s="70"/>
      <c r="J83" s="70"/>
      <c r="K83" s="70"/>
      <c r="L83" s="70"/>
      <c r="M83" s="70"/>
      <c r="Q83" s="246"/>
      <c r="R83" s="246">
        <v>2</v>
      </c>
      <c r="S83" s="246" t="s">
        <v>21</v>
      </c>
      <c r="T83" s="381">
        <f>VLOOKUP(ref!$X$1&amp;ref!$W$3&amp;19&amp;ref!$Y2,MPAOdep5yr,6,FALSE)</f>
        <v>22</v>
      </c>
      <c r="U83" s="381">
        <f>VLOOKUP(ref!$X$2&amp;ref!$W$3&amp;19&amp;ref!$Y2,MPAOdep5yr,6,FALSE)</f>
        <v>14</v>
      </c>
      <c r="V83" s="381">
        <f>VLOOKUP(ref!$X$3&amp;ref!$W$3&amp;19&amp;ref!$Y2,MPAOdep5yr,6,FALSE)</f>
        <v>8</v>
      </c>
      <c r="W83" s="381"/>
      <c r="X83" s="381"/>
      <c r="Y83" s="381"/>
      <c r="Z83" s="381"/>
      <c r="AA83" s="381"/>
      <c r="AB83" s="381"/>
      <c r="AC83" s="381"/>
      <c r="AD83" s="381"/>
      <c r="AE83" s="381"/>
      <c r="AF83" s="381"/>
      <c r="AG83" s="381"/>
      <c r="AH83" s="381"/>
      <c r="AI83" s="381"/>
      <c r="AJ83" s="381"/>
      <c r="AK83" s="381"/>
      <c r="AL83" s="381"/>
      <c r="AM83" s="381"/>
      <c r="AN83" s="381"/>
      <c r="AO83" s="381"/>
      <c r="AP83" s="609"/>
      <c r="AV83" s="605"/>
      <c r="AX83" s="629">
        <f>IF(T79&lt;20,"-",VLOOKUP(ref!$X$1&amp;ref!$W$2&amp;19&amp;ref!$Y4,MPAOdep5yr,8,FALSE))</f>
        <v>3.3</v>
      </c>
    </row>
    <row r="84" spans="2:50">
      <c r="B84" s="70"/>
      <c r="C84" s="70"/>
      <c r="D84" s="70"/>
      <c r="E84" s="70"/>
      <c r="F84" s="70"/>
      <c r="G84" s="70"/>
      <c r="H84" s="70"/>
      <c r="I84" s="70"/>
      <c r="J84" s="70"/>
      <c r="K84" s="70"/>
      <c r="L84" s="70"/>
      <c r="M84" s="70"/>
      <c r="Q84" s="246"/>
      <c r="R84" s="246">
        <v>3</v>
      </c>
      <c r="S84" s="246" t="s">
        <v>21</v>
      </c>
      <c r="T84" s="381">
        <f>VLOOKUP(ref!$X$1&amp;ref!$W$3&amp;19&amp;ref!$Y3,MPAOdep5yr,6,FALSE)</f>
        <v>22</v>
      </c>
      <c r="U84" s="381">
        <f>VLOOKUP(ref!$X$2&amp;ref!$W$3&amp;19&amp;ref!$Y3,MPAOdep5yr,6,FALSE)</f>
        <v>19</v>
      </c>
      <c r="V84" s="381">
        <f>VLOOKUP(ref!$X$3&amp;ref!$W$3&amp;19&amp;ref!$Y3,MPAOdep5yr,6,FALSE)</f>
        <v>3</v>
      </c>
      <c r="W84" s="381"/>
      <c r="X84" s="381"/>
      <c r="Y84" s="381"/>
      <c r="Z84" s="381"/>
      <c r="AA84" s="381"/>
      <c r="AB84" s="381"/>
      <c r="AC84" s="381"/>
      <c r="AD84" s="381"/>
      <c r="AE84" s="381"/>
      <c r="AF84" s="381"/>
      <c r="AG84" s="381"/>
      <c r="AH84" s="381"/>
      <c r="AI84" s="381"/>
      <c r="AJ84" s="381"/>
      <c r="AK84" s="381"/>
      <c r="AL84" s="381"/>
      <c r="AM84" s="381"/>
      <c r="AN84" s="381"/>
      <c r="AO84" s="381"/>
      <c r="AP84" s="609"/>
      <c r="AV84" s="605"/>
      <c r="AX84" s="629">
        <f>IF(T80&lt;20,"-",VLOOKUP(ref!$X$1&amp;ref!$W$2&amp;19&amp;ref!$Y5,MPAOdep5yr,8,FALSE))</f>
        <v>1.9</v>
      </c>
    </row>
    <row r="85" spans="2:50">
      <c r="B85" s="70"/>
      <c r="C85" s="70"/>
      <c r="D85" s="70"/>
      <c r="E85" s="70"/>
      <c r="F85" s="70"/>
      <c r="G85" s="70"/>
      <c r="H85" s="70"/>
      <c r="I85" s="70"/>
      <c r="J85" s="70"/>
      <c r="K85" s="70"/>
      <c r="L85" s="70"/>
      <c r="M85" s="70"/>
      <c r="Q85" s="246"/>
      <c r="R85" s="246">
        <v>4</v>
      </c>
      <c r="S85" s="246" t="s">
        <v>21</v>
      </c>
      <c r="T85" s="381">
        <f>VLOOKUP(ref!$X$1&amp;ref!$W$3&amp;19&amp;ref!$Y4,MPAOdep5yr,6,FALSE)</f>
        <v>33</v>
      </c>
      <c r="U85" s="381">
        <f>VLOOKUP(ref!$X$2&amp;ref!$W$3&amp;19&amp;ref!$Y4,MPAOdep5yr,6,FALSE)</f>
        <v>25</v>
      </c>
      <c r="V85" s="381">
        <f>VLOOKUP(ref!$X$3&amp;ref!$W$3&amp;19&amp;ref!$Y4,MPAOdep5yr,6,FALSE)</f>
        <v>8</v>
      </c>
      <c r="W85" s="381"/>
      <c r="X85" s="381"/>
      <c r="Y85" s="381"/>
      <c r="Z85" s="381"/>
      <c r="AA85" s="381"/>
      <c r="AB85" s="381"/>
      <c r="AC85" s="381"/>
      <c r="AD85" s="381"/>
      <c r="AE85" s="381"/>
      <c r="AF85" s="381"/>
      <c r="AG85" s="381"/>
      <c r="AH85" s="381"/>
      <c r="AI85" s="381"/>
      <c r="AJ85" s="381"/>
      <c r="AK85" s="381"/>
      <c r="AL85" s="381"/>
      <c r="AM85" s="381"/>
      <c r="AN85" s="381"/>
      <c r="AO85" s="381"/>
      <c r="AP85" s="609"/>
      <c r="AV85" s="625"/>
      <c r="AX85" s="605"/>
    </row>
    <row r="86" spans="2:50">
      <c r="B86" s="70"/>
      <c r="C86" s="70"/>
      <c r="D86" s="70"/>
      <c r="E86" s="70"/>
      <c r="F86" s="70"/>
      <c r="G86" s="70"/>
      <c r="H86" s="70"/>
      <c r="I86" s="70"/>
      <c r="J86" s="70"/>
      <c r="K86" s="70"/>
      <c r="L86" s="70"/>
      <c r="M86" s="70"/>
      <c r="Q86" s="246"/>
      <c r="R86" s="246">
        <v>5</v>
      </c>
      <c r="S86" s="246" t="s">
        <v>21</v>
      </c>
      <c r="T86" s="381">
        <f>VLOOKUP(ref!$X$1&amp;ref!$W$3&amp;19&amp;ref!$Y5,MPAOdep5yr,6,FALSE)</f>
        <v>28</v>
      </c>
      <c r="U86" s="381">
        <f>VLOOKUP(ref!$X$2&amp;ref!$W$3&amp;19&amp;ref!$Y5,MPAOdep5yr,6,FALSE)</f>
        <v>16</v>
      </c>
      <c r="V86" s="381">
        <f>VLOOKUP(ref!$X$3&amp;ref!$W$3&amp;19&amp;ref!$Y5,MPAOdep5yr,6,FALSE)</f>
        <v>12</v>
      </c>
      <c r="W86" s="381"/>
      <c r="X86" s="381"/>
      <c r="Y86" s="381"/>
      <c r="Z86" s="381"/>
      <c r="AA86" s="381"/>
      <c r="AB86" s="381"/>
      <c r="AC86" s="381"/>
      <c r="AD86" s="381"/>
      <c r="AE86" s="381"/>
      <c r="AF86" s="381"/>
      <c r="AG86" s="381"/>
      <c r="AH86" s="381"/>
      <c r="AI86" s="381"/>
      <c r="AJ86" s="381"/>
      <c r="AK86" s="381"/>
      <c r="AL86" s="381"/>
      <c r="AM86" s="381"/>
      <c r="AN86" s="381"/>
      <c r="AO86" s="381"/>
      <c r="AP86" s="609"/>
      <c r="AV86" s="605"/>
      <c r="AX86" s="629" t="str">
        <f>IF(T82&lt;20,"-",VLOOKUP(ref!$X$1&amp;ref!$W$3&amp;19&amp;ref!$Y1,MPAOdep5yr,8,FALSE))</f>
        <v>-</v>
      </c>
    </row>
    <row r="87" spans="2:50">
      <c r="B87" s="70"/>
      <c r="C87" s="70"/>
      <c r="D87" s="70"/>
      <c r="E87" s="70"/>
      <c r="F87" s="70"/>
      <c r="G87" s="70"/>
      <c r="H87" s="70"/>
      <c r="I87" s="70"/>
      <c r="J87" s="70"/>
      <c r="K87" s="70"/>
      <c r="L87" s="70"/>
      <c r="M87" s="70"/>
      <c r="Q87" s="303"/>
      <c r="R87" s="303"/>
      <c r="S87" s="303"/>
      <c r="T87" s="266"/>
      <c r="U87" s="266"/>
      <c r="V87" s="266"/>
      <c r="W87" s="574"/>
      <c r="X87" s="574"/>
      <c r="Y87" s="574"/>
      <c r="Z87" s="574"/>
      <c r="AA87" s="574"/>
      <c r="AB87" s="574"/>
      <c r="AC87" s="574"/>
      <c r="AD87" s="574"/>
      <c r="AE87" s="574"/>
      <c r="AF87" s="574"/>
      <c r="AG87" s="574"/>
      <c r="AH87" s="574"/>
      <c r="AI87" s="574"/>
      <c r="AJ87" s="574"/>
      <c r="AK87" s="574"/>
      <c r="AL87" s="574"/>
      <c r="AM87" s="574"/>
      <c r="AN87" s="574"/>
      <c r="AO87" s="574"/>
      <c r="AP87" s="614"/>
      <c r="AV87" s="605"/>
      <c r="AX87" s="629">
        <f>IF(T83&lt;20,"-",VLOOKUP(ref!$X$1&amp;ref!$W$3&amp;19&amp;ref!$Y2,MPAOdep5yr,8,FALSE))</f>
        <v>1.5</v>
      </c>
    </row>
    <row r="88" spans="2:50">
      <c r="B88" s="70"/>
      <c r="C88" s="70"/>
      <c r="D88" s="70"/>
      <c r="E88" s="70"/>
      <c r="F88" s="70"/>
      <c r="G88" s="70"/>
      <c r="H88" s="70"/>
      <c r="I88" s="70"/>
      <c r="J88" s="70"/>
      <c r="K88" s="70"/>
      <c r="L88" s="70"/>
      <c r="M88" s="70"/>
      <c r="Q88" s="246" t="s">
        <v>45</v>
      </c>
      <c r="R88" s="246">
        <v>1</v>
      </c>
      <c r="S88" s="246" t="s">
        <v>21</v>
      </c>
      <c r="T88" s="381">
        <f>VLOOKUP(ref!$X$1&amp;ref!$W$4&amp;19&amp;ref!$Y1,MPAOdep5yr,6,FALSE)</f>
        <v>303</v>
      </c>
      <c r="U88" s="381">
        <f>VLOOKUP(ref!$X$2&amp;ref!$W$4&amp;19&amp;ref!$Y1,MPAOdep5yr,6,FALSE)</f>
        <v>236</v>
      </c>
      <c r="V88" s="381">
        <f>VLOOKUP(ref!$X$3&amp;ref!$W$4&amp;19&amp;ref!$Y1,MPAOdep5yr,6,FALSE)</f>
        <v>67</v>
      </c>
      <c r="W88" s="381"/>
      <c r="X88" s="381"/>
      <c r="Y88" s="381"/>
      <c r="Z88" s="381"/>
      <c r="AA88" s="381"/>
      <c r="AB88" s="381"/>
      <c r="AC88" s="381"/>
      <c r="AD88" s="381"/>
      <c r="AE88" s="381"/>
      <c r="AF88" s="381"/>
      <c r="AG88" s="381"/>
      <c r="AH88" s="381"/>
      <c r="AI88" s="381"/>
      <c r="AJ88" s="381"/>
      <c r="AK88" s="381"/>
      <c r="AL88" s="381"/>
      <c r="AM88" s="381"/>
      <c r="AN88" s="381"/>
      <c r="AO88" s="381"/>
      <c r="AP88" s="609"/>
      <c r="AV88" s="605"/>
      <c r="AX88" s="629">
        <f>IF(T84&lt;20,"-",VLOOKUP(ref!$X$1&amp;ref!$W$3&amp;19&amp;ref!$Y3,MPAOdep5yr,8,FALSE))</f>
        <v>1.4</v>
      </c>
    </row>
    <row r="89" spans="2:50">
      <c r="B89" s="70"/>
      <c r="C89" s="70"/>
      <c r="D89" s="70"/>
      <c r="E89" s="70"/>
      <c r="F89" s="70"/>
      <c r="G89" s="70"/>
      <c r="H89" s="70"/>
      <c r="I89" s="70"/>
      <c r="J89" s="70"/>
      <c r="K89" s="70"/>
      <c r="L89" s="70"/>
      <c r="M89" s="70"/>
      <c r="Q89" s="246"/>
      <c r="R89" s="246">
        <v>2</v>
      </c>
      <c r="S89" s="246" t="s">
        <v>21</v>
      </c>
      <c r="T89" s="381">
        <f>VLOOKUP(ref!$X$1&amp;ref!$W$4&amp;19&amp;ref!$Y2,MPAOdep5yr,6,FALSE)</f>
        <v>331</v>
      </c>
      <c r="U89" s="381">
        <f>VLOOKUP(ref!$X$2&amp;ref!$W$4&amp;19&amp;ref!$Y2,MPAOdep5yr,6,FALSE)</f>
        <v>247</v>
      </c>
      <c r="V89" s="381">
        <f>VLOOKUP(ref!$X$3&amp;ref!$W$4&amp;19&amp;ref!$Y2,MPAOdep5yr,6,FALSE)</f>
        <v>84</v>
      </c>
      <c r="W89" s="381"/>
      <c r="X89" s="381"/>
      <c r="Y89" s="381"/>
      <c r="Z89" s="381"/>
      <c r="AA89" s="381"/>
      <c r="AB89" s="381"/>
      <c r="AC89" s="381"/>
      <c r="AD89" s="381"/>
      <c r="AE89" s="381"/>
      <c r="AF89" s="381"/>
      <c r="AG89" s="381"/>
      <c r="AH89" s="381"/>
      <c r="AI89" s="381"/>
      <c r="AJ89" s="381"/>
      <c r="AK89" s="381"/>
      <c r="AL89" s="381"/>
      <c r="AM89" s="381"/>
      <c r="AN89" s="381"/>
      <c r="AO89" s="381"/>
      <c r="AP89" s="609"/>
      <c r="AV89" s="605"/>
      <c r="AX89" s="629">
        <f>IF(T85&lt;20,"-",VLOOKUP(ref!$X$1&amp;ref!$W$3&amp;19&amp;ref!$Y4,MPAOdep5yr,8,FALSE))</f>
        <v>1.7</v>
      </c>
    </row>
    <row r="90" spans="2:50" ht="22.5" customHeight="1">
      <c r="B90" s="70"/>
      <c r="C90" s="70"/>
      <c r="D90" s="70"/>
      <c r="E90" s="70"/>
      <c r="F90" s="70"/>
      <c r="G90" s="70"/>
      <c r="H90" s="70"/>
      <c r="I90" s="70"/>
      <c r="J90" s="70"/>
      <c r="K90" s="70"/>
      <c r="L90" s="70"/>
      <c r="M90" s="70"/>
      <c r="Q90" s="246"/>
      <c r="R90" s="246">
        <v>3</v>
      </c>
      <c r="S90" s="246" t="s">
        <v>21</v>
      </c>
      <c r="T90" s="381">
        <f>VLOOKUP(ref!$X$1&amp;ref!$W$4&amp;19&amp;ref!$Y3,MPAOdep5yr,6,FALSE)</f>
        <v>389</v>
      </c>
      <c r="U90" s="381">
        <f>VLOOKUP(ref!$X$2&amp;ref!$W$4&amp;19&amp;ref!$Y3,MPAOdep5yr,6,FALSE)</f>
        <v>284</v>
      </c>
      <c r="V90" s="381">
        <f>VLOOKUP(ref!$X$3&amp;ref!$W$4&amp;19&amp;ref!$Y3,MPAOdep5yr,6,FALSE)</f>
        <v>105</v>
      </c>
      <c r="W90" s="381"/>
      <c r="X90" s="381"/>
      <c r="Y90" s="381"/>
      <c r="Z90" s="381"/>
      <c r="AA90" s="381"/>
      <c r="AB90" s="381"/>
      <c r="AC90" s="381"/>
      <c r="AD90" s="381"/>
      <c r="AE90" s="381"/>
      <c r="AF90" s="381"/>
      <c r="AG90" s="381"/>
      <c r="AH90" s="381"/>
      <c r="AI90" s="381"/>
      <c r="AJ90" s="381"/>
      <c r="AK90" s="381"/>
      <c r="AL90" s="381"/>
      <c r="AM90" s="381"/>
      <c r="AN90" s="381"/>
      <c r="AO90" s="381"/>
      <c r="AP90" s="609"/>
      <c r="AV90" s="605"/>
      <c r="AX90" s="629">
        <f>IF(T86&lt;20,"-",VLOOKUP(ref!$X$1&amp;ref!$W$3&amp;19&amp;ref!$Y5,MPAOdep5yr,8,FALSE))</f>
        <v>1.9</v>
      </c>
    </row>
    <row r="91" spans="2:50" ht="12.75" customHeight="1">
      <c r="B91" s="70"/>
      <c r="C91" s="70"/>
      <c r="D91" s="70"/>
      <c r="E91" s="70"/>
      <c r="F91" s="70"/>
      <c r="G91" s="70"/>
      <c r="H91" s="70"/>
      <c r="I91" s="70"/>
      <c r="J91" s="70"/>
      <c r="K91" s="70"/>
      <c r="L91" s="70"/>
      <c r="M91" s="70"/>
      <c r="Q91" s="246"/>
      <c r="R91" s="246">
        <v>4</v>
      </c>
      <c r="S91" s="246" t="s">
        <v>21</v>
      </c>
      <c r="T91" s="381">
        <f>VLOOKUP(ref!$X$1&amp;ref!$W$4&amp;19&amp;ref!$Y4,MPAOdep5yr,6,FALSE)</f>
        <v>421</v>
      </c>
      <c r="U91" s="381">
        <f>VLOOKUP(ref!$X$2&amp;ref!$W$4&amp;19&amp;ref!$Y4,MPAOdep5yr,6,FALSE)</f>
        <v>323</v>
      </c>
      <c r="V91" s="381">
        <f>VLOOKUP(ref!$X$3&amp;ref!$W$4&amp;19&amp;ref!$Y4,MPAOdep5yr,6,FALSE)</f>
        <v>98</v>
      </c>
      <c r="W91" s="381"/>
      <c r="X91" s="381"/>
      <c r="Y91" s="381"/>
      <c r="Z91" s="381"/>
      <c r="AA91" s="381"/>
      <c r="AB91" s="381"/>
      <c r="AC91" s="381"/>
      <c r="AD91" s="381"/>
      <c r="AE91" s="381"/>
      <c r="AF91" s="381"/>
      <c r="AG91" s="381"/>
      <c r="AH91" s="381"/>
      <c r="AI91" s="381"/>
      <c r="AJ91" s="381"/>
      <c r="AK91" s="381"/>
      <c r="AL91" s="381"/>
      <c r="AM91" s="381"/>
      <c r="AN91" s="381"/>
      <c r="AO91" s="381"/>
      <c r="AP91" s="609"/>
      <c r="AV91" s="605"/>
      <c r="AX91" s="605"/>
    </row>
    <row r="92" spans="2:50" ht="23.25" customHeight="1">
      <c r="B92" s="70"/>
      <c r="C92" s="70"/>
      <c r="D92" s="70"/>
      <c r="E92" s="70"/>
      <c r="F92" s="70"/>
      <c r="G92" s="70"/>
      <c r="H92" s="70"/>
      <c r="I92" s="70"/>
      <c r="J92" s="70"/>
      <c r="K92" s="70"/>
      <c r="L92" s="70"/>
      <c r="M92" s="70"/>
      <c r="Q92" s="248"/>
      <c r="R92" s="246">
        <v>5</v>
      </c>
      <c r="S92" s="246" t="s">
        <v>21</v>
      </c>
      <c r="T92" s="381">
        <f>VLOOKUP(ref!$X$1&amp;ref!$W$4&amp;19&amp;ref!$Y5,MPAOdep5yr,6,FALSE)</f>
        <v>339</v>
      </c>
      <c r="U92" s="381">
        <f>VLOOKUP(ref!$X$2&amp;ref!$W$4&amp;19&amp;ref!$Y5,MPAOdep5yr,6,FALSE)</f>
        <v>246</v>
      </c>
      <c r="V92" s="381">
        <f>VLOOKUP(ref!$X$3&amp;ref!$W$4&amp;19&amp;ref!$Y5,MPAOdep5yr,6,FALSE)</f>
        <v>93</v>
      </c>
      <c r="W92" s="381"/>
      <c r="X92" s="381"/>
      <c r="Y92" s="381"/>
      <c r="Z92" s="381"/>
      <c r="AA92" s="381"/>
      <c r="AB92" s="381"/>
      <c r="AC92" s="381"/>
      <c r="AD92" s="381"/>
      <c r="AE92" s="381"/>
      <c r="AF92" s="381"/>
      <c r="AG92" s="381"/>
      <c r="AH92" s="381"/>
      <c r="AI92" s="381"/>
      <c r="AJ92" s="381"/>
      <c r="AK92" s="381"/>
      <c r="AL92" s="381"/>
      <c r="AM92" s="381"/>
      <c r="AN92" s="381"/>
      <c r="AO92" s="381"/>
      <c r="AP92" s="609"/>
      <c r="AV92" s="605"/>
      <c r="AX92" s="605">
        <f>IF(T88&lt;20,"-",VLOOKUP(ref!$X$1&amp;ref!$W$4&amp;19&amp;ref!$Y1,MPAOdep5yr,8,FALSE))</f>
        <v>0.8</v>
      </c>
    </row>
    <row r="93" spans="2:50" ht="9.75" customHeight="1">
      <c r="B93" s="70"/>
      <c r="C93" s="70"/>
      <c r="D93" s="70"/>
      <c r="E93" s="70"/>
      <c r="F93" s="70"/>
      <c r="G93" s="70"/>
      <c r="H93" s="70"/>
      <c r="I93" s="70"/>
      <c r="J93" s="70"/>
      <c r="K93" s="70"/>
      <c r="L93" s="70"/>
      <c r="M93" s="70"/>
      <c r="Q93" s="303"/>
      <c r="R93" s="303"/>
      <c r="S93" s="303"/>
      <c r="T93" s="266"/>
      <c r="U93" s="266"/>
      <c r="V93" s="266"/>
      <c r="W93" s="574"/>
      <c r="X93" s="574"/>
      <c r="Y93" s="574"/>
      <c r="Z93" s="574"/>
      <c r="AA93" s="574"/>
      <c r="AB93" s="574"/>
      <c r="AC93" s="574"/>
      <c r="AD93" s="574"/>
      <c r="AE93" s="574"/>
      <c r="AF93" s="574"/>
      <c r="AG93" s="574"/>
      <c r="AH93" s="574"/>
      <c r="AI93" s="574"/>
      <c r="AJ93" s="574"/>
      <c r="AK93" s="574"/>
      <c r="AL93" s="574"/>
      <c r="AM93" s="574"/>
      <c r="AN93" s="574"/>
      <c r="AO93" s="574"/>
      <c r="AP93" s="614"/>
      <c r="AV93" s="605"/>
      <c r="AX93" s="605">
        <f>IF(T89&lt;20,"-",VLOOKUP(ref!$X$1&amp;ref!$W$4&amp;19&amp;ref!$Y2,MPAOdep5yr,8,FALSE))</f>
        <v>0.9</v>
      </c>
    </row>
    <row r="94" spans="2:50" ht="12" customHeight="1">
      <c r="B94" s="70"/>
      <c r="C94" s="70"/>
      <c r="D94" s="70"/>
      <c r="E94" s="70"/>
      <c r="F94" s="70"/>
      <c r="G94" s="70"/>
      <c r="H94" s="70"/>
      <c r="I94" s="70"/>
      <c r="J94" s="70"/>
      <c r="K94" s="70"/>
      <c r="L94" s="70"/>
      <c r="M94" s="70"/>
      <c r="Q94" s="246" t="s">
        <v>3</v>
      </c>
      <c r="R94" s="246">
        <v>1</v>
      </c>
      <c r="S94" s="246" t="s">
        <v>22</v>
      </c>
      <c r="T94" s="377" t="str">
        <f>IF(T70&lt;20,"-",VLOOKUP(ref!$X$1&amp;ref!$W$1&amp;19&amp;ref!Y1,MPAOdep5yr,7,FALSE))</f>
        <v>-</v>
      </c>
      <c r="U94" s="377" t="str">
        <f>IF(U70&lt;20,"-",VLOOKUP(ref!$X$2&amp;ref!$W$1&amp;19&amp;ref!$Y1,MPAOdep5yr,7,FALSE))</f>
        <v>-</v>
      </c>
      <c r="V94" s="377" t="str">
        <f>IF(V70&lt;20,"-",VLOOKUP(ref!$X$3&amp;ref!$W$1&amp;19&amp;ref!$Y1,MPAOdep5yr,7,FALSE))</f>
        <v>-</v>
      </c>
      <c r="W94" s="377"/>
      <c r="X94" s="377"/>
      <c r="Y94" s="377"/>
      <c r="Z94" s="377"/>
      <c r="AA94" s="377"/>
      <c r="AB94" s="377"/>
      <c r="AC94" s="377"/>
      <c r="AD94" s="377"/>
      <c r="AE94" s="377"/>
      <c r="AF94" s="377"/>
      <c r="AG94" s="377"/>
      <c r="AH94" s="377"/>
      <c r="AI94" s="377"/>
      <c r="AJ94" s="377"/>
      <c r="AK94" s="377"/>
      <c r="AL94" s="377"/>
      <c r="AM94" s="377"/>
      <c r="AN94" s="377"/>
      <c r="AO94" s="377"/>
      <c r="AP94" s="616"/>
      <c r="AV94" s="605"/>
      <c r="AX94" s="605">
        <f>IF(T90&lt;20,"-",VLOOKUP(ref!$X$1&amp;ref!$W$4&amp;19&amp;ref!$Y3,MPAOdep5yr,8,FALSE))</f>
        <v>1.1000000000000001</v>
      </c>
    </row>
    <row r="95" spans="2:50">
      <c r="B95" s="70"/>
      <c r="C95" s="70"/>
      <c r="D95" s="70"/>
      <c r="E95" s="70"/>
      <c r="F95" s="70"/>
      <c r="G95" s="70"/>
      <c r="H95" s="70"/>
      <c r="I95" s="70"/>
      <c r="J95" s="70"/>
      <c r="K95" s="70"/>
      <c r="L95" s="70"/>
      <c r="M95" s="70"/>
      <c r="Q95" s="246"/>
      <c r="R95" s="246">
        <v>2</v>
      </c>
      <c r="S95" s="246" t="s">
        <v>22</v>
      </c>
      <c r="T95" s="377">
        <f>IF(T71&lt;20,"-",VLOOKUP(ref!$X$1&amp;ref!$W$1&amp;19&amp;ref!Y2,MPAOdep5yr,7,FALSE))</f>
        <v>11.8142604326396</v>
      </c>
      <c r="U95" s="377">
        <f>IF(U71&lt;20,"-",VLOOKUP(ref!$X$2&amp;ref!$W$1&amp;19&amp;ref!$Y2,MPAOdep5yr,7,FALSE))</f>
        <v>16.435091898225199</v>
      </c>
      <c r="V95" s="377" t="str">
        <f>IF(V71&lt;20,"-",VLOOKUP(ref!$X$3&amp;ref!$W$1&amp;19&amp;ref!$Y2,MPAOdep5yr,7,FALSE))</f>
        <v>-</v>
      </c>
      <c r="W95" s="377"/>
      <c r="X95" s="377"/>
      <c r="Y95" s="377"/>
      <c r="Z95" s="377"/>
      <c r="AA95" s="377"/>
      <c r="AB95" s="377"/>
      <c r="AC95" s="377"/>
      <c r="AD95" s="377"/>
      <c r="AE95" s="377"/>
      <c r="AF95" s="377"/>
      <c r="AG95" s="377"/>
      <c r="AH95" s="377"/>
      <c r="AI95" s="377"/>
      <c r="AJ95" s="377"/>
      <c r="AK95" s="377"/>
      <c r="AL95" s="377"/>
      <c r="AM95" s="377"/>
      <c r="AN95" s="377"/>
      <c r="AO95" s="377"/>
      <c r="AP95" s="616"/>
      <c r="AV95" s="605"/>
      <c r="AX95" s="605">
        <f>IF(T91&lt;20,"-",VLOOKUP(ref!$X$1&amp;ref!$W$4&amp;19&amp;ref!$Y4,MPAOdep5yr,8,FALSE))</f>
        <v>1.4</v>
      </c>
    </row>
    <row r="96" spans="2:50" ht="14.25" customHeight="1">
      <c r="B96" s="70"/>
      <c r="C96" s="81" t="s">
        <v>140</v>
      </c>
      <c r="D96" s="70"/>
      <c r="E96" s="70"/>
      <c r="F96" s="70"/>
      <c r="G96" s="70"/>
      <c r="H96" s="70"/>
      <c r="I96" s="70"/>
      <c r="J96" s="70"/>
      <c r="K96" s="70"/>
      <c r="L96" s="70"/>
      <c r="M96" s="70"/>
      <c r="Q96" s="246"/>
      <c r="R96" s="246">
        <v>3</v>
      </c>
      <c r="S96" s="246" t="s">
        <v>22</v>
      </c>
      <c r="T96" s="377">
        <f>IF(T72&lt;20,"-",VLOOKUP(ref!$X$1&amp;ref!$W$1&amp;19&amp;ref!Y3,MPAOdep5yr,7,FALSE))</f>
        <v>15.4624845571972</v>
      </c>
      <c r="U96" s="377">
        <f>IF(U72&lt;20,"-",VLOOKUP(ref!$X$2&amp;ref!$W$1&amp;19&amp;ref!$Y3,MPAOdep5yr,7,FALSE))</f>
        <v>21.965153278700601</v>
      </c>
      <c r="V96" s="377">
        <f>IF(V72&lt;20,"-",VLOOKUP(ref!$X$3&amp;ref!$W$1&amp;19&amp;ref!$Y3,MPAOdep5yr,7,FALSE))</f>
        <v>9.1474285444461092</v>
      </c>
      <c r="W96" s="377"/>
      <c r="X96" s="377"/>
      <c r="Y96" s="377"/>
      <c r="Z96" s="377"/>
      <c r="AA96" s="377"/>
      <c r="AB96" s="377"/>
      <c r="AC96" s="377"/>
      <c r="AD96" s="377"/>
      <c r="AE96" s="377"/>
      <c r="AF96" s="377"/>
      <c r="AG96" s="377"/>
      <c r="AH96" s="377"/>
      <c r="AI96" s="377"/>
      <c r="AJ96" s="377"/>
      <c r="AK96" s="377"/>
      <c r="AL96" s="377"/>
      <c r="AM96" s="377"/>
      <c r="AN96" s="377"/>
      <c r="AO96" s="377"/>
      <c r="AP96" s="616"/>
      <c r="AX96" s="605">
        <f>IF(T92&lt;20,"-",VLOOKUP(ref!$X$1&amp;ref!$W$4&amp;19&amp;ref!$Y5,MPAOdep5yr,8,FALSE))</f>
        <v>1.9</v>
      </c>
    </row>
    <row r="97" spans="2:50" ht="22.5" customHeight="1">
      <c r="B97" s="70"/>
      <c r="C97" s="678" t="s">
        <v>540</v>
      </c>
      <c r="D97" s="658"/>
      <c r="E97" s="658"/>
      <c r="F97" s="658"/>
      <c r="G97" s="658"/>
      <c r="H97" s="658"/>
      <c r="I97" s="658"/>
      <c r="J97" s="658"/>
      <c r="K97" s="658"/>
      <c r="L97" s="658"/>
      <c r="M97" s="70"/>
      <c r="Q97" s="246"/>
      <c r="R97" s="246">
        <v>4</v>
      </c>
      <c r="S97" s="246" t="s">
        <v>22</v>
      </c>
      <c r="T97" s="377">
        <f>IF(T73&lt;20,"-",VLOOKUP(ref!$X$1&amp;ref!$W$1&amp;19&amp;ref!Y4,MPAOdep5yr,7,FALSE))</f>
        <v>18.724771329844401</v>
      </c>
      <c r="U97" s="377">
        <f>IF(U73&lt;20,"-",VLOOKUP(ref!$X$2&amp;ref!$W$1&amp;19&amp;ref!$Y4,MPAOdep5yr,7,FALSE))</f>
        <v>28.2328642844972</v>
      </c>
      <c r="V97" s="377">
        <f>IF(V73&lt;20,"-",VLOOKUP(ref!$X$3&amp;ref!$W$1&amp;19&amp;ref!$Y4,MPAOdep5yr,7,FALSE))</f>
        <v>10.000137649677299</v>
      </c>
      <c r="W97" s="377"/>
      <c r="X97" s="377"/>
      <c r="Y97" s="377"/>
      <c r="Z97" s="377"/>
      <c r="AA97" s="377"/>
      <c r="AB97" s="377"/>
      <c r="AC97" s="377"/>
      <c r="AD97" s="377"/>
      <c r="AE97" s="377"/>
      <c r="AF97" s="377"/>
      <c r="AG97" s="377"/>
      <c r="AH97" s="377"/>
      <c r="AI97" s="377"/>
      <c r="AJ97" s="377"/>
      <c r="AK97" s="377"/>
      <c r="AL97" s="377"/>
      <c r="AM97" s="377"/>
      <c r="AN97" s="377"/>
      <c r="AO97" s="377"/>
      <c r="AP97" s="616"/>
      <c r="AX97" s="605"/>
    </row>
    <row r="98" spans="2:50" ht="12" customHeight="1">
      <c r="B98" s="70"/>
      <c r="C98" s="81" t="s">
        <v>305</v>
      </c>
      <c r="D98" s="70"/>
      <c r="E98" s="70"/>
      <c r="F98" s="70"/>
      <c r="G98" s="70"/>
      <c r="H98" s="70"/>
      <c r="I98" s="70"/>
      <c r="J98" s="70"/>
      <c r="K98" s="70"/>
      <c r="L98" s="70"/>
      <c r="M98" s="70"/>
      <c r="Q98" s="248"/>
      <c r="R98" s="246">
        <v>5</v>
      </c>
      <c r="S98" s="246" t="s">
        <v>22</v>
      </c>
      <c r="T98" s="377">
        <f>IF(T74&lt;20,"-",VLOOKUP(ref!$X$1&amp;ref!$W$1&amp;19&amp;ref!Y5,MPAOdep5yr,7,FALSE))</f>
        <v>20.3961570551959</v>
      </c>
      <c r="U98" s="377">
        <f>IF(U74&lt;20,"-",VLOOKUP(ref!$X$2&amp;ref!$W$1&amp;19&amp;ref!$Y5,MPAOdep5yr,7,FALSE))</f>
        <v>31.142558650723601</v>
      </c>
      <c r="V98" s="377">
        <f>IF(V74&lt;20,"-",VLOOKUP(ref!$X$3&amp;ref!$W$1&amp;19&amp;ref!$Y5,MPAOdep5yr,7,FALSE))</f>
        <v>12.0656972425622</v>
      </c>
      <c r="W98" s="377"/>
      <c r="X98" s="377"/>
      <c r="Y98" s="377"/>
      <c r="Z98" s="377"/>
      <c r="AA98" s="377"/>
      <c r="AB98" s="377"/>
      <c r="AC98" s="377"/>
      <c r="AD98" s="377"/>
      <c r="AE98" s="377"/>
      <c r="AF98" s="377"/>
      <c r="AG98" s="377"/>
      <c r="AH98" s="377"/>
      <c r="AI98" s="377"/>
      <c r="AJ98" s="377"/>
      <c r="AK98" s="377"/>
      <c r="AL98" s="377"/>
      <c r="AM98" s="377"/>
      <c r="AN98" s="377"/>
      <c r="AO98" s="377"/>
      <c r="AP98" s="616"/>
    </row>
    <row r="99" spans="2:50" ht="22.5" customHeight="1">
      <c r="B99" s="70"/>
      <c r="C99" s="685" t="s">
        <v>649</v>
      </c>
      <c r="D99" s="635"/>
      <c r="E99" s="635"/>
      <c r="F99" s="635"/>
      <c r="G99" s="635"/>
      <c r="H99" s="635"/>
      <c r="I99" s="635"/>
      <c r="J99" s="635"/>
      <c r="K99" s="635"/>
      <c r="L99" s="635"/>
      <c r="M99" s="70"/>
      <c r="Q99" s="262"/>
      <c r="R99" s="262"/>
      <c r="S99" s="262"/>
      <c r="T99" s="382"/>
      <c r="U99" s="382"/>
      <c r="V99" s="382"/>
      <c r="W99" s="287"/>
      <c r="X99" s="287"/>
      <c r="Y99" s="287"/>
      <c r="Z99" s="287"/>
      <c r="AA99" s="287"/>
      <c r="AB99" s="287"/>
      <c r="AC99" s="287"/>
      <c r="AD99" s="287"/>
      <c r="AE99" s="287"/>
      <c r="AF99" s="287"/>
      <c r="AG99" s="287"/>
      <c r="AH99" s="287"/>
      <c r="AI99" s="287"/>
      <c r="AJ99" s="287"/>
      <c r="AK99" s="287"/>
      <c r="AL99" s="287"/>
      <c r="AM99" s="287"/>
      <c r="AN99" s="287"/>
      <c r="AO99" s="287"/>
      <c r="AP99" s="615"/>
    </row>
    <row r="100" spans="2:50" ht="12" customHeight="1">
      <c r="B100" s="70"/>
      <c r="C100" s="81" t="s">
        <v>246</v>
      </c>
      <c r="D100" s="450"/>
      <c r="E100" s="450"/>
      <c r="F100" s="70"/>
      <c r="G100" s="70"/>
      <c r="H100" s="70"/>
      <c r="I100" s="70"/>
      <c r="J100" s="70"/>
      <c r="K100" s="70"/>
      <c r="L100" s="70"/>
      <c r="M100" s="70"/>
      <c r="Q100" s="248" t="s">
        <v>79</v>
      </c>
      <c r="R100" s="248">
        <v>1</v>
      </c>
      <c r="S100" s="248" t="s">
        <v>22</v>
      </c>
      <c r="T100" s="287" t="str">
        <f>IF(T76&lt;20,"-",VLOOKUP(ref!$X$1&amp;ref!$W$2&amp;19&amp;ref!$Y1,MPAOdep5yr,7,FALSE))</f>
        <v>-</v>
      </c>
      <c r="U100" s="287" t="str">
        <f>IF(U76&lt;20, "-",VLOOKUP(ref!$X$2&amp;ref!$W$2&amp;19&amp;ref!$Y1,MPAOdep5yr,7,FALSE))</f>
        <v>-</v>
      </c>
      <c r="V100" s="287" t="str">
        <f>IF(V76&lt;20,"-",VLOOKUP(ref!$X$3&amp;ref!$W$2&amp;19&amp;ref!$Y1,MPAOdep5yr,7,FALSE))</f>
        <v>-</v>
      </c>
      <c r="W100" s="287"/>
      <c r="X100" s="287"/>
      <c r="Y100" s="287"/>
      <c r="Z100" s="287"/>
      <c r="AA100" s="287"/>
      <c r="AB100" s="287"/>
      <c r="AC100" s="287"/>
      <c r="AD100" s="287"/>
      <c r="AE100" s="287"/>
      <c r="AF100" s="287"/>
      <c r="AG100" s="287"/>
      <c r="AH100" s="287"/>
      <c r="AI100" s="287"/>
      <c r="AJ100" s="287"/>
      <c r="AK100" s="287"/>
      <c r="AL100" s="287"/>
      <c r="AM100" s="287"/>
      <c r="AN100" s="287"/>
      <c r="AO100" s="287"/>
      <c r="AP100" s="615"/>
    </row>
    <row r="101" spans="2:50">
      <c r="B101" s="70"/>
      <c r="C101" s="451" t="s">
        <v>100</v>
      </c>
      <c r="D101" s="70"/>
      <c r="E101" s="70"/>
      <c r="F101" s="70"/>
      <c r="G101" s="70"/>
      <c r="H101" s="70"/>
      <c r="I101" s="70"/>
      <c r="J101" s="70"/>
      <c r="K101" s="70"/>
      <c r="L101" s="70"/>
      <c r="M101" s="70"/>
      <c r="Q101" s="246"/>
      <c r="R101" s="246">
        <v>2</v>
      </c>
      <c r="S101" s="246" t="s">
        <v>22</v>
      </c>
      <c r="T101" s="287" t="str">
        <f>IF(T77&lt;20,"-",VLOOKUP(ref!$X$1&amp;ref!$W$2&amp;19&amp;ref!$Y2,MPAOdep5yr,7,FALSE))</f>
        <v>-</v>
      </c>
      <c r="U101" s="287" t="str">
        <f>IF(U77&lt;20, "-",VLOOKUP(ref!$X$2&amp;ref!$W$2&amp;19&amp;ref!$Y2,MPAOdep5yr,7,FALSE))</f>
        <v>-</v>
      </c>
      <c r="V101" s="287" t="str">
        <f>IF(V77&lt;20,"-",VLOOKUP(ref!$X$3&amp;ref!$W$2&amp;19&amp;ref!$Y2,MPAOdep5yr,7,FALSE))</f>
        <v>-</v>
      </c>
      <c r="W101" s="287"/>
      <c r="X101" s="287"/>
      <c r="Y101" s="287"/>
      <c r="Z101" s="287"/>
      <c r="AA101" s="287"/>
      <c r="AB101" s="287"/>
      <c r="AC101" s="287"/>
      <c r="AD101" s="287"/>
      <c r="AE101" s="287"/>
      <c r="AF101" s="287"/>
      <c r="AG101" s="287"/>
      <c r="AH101" s="287"/>
      <c r="AI101" s="287"/>
      <c r="AJ101" s="287"/>
      <c r="AK101" s="287"/>
      <c r="AL101" s="287"/>
      <c r="AM101" s="287"/>
      <c r="AN101" s="287"/>
      <c r="AO101" s="287"/>
      <c r="AP101" s="615"/>
    </row>
    <row r="102" spans="2:50" ht="13.5" customHeight="1">
      <c r="B102" s="70"/>
      <c r="C102" s="70"/>
      <c r="D102" s="70"/>
      <c r="E102" s="70"/>
      <c r="F102" s="70"/>
      <c r="G102" s="70"/>
      <c r="H102" s="70"/>
      <c r="I102" s="70"/>
      <c r="J102" s="70"/>
      <c r="K102" s="70"/>
      <c r="L102" s="70"/>
      <c r="M102" s="70"/>
      <c r="Q102" s="246"/>
      <c r="R102" s="246">
        <v>3</v>
      </c>
      <c r="S102" s="246" t="s">
        <v>22</v>
      </c>
      <c r="T102" s="287" t="str">
        <f>IF(T78&lt;20,"-",VLOOKUP(ref!$X$1&amp;ref!$W$2&amp;19&amp;ref!$Y3,MPAOdep5yr,7,FALSE))</f>
        <v>-</v>
      </c>
      <c r="U102" s="287" t="str">
        <f>IF(U78&lt;20, "-",VLOOKUP(ref!$X$2&amp;ref!$W$2&amp;19&amp;ref!$Y3,MPAOdep5yr,7,FALSE))</f>
        <v>-</v>
      </c>
      <c r="V102" s="287" t="str">
        <f>IF(V78&lt;20,"-",VLOOKUP(ref!$X$3&amp;ref!$W$2&amp;19&amp;ref!$Y3,MPAOdep5yr,7,FALSE))</f>
        <v>-</v>
      </c>
      <c r="W102" s="287"/>
      <c r="X102" s="287"/>
      <c r="Y102" s="287"/>
      <c r="Z102" s="287"/>
      <c r="AA102" s="287"/>
      <c r="AB102" s="287"/>
      <c r="AC102" s="287"/>
      <c r="AD102" s="287"/>
      <c r="AE102" s="287"/>
      <c r="AF102" s="287"/>
      <c r="AG102" s="287"/>
      <c r="AH102" s="287"/>
      <c r="AI102" s="287"/>
      <c r="AJ102" s="287"/>
      <c r="AK102" s="287"/>
      <c r="AL102" s="287"/>
      <c r="AM102" s="287"/>
      <c r="AN102" s="287"/>
      <c r="AO102" s="287"/>
      <c r="AP102" s="615"/>
    </row>
    <row r="103" spans="2:50">
      <c r="Q103" s="246"/>
      <c r="R103" s="246">
        <v>4</v>
      </c>
      <c r="S103" s="246" t="s">
        <v>22</v>
      </c>
      <c r="T103" s="287">
        <f>IF(T79&lt;20,"-",VLOOKUP(ref!$X$1&amp;ref!$W$2&amp;19&amp;ref!$Y4,MPAOdep5yr,7,FALSE))</f>
        <v>8.5620618161637108</v>
      </c>
      <c r="U103" s="287" t="str">
        <f>IF(U79&lt;20, "-",VLOOKUP(ref!$X$2&amp;ref!$W$2&amp;19&amp;ref!$Y4,MPAOdep5yr,7,FALSE))</f>
        <v>-</v>
      </c>
      <c r="V103" s="287" t="str">
        <f>IF(V79&lt;20,"-",VLOOKUP(ref!$X$3&amp;ref!$W$2&amp;19&amp;ref!$Y4,MPAOdep5yr,7,FALSE))</f>
        <v>-</v>
      </c>
      <c r="W103" s="287"/>
      <c r="X103" s="287"/>
      <c r="Y103" s="287"/>
      <c r="Z103" s="287"/>
      <c r="AA103" s="287"/>
      <c r="AB103" s="287"/>
      <c r="AC103" s="287"/>
      <c r="AD103" s="287"/>
      <c r="AE103" s="287"/>
      <c r="AF103" s="287"/>
      <c r="AG103" s="287"/>
      <c r="AH103" s="287"/>
      <c r="AI103" s="287"/>
      <c r="AJ103" s="287"/>
      <c r="AK103" s="287"/>
      <c r="AL103" s="287"/>
      <c r="AM103" s="287"/>
      <c r="AN103" s="287"/>
      <c r="AO103" s="287"/>
      <c r="AP103" s="615"/>
    </row>
    <row r="104" spans="2:50">
      <c r="Q104" s="248"/>
      <c r="R104" s="246">
        <v>5</v>
      </c>
      <c r="S104" s="246" t="s">
        <v>22</v>
      </c>
      <c r="T104" s="287">
        <f>IF(T80&lt;20,"-",VLOOKUP(ref!$X$1&amp;ref!$W$2&amp;19&amp;ref!$Y5,MPAOdep5yr,7,FALSE))</f>
        <v>7.7587347258217303</v>
      </c>
      <c r="U104" s="287">
        <f>IF(U80&lt;20, "-",VLOOKUP(ref!$X$2&amp;ref!$W$2&amp;19&amp;ref!$Y5,MPAOdep5yr,7,FALSE))</f>
        <v>12.4468705123349</v>
      </c>
      <c r="V104" s="287" t="str">
        <f>IF(V80&lt;20,"-",VLOOKUP(ref!$X$3&amp;ref!$W$2&amp;19&amp;ref!$Y5,MPAOdep5yr,7,FALSE))</f>
        <v>-</v>
      </c>
      <c r="W104" s="287"/>
      <c r="X104" s="287"/>
      <c r="Y104" s="287"/>
      <c r="Z104" s="287"/>
      <c r="AA104" s="287"/>
      <c r="AB104" s="287"/>
      <c r="AC104" s="287"/>
      <c r="AD104" s="287"/>
      <c r="AE104" s="287"/>
      <c r="AF104" s="287"/>
      <c r="AG104" s="287"/>
      <c r="AH104" s="287"/>
      <c r="AI104" s="287"/>
      <c r="AJ104" s="287"/>
      <c r="AK104" s="287"/>
      <c r="AL104" s="287"/>
      <c r="AM104" s="287"/>
      <c r="AN104" s="287"/>
      <c r="AO104" s="287"/>
      <c r="AP104" s="615"/>
    </row>
    <row r="105" spans="2:50">
      <c r="Q105" s="262"/>
      <c r="R105" s="262"/>
      <c r="S105" s="262"/>
      <c r="T105" s="266"/>
      <c r="U105" s="266"/>
      <c r="V105" s="266"/>
      <c r="W105" s="574"/>
      <c r="X105" s="574"/>
      <c r="Y105" s="574"/>
      <c r="Z105" s="574"/>
      <c r="AA105" s="574"/>
      <c r="AB105" s="574"/>
      <c r="AC105" s="574"/>
      <c r="AD105" s="574"/>
      <c r="AE105" s="574"/>
      <c r="AF105" s="574"/>
      <c r="AG105" s="574"/>
      <c r="AH105" s="574"/>
      <c r="AI105" s="574"/>
      <c r="AJ105" s="574"/>
      <c r="AK105" s="574"/>
      <c r="AL105" s="574"/>
      <c r="AM105" s="574"/>
      <c r="AN105" s="574"/>
      <c r="AO105" s="574"/>
      <c r="AP105" s="614"/>
    </row>
    <row r="106" spans="2:50">
      <c r="Q106" s="246" t="s">
        <v>78</v>
      </c>
      <c r="R106" s="246">
        <v>1</v>
      </c>
      <c r="S106" s="246" t="s">
        <v>22</v>
      </c>
      <c r="T106" s="377" t="str">
        <f>IF(T82&lt;20,"-",VLOOKUP(ref!$X$1&amp;ref!$W$3&amp;19&amp;ref!$Y1,MPAOdep5yr,7,FALSE))</f>
        <v>-</v>
      </c>
      <c r="U106" s="377" t="str">
        <f>IF(U82&lt;20,"-",VLOOKUP(ref!$X$2&amp;ref!$W$3&amp;19&amp;ref!$Y1,MPAOdep5yr,7,FALSE))</f>
        <v>-</v>
      </c>
      <c r="V106" s="377" t="str">
        <f>IF(V82&lt;20,"-",VLOOKUP(ref!$X$3&amp;ref!$W$3&amp;19&amp;ref!$Y1,MPAOdep5yr,7,FALSE))</f>
        <v>-</v>
      </c>
      <c r="W106" s="377"/>
      <c r="X106" s="377"/>
      <c r="Y106" s="377"/>
      <c r="Z106" s="377"/>
      <c r="AA106" s="377"/>
      <c r="AB106" s="377"/>
      <c r="AC106" s="377"/>
      <c r="AD106" s="377"/>
      <c r="AE106" s="377"/>
      <c r="AF106" s="377"/>
      <c r="AG106" s="377"/>
      <c r="AH106" s="377"/>
      <c r="AI106" s="377"/>
      <c r="AJ106" s="377"/>
      <c r="AK106" s="377"/>
      <c r="AL106" s="377"/>
      <c r="AM106" s="377"/>
      <c r="AN106" s="377"/>
      <c r="AO106" s="377"/>
      <c r="AP106" s="616"/>
    </row>
    <row r="107" spans="2:50">
      <c r="Q107" s="246"/>
      <c r="R107" s="246">
        <v>2</v>
      </c>
      <c r="S107" s="246" t="s">
        <v>22</v>
      </c>
      <c r="T107" s="377">
        <f>IF(T83&lt;20,"-",VLOOKUP(ref!$X$1&amp;ref!$W$3&amp;19&amp;ref!$Y2,MPAOdep5yr,7,FALSE))</f>
        <v>3.5260026920376202</v>
      </c>
      <c r="U107" s="377" t="str">
        <f>IF(U83&lt;20,"-",VLOOKUP(ref!$X$2&amp;ref!$W$3&amp;19&amp;ref!$Y2,MPAOdep5yr,7,FALSE))</f>
        <v>-</v>
      </c>
      <c r="V107" s="377" t="str">
        <f>IF(V83&lt;20,"-",VLOOKUP(ref!$X$3&amp;ref!$W$3&amp;19&amp;ref!$Y2,MPAOdep5yr,7,FALSE))</f>
        <v>-</v>
      </c>
      <c r="W107" s="377"/>
      <c r="X107" s="377"/>
      <c r="Y107" s="377"/>
      <c r="Z107" s="377"/>
      <c r="AA107" s="377"/>
      <c r="AB107" s="377"/>
      <c r="AC107" s="377"/>
      <c r="AD107" s="377"/>
      <c r="AE107" s="377"/>
      <c r="AF107" s="377"/>
      <c r="AG107" s="377"/>
      <c r="AH107" s="377"/>
      <c r="AI107" s="377"/>
      <c r="AJ107" s="377"/>
      <c r="AK107" s="377"/>
      <c r="AL107" s="377"/>
      <c r="AM107" s="377"/>
      <c r="AN107" s="377"/>
      <c r="AO107" s="377"/>
      <c r="AP107" s="616"/>
    </row>
    <row r="108" spans="2:50">
      <c r="Q108" s="246"/>
      <c r="R108" s="246">
        <v>3</v>
      </c>
      <c r="S108" s="246" t="s">
        <v>22</v>
      </c>
      <c r="T108" s="377">
        <f>IF(T84&lt;20,"-",VLOOKUP(ref!$X$1&amp;ref!$W$3&amp;19&amp;ref!$Y3,MPAOdep5yr,7,FALSE))</f>
        <v>3.2461930773524501</v>
      </c>
      <c r="U108" s="377" t="str">
        <f>IF(U84&lt;20,"-",VLOOKUP(ref!$X$2&amp;ref!$W$3&amp;19&amp;ref!$Y3,MPAOdep5yr,7,FALSE))</f>
        <v>-</v>
      </c>
      <c r="V108" s="377" t="str">
        <f>IF(V84&lt;20,"-",VLOOKUP(ref!$X$3&amp;ref!$W$3&amp;19&amp;ref!$Y3,MPAOdep5yr,7,FALSE))</f>
        <v>-</v>
      </c>
      <c r="W108" s="377"/>
      <c r="X108" s="377"/>
      <c r="Y108" s="377"/>
      <c r="Z108" s="377"/>
      <c r="AA108" s="377"/>
      <c r="AB108" s="377"/>
      <c r="AC108" s="377"/>
      <c r="AD108" s="377"/>
      <c r="AE108" s="377"/>
      <c r="AF108" s="377"/>
      <c r="AG108" s="377"/>
      <c r="AH108" s="377"/>
      <c r="AI108" s="377"/>
      <c r="AJ108" s="377"/>
      <c r="AK108" s="377"/>
      <c r="AL108" s="377"/>
      <c r="AM108" s="377"/>
      <c r="AN108" s="377"/>
      <c r="AO108" s="377"/>
      <c r="AP108" s="616"/>
    </row>
    <row r="109" spans="2:50">
      <c r="Q109" s="246"/>
      <c r="R109" s="246">
        <v>4</v>
      </c>
      <c r="S109" s="246" t="s">
        <v>22</v>
      </c>
      <c r="T109" s="377">
        <f>IF(T85&lt;20,"-",VLOOKUP(ref!$X$1&amp;ref!$W$3&amp;19&amp;ref!$Y4,MPAOdep5yr,7,FALSE))</f>
        <v>4.9909035898710803</v>
      </c>
      <c r="U109" s="377">
        <f>IF(U85&lt;20,"-",VLOOKUP(ref!$X$2&amp;ref!$W$3&amp;19&amp;ref!$Y4,MPAOdep5yr,7,FALSE))</f>
        <v>7.6674841514499699</v>
      </c>
      <c r="V109" s="377" t="str">
        <f>IF(V85&lt;20,"-",VLOOKUP(ref!$X$3&amp;ref!$W$3&amp;19&amp;ref!$Y4,MPAOdep5yr,7,FALSE))</f>
        <v>-</v>
      </c>
      <c r="W109" s="377"/>
      <c r="X109" s="377"/>
      <c r="Y109" s="377"/>
      <c r="Z109" s="377"/>
      <c r="AA109" s="377"/>
      <c r="AB109" s="377"/>
      <c r="AC109" s="377"/>
      <c r="AD109" s="377"/>
      <c r="AE109" s="377"/>
      <c r="AF109" s="377"/>
      <c r="AG109" s="377"/>
      <c r="AH109" s="377"/>
      <c r="AI109" s="377"/>
      <c r="AJ109" s="377"/>
      <c r="AK109" s="377"/>
      <c r="AL109" s="377"/>
      <c r="AM109" s="377"/>
      <c r="AN109" s="377"/>
      <c r="AO109" s="377"/>
      <c r="AP109" s="616"/>
    </row>
    <row r="110" spans="2:50">
      <c r="Q110" s="246"/>
      <c r="R110" s="246">
        <v>5</v>
      </c>
      <c r="S110" s="246" t="s">
        <v>22</v>
      </c>
      <c r="T110" s="377">
        <f>IF(T86&lt;20,"-",VLOOKUP(ref!$X$1&amp;ref!$W$3&amp;19&amp;ref!$Y5,MPAOdep5yr,7,FALSE))</f>
        <v>5.1823639238389401</v>
      </c>
      <c r="U110" s="377" t="str">
        <f>IF(U86&lt;20,"-",VLOOKUP(ref!$X$2&amp;ref!$W$3&amp;19&amp;ref!$Y5,MPAOdep5yr,7,FALSE))</f>
        <v>-</v>
      </c>
      <c r="V110" s="377" t="str">
        <f>IF(V86&lt;20,"-",VLOOKUP(ref!$X$3&amp;ref!$W$3&amp;19&amp;ref!$Y5,MPAOdep5yr,7,FALSE))</f>
        <v>-</v>
      </c>
      <c r="W110" s="377"/>
      <c r="X110" s="377"/>
      <c r="Y110" s="377"/>
      <c r="Z110" s="377"/>
      <c r="AA110" s="377"/>
      <c r="AB110" s="377"/>
      <c r="AC110" s="377"/>
      <c r="AD110" s="377"/>
      <c r="AE110" s="377"/>
      <c r="AF110" s="377"/>
      <c r="AG110" s="377"/>
      <c r="AH110" s="377"/>
      <c r="AI110" s="377"/>
      <c r="AJ110" s="377"/>
      <c r="AK110" s="377"/>
      <c r="AL110" s="377"/>
      <c r="AM110" s="377"/>
      <c r="AN110" s="377"/>
      <c r="AO110" s="377"/>
      <c r="AP110" s="616"/>
    </row>
    <row r="111" spans="2:50" ht="15.75">
      <c r="C111" s="253" t="s">
        <v>383</v>
      </c>
      <c r="D111" s="253"/>
      <c r="E111" s="253"/>
      <c r="Q111" s="262"/>
      <c r="R111" s="262"/>
      <c r="S111" s="262"/>
      <c r="T111" s="266"/>
      <c r="U111" s="266"/>
      <c r="V111" s="266"/>
      <c r="W111" s="574"/>
      <c r="X111" s="574"/>
      <c r="Y111" s="574"/>
      <c r="Z111" s="574"/>
      <c r="AA111" s="574"/>
      <c r="AB111" s="574"/>
      <c r="AC111" s="574"/>
      <c r="AD111" s="574"/>
      <c r="AE111" s="574"/>
      <c r="AF111" s="574"/>
      <c r="AG111" s="574"/>
      <c r="AH111" s="574"/>
      <c r="AI111" s="574"/>
      <c r="AJ111" s="574"/>
      <c r="AK111" s="574"/>
      <c r="AL111" s="574"/>
      <c r="AM111" s="574"/>
      <c r="AN111" s="574"/>
      <c r="AO111" s="574"/>
      <c r="AP111" s="614"/>
    </row>
    <row r="112" spans="2:50">
      <c r="Q112" s="246" t="s">
        <v>45</v>
      </c>
      <c r="R112" s="246">
        <v>1</v>
      </c>
      <c r="S112" s="246" t="s">
        <v>22</v>
      </c>
      <c r="T112" s="377">
        <f>IF(T88&lt;20,"-",VLOOKUP(ref!$X$1&amp;ref!$W$4&amp;19&amp;ref!$Y1,MPAOdep5yr,7,FALSE))</f>
        <v>7.3652310459834904</v>
      </c>
      <c r="U112" s="377">
        <f>IF(U88&lt;20,"-",VLOOKUP(ref!$X$2&amp;ref!$W$4&amp;19&amp;ref!$Y1,MPAOdep5yr,7,FALSE))</f>
        <v>11.7190318881552</v>
      </c>
      <c r="V112" s="377">
        <f>IF(V88&lt;20,"-",VLOOKUP(ref!$X$3&amp;ref!$W$4&amp;19&amp;ref!$Y1,MPAOdep5yr,7,FALSE))</f>
        <v>3.1031009095441302</v>
      </c>
      <c r="W112" s="377"/>
      <c r="X112" s="377"/>
      <c r="Y112" s="377"/>
      <c r="Z112" s="377"/>
      <c r="AA112" s="377"/>
      <c r="AB112" s="377"/>
      <c r="AC112" s="377"/>
      <c r="AD112" s="377"/>
      <c r="AE112" s="377"/>
      <c r="AF112" s="377"/>
      <c r="AG112" s="377"/>
      <c r="AH112" s="377"/>
      <c r="AI112" s="377"/>
      <c r="AJ112" s="377"/>
      <c r="AK112" s="377"/>
      <c r="AL112" s="377"/>
      <c r="AM112" s="377"/>
      <c r="AN112" s="377"/>
      <c r="AO112" s="377"/>
      <c r="AP112" s="616"/>
    </row>
    <row r="113" spans="2:43">
      <c r="B113" s="70"/>
      <c r="C113" s="70"/>
      <c r="D113" s="70"/>
      <c r="E113" s="70"/>
      <c r="F113" s="70"/>
      <c r="G113" s="70"/>
      <c r="H113" s="70"/>
      <c r="I113" s="70"/>
      <c r="J113" s="70"/>
      <c r="K113" s="70"/>
      <c r="L113" s="70"/>
      <c r="M113" s="70"/>
      <c r="Q113" s="246"/>
      <c r="R113" s="246">
        <v>2</v>
      </c>
      <c r="S113" s="246" t="s">
        <v>22</v>
      </c>
      <c r="T113" s="377">
        <f>IF(T89&lt;20,"-",VLOOKUP(ref!$X$1&amp;ref!$W$4&amp;19&amp;ref!$Y2,MPAOdep5yr,7,FALSE))</f>
        <v>8.6431395680052905</v>
      </c>
      <c r="U113" s="377">
        <f>IF(U89&lt;20,"-",VLOOKUP(ref!$X$2&amp;ref!$W$4&amp;19&amp;ref!$Y2,MPAOdep5yr,7,FALSE))</f>
        <v>13.2266426983148</v>
      </c>
      <c r="V113" s="377">
        <f>IF(V89&lt;20,"-",VLOOKUP(ref!$X$3&amp;ref!$W$4&amp;19&amp;ref!$Y2,MPAOdep5yr,7,FALSE))</f>
        <v>4.2203771467120603</v>
      </c>
      <c r="W113" s="377"/>
      <c r="X113" s="377"/>
      <c r="Y113" s="377"/>
      <c r="Z113" s="377"/>
      <c r="AA113" s="377"/>
      <c r="AB113" s="377"/>
      <c r="AC113" s="377"/>
      <c r="AD113" s="377"/>
      <c r="AE113" s="377"/>
      <c r="AF113" s="377"/>
      <c r="AG113" s="377"/>
      <c r="AH113" s="377"/>
      <c r="AI113" s="377"/>
      <c r="AJ113" s="377"/>
      <c r="AK113" s="377"/>
      <c r="AL113" s="377"/>
      <c r="AM113" s="377"/>
      <c r="AN113" s="377"/>
      <c r="AO113" s="377"/>
      <c r="AP113" s="616"/>
    </row>
    <row r="114" spans="2:43" ht="15">
      <c r="B114" s="70"/>
      <c r="C114" s="91" t="s">
        <v>546</v>
      </c>
      <c r="D114" s="70"/>
      <c r="E114" s="70"/>
      <c r="F114" s="70"/>
      <c r="G114" s="70"/>
      <c r="H114" s="70"/>
      <c r="I114" s="70"/>
      <c r="J114" s="70"/>
      <c r="K114" s="70"/>
      <c r="L114" s="70"/>
      <c r="M114" s="70"/>
      <c r="Q114" s="246"/>
      <c r="R114" s="246">
        <v>3</v>
      </c>
      <c r="S114" s="246" t="s">
        <v>22</v>
      </c>
      <c r="T114" s="377">
        <f>IF(T90&lt;20,"-",VLOOKUP(ref!$X$1&amp;ref!$W$4&amp;19&amp;ref!$Y3,MPAOdep5yr,7,FALSE))</f>
        <v>11.0419626461655</v>
      </c>
      <c r="U114" s="377">
        <f>IF(U90&lt;20,"-",VLOOKUP(ref!$X$2&amp;ref!$W$4&amp;19&amp;ref!$Y3,MPAOdep5yr,7,FALSE))</f>
        <v>16.252376956915199</v>
      </c>
      <c r="V114" s="377">
        <f>IF(V90&lt;20,"-",VLOOKUP(ref!$X$3&amp;ref!$W$4&amp;19&amp;ref!$Y3,MPAOdep5yr,7,FALSE))</f>
        <v>5.9857709029456698</v>
      </c>
      <c r="W114" s="377"/>
      <c r="X114" s="377"/>
      <c r="Y114" s="377"/>
      <c r="Z114" s="377"/>
      <c r="AA114" s="377"/>
      <c r="AB114" s="377"/>
      <c r="AC114" s="377"/>
      <c r="AD114" s="377"/>
      <c r="AE114" s="377"/>
      <c r="AF114" s="377"/>
      <c r="AG114" s="377"/>
      <c r="AH114" s="377"/>
      <c r="AI114" s="377"/>
      <c r="AJ114" s="377"/>
      <c r="AK114" s="377"/>
      <c r="AL114" s="377"/>
      <c r="AM114" s="377"/>
      <c r="AN114" s="377"/>
      <c r="AO114" s="377"/>
      <c r="AP114" s="616"/>
    </row>
    <row r="115" spans="2:43">
      <c r="B115" s="70"/>
      <c r="C115" s="70"/>
      <c r="D115" s="70"/>
      <c r="E115" s="70"/>
      <c r="F115" s="70"/>
      <c r="G115" s="70"/>
      <c r="H115" s="70"/>
      <c r="I115" s="70"/>
      <c r="J115" s="70"/>
      <c r="K115" s="70"/>
      <c r="L115" s="70"/>
      <c r="M115" s="70"/>
      <c r="Q115" s="246"/>
      <c r="R115" s="246">
        <v>4</v>
      </c>
      <c r="S115" s="246" t="s">
        <v>22</v>
      </c>
      <c r="T115" s="377">
        <f>IF(T91&lt;20,"-",VLOOKUP(ref!$X$1&amp;ref!$W$4&amp;19&amp;ref!$Y4,MPAOdep5yr,7,FALSE))</f>
        <v>14.393151044449599</v>
      </c>
      <c r="U115" s="377">
        <f>IF(U91&lt;20,"-",VLOOKUP(ref!$X$2&amp;ref!$W$4&amp;19&amp;ref!$Y4,MPAOdep5yr,7,FALSE))</f>
        <v>22.284025459411101</v>
      </c>
      <c r="V115" s="377">
        <f>IF(V91&lt;20,"-",VLOOKUP(ref!$X$3&amp;ref!$W$4&amp;19&amp;ref!$Y4,MPAOdep5yr,7,FALSE))</f>
        <v>6.7997590877576402</v>
      </c>
      <c r="W115" s="377"/>
      <c r="X115" s="377"/>
      <c r="Y115" s="377"/>
      <c r="Z115" s="377"/>
      <c r="AA115" s="377"/>
      <c r="AB115" s="377"/>
      <c r="AC115" s="377"/>
      <c r="AD115" s="377"/>
      <c r="AE115" s="377"/>
      <c r="AF115" s="377"/>
      <c r="AG115" s="377"/>
      <c r="AH115" s="377"/>
      <c r="AI115" s="377"/>
      <c r="AJ115" s="377"/>
      <c r="AK115" s="377"/>
      <c r="AL115" s="377"/>
      <c r="AM115" s="377"/>
      <c r="AN115" s="377"/>
      <c r="AO115" s="377"/>
      <c r="AP115" s="616"/>
    </row>
    <row r="116" spans="2:43">
      <c r="B116" s="70"/>
      <c r="C116" s="70"/>
      <c r="D116" s="70"/>
      <c r="E116" s="70"/>
      <c r="F116" s="70"/>
      <c r="G116" s="70"/>
      <c r="H116" s="70"/>
      <c r="I116" s="70"/>
      <c r="J116" s="70"/>
      <c r="K116" s="70"/>
      <c r="L116" s="70"/>
      <c r="M116" s="70"/>
      <c r="Q116" s="248"/>
      <c r="R116" s="246">
        <v>5</v>
      </c>
      <c r="S116" s="246" t="s">
        <v>22</v>
      </c>
      <c r="T116" s="377">
        <f>IF(T92&lt;20,"-",VLOOKUP(ref!$X$1&amp;ref!$W$4&amp;19&amp;ref!$Y5,MPAOdep5yr,7,FALSE))</f>
        <v>18.144771355977198</v>
      </c>
      <c r="U116" s="377">
        <f>IF(U92&lt;20,"-",VLOOKUP(ref!$X$2&amp;ref!$W$4&amp;19&amp;ref!$Y5,MPAOdep5yr,7,FALSE))</f>
        <v>26.2177667064989</v>
      </c>
      <c r="V116" s="377">
        <f>IF(V92&lt;20,"-",VLOOKUP(ref!$X$3&amp;ref!$W$4&amp;19&amp;ref!$Y5,MPAOdep5yr,7,FALSE))</f>
        <v>10.159141566931</v>
      </c>
      <c r="W116" s="377"/>
      <c r="X116" s="377"/>
      <c r="Y116" s="377"/>
      <c r="Z116" s="377"/>
      <c r="AA116" s="377"/>
      <c r="AB116" s="377"/>
      <c r="AC116" s="377"/>
      <c r="AD116" s="377"/>
      <c r="AE116" s="377"/>
      <c r="AF116" s="377"/>
      <c r="AG116" s="377"/>
      <c r="AH116" s="377"/>
      <c r="AI116" s="377"/>
      <c r="AJ116" s="377"/>
      <c r="AK116" s="377"/>
      <c r="AL116" s="377"/>
      <c r="AM116" s="377"/>
      <c r="AN116" s="377"/>
      <c r="AO116" s="377"/>
      <c r="AP116" s="616"/>
    </row>
    <row r="117" spans="2:43" ht="12" customHeight="1">
      <c r="B117" s="70"/>
      <c r="C117" s="70"/>
      <c r="D117" s="70"/>
      <c r="E117" s="70"/>
      <c r="F117" s="70"/>
      <c r="G117" s="70"/>
      <c r="H117" s="70"/>
      <c r="I117" s="70"/>
      <c r="J117" s="70"/>
      <c r="K117" s="70"/>
      <c r="L117" s="70"/>
      <c r="M117" s="70"/>
      <c r="Q117" s="248"/>
      <c r="R117" s="246"/>
      <c r="S117" s="246"/>
      <c r="T117" s="377"/>
      <c r="U117" s="377"/>
      <c r="V117" s="377"/>
      <c r="W117" s="377"/>
      <c r="X117" s="377"/>
      <c r="Y117" s="377"/>
      <c r="Z117" s="377"/>
      <c r="AA117" s="377"/>
      <c r="AB117" s="377"/>
      <c r="AC117" s="377"/>
      <c r="AD117" s="377"/>
      <c r="AE117" s="377"/>
      <c r="AF117" s="377"/>
      <c r="AG117" s="377"/>
      <c r="AH117" s="377"/>
      <c r="AI117" s="377"/>
      <c r="AJ117" s="377"/>
      <c r="AK117" s="377"/>
      <c r="AL117" s="377"/>
      <c r="AM117" s="377"/>
      <c r="AN117" s="377"/>
      <c r="AO117" s="377"/>
      <c r="AP117" s="616"/>
    </row>
    <row r="118" spans="2:43" ht="13.5" customHeight="1">
      <c r="B118" s="70"/>
      <c r="C118" s="70"/>
      <c r="D118" s="70"/>
      <c r="E118" s="70"/>
      <c r="F118" s="70"/>
      <c r="G118" s="70"/>
      <c r="H118" s="70"/>
      <c r="I118" s="70"/>
      <c r="J118" s="70"/>
      <c r="K118" s="70"/>
      <c r="L118" s="70"/>
      <c r="M118" s="70"/>
      <c r="Q118" s="261" t="s">
        <v>99</v>
      </c>
      <c r="R118" s="246"/>
      <c r="S118" s="246"/>
    </row>
    <row r="119" spans="2:43">
      <c r="B119" s="70"/>
      <c r="C119" s="70"/>
      <c r="D119" s="70"/>
      <c r="E119" s="70"/>
      <c r="F119" s="70"/>
      <c r="G119" s="70"/>
      <c r="H119" s="70"/>
      <c r="I119" s="70"/>
      <c r="J119" s="70"/>
      <c r="K119" s="70"/>
      <c r="L119" s="70"/>
      <c r="M119" s="70"/>
      <c r="Q119" s="188" t="s">
        <v>305</v>
      </c>
      <c r="R119" s="183"/>
      <c r="S119" s="183"/>
      <c r="T119" s="181"/>
      <c r="U119" s="181"/>
      <c r="V119" s="181"/>
      <c r="W119" s="181"/>
      <c r="X119" s="181"/>
      <c r="Y119" s="181"/>
      <c r="Z119" s="181"/>
      <c r="AA119" s="181"/>
      <c r="AB119" s="181"/>
      <c r="AC119" s="181"/>
      <c r="AD119" s="181"/>
      <c r="AE119" s="181"/>
      <c r="AF119" s="181"/>
      <c r="AG119" s="181"/>
      <c r="AH119" s="181"/>
      <c r="AI119" s="181"/>
      <c r="AJ119" s="181"/>
      <c r="AK119" s="181"/>
      <c r="AL119" s="181"/>
      <c r="AM119" s="181"/>
      <c r="AN119" s="181"/>
      <c r="AO119" s="181"/>
      <c r="AP119" s="626"/>
      <c r="AQ119" s="622"/>
    </row>
    <row r="120" spans="2:43" ht="21.75" customHeight="1">
      <c r="B120" s="70"/>
      <c r="C120" s="70"/>
      <c r="D120" s="70"/>
      <c r="E120" s="70"/>
      <c r="F120" s="70"/>
      <c r="G120" s="70"/>
      <c r="H120" s="70"/>
      <c r="I120" s="70"/>
      <c r="J120" s="70"/>
      <c r="K120" s="70"/>
      <c r="L120" s="70"/>
      <c r="M120" s="70"/>
      <c r="Q120" s="680" t="s">
        <v>543</v>
      </c>
      <c r="R120" s="658"/>
      <c r="S120" s="658"/>
      <c r="T120" s="658"/>
      <c r="U120" s="658"/>
      <c r="V120" s="658"/>
      <c r="W120" s="377"/>
      <c r="X120" s="377"/>
      <c r="Y120" s="377"/>
      <c r="Z120" s="377"/>
      <c r="AA120" s="377"/>
      <c r="AB120" s="377"/>
      <c r="AC120" s="377"/>
      <c r="AD120" s="377"/>
      <c r="AE120" s="377"/>
      <c r="AF120" s="377"/>
      <c r="AG120" s="377"/>
      <c r="AH120" s="377"/>
      <c r="AI120" s="377"/>
      <c r="AJ120" s="377"/>
      <c r="AK120" s="377"/>
      <c r="AL120" s="377"/>
      <c r="AM120" s="377"/>
      <c r="AN120" s="377"/>
      <c r="AO120" s="377"/>
      <c r="AP120" s="616"/>
      <c r="AQ120" s="616"/>
    </row>
    <row r="121" spans="2:43" ht="23.25" customHeight="1">
      <c r="B121" s="70"/>
      <c r="C121" s="70"/>
      <c r="D121" s="70"/>
      <c r="E121" s="70"/>
      <c r="F121" s="70"/>
      <c r="G121" s="70"/>
      <c r="H121" s="70"/>
      <c r="I121" s="70"/>
      <c r="J121" s="70"/>
      <c r="K121" s="70"/>
      <c r="L121" s="70"/>
      <c r="M121" s="70"/>
      <c r="Q121" s="680" t="s">
        <v>544</v>
      </c>
      <c r="R121" s="658"/>
      <c r="S121" s="658"/>
      <c r="T121" s="658"/>
      <c r="U121" s="658"/>
      <c r="V121" s="658"/>
      <c r="W121" s="377"/>
      <c r="X121" s="377"/>
      <c r="Y121" s="377"/>
      <c r="Z121" s="377"/>
      <c r="AA121" s="377"/>
      <c r="AB121" s="377"/>
      <c r="AC121" s="377"/>
      <c r="AD121" s="377"/>
      <c r="AE121" s="377"/>
      <c r="AF121" s="377"/>
      <c r="AG121" s="377"/>
      <c r="AH121" s="377"/>
      <c r="AI121" s="377"/>
      <c r="AJ121" s="377"/>
      <c r="AK121" s="377"/>
      <c r="AL121" s="377"/>
      <c r="AM121" s="377"/>
      <c r="AN121" s="377"/>
      <c r="AO121" s="377"/>
      <c r="AP121" s="616"/>
      <c r="AQ121" s="616"/>
    </row>
    <row r="122" spans="2:43" ht="23.25" customHeight="1">
      <c r="B122" s="70"/>
      <c r="C122" s="70"/>
      <c r="D122" s="70"/>
      <c r="E122" s="70"/>
      <c r="F122" s="70"/>
      <c r="G122" s="70"/>
      <c r="H122" s="70"/>
      <c r="I122" s="70"/>
      <c r="J122" s="70"/>
      <c r="K122" s="70"/>
      <c r="L122" s="70"/>
      <c r="M122" s="70"/>
      <c r="Q122" s="679" t="s">
        <v>420</v>
      </c>
      <c r="R122" s="635"/>
      <c r="S122" s="635"/>
      <c r="T122" s="635"/>
      <c r="U122" s="635"/>
      <c r="V122" s="635"/>
      <c r="W122" s="377"/>
      <c r="X122" s="377"/>
      <c r="Y122" s="377"/>
      <c r="Z122" s="377"/>
      <c r="AA122" s="377"/>
      <c r="AB122" s="377"/>
      <c r="AC122" s="377"/>
      <c r="AD122" s="377"/>
      <c r="AE122" s="377"/>
      <c r="AF122" s="377"/>
      <c r="AG122" s="377"/>
      <c r="AH122" s="377"/>
      <c r="AI122" s="377"/>
      <c r="AJ122" s="377"/>
      <c r="AK122" s="377"/>
      <c r="AL122" s="377"/>
      <c r="AM122" s="377"/>
      <c r="AN122" s="377"/>
      <c r="AO122" s="377"/>
      <c r="AP122" s="616"/>
      <c r="AQ122" s="616"/>
    </row>
    <row r="123" spans="2:43" ht="15.75" customHeight="1">
      <c r="B123" s="70"/>
      <c r="C123" s="70"/>
      <c r="D123" s="70"/>
      <c r="E123" s="70"/>
      <c r="F123" s="70"/>
      <c r="G123" s="70"/>
      <c r="H123" s="70"/>
      <c r="I123" s="70"/>
      <c r="J123" s="70"/>
      <c r="K123" s="70"/>
      <c r="L123" s="70"/>
      <c r="M123" s="70"/>
      <c r="Q123" s="261" t="s">
        <v>100</v>
      </c>
      <c r="R123" s="270"/>
      <c r="S123" s="270"/>
      <c r="T123" s="181"/>
      <c r="U123" s="181"/>
      <c r="V123" s="181"/>
      <c r="W123" s="377"/>
      <c r="X123" s="377"/>
      <c r="Y123" s="377"/>
      <c r="Z123" s="377"/>
      <c r="AA123" s="377"/>
      <c r="AB123" s="377"/>
      <c r="AC123" s="377"/>
      <c r="AD123" s="377"/>
      <c r="AE123" s="377"/>
      <c r="AF123" s="377"/>
      <c r="AG123" s="377"/>
      <c r="AH123" s="377"/>
      <c r="AI123" s="377"/>
      <c r="AJ123" s="377"/>
      <c r="AK123" s="377"/>
      <c r="AL123" s="377"/>
      <c r="AM123" s="377"/>
      <c r="AN123" s="377"/>
      <c r="AO123" s="377"/>
      <c r="AP123" s="616"/>
      <c r="AQ123" s="616"/>
    </row>
    <row r="124" spans="2:43" ht="36.75" customHeight="1">
      <c r="B124" s="70"/>
      <c r="C124" s="70"/>
      <c r="D124" s="70"/>
      <c r="E124" s="70"/>
      <c r="F124" s="70"/>
      <c r="G124" s="70"/>
      <c r="H124" s="70"/>
      <c r="I124" s="70"/>
      <c r="J124" s="70"/>
      <c r="K124" s="70"/>
      <c r="L124" s="70"/>
      <c r="M124" s="70"/>
      <c r="Q124" s="177"/>
      <c r="R124" s="177"/>
      <c r="S124" s="177"/>
      <c r="T124" s="177"/>
      <c r="U124" s="177"/>
      <c r="V124" s="177"/>
      <c r="W124" s="187"/>
      <c r="X124" s="187"/>
      <c r="Y124" s="187"/>
      <c r="Z124" s="187"/>
      <c r="AA124" s="187"/>
      <c r="AB124" s="187"/>
      <c r="AC124" s="187"/>
      <c r="AD124" s="187"/>
      <c r="AE124" s="187"/>
      <c r="AF124" s="187"/>
      <c r="AG124" s="187"/>
      <c r="AH124" s="187"/>
      <c r="AI124" s="187"/>
      <c r="AJ124" s="187"/>
      <c r="AK124" s="187"/>
      <c r="AL124" s="187"/>
      <c r="AM124" s="187"/>
      <c r="AN124" s="187"/>
      <c r="AO124" s="187"/>
      <c r="AP124" s="622"/>
    </row>
    <row r="125" spans="2:43" ht="12.75" customHeight="1">
      <c r="B125" s="70"/>
      <c r="C125" s="70"/>
      <c r="D125" s="70"/>
      <c r="E125" s="70"/>
      <c r="F125" s="70"/>
      <c r="G125" s="70"/>
      <c r="H125" s="70"/>
      <c r="I125" s="70"/>
      <c r="J125" s="70"/>
      <c r="K125" s="70"/>
      <c r="L125" s="70"/>
      <c r="M125" s="70"/>
      <c r="T125" s="174"/>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600"/>
    </row>
    <row r="126" spans="2:43">
      <c r="B126" s="70"/>
      <c r="C126" s="70"/>
      <c r="D126" s="70"/>
      <c r="E126" s="70"/>
      <c r="F126" s="70"/>
      <c r="G126" s="70"/>
      <c r="H126" s="70"/>
      <c r="I126" s="70"/>
      <c r="J126" s="70"/>
      <c r="K126" s="70"/>
      <c r="L126" s="70"/>
      <c r="M126" s="70"/>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600"/>
    </row>
    <row r="127" spans="2:43">
      <c r="B127" s="70"/>
      <c r="C127" s="70"/>
      <c r="D127" s="70"/>
      <c r="E127" s="70"/>
      <c r="F127" s="70"/>
      <c r="G127" s="70"/>
      <c r="H127" s="70"/>
      <c r="I127" s="70"/>
      <c r="J127" s="70"/>
      <c r="K127" s="70"/>
      <c r="L127" s="70"/>
      <c r="M127" s="70"/>
    </row>
    <row r="128" spans="2:43">
      <c r="B128" s="70"/>
      <c r="C128" s="70"/>
      <c r="D128" s="70"/>
      <c r="E128" s="70"/>
      <c r="F128" s="70"/>
      <c r="G128" s="70"/>
      <c r="H128" s="70"/>
      <c r="I128" s="70"/>
      <c r="J128" s="70"/>
      <c r="K128" s="70"/>
      <c r="L128" s="70"/>
      <c r="M128" s="70"/>
      <c r="T128" s="174"/>
      <c r="U128" s="174"/>
      <c r="V128" s="174"/>
      <c r="W128" s="174"/>
      <c r="X128" s="174"/>
      <c r="Y128" s="174"/>
      <c r="Z128" s="174"/>
      <c r="AA128" s="174"/>
      <c r="AB128" s="174"/>
      <c r="AC128" s="174"/>
      <c r="AD128" s="174"/>
      <c r="AE128" s="174"/>
      <c r="AF128" s="174"/>
      <c r="AG128" s="174"/>
      <c r="AH128" s="174"/>
      <c r="AI128" s="174"/>
      <c r="AJ128" s="174"/>
      <c r="AK128" s="174"/>
      <c r="AL128" s="174"/>
      <c r="AM128" s="174"/>
      <c r="AN128" s="174"/>
      <c r="AO128" s="174"/>
      <c r="AP128" s="600"/>
    </row>
    <row r="129" spans="2:42">
      <c r="B129" s="70"/>
      <c r="C129" s="70"/>
      <c r="D129" s="70"/>
      <c r="E129" s="70"/>
      <c r="F129" s="70"/>
      <c r="G129" s="70"/>
      <c r="H129" s="70"/>
      <c r="I129" s="70"/>
      <c r="J129" s="70"/>
      <c r="K129" s="70"/>
      <c r="L129" s="70"/>
      <c r="M129" s="70"/>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600"/>
    </row>
    <row r="130" spans="2:42" ht="15">
      <c r="B130" s="70"/>
      <c r="C130" s="70"/>
      <c r="D130" s="70"/>
      <c r="E130" s="70"/>
      <c r="F130" s="70"/>
      <c r="G130" s="70"/>
      <c r="H130" s="70"/>
      <c r="I130" s="70"/>
      <c r="J130" s="70"/>
      <c r="K130" s="70"/>
      <c r="L130" s="70"/>
      <c r="M130" s="70"/>
      <c r="Q130" s="258" t="s">
        <v>547</v>
      </c>
      <c r="R130" s="246"/>
      <c r="S130" s="246"/>
    </row>
    <row r="131" spans="2:42">
      <c r="B131" s="70"/>
      <c r="C131" s="70"/>
      <c r="D131" s="70"/>
      <c r="E131" s="70"/>
      <c r="F131" s="70"/>
      <c r="G131" s="70"/>
      <c r="H131" s="70"/>
      <c r="I131" s="70"/>
      <c r="J131" s="70"/>
      <c r="K131" s="70"/>
      <c r="L131" s="70"/>
      <c r="M131" s="70"/>
    </row>
    <row r="132" spans="2:42" ht="18.75" customHeight="1">
      <c r="B132" s="70"/>
      <c r="C132" s="70"/>
      <c r="D132" s="70"/>
      <c r="E132" s="70"/>
      <c r="F132" s="70"/>
      <c r="G132" s="70"/>
      <c r="H132" s="70"/>
      <c r="I132" s="70"/>
      <c r="J132" s="70"/>
      <c r="K132" s="70"/>
      <c r="L132" s="70"/>
      <c r="M132" s="70"/>
      <c r="O132" s="329" t="s">
        <v>153</v>
      </c>
      <c r="P132" s="329"/>
      <c r="Q132" s="372" t="s">
        <v>302</v>
      </c>
      <c r="R132" s="372" t="s">
        <v>37</v>
      </c>
      <c r="S132" s="372"/>
      <c r="T132" s="247"/>
      <c r="U132" s="247" t="s">
        <v>50</v>
      </c>
      <c r="V132" s="247" t="s">
        <v>303</v>
      </c>
      <c r="W132" s="247"/>
      <c r="X132" s="247"/>
      <c r="Y132" s="247"/>
      <c r="Z132" s="247"/>
      <c r="AA132" s="247"/>
      <c r="AB132" s="247"/>
      <c r="AC132" s="247"/>
      <c r="AD132" s="247"/>
      <c r="AE132" s="247"/>
      <c r="AF132" s="247"/>
      <c r="AG132" s="247"/>
      <c r="AH132" s="247"/>
      <c r="AI132" s="247"/>
      <c r="AJ132" s="247"/>
      <c r="AK132" s="247"/>
      <c r="AL132" s="247"/>
      <c r="AM132" s="247"/>
      <c r="AN132" s="247"/>
      <c r="AO132" s="247"/>
      <c r="AP132" s="608"/>
    </row>
    <row r="133" spans="2:42">
      <c r="B133" s="70"/>
      <c r="C133" s="70"/>
      <c r="D133" s="70"/>
      <c r="E133" s="70"/>
      <c r="F133" s="70"/>
      <c r="G133" s="70"/>
      <c r="H133" s="70"/>
      <c r="I133" s="70"/>
      <c r="J133" s="70"/>
      <c r="K133" s="70"/>
      <c r="L133" s="70"/>
      <c r="M133" s="70"/>
      <c r="Q133" s="274"/>
      <c r="R133" s="274"/>
      <c r="S133" s="274"/>
      <c r="T133" s="250"/>
      <c r="U133" s="250"/>
      <c r="V133" s="250"/>
      <c r="W133" s="250"/>
      <c r="X133" s="250"/>
      <c r="Y133" s="250"/>
      <c r="Z133" s="250"/>
      <c r="AA133" s="250"/>
      <c r="AB133" s="250"/>
      <c r="AC133" s="250"/>
      <c r="AD133" s="250"/>
      <c r="AE133" s="250"/>
      <c r="AF133" s="250"/>
      <c r="AG133" s="250"/>
      <c r="AH133" s="250"/>
      <c r="AI133" s="250"/>
      <c r="AJ133" s="250"/>
      <c r="AK133" s="250"/>
      <c r="AL133" s="250"/>
      <c r="AM133" s="250"/>
      <c r="AN133" s="250"/>
      <c r="AO133" s="250"/>
      <c r="AP133" s="602"/>
    </row>
    <row r="134" spans="2:42">
      <c r="B134" s="70"/>
      <c r="C134" s="70"/>
      <c r="D134" s="70"/>
      <c r="E134" s="70"/>
      <c r="F134" s="70"/>
      <c r="G134" s="70"/>
      <c r="H134" s="70"/>
      <c r="I134" s="70"/>
      <c r="J134" s="70"/>
      <c r="K134" s="70"/>
      <c r="L134" s="70"/>
      <c r="M134" s="70"/>
      <c r="Q134" s="274" t="s">
        <v>3</v>
      </c>
      <c r="R134" s="274" t="s">
        <v>9</v>
      </c>
      <c r="S134" s="248" t="s">
        <v>303</v>
      </c>
      <c r="T134" s="250"/>
      <c r="U134" s="250" t="s">
        <v>43</v>
      </c>
      <c r="V134" s="376">
        <f>IFERROR(VLOOKUP(ref!$X$1&amp;ref!$W$1&amp;19&amp;$U134,mpaopercmethods,8,FALSE),"0.0")</f>
        <v>85.6</v>
      </c>
      <c r="W134" s="376"/>
      <c r="X134" s="376"/>
      <c r="Y134" s="376"/>
      <c r="Z134" s="376"/>
      <c r="AA134" s="376"/>
      <c r="AB134" s="376"/>
      <c r="AC134" s="376"/>
      <c r="AD134" s="376"/>
      <c r="AE134" s="376"/>
      <c r="AF134" s="376"/>
      <c r="AG134" s="376"/>
      <c r="AH134" s="376"/>
      <c r="AI134" s="376"/>
      <c r="AJ134" s="376"/>
      <c r="AK134" s="376"/>
      <c r="AL134" s="376"/>
      <c r="AM134" s="376"/>
      <c r="AN134" s="376"/>
      <c r="AO134" s="376"/>
      <c r="AP134" s="627"/>
    </row>
    <row r="135" spans="2:42">
      <c r="B135" s="70"/>
      <c r="C135" s="70"/>
      <c r="D135" s="70"/>
      <c r="E135" s="70"/>
      <c r="F135" s="70"/>
      <c r="G135" s="70"/>
      <c r="H135" s="70"/>
      <c r="I135" s="70"/>
      <c r="J135" s="70"/>
      <c r="K135" s="70"/>
      <c r="L135" s="70"/>
      <c r="M135" s="70"/>
      <c r="Q135" s="274"/>
      <c r="R135" s="274"/>
      <c r="S135" s="248" t="s">
        <v>303</v>
      </c>
      <c r="T135" s="250"/>
      <c r="U135" s="250" t="s">
        <v>46</v>
      </c>
      <c r="V135" s="376">
        <f>IFERROR(VLOOKUP(ref!$X$1&amp;ref!$W$1&amp;19&amp;$U135,mpaopercmethods,8,FALSE),"0.0")</f>
        <v>2.8</v>
      </c>
      <c r="W135" s="376"/>
      <c r="X135" s="376"/>
      <c r="Y135" s="376"/>
      <c r="Z135" s="376"/>
      <c r="AA135" s="376"/>
      <c r="AB135" s="376"/>
      <c r="AC135" s="376"/>
      <c r="AD135" s="376"/>
      <c r="AE135" s="376"/>
      <c r="AF135" s="376"/>
      <c r="AG135" s="376"/>
      <c r="AH135" s="376"/>
      <c r="AI135" s="376"/>
      <c r="AJ135" s="376"/>
      <c r="AK135" s="376"/>
      <c r="AL135" s="376"/>
      <c r="AM135" s="376"/>
      <c r="AN135" s="376"/>
      <c r="AO135" s="376"/>
      <c r="AP135" s="627"/>
    </row>
    <row r="136" spans="2:42">
      <c r="B136" s="70"/>
      <c r="C136" s="70"/>
      <c r="D136" s="70"/>
      <c r="E136" s="70"/>
      <c r="F136" s="70"/>
      <c r="G136" s="70"/>
      <c r="H136" s="70"/>
      <c r="I136" s="70"/>
      <c r="J136" s="70"/>
      <c r="K136" s="70"/>
      <c r="L136" s="70"/>
      <c r="M136" s="70"/>
      <c r="Q136" s="274"/>
      <c r="R136" s="274"/>
      <c r="S136" s="248" t="s">
        <v>303</v>
      </c>
      <c r="T136" s="250"/>
      <c r="U136" s="250" t="s">
        <v>47</v>
      </c>
      <c r="V136" s="376">
        <f>IFERROR(VLOOKUP(ref!$X$1&amp;ref!$W$1&amp;19&amp;$U136,mpaopercmethods,8,FALSE),"0.0")</f>
        <v>4.4000000000000004</v>
      </c>
      <c r="W136" s="376"/>
      <c r="X136" s="376"/>
      <c r="Y136" s="376"/>
      <c r="Z136" s="376"/>
      <c r="AA136" s="376"/>
      <c r="AB136" s="376"/>
      <c r="AC136" s="376"/>
      <c r="AD136" s="376"/>
      <c r="AE136" s="376"/>
      <c r="AF136" s="376"/>
      <c r="AG136" s="376"/>
      <c r="AH136" s="376"/>
      <c r="AI136" s="376"/>
      <c r="AJ136" s="376"/>
      <c r="AK136" s="376"/>
      <c r="AL136" s="376"/>
      <c r="AM136" s="376"/>
      <c r="AN136" s="376"/>
      <c r="AO136" s="376"/>
      <c r="AP136" s="627"/>
    </row>
    <row r="137" spans="2:42">
      <c r="B137" s="70"/>
      <c r="C137" s="70"/>
      <c r="D137" s="70"/>
      <c r="E137" s="70"/>
      <c r="F137" s="70"/>
      <c r="G137" s="70"/>
      <c r="H137" s="70"/>
      <c r="I137" s="70"/>
      <c r="J137" s="70"/>
      <c r="K137" s="70"/>
      <c r="L137" s="70"/>
      <c r="M137" s="70"/>
      <c r="Q137" s="274"/>
      <c r="R137" s="274"/>
      <c r="S137" s="248" t="s">
        <v>303</v>
      </c>
      <c r="T137" s="250"/>
      <c r="U137" s="250" t="s">
        <v>42</v>
      </c>
      <c r="V137" s="376">
        <f>IFERROR(VLOOKUP(ref!$X$1&amp;ref!$W$1&amp;19&amp;$U137,mpaopercmethods,8,FALSE),"0.0")</f>
        <v>2.1</v>
      </c>
      <c r="W137" s="376"/>
      <c r="X137" s="376"/>
      <c r="Y137" s="376"/>
      <c r="Z137" s="376"/>
      <c r="AA137" s="376"/>
      <c r="AB137" s="376"/>
      <c r="AC137" s="376"/>
      <c r="AD137" s="376"/>
      <c r="AE137" s="376"/>
      <c r="AF137" s="376"/>
      <c r="AG137" s="376"/>
      <c r="AH137" s="376"/>
      <c r="AI137" s="376"/>
      <c r="AJ137" s="376"/>
      <c r="AK137" s="376"/>
      <c r="AL137" s="376"/>
      <c r="AM137" s="376"/>
      <c r="AN137" s="376"/>
      <c r="AO137" s="376"/>
      <c r="AP137" s="627"/>
    </row>
    <row r="138" spans="2:42">
      <c r="B138" s="70"/>
      <c r="C138" s="70"/>
      <c r="D138" s="70"/>
      <c r="E138" s="70"/>
      <c r="F138" s="70"/>
      <c r="G138" s="70"/>
      <c r="H138" s="70"/>
      <c r="I138" s="70"/>
      <c r="J138" s="70"/>
      <c r="K138" s="70"/>
      <c r="L138" s="70"/>
      <c r="M138" s="70"/>
      <c r="Q138" s="274"/>
      <c r="R138" s="274"/>
      <c r="S138" s="248" t="s">
        <v>303</v>
      </c>
      <c r="T138" s="250"/>
      <c r="U138" s="250" t="s">
        <v>44</v>
      </c>
      <c r="V138" s="376">
        <f>IFERROR(VLOOKUP(ref!$X$1&amp;ref!$W$1&amp;19&amp;$U138,mpaopercmethods,8,FALSE),"0.0")</f>
        <v>1.4</v>
      </c>
      <c r="W138" s="376"/>
      <c r="X138" s="376"/>
      <c r="Y138" s="376"/>
      <c r="Z138" s="376"/>
      <c r="AA138" s="376"/>
      <c r="AB138" s="376"/>
      <c r="AC138" s="376"/>
      <c r="AD138" s="376"/>
      <c r="AE138" s="376"/>
      <c r="AF138" s="376"/>
      <c r="AG138" s="376"/>
      <c r="AH138" s="376"/>
      <c r="AI138" s="376"/>
      <c r="AJ138" s="376"/>
      <c r="AK138" s="376"/>
      <c r="AL138" s="376"/>
      <c r="AM138" s="376"/>
      <c r="AN138" s="376"/>
      <c r="AO138" s="376"/>
      <c r="AP138" s="627"/>
    </row>
    <row r="139" spans="2:42">
      <c r="B139" s="70"/>
      <c r="C139" s="70"/>
      <c r="D139" s="70"/>
      <c r="E139" s="70"/>
      <c r="F139" s="70"/>
      <c r="G139" s="70"/>
      <c r="H139" s="70"/>
      <c r="I139" s="70"/>
      <c r="J139" s="70"/>
      <c r="K139" s="70"/>
      <c r="L139" s="70"/>
      <c r="M139" s="70"/>
      <c r="Q139" s="274"/>
      <c r="R139" s="274"/>
      <c r="S139" s="248" t="s">
        <v>303</v>
      </c>
      <c r="T139" s="250"/>
      <c r="U139" s="250" t="s">
        <v>49</v>
      </c>
      <c r="V139" s="376">
        <f>IFERROR(VLOOKUP(ref!$X$1&amp;ref!$W$1&amp;19&amp;$U139,mpaopercmethods,8,FALSE),"0.0")</f>
        <v>0.5</v>
      </c>
      <c r="W139" s="376"/>
      <c r="X139" s="376"/>
      <c r="Y139" s="376"/>
      <c r="Z139" s="376"/>
      <c r="AA139" s="376"/>
      <c r="AB139" s="376"/>
      <c r="AC139" s="376"/>
      <c r="AD139" s="376"/>
      <c r="AE139" s="376"/>
      <c r="AF139" s="376"/>
      <c r="AG139" s="376"/>
      <c r="AH139" s="376"/>
      <c r="AI139" s="376"/>
      <c r="AJ139" s="376"/>
      <c r="AK139" s="376"/>
      <c r="AL139" s="376"/>
      <c r="AM139" s="376"/>
      <c r="AN139" s="376"/>
      <c r="AO139" s="376"/>
      <c r="AP139" s="627"/>
    </row>
    <row r="140" spans="2:42">
      <c r="B140" s="70"/>
      <c r="C140" s="70"/>
      <c r="D140" s="70"/>
      <c r="E140" s="70"/>
      <c r="F140" s="70"/>
      <c r="G140" s="70"/>
      <c r="H140" s="70"/>
      <c r="I140" s="70"/>
      <c r="J140" s="70"/>
      <c r="K140" s="70"/>
      <c r="L140" s="70"/>
      <c r="M140" s="70"/>
      <c r="Q140" s="274"/>
      <c r="R140" s="274"/>
      <c r="S140" s="248" t="s">
        <v>303</v>
      </c>
      <c r="T140" s="250"/>
      <c r="U140" s="250" t="s">
        <v>48</v>
      </c>
      <c r="V140" s="376">
        <f>IFERROR(VLOOKUP(ref!$X$1&amp;ref!$W$1&amp;19&amp;$U140,mpaopercmethods,8,FALSE),"0.0")</f>
        <v>0.7</v>
      </c>
      <c r="W140" s="376"/>
      <c r="X140" s="376"/>
      <c r="Y140" s="376"/>
      <c r="Z140" s="376"/>
      <c r="AA140" s="376"/>
      <c r="AB140" s="376"/>
      <c r="AC140" s="376"/>
      <c r="AD140" s="376"/>
      <c r="AE140" s="376"/>
      <c r="AF140" s="376"/>
      <c r="AG140" s="376"/>
      <c r="AH140" s="376"/>
      <c r="AI140" s="376"/>
      <c r="AJ140" s="376"/>
      <c r="AK140" s="376"/>
      <c r="AL140" s="376"/>
      <c r="AM140" s="376"/>
      <c r="AN140" s="376"/>
      <c r="AO140" s="376"/>
      <c r="AP140" s="627"/>
    </row>
    <row r="141" spans="2:42">
      <c r="B141" s="70"/>
      <c r="C141" s="70"/>
      <c r="D141" s="70"/>
      <c r="E141" s="70"/>
      <c r="F141" s="70"/>
      <c r="G141" s="70"/>
      <c r="H141" s="70"/>
      <c r="I141" s="70"/>
      <c r="J141" s="70"/>
      <c r="K141" s="70"/>
      <c r="L141" s="70"/>
      <c r="M141" s="70"/>
      <c r="Q141" s="274"/>
      <c r="R141" s="274"/>
      <c r="S141" s="248" t="s">
        <v>303</v>
      </c>
      <c r="T141" s="250"/>
      <c r="U141" s="250" t="s">
        <v>45</v>
      </c>
      <c r="V141" s="376">
        <f>IFERROR(VLOOKUP(ref!$X$1&amp;ref!$W$1&amp;19&amp;$U141,mpaopercmethods,8,FALSE),"0.0")</f>
        <v>2.5</v>
      </c>
      <c r="W141" s="376"/>
      <c r="X141" s="376"/>
      <c r="Y141" s="376"/>
      <c r="Z141" s="376"/>
      <c r="AA141" s="376"/>
      <c r="AB141" s="376"/>
      <c r="AC141" s="376"/>
      <c r="AD141" s="376"/>
      <c r="AE141" s="376"/>
      <c r="AF141" s="376"/>
      <c r="AG141" s="376"/>
      <c r="AH141" s="376"/>
      <c r="AI141" s="376"/>
      <c r="AJ141" s="376"/>
      <c r="AK141" s="376"/>
      <c r="AL141" s="376"/>
      <c r="AM141" s="376"/>
      <c r="AN141" s="376"/>
      <c r="AO141" s="376"/>
      <c r="AP141" s="627"/>
    </row>
    <row r="142" spans="2:42">
      <c r="B142" s="70"/>
      <c r="C142" s="70"/>
      <c r="D142" s="70"/>
      <c r="E142" s="70"/>
      <c r="F142" s="70"/>
      <c r="G142" s="70"/>
      <c r="H142" s="70"/>
      <c r="I142" s="70"/>
      <c r="J142" s="70"/>
      <c r="K142" s="70"/>
      <c r="L142" s="70"/>
      <c r="M142" s="70"/>
      <c r="Q142" s="303"/>
      <c r="R142" s="303"/>
      <c r="S142" s="262"/>
      <c r="T142" s="266"/>
      <c r="U142" s="266"/>
      <c r="V142" s="303"/>
      <c r="W142" s="375"/>
      <c r="X142" s="375"/>
      <c r="Y142" s="375"/>
      <c r="Z142" s="375"/>
      <c r="AA142" s="375"/>
      <c r="AB142" s="375"/>
      <c r="AC142" s="375"/>
      <c r="AD142" s="375"/>
      <c r="AE142" s="375"/>
      <c r="AF142" s="375"/>
      <c r="AG142" s="375"/>
      <c r="AH142" s="375"/>
      <c r="AI142" s="375"/>
      <c r="AJ142" s="375"/>
      <c r="AK142" s="375"/>
      <c r="AL142" s="375"/>
      <c r="AM142" s="375"/>
      <c r="AN142" s="375"/>
      <c r="AO142" s="375"/>
      <c r="AP142" s="628"/>
    </row>
    <row r="143" spans="2:42">
      <c r="B143" s="70"/>
      <c r="C143" s="70"/>
      <c r="D143" s="70"/>
      <c r="E143" s="70"/>
      <c r="F143" s="70"/>
      <c r="G143" s="70"/>
      <c r="H143" s="70"/>
      <c r="I143" s="70"/>
      <c r="J143" s="70"/>
      <c r="K143" s="70"/>
      <c r="L143" s="70"/>
      <c r="M143" s="70"/>
      <c r="Q143" s="274" t="s">
        <v>79</v>
      </c>
      <c r="R143" s="274" t="s">
        <v>9</v>
      </c>
      <c r="S143" s="248" t="s">
        <v>303</v>
      </c>
      <c r="T143" s="250"/>
      <c r="U143" s="250" t="s">
        <v>43</v>
      </c>
      <c r="V143" s="377">
        <f>IFERROR(VLOOKUP(ref!$X$1&amp;ref!$W$2&amp;19&amp;$U143,mpaopercmethods,8,FALSE),"0.0")</f>
        <v>84</v>
      </c>
      <c r="W143" s="377"/>
      <c r="X143" s="377"/>
      <c r="Y143" s="377"/>
      <c r="Z143" s="377"/>
      <c r="AA143" s="377"/>
      <c r="AB143" s="377"/>
      <c r="AC143" s="377"/>
      <c r="AD143" s="377"/>
      <c r="AE143" s="377"/>
      <c r="AF143" s="377"/>
      <c r="AG143" s="377"/>
      <c r="AH143" s="377"/>
      <c r="AI143" s="377"/>
      <c r="AJ143" s="377"/>
      <c r="AK143" s="377"/>
      <c r="AL143" s="377"/>
      <c r="AM143" s="377"/>
      <c r="AN143" s="377"/>
      <c r="AO143" s="377"/>
      <c r="AP143" s="616"/>
    </row>
    <row r="144" spans="2:42">
      <c r="B144" s="70"/>
      <c r="C144" s="70"/>
      <c r="D144" s="70"/>
      <c r="E144" s="70"/>
      <c r="F144" s="70"/>
      <c r="G144" s="70"/>
      <c r="H144" s="70"/>
      <c r="I144" s="70"/>
      <c r="J144" s="70"/>
      <c r="K144" s="70"/>
      <c r="L144" s="70"/>
      <c r="M144" s="70"/>
      <c r="Q144" s="274"/>
      <c r="R144" s="274"/>
      <c r="S144" s="248" t="s">
        <v>303</v>
      </c>
      <c r="T144" s="250"/>
      <c r="U144" s="250" t="s">
        <v>46</v>
      </c>
      <c r="V144" s="377">
        <f>IFERROR(VLOOKUP(ref!$X$1&amp;ref!$W$2&amp;19&amp;$U144,mpaopercmethods,8,FALSE),"0.0")</f>
        <v>0.8</v>
      </c>
      <c r="W144" s="377"/>
      <c r="X144" s="377"/>
      <c r="Y144" s="377"/>
      <c r="Z144" s="377"/>
      <c r="AA144" s="377"/>
      <c r="AB144" s="377"/>
      <c r="AC144" s="377"/>
      <c r="AD144" s="377"/>
      <c r="AE144" s="377"/>
      <c r="AF144" s="377"/>
      <c r="AG144" s="377"/>
      <c r="AH144" s="377"/>
      <c r="AI144" s="377"/>
      <c r="AJ144" s="377"/>
      <c r="AK144" s="377"/>
      <c r="AL144" s="377"/>
      <c r="AM144" s="377"/>
      <c r="AN144" s="377"/>
      <c r="AO144" s="377"/>
      <c r="AP144" s="616"/>
    </row>
    <row r="145" spans="2:42">
      <c r="B145" s="70"/>
      <c r="C145" s="70"/>
      <c r="D145" s="70"/>
      <c r="E145" s="70"/>
      <c r="F145" s="70"/>
      <c r="G145" s="70"/>
      <c r="H145" s="70"/>
      <c r="I145" s="70"/>
      <c r="J145" s="70"/>
      <c r="K145" s="70"/>
      <c r="L145" s="70"/>
      <c r="M145" s="70"/>
      <c r="Q145" s="274"/>
      <c r="R145" s="274"/>
      <c r="S145" s="248" t="s">
        <v>303</v>
      </c>
      <c r="T145" s="250"/>
      <c r="U145" s="250" t="s">
        <v>47</v>
      </c>
      <c r="V145" s="377">
        <f>IFERROR(VLOOKUP(ref!$X$1&amp;ref!$W$2&amp;19&amp;$U145,mpaopercmethods,8,FALSE),"0.0")</f>
        <v>6.7</v>
      </c>
      <c r="W145" s="377"/>
      <c r="X145" s="377"/>
      <c r="Y145" s="377"/>
      <c r="Z145" s="377"/>
      <c r="AA145" s="377"/>
      <c r="AB145" s="377"/>
      <c r="AC145" s="377"/>
      <c r="AD145" s="377"/>
      <c r="AE145" s="377"/>
      <c r="AF145" s="377"/>
      <c r="AG145" s="377"/>
      <c r="AH145" s="377"/>
      <c r="AI145" s="377"/>
      <c r="AJ145" s="377"/>
      <c r="AK145" s="377"/>
      <c r="AL145" s="377"/>
      <c r="AM145" s="377"/>
      <c r="AN145" s="377"/>
      <c r="AO145" s="377"/>
      <c r="AP145" s="616"/>
    </row>
    <row r="146" spans="2:42">
      <c r="B146" s="70"/>
      <c r="C146" s="70"/>
      <c r="D146" s="70"/>
      <c r="E146" s="70"/>
      <c r="F146" s="70"/>
      <c r="G146" s="70"/>
      <c r="H146" s="70"/>
      <c r="I146" s="70"/>
      <c r="J146" s="70"/>
      <c r="K146" s="70"/>
      <c r="L146" s="70"/>
      <c r="M146" s="70"/>
      <c r="Q146" s="274"/>
      <c r="R146" s="274"/>
      <c r="S146" s="248" t="s">
        <v>303</v>
      </c>
      <c r="T146" s="250"/>
      <c r="U146" s="250" t="s">
        <v>42</v>
      </c>
      <c r="V146" s="377" t="str">
        <f>IFERROR(VLOOKUP(ref!$X$1&amp;ref!$W$2&amp;19&amp;$U146,mpaopercmethods,8,FALSE),"0.0")</f>
        <v>0.0</v>
      </c>
      <c r="W146" s="377"/>
      <c r="X146" s="377"/>
      <c r="Y146" s="377"/>
      <c r="Z146" s="377"/>
      <c r="AA146" s="377"/>
      <c r="AB146" s="377"/>
      <c r="AC146" s="377"/>
      <c r="AD146" s="377"/>
      <c r="AE146" s="377"/>
      <c r="AF146" s="377"/>
      <c r="AG146" s="377"/>
      <c r="AH146" s="377"/>
      <c r="AI146" s="377"/>
      <c r="AJ146" s="377"/>
      <c r="AK146" s="377"/>
      <c r="AL146" s="377"/>
      <c r="AM146" s="377"/>
      <c r="AN146" s="377"/>
      <c r="AO146" s="377"/>
      <c r="AP146" s="616"/>
    </row>
    <row r="147" spans="2:42">
      <c r="B147" s="70"/>
      <c r="C147" s="70"/>
      <c r="D147" s="70"/>
      <c r="E147" s="70"/>
      <c r="F147" s="70"/>
      <c r="G147" s="70"/>
      <c r="H147" s="70"/>
      <c r="I147" s="70"/>
      <c r="J147" s="70"/>
      <c r="K147" s="70"/>
      <c r="L147" s="70"/>
      <c r="M147" s="70"/>
      <c r="Q147" s="274"/>
      <c r="R147" s="274"/>
      <c r="S147" s="248" t="s">
        <v>303</v>
      </c>
      <c r="T147" s="250"/>
      <c r="U147" s="250" t="s">
        <v>44</v>
      </c>
      <c r="V147" s="377">
        <f>IFERROR(VLOOKUP(ref!$X$1&amp;ref!$W$2&amp;19&amp;$U147,mpaopercmethods,8,FALSE),"0.0")</f>
        <v>4.2</v>
      </c>
      <c r="W147" s="377"/>
      <c r="X147" s="377"/>
      <c r="Y147" s="377"/>
      <c r="Z147" s="377"/>
      <c r="AA147" s="377"/>
      <c r="AB147" s="377"/>
      <c r="AC147" s="377"/>
      <c r="AD147" s="377"/>
      <c r="AE147" s="377"/>
      <c r="AF147" s="377"/>
      <c r="AG147" s="377"/>
      <c r="AH147" s="377"/>
      <c r="AI147" s="377"/>
      <c r="AJ147" s="377"/>
      <c r="AK147" s="377"/>
      <c r="AL147" s="377"/>
      <c r="AM147" s="377"/>
      <c r="AN147" s="377"/>
      <c r="AO147" s="377"/>
      <c r="AP147" s="616"/>
    </row>
    <row r="148" spans="2:42">
      <c r="B148" s="70"/>
      <c r="C148" s="70"/>
      <c r="D148" s="70"/>
      <c r="E148" s="70"/>
      <c r="F148" s="70"/>
      <c r="G148" s="70"/>
      <c r="H148" s="70"/>
      <c r="I148" s="70"/>
      <c r="J148" s="70"/>
      <c r="K148" s="70"/>
      <c r="L148" s="70"/>
      <c r="M148" s="70"/>
      <c r="Q148" s="274"/>
      <c r="R148" s="274"/>
      <c r="S148" s="248" t="s">
        <v>303</v>
      </c>
      <c r="T148" s="250"/>
      <c r="U148" s="250" t="s">
        <v>49</v>
      </c>
      <c r="V148" s="377">
        <f>IFERROR(VLOOKUP(ref!$X$1&amp;ref!$W$2&amp;19&amp;$U148,mpaopercmethods,8,FALSE),"0.0")</f>
        <v>0.8</v>
      </c>
      <c r="W148" s="377"/>
      <c r="X148" s="377"/>
      <c r="Y148" s="377"/>
      <c r="Z148" s="377"/>
      <c r="AA148" s="377"/>
      <c r="AB148" s="377"/>
      <c r="AC148" s="377"/>
      <c r="AD148" s="377"/>
      <c r="AE148" s="377"/>
      <c r="AF148" s="377"/>
      <c r="AG148" s="377"/>
      <c r="AH148" s="377"/>
      <c r="AI148" s="377"/>
      <c r="AJ148" s="377"/>
      <c r="AK148" s="377"/>
      <c r="AL148" s="377"/>
      <c r="AM148" s="377"/>
      <c r="AN148" s="377"/>
      <c r="AO148" s="377"/>
      <c r="AP148" s="616"/>
    </row>
    <row r="149" spans="2:42">
      <c r="B149" s="70"/>
      <c r="C149" s="70"/>
      <c r="D149" s="70"/>
      <c r="E149" s="70"/>
      <c r="F149" s="70"/>
      <c r="G149" s="70"/>
      <c r="H149" s="70"/>
      <c r="I149" s="70"/>
      <c r="J149" s="70"/>
      <c r="K149" s="70"/>
      <c r="L149" s="70"/>
      <c r="M149" s="70"/>
      <c r="Q149" s="274"/>
      <c r="R149" s="274"/>
      <c r="S149" s="248" t="s">
        <v>303</v>
      </c>
      <c r="T149" s="250"/>
      <c r="U149" s="250" t="s">
        <v>48</v>
      </c>
      <c r="V149" s="377">
        <f>IFERROR(VLOOKUP(ref!$X$1&amp;ref!$W$2&amp;19&amp;$U149,mpaopercmethods,8,FALSE),"0.0")</f>
        <v>1.7</v>
      </c>
      <c r="W149" s="377"/>
      <c r="X149" s="377"/>
      <c r="Y149" s="377"/>
      <c r="Z149" s="377"/>
      <c r="AA149" s="377"/>
      <c r="AB149" s="377"/>
      <c r="AC149" s="377"/>
      <c r="AD149" s="377"/>
      <c r="AE149" s="377"/>
      <c r="AF149" s="377"/>
      <c r="AG149" s="377"/>
      <c r="AH149" s="377"/>
      <c r="AI149" s="377"/>
      <c r="AJ149" s="377"/>
      <c r="AK149" s="377"/>
      <c r="AL149" s="377"/>
      <c r="AM149" s="377"/>
      <c r="AN149" s="377"/>
      <c r="AO149" s="377"/>
      <c r="AP149" s="616"/>
    </row>
    <row r="150" spans="2:42">
      <c r="B150" s="70"/>
      <c r="C150" s="70"/>
      <c r="D150" s="70"/>
      <c r="E150" s="70"/>
      <c r="F150" s="70"/>
      <c r="G150" s="70"/>
      <c r="H150" s="70"/>
      <c r="I150" s="70"/>
      <c r="J150" s="70"/>
      <c r="K150" s="70"/>
      <c r="L150" s="70"/>
      <c r="M150" s="70"/>
      <c r="Q150" s="274"/>
      <c r="R150" s="274"/>
      <c r="S150" s="248" t="s">
        <v>303</v>
      </c>
      <c r="T150" s="274"/>
      <c r="U150" s="250" t="s">
        <v>45</v>
      </c>
      <c r="V150" s="377">
        <f>IFERROR(VLOOKUP(ref!$X$1&amp;ref!$W$2&amp;19&amp;$U150,mpaopercmethods,8,FALSE),"0.0")</f>
        <v>1.7</v>
      </c>
      <c r="W150" s="377"/>
      <c r="X150" s="377"/>
      <c r="Y150" s="377"/>
      <c r="Z150" s="377"/>
      <c r="AA150" s="377"/>
      <c r="AB150" s="377"/>
      <c r="AC150" s="377"/>
      <c r="AD150" s="377"/>
      <c r="AE150" s="377"/>
      <c r="AF150" s="377"/>
      <c r="AG150" s="377"/>
      <c r="AH150" s="377"/>
      <c r="AI150" s="377"/>
      <c r="AJ150" s="377"/>
      <c r="AK150" s="377"/>
      <c r="AL150" s="377"/>
      <c r="AM150" s="377"/>
      <c r="AN150" s="377"/>
      <c r="AO150" s="377"/>
      <c r="AP150" s="616"/>
    </row>
    <row r="151" spans="2:42">
      <c r="B151" s="70"/>
      <c r="C151" s="70"/>
      <c r="D151" s="70"/>
      <c r="E151" s="70"/>
      <c r="F151" s="70"/>
      <c r="G151" s="70"/>
      <c r="H151" s="70"/>
      <c r="I151" s="70"/>
      <c r="J151" s="70"/>
      <c r="K151" s="70"/>
      <c r="L151" s="70"/>
      <c r="M151" s="70"/>
      <c r="Q151" s="303"/>
      <c r="R151" s="303"/>
      <c r="S151" s="303"/>
      <c r="T151" s="266"/>
      <c r="U151" s="266"/>
      <c r="V151" s="303"/>
      <c r="W151" s="375"/>
      <c r="X151" s="375"/>
      <c r="Y151" s="375"/>
      <c r="Z151" s="375"/>
      <c r="AA151" s="375"/>
      <c r="AB151" s="375"/>
      <c r="AC151" s="375"/>
      <c r="AD151" s="375"/>
      <c r="AE151" s="375"/>
      <c r="AF151" s="375"/>
      <c r="AG151" s="375"/>
      <c r="AH151" s="375"/>
      <c r="AI151" s="375"/>
      <c r="AJ151" s="375"/>
      <c r="AK151" s="375"/>
      <c r="AL151" s="375"/>
      <c r="AM151" s="375"/>
      <c r="AN151" s="375"/>
      <c r="AO151" s="375"/>
      <c r="AP151" s="628"/>
    </row>
    <row r="152" spans="2:42">
      <c r="B152" s="70"/>
      <c r="C152" s="70"/>
      <c r="D152" s="70"/>
      <c r="E152" s="70"/>
      <c r="F152" s="70"/>
      <c r="G152" s="70"/>
      <c r="H152" s="70"/>
      <c r="I152" s="70"/>
      <c r="J152" s="70"/>
      <c r="K152" s="70"/>
      <c r="L152" s="70"/>
      <c r="M152" s="70"/>
      <c r="Q152" s="274" t="s">
        <v>78</v>
      </c>
      <c r="R152" s="274" t="s">
        <v>9</v>
      </c>
      <c r="S152" s="248" t="s">
        <v>303</v>
      </c>
      <c r="T152" s="250"/>
      <c r="U152" s="250" t="s">
        <v>43</v>
      </c>
      <c r="V152" s="376">
        <f>IFERROR(VLOOKUP(ref!$X$1&amp;ref!$W$3&amp;19&amp;$U152,mpaopercmethods,8,FALSE),"0.0")</f>
        <v>68</v>
      </c>
      <c r="W152" s="376"/>
      <c r="X152" s="376"/>
      <c r="Y152" s="376"/>
      <c r="Z152" s="376"/>
      <c r="AA152" s="376"/>
      <c r="AB152" s="376"/>
      <c r="AC152" s="376"/>
      <c r="AD152" s="376"/>
      <c r="AE152" s="376"/>
      <c r="AF152" s="376"/>
      <c r="AG152" s="376"/>
      <c r="AH152" s="376"/>
      <c r="AI152" s="376"/>
      <c r="AJ152" s="376"/>
      <c r="AK152" s="376"/>
      <c r="AL152" s="376"/>
      <c r="AM152" s="376"/>
      <c r="AN152" s="376"/>
      <c r="AO152" s="376"/>
      <c r="AP152" s="627"/>
    </row>
    <row r="153" spans="2:42">
      <c r="B153" s="70"/>
      <c r="C153" s="70"/>
      <c r="D153" s="70"/>
      <c r="E153" s="70"/>
      <c r="F153" s="70"/>
      <c r="G153" s="70"/>
      <c r="H153" s="70"/>
      <c r="I153" s="70"/>
      <c r="J153" s="70"/>
      <c r="K153" s="70"/>
      <c r="L153" s="70"/>
      <c r="M153" s="70"/>
      <c r="Q153" s="274"/>
      <c r="R153" s="274"/>
      <c r="S153" s="248" t="s">
        <v>303</v>
      </c>
      <c r="T153" s="250"/>
      <c r="U153" s="250" t="s">
        <v>46</v>
      </c>
      <c r="V153" s="376">
        <f>IFERROR(VLOOKUP(ref!$X$1&amp;ref!$W$3&amp;19&amp;$U153,mpaopercmethods,8,FALSE),"0.0")</f>
        <v>4.7</v>
      </c>
      <c r="W153" s="376"/>
      <c r="X153" s="376"/>
      <c r="Y153" s="376"/>
      <c r="Z153" s="376"/>
      <c r="AA153" s="376"/>
      <c r="AB153" s="376"/>
      <c r="AC153" s="376"/>
      <c r="AD153" s="376"/>
      <c r="AE153" s="376"/>
      <c r="AF153" s="376"/>
      <c r="AG153" s="376"/>
      <c r="AH153" s="376"/>
      <c r="AI153" s="376"/>
      <c r="AJ153" s="376"/>
      <c r="AK153" s="376"/>
      <c r="AL153" s="376"/>
      <c r="AM153" s="376"/>
      <c r="AN153" s="376"/>
      <c r="AO153" s="376"/>
      <c r="AP153" s="627"/>
    </row>
    <row r="154" spans="2:42">
      <c r="B154" s="70"/>
      <c r="C154" s="70"/>
      <c r="D154" s="70"/>
      <c r="E154" s="70"/>
      <c r="F154" s="70"/>
      <c r="G154" s="70"/>
      <c r="H154" s="70"/>
      <c r="I154" s="70"/>
      <c r="J154" s="70"/>
      <c r="K154" s="70"/>
      <c r="L154" s="70"/>
      <c r="M154" s="70"/>
      <c r="Q154" s="274"/>
      <c r="R154" s="274"/>
      <c r="S154" s="248" t="s">
        <v>303</v>
      </c>
      <c r="T154" s="250"/>
      <c r="U154" s="250" t="s">
        <v>47</v>
      </c>
      <c r="V154" s="376">
        <f>IFERROR(VLOOKUP(ref!$X$1&amp;ref!$W$3&amp;19&amp;$U154,mpaopercmethods,8,FALSE),"0.0")</f>
        <v>7</v>
      </c>
      <c r="W154" s="376"/>
      <c r="X154" s="376"/>
      <c r="Y154" s="376"/>
      <c r="Z154" s="376"/>
      <c r="AA154" s="376"/>
      <c r="AB154" s="376"/>
      <c r="AC154" s="376"/>
      <c r="AD154" s="376"/>
      <c r="AE154" s="376"/>
      <c r="AF154" s="376"/>
      <c r="AG154" s="376"/>
      <c r="AH154" s="376"/>
      <c r="AI154" s="376"/>
      <c r="AJ154" s="376"/>
      <c r="AK154" s="376"/>
      <c r="AL154" s="376"/>
      <c r="AM154" s="376"/>
      <c r="AN154" s="376"/>
      <c r="AO154" s="376"/>
      <c r="AP154" s="627"/>
    </row>
    <row r="155" spans="2:42">
      <c r="B155" s="70"/>
      <c r="C155" s="70"/>
      <c r="D155" s="70"/>
      <c r="E155" s="70"/>
      <c r="F155" s="70"/>
      <c r="G155" s="70"/>
      <c r="H155" s="70"/>
      <c r="I155" s="70"/>
      <c r="J155" s="70"/>
      <c r="K155" s="70"/>
      <c r="L155" s="70"/>
      <c r="M155" s="70"/>
      <c r="Q155" s="274"/>
      <c r="R155" s="274"/>
      <c r="S155" s="248" t="s">
        <v>303</v>
      </c>
      <c r="T155" s="250"/>
      <c r="U155" s="250" t="s">
        <v>42</v>
      </c>
      <c r="V155" s="376">
        <f>IFERROR(VLOOKUP(ref!$X$1&amp;ref!$W$3&amp;19&amp;$U155,mpaopercmethods,8,FALSE),"0.0")</f>
        <v>0.8</v>
      </c>
      <c r="W155" s="376"/>
      <c r="X155" s="376"/>
      <c r="Y155" s="376"/>
      <c r="Z155" s="376"/>
      <c r="AA155" s="376"/>
      <c r="AB155" s="376"/>
      <c r="AC155" s="376"/>
      <c r="AD155" s="376"/>
      <c r="AE155" s="376"/>
      <c r="AF155" s="376"/>
      <c r="AG155" s="376"/>
      <c r="AH155" s="376"/>
      <c r="AI155" s="376"/>
      <c r="AJ155" s="376"/>
      <c r="AK155" s="376"/>
      <c r="AL155" s="376"/>
      <c r="AM155" s="376"/>
      <c r="AN155" s="376"/>
      <c r="AO155" s="376"/>
      <c r="AP155" s="627"/>
    </row>
    <row r="156" spans="2:42">
      <c r="B156" s="70"/>
      <c r="C156" s="70"/>
      <c r="D156" s="70"/>
      <c r="E156" s="70"/>
      <c r="F156" s="70"/>
      <c r="G156" s="70"/>
      <c r="H156" s="70"/>
      <c r="I156" s="70"/>
      <c r="J156" s="70"/>
      <c r="K156" s="70"/>
      <c r="L156" s="70"/>
      <c r="M156" s="70"/>
      <c r="Q156" s="274"/>
      <c r="R156" s="274"/>
      <c r="S156" s="248" t="s">
        <v>303</v>
      </c>
      <c r="T156" s="250"/>
      <c r="U156" s="250" t="s">
        <v>44</v>
      </c>
      <c r="V156" s="376">
        <f>IFERROR(VLOOKUP(ref!$X$1&amp;ref!$W$3&amp;19&amp;$U156,mpaopercmethods,8,FALSE),"0.0")</f>
        <v>10.199999999999999</v>
      </c>
      <c r="W156" s="376"/>
      <c r="X156" s="376"/>
      <c r="Y156" s="376"/>
      <c r="Z156" s="376"/>
      <c r="AA156" s="376"/>
      <c r="AB156" s="376"/>
      <c r="AC156" s="376"/>
      <c r="AD156" s="376"/>
      <c r="AE156" s="376"/>
      <c r="AF156" s="376"/>
      <c r="AG156" s="376"/>
      <c r="AH156" s="376"/>
      <c r="AI156" s="376"/>
      <c r="AJ156" s="376"/>
      <c r="AK156" s="376"/>
      <c r="AL156" s="376"/>
      <c r="AM156" s="376"/>
      <c r="AN156" s="376"/>
      <c r="AO156" s="376"/>
      <c r="AP156" s="627"/>
    </row>
    <row r="157" spans="2:42">
      <c r="B157" s="70"/>
      <c r="C157" s="70"/>
      <c r="D157" s="70"/>
      <c r="E157" s="70"/>
      <c r="F157" s="70"/>
      <c r="G157" s="70"/>
      <c r="H157" s="70"/>
      <c r="I157" s="70"/>
      <c r="J157" s="70"/>
      <c r="K157" s="70"/>
      <c r="L157" s="70"/>
      <c r="M157" s="70"/>
      <c r="Q157" s="274"/>
      <c r="R157" s="274"/>
      <c r="S157" s="248" t="s">
        <v>303</v>
      </c>
      <c r="T157" s="250"/>
      <c r="U157" s="250" t="s">
        <v>49</v>
      </c>
      <c r="V157" s="376">
        <f>IFERROR(VLOOKUP(ref!$X$1&amp;ref!$W$3&amp;19&amp;$U157,mpaopercmethods,8,FALSE),"0.0")</f>
        <v>2.2999999999999998</v>
      </c>
      <c r="W157" s="376"/>
      <c r="X157" s="376"/>
      <c r="Y157" s="376"/>
      <c r="Z157" s="376"/>
      <c r="AA157" s="376"/>
      <c r="AB157" s="376"/>
      <c r="AC157" s="376"/>
      <c r="AD157" s="376"/>
      <c r="AE157" s="376"/>
      <c r="AF157" s="376"/>
      <c r="AG157" s="376"/>
      <c r="AH157" s="376"/>
      <c r="AI157" s="376"/>
      <c r="AJ157" s="376"/>
      <c r="AK157" s="376"/>
      <c r="AL157" s="376"/>
      <c r="AM157" s="376"/>
      <c r="AN157" s="376"/>
      <c r="AO157" s="376"/>
      <c r="AP157" s="627"/>
    </row>
    <row r="158" spans="2:42">
      <c r="B158" s="70"/>
      <c r="C158" s="70"/>
      <c r="D158" s="70"/>
      <c r="E158" s="70"/>
      <c r="F158" s="70"/>
      <c r="G158" s="70"/>
      <c r="H158" s="70"/>
      <c r="I158" s="70"/>
      <c r="J158" s="70"/>
      <c r="K158" s="70"/>
      <c r="L158" s="70"/>
      <c r="M158" s="70"/>
      <c r="Q158" s="274"/>
      <c r="R158" s="274"/>
      <c r="S158" s="248" t="s">
        <v>303</v>
      </c>
      <c r="T158" s="250"/>
      <c r="U158" s="250" t="s">
        <v>48</v>
      </c>
      <c r="V158" s="376">
        <f>IFERROR(VLOOKUP(ref!$X$1&amp;ref!$W$3&amp;19&amp;$U158,mpaopercmethods,8,FALSE),"0.0")</f>
        <v>1.6</v>
      </c>
      <c r="W158" s="376"/>
      <c r="X158" s="376"/>
      <c r="Y158" s="376"/>
      <c r="Z158" s="376"/>
      <c r="AA158" s="376"/>
      <c r="AB158" s="376"/>
      <c r="AC158" s="376"/>
      <c r="AD158" s="376"/>
      <c r="AE158" s="376"/>
      <c r="AF158" s="376"/>
      <c r="AG158" s="376"/>
      <c r="AH158" s="376"/>
      <c r="AI158" s="376"/>
      <c r="AJ158" s="376"/>
      <c r="AK158" s="376"/>
      <c r="AL158" s="376"/>
      <c r="AM158" s="376"/>
      <c r="AN158" s="376"/>
      <c r="AO158" s="376"/>
      <c r="AP158" s="627"/>
    </row>
    <row r="159" spans="2:42">
      <c r="B159" s="70"/>
      <c r="C159" s="70"/>
      <c r="D159" s="70"/>
      <c r="E159" s="70"/>
      <c r="F159" s="70"/>
      <c r="G159" s="70"/>
      <c r="H159" s="70"/>
      <c r="I159" s="70"/>
      <c r="J159" s="70"/>
      <c r="K159" s="70"/>
      <c r="L159" s="70"/>
      <c r="M159" s="70"/>
      <c r="Q159" s="274"/>
      <c r="R159" s="274"/>
      <c r="S159" s="248" t="s">
        <v>303</v>
      </c>
      <c r="T159" s="250"/>
      <c r="U159" s="250" t="s">
        <v>45</v>
      </c>
      <c r="V159" s="376">
        <f>IFERROR(VLOOKUP(ref!$X$1&amp;ref!$W$3&amp;19&amp;$U159,mpaopercmethods,8,FALSE),"0.0")</f>
        <v>5.5</v>
      </c>
      <c r="W159" s="376"/>
      <c r="X159" s="376"/>
      <c r="Y159" s="376"/>
      <c r="Z159" s="376"/>
      <c r="AA159" s="376"/>
      <c r="AB159" s="376"/>
      <c r="AC159" s="376"/>
      <c r="AD159" s="376"/>
      <c r="AE159" s="376"/>
      <c r="AF159" s="376"/>
      <c r="AG159" s="376"/>
      <c r="AH159" s="376"/>
      <c r="AI159" s="376"/>
      <c r="AJ159" s="376"/>
      <c r="AK159" s="376"/>
      <c r="AL159" s="376"/>
      <c r="AM159" s="376"/>
      <c r="AN159" s="376"/>
      <c r="AO159" s="376"/>
      <c r="AP159" s="627"/>
    </row>
    <row r="160" spans="2:42">
      <c r="B160" s="70"/>
      <c r="C160" s="70"/>
      <c r="D160" s="70"/>
      <c r="E160" s="70"/>
      <c r="F160" s="70"/>
      <c r="G160" s="70"/>
      <c r="H160" s="70"/>
      <c r="I160" s="70"/>
      <c r="J160" s="70"/>
      <c r="K160" s="70"/>
      <c r="L160" s="70"/>
      <c r="M160" s="70"/>
      <c r="Q160" s="303"/>
      <c r="R160" s="303"/>
      <c r="S160" s="303"/>
      <c r="T160" s="266"/>
      <c r="U160" s="266"/>
      <c r="V160" s="303"/>
      <c r="W160" s="375"/>
      <c r="X160" s="375"/>
      <c r="Y160" s="375"/>
      <c r="Z160" s="375"/>
      <c r="AA160" s="375"/>
      <c r="AB160" s="375"/>
      <c r="AC160" s="375"/>
      <c r="AD160" s="375"/>
      <c r="AE160" s="375"/>
      <c r="AF160" s="375"/>
      <c r="AG160" s="375"/>
      <c r="AH160" s="375"/>
      <c r="AI160" s="375"/>
      <c r="AJ160" s="375"/>
      <c r="AK160" s="375"/>
      <c r="AL160" s="375"/>
      <c r="AM160" s="375"/>
      <c r="AN160" s="375"/>
      <c r="AO160" s="375"/>
      <c r="AP160" s="628"/>
    </row>
    <row r="161" spans="2:43">
      <c r="B161" s="70"/>
      <c r="C161" s="70"/>
      <c r="D161" s="70"/>
      <c r="E161" s="70"/>
      <c r="F161" s="70"/>
      <c r="G161" s="70"/>
      <c r="H161" s="70"/>
      <c r="I161" s="70"/>
      <c r="J161" s="70"/>
      <c r="K161" s="70"/>
      <c r="L161" s="70"/>
      <c r="M161" s="70"/>
      <c r="Q161" s="274" t="s">
        <v>45</v>
      </c>
      <c r="R161" s="274" t="s">
        <v>9</v>
      </c>
      <c r="S161" s="248" t="s">
        <v>303</v>
      </c>
      <c r="T161" s="250"/>
      <c r="U161" s="250" t="s">
        <v>43</v>
      </c>
      <c r="V161" s="376">
        <f>IFERROR(VLOOKUP(ref!$X$1&amp;ref!$W$4&amp;19&amp;$U161,mpaopercmethods,8,FALSE),"0.0")</f>
        <v>52.3</v>
      </c>
      <c r="W161" s="376"/>
      <c r="X161" s="376"/>
      <c r="Y161" s="376"/>
      <c r="Z161" s="376"/>
      <c r="AA161" s="376"/>
      <c r="AB161" s="376"/>
      <c r="AC161" s="376"/>
      <c r="AD161" s="376"/>
      <c r="AE161" s="376"/>
      <c r="AF161" s="376"/>
      <c r="AG161" s="376"/>
      <c r="AH161" s="376"/>
      <c r="AI161" s="376"/>
      <c r="AJ161" s="376"/>
      <c r="AK161" s="376"/>
      <c r="AL161" s="376"/>
      <c r="AM161" s="376"/>
      <c r="AN161" s="376"/>
      <c r="AO161" s="376"/>
      <c r="AP161" s="627"/>
    </row>
    <row r="162" spans="2:43">
      <c r="B162" s="70"/>
      <c r="C162" s="70"/>
      <c r="D162" s="70"/>
      <c r="E162" s="70"/>
      <c r="F162" s="70"/>
      <c r="G162" s="70"/>
      <c r="H162" s="70"/>
      <c r="I162" s="70"/>
      <c r="J162" s="70"/>
      <c r="K162" s="70"/>
      <c r="L162" s="70"/>
      <c r="M162" s="70"/>
      <c r="Q162" s="274"/>
      <c r="R162" s="274"/>
      <c r="S162" s="248" t="s">
        <v>303</v>
      </c>
      <c r="T162" s="250"/>
      <c r="U162" s="250" t="s">
        <v>46</v>
      </c>
      <c r="V162" s="376">
        <f>IFERROR(VLOOKUP(ref!$X$1&amp;ref!$W$4&amp;19&amp;$U162,mpaopercmethods,8,FALSE),"0.0")</f>
        <v>10.6</v>
      </c>
      <c r="W162" s="376"/>
      <c r="X162" s="376"/>
      <c r="Y162" s="376"/>
      <c r="Z162" s="376"/>
      <c r="AA162" s="376"/>
      <c r="AB162" s="376"/>
      <c r="AC162" s="376"/>
      <c r="AD162" s="376"/>
      <c r="AE162" s="376"/>
      <c r="AF162" s="376"/>
      <c r="AG162" s="376"/>
      <c r="AH162" s="376"/>
      <c r="AI162" s="376"/>
      <c r="AJ162" s="376"/>
      <c r="AK162" s="376"/>
      <c r="AL162" s="376"/>
      <c r="AM162" s="376"/>
      <c r="AN162" s="376"/>
      <c r="AO162" s="376"/>
      <c r="AP162" s="627"/>
    </row>
    <row r="163" spans="2:43">
      <c r="B163" s="70"/>
      <c r="C163" s="70"/>
      <c r="D163" s="70"/>
      <c r="E163" s="70"/>
      <c r="F163" s="70"/>
      <c r="G163" s="70"/>
      <c r="H163" s="70"/>
      <c r="I163" s="70"/>
      <c r="J163" s="70"/>
      <c r="K163" s="70"/>
      <c r="L163" s="70"/>
      <c r="M163" s="70"/>
      <c r="Q163" s="274"/>
      <c r="R163" s="274"/>
      <c r="S163" s="248" t="s">
        <v>303</v>
      </c>
      <c r="T163" s="250"/>
      <c r="U163" s="250" t="s">
        <v>47</v>
      </c>
      <c r="V163" s="376">
        <f>IFERROR(VLOOKUP(ref!$X$1&amp;ref!$W$4&amp;19&amp;$U163,mpaopercmethods,8,FALSE),"0.0")</f>
        <v>14.1</v>
      </c>
      <c r="W163" s="376"/>
      <c r="X163" s="376"/>
      <c r="Y163" s="376"/>
      <c r="Z163" s="376"/>
      <c r="AA163" s="376"/>
      <c r="AB163" s="376"/>
      <c r="AC163" s="376"/>
      <c r="AD163" s="376"/>
      <c r="AE163" s="376"/>
      <c r="AF163" s="376"/>
      <c r="AG163" s="376"/>
      <c r="AH163" s="376"/>
      <c r="AI163" s="376"/>
      <c r="AJ163" s="376"/>
      <c r="AK163" s="376"/>
      <c r="AL163" s="376"/>
      <c r="AM163" s="376"/>
      <c r="AN163" s="376"/>
      <c r="AO163" s="376"/>
      <c r="AP163" s="627"/>
    </row>
    <row r="164" spans="2:43">
      <c r="B164" s="70"/>
      <c r="C164" s="70"/>
      <c r="D164" s="70"/>
      <c r="E164" s="70"/>
      <c r="F164" s="70"/>
      <c r="G164" s="70"/>
      <c r="H164" s="70"/>
      <c r="I164" s="70"/>
      <c r="J164" s="70"/>
      <c r="K164" s="70"/>
      <c r="L164" s="70"/>
      <c r="M164" s="70"/>
      <c r="Q164" s="274"/>
      <c r="R164" s="274"/>
      <c r="S164" s="248" t="s">
        <v>303</v>
      </c>
      <c r="T164" s="250"/>
      <c r="U164" s="250" t="s">
        <v>42</v>
      </c>
      <c r="V164" s="376">
        <f>IFERROR(VLOOKUP(ref!$X$1&amp;ref!$W$4&amp;19&amp;$U164,mpaopercmethods,8,FALSE),"0.0")</f>
        <v>10.8</v>
      </c>
      <c r="W164" s="376"/>
      <c r="X164" s="376"/>
      <c r="Y164" s="376"/>
      <c r="Z164" s="376"/>
      <c r="AA164" s="376"/>
      <c r="AB164" s="376"/>
      <c r="AC164" s="376"/>
      <c r="AD164" s="376"/>
      <c r="AE164" s="376"/>
      <c r="AF164" s="376"/>
      <c r="AG164" s="376"/>
      <c r="AH164" s="376"/>
      <c r="AI164" s="376"/>
      <c r="AJ164" s="376"/>
      <c r="AK164" s="376"/>
      <c r="AL164" s="376"/>
      <c r="AM164" s="376"/>
      <c r="AN164" s="376"/>
      <c r="AO164" s="376"/>
      <c r="AP164" s="627"/>
    </row>
    <row r="165" spans="2:43">
      <c r="B165" s="70"/>
      <c r="C165" s="70"/>
      <c r="D165" s="70"/>
      <c r="E165" s="70"/>
      <c r="F165" s="70"/>
      <c r="G165" s="70"/>
      <c r="H165" s="70"/>
      <c r="I165" s="70"/>
      <c r="J165" s="70"/>
      <c r="K165" s="70"/>
      <c r="L165" s="70"/>
      <c r="M165" s="70"/>
      <c r="Q165" s="274"/>
      <c r="R165" s="274"/>
      <c r="S165" s="248" t="s">
        <v>303</v>
      </c>
      <c r="T165" s="250"/>
      <c r="U165" s="250" t="s">
        <v>44</v>
      </c>
      <c r="V165" s="376">
        <f>IFERROR(VLOOKUP(ref!$X$1&amp;ref!$W$4&amp;19&amp;$U165,mpaopercmethods,8,FALSE),"0.0")</f>
        <v>3.3</v>
      </c>
      <c r="W165" s="376"/>
      <c r="X165" s="376"/>
      <c r="Y165" s="376"/>
      <c r="Z165" s="376"/>
      <c r="AA165" s="376"/>
      <c r="AB165" s="376"/>
      <c r="AC165" s="376"/>
      <c r="AD165" s="376"/>
      <c r="AE165" s="376"/>
      <c r="AF165" s="376"/>
      <c r="AG165" s="376"/>
      <c r="AH165" s="376"/>
      <c r="AI165" s="376"/>
      <c r="AJ165" s="376"/>
      <c r="AK165" s="376"/>
      <c r="AL165" s="376"/>
      <c r="AM165" s="376"/>
      <c r="AN165" s="376"/>
      <c r="AO165" s="376"/>
      <c r="AP165" s="627"/>
    </row>
    <row r="166" spans="2:43">
      <c r="B166" s="70"/>
      <c r="C166" s="70"/>
      <c r="D166" s="70"/>
      <c r="E166" s="70"/>
      <c r="F166" s="70"/>
      <c r="G166" s="70"/>
      <c r="H166" s="70"/>
      <c r="I166" s="70"/>
      <c r="J166" s="70"/>
      <c r="K166" s="70"/>
      <c r="L166" s="70"/>
      <c r="M166" s="70"/>
      <c r="Q166" s="274"/>
      <c r="R166" s="274"/>
      <c r="S166" s="248" t="s">
        <v>303</v>
      </c>
      <c r="T166" s="250"/>
      <c r="U166" s="250" t="s">
        <v>49</v>
      </c>
      <c r="V166" s="376">
        <f>IFERROR(VLOOKUP(ref!$X$1&amp;ref!$W$4&amp;19&amp;$U166,mpaopercmethods,8,FALSE),"0.0")</f>
        <v>2.6</v>
      </c>
      <c r="W166" s="376"/>
      <c r="X166" s="376"/>
      <c r="Y166" s="376"/>
      <c r="Z166" s="376"/>
      <c r="AA166" s="376"/>
      <c r="AB166" s="376"/>
      <c r="AC166" s="376"/>
      <c r="AD166" s="376"/>
      <c r="AE166" s="376"/>
      <c r="AF166" s="376"/>
      <c r="AG166" s="376"/>
      <c r="AH166" s="376"/>
      <c r="AI166" s="376"/>
      <c r="AJ166" s="376"/>
      <c r="AK166" s="376"/>
      <c r="AL166" s="376"/>
      <c r="AM166" s="376"/>
      <c r="AN166" s="376"/>
      <c r="AO166" s="376"/>
      <c r="AP166" s="627"/>
    </row>
    <row r="167" spans="2:43">
      <c r="B167" s="70"/>
      <c r="C167" s="70"/>
      <c r="D167" s="70"/>
      <c r="E167" s="70"/>
      <c r="F167" s="70"/>
      <c r="G167" s="70"/>
      <c r="H167" s="70"/>
      <c r="I167" s="70"/>
      <c r="J167" s="70"/>
      <c r="K167" s="70"/>
      <c r="L167" s="70"/>
      <c r="M167" s="70"/>
      <c r="Q167" s="274"/>
      <c r="R167" s="274"/>
      <c r="S167" s="248" t="s">
        <v>303</v>
      </c>
      <c r="T167" s="250"/>
      <c r="U167" s="250" t="s">
        <v>48</v>
      </c>
      <c r="V167" s="376">
        <f>IFERROR(VLOOKUP(ref!$X$1&amp;ref!$W$4&amp;19&amp;$U167,mpaopercmethods,8,FALSE),"0.0")</f>
        <v>2.2999999999999998</v>
      </c>
      <c r="W167" s="376"/>
      <c r="X167" s="376"/>
      <c r="Y167" s="376"/>
      <c r="Z167" s="376"/>
      <c r="AA167" s="376"/>
      <c r="AB167" s="376"/>
      <c r="AC167" s="376"/>
      <c r="AD167" s="376"/>
      <c r="AE167" s="376"/>
      <c r="AF167" s="376"/>
      <c r="AG167" s="376"/>
      <c r="AH167" s="376"/>
      <c r="AI167" s="376"/>
      <c r="AJ167" s="376"/>
      <c r="AK167" s="376"/>
      <c r="AL167" s="376"/>
      <c r="AM167" s="376"/>
      <c r="AN167" s="376"/>
      <c r="AO167" s="376"/>
      <c r="AP167" s="627"/>
    </row>
    <row r="168" spans="2:43">
      <c r="B168" s="70"/>
      <c r="C168" s="70"/>
      <c r="D168" s="70"/>
      <c r="E168" s="70"/>
      <c r="F168" s="70"/>
      <c r="G168" s="70"/>
      <c r="H168" s="70"/>
      <c r="I168" s="70"/>
      <c r="J168" s="70"/>
      <c r="K168" s="70"/>
      <c r="L168" s="70"/>
      <c r="M168" s="70"/>
      <c r="Q168" s="274"/>
      <c r="R168" s="274"/>
      <c r="S168" s="248" t="s">
        <v>303</v>
      </c>
      <c r="T168" s="250"/>
      <c r="U168" s="250" t="s">
        <v>45</v>
      </c>
      <c r="V168" s="376">
        <f>IFERROR(VLOOKUP(ref!$X$1&amp;ref!$W$4&amp;19&amp;$U168,mpaopercmethods,8,FALSE),"0.0")</f>
        <v>4.0999999999999996</v>
      </c>
      <c r="W168" s="376"/>
      <c r="X168" s="376"/>
      <c r="Y168" s="376"/>
      <c r="Z168" s="376"/>
      <c r="AA168" s="376"/>
      <c r="AB168" s="376"/>
      <c r="AC168" s="376"/>
      <c r="AD168" s="376"/>
      <c r="AE168" s="376"/>
      <c r="AF168" s="376"/>
      <c r="AG168" s="376"/>
      <c r="AH168" s="376"/>
      <c r="AI168" s="376"/>
      <c r="AJ168" s="376"/>
      <c r="AK168" s="376"/>
      <c r="AL168" s="376"/>
      <c r="AM168" s="376"/>
      <c r="AN168" s="376"/>
      <c r="AO168" s="376"/>
      <c r="AP168" s="627"/>
    </row>
    <row r="169" spans="2:43">
      <c r="B169" s="70"/>
      <c r="C169" s="70"/>
      <c r="D169" s="70"/>
      <c r="E169" s="70"/>
      <c r="F169" s="70"/>
      <c r="G169" s="70"/>
      <c r="H169" s="70"/>
      <c r="I169" s="70"/>
      <c r="J169" s="70"/>
      <c r="K169" s="70"/>
      <c r="L169" s="70"/>
      <c r="M169" s="70"/>
      <c r="AQ169" s="622"/>
    </row>
    <row r="170" spans="2:43">
      <c r="B170" s="70"/>
      <c r="C170" s="70"/>
      <c r="D170" s="81"/>
      <c r="E170" s="81"/>
      <c r="F170" s="81"/>
      <c r="G170" s="81"/>
      <c r="H170" s="70"/>
      <c r="I170" s="70"/>
      <c r="J170" s="70"/>
      <c r="K170" s="70"/>
      <c r="L170" s="70"/>
      <c r="M170" s="70"/>
      <c r="Q170" s="190" t="s">
        <v>548</v>
      </c>
      <c r="AQ170" s="622"/>
    </row>
    <row r="171" spans="2:43">
      <c r="B171" s="70"/>
      <c r="C171" s="81" t="s">
        <v>548</v>
      </c>
      <c r="D171" s="81"/>
      <c r="E171" s="81"/>
      <c r="F171" s="81"/>
      <c r="G171" s="81"/>
      <c r="H171" s="70"/>
      <c r="I171" s="70"/>
      <c r="J171" s="70"/>
      <c r="K171" s="70"/>
      <c r="L171" s="70"/>
      <c r="M171" s="70"/>
      <c r="Q171" s="190" t="s">
        <v>100</v>
      </c>
      <c r="AQ171" s="622"/>
    </row>
    <row r="172" spans="2:43">
      <c r="B172" s="70"/>
      <c r="C172" s="81" t="s">
        <v>100</v>
      </c>
      <c r="D172" s="70"/>
      <c r="E172" s="70"/>
      <c r="F172" s="70"/>
      <c r="G172" s="70"/>
      <c r="H172" s="70"/>
      <c r="I172" s="70"/>
      <c r="J172" s="70"/>
      <c r="K172" s="70"/>
      <c r="L172" s="70"/>
      <c r="M172" s="70"/>
      <c r="Q172" s="177"/>
      <c r="R172" s="177"/>
      <c r="S172" s="177"/>
      <c r="T172" s="260"/>
      <c r="U172" s="260"/>
      <c r="V172" s="260"/>
      <c r="W172" s="259"/>
      <c r="X172" s="259"/>
      <c r="Y172" s="259"/>
      <c r="Z172" s="259"/>
      <c r="AA172" s="259"/>
      <c r="AB172" s="259"/>
      <c r="AC172" s="259"/>
      <c r="AD172" s="259"/>
      <c r="AE172" s="259"/>
      <c r="AF172" s="259"/>
      <c r="AG172" s="259"/>
      <c r="AH172" s="259"/>
      <c r="AI172" s="259"/>
      <c r="AJ172" s="259"/>
      <c r="AK172" s="259"/>
      <c r="AL172" s="259"/>
      <c r="AM172" s="259"/>
      <c r="AN172" s="259"/>
      <c r="AO172" s="259"/>
      <c r="AP172" s="623"/>
      <c r="AQ172" s="622"/>
    </row>
    <row r="173" spans="2:43">
      <c r="B173" s="70"/>
      <c r="C173" s="70"/>
      <c r="D173" s="70"/>
      <c r="E173" s="70"/>
      <c r="F173" s="70"/>
      <c r="G173" s="70"/>
      <c r="H173" s="70"/>
      <c r="I173" s="70"/>
      <c r="J173" s="70"/>
      <c r="K173" s="70"/>
      <c r="L173" s="70"/>
      <c r="M173" s="70"/>
    </row>
    <row r="174" spans="2:43">
      <c r="B174" s="387"/>
      <c r="C174" s="387"/>
      <c r="D174" s="387"/>
      <c r="E174" s="387"/>
      <c r="F174" s="387"/>
      <c r="G174" s="387"/>
      <c r="H174" s="387"/>
      <c r="I174" s="387"/>
      <c r="J174" s="387"/>
      <c r="K174" s="387"/>
      <c r="L174" s="387"/>
      <c r="M174" s="387"/>
    </row>
  </sheetData>
  <mergeCells count="13">
    <mergeCell ref="C97:L97"/>
    <mergeCell ref="Q122:V122"/>
    <mergeCell ref="Q60:V60"/>
    <mergeCell ref="Q121:V121"/>
    <mergeCell ref="C3:M3"/>
    <mergeCell ref="C21:L21"/>
    <mergeCell ref="Q58:V58"/>
    <mergeCell ref="Q59:V59"/>
    <mergeCell ref="Q120:V120"/>
    <mergeCell ref="Q4:V4"/>
    <mergeCell ref="C99:L99"/>
    <mergeCell ref="C56:M56"/>
    <mergeCell ref="C57:L57"/>
  </mergeCells>
  <hyperlinks>
    <hyperlink ref="Q1" location="'Key findings'!A1" display="Back to Key Findings" xr:uid="{00000000-0004-0000-0A00-000000000000}"/>
    <hyperlink ref="O68" location="'Ethnic group'!A1" display="Back to top" xr:uid="{00000000-0004-0000-0A00-000001000000}"/>
    <hyperlink ref="O132" location="'Ethnic group'!A1" display="Back to top" xr:uid="{00000000-0004-0000-0A00-000002000000}"/>
    <hyperlink ref="Q2" location="'Ethnic group'!A85" display="See Ethnic group by deprivation" xr:uid="{00000000-0004-0000-0A00-000003000000}"/>
    <hyperlink ref="Q3" location="'Ethnic group'!A150" display="See Ethnic group by methods used" xr:uid="{00000000-0004-0000-0A00-000004000000}"/>
  </hyperlinks>
  <pageMargins left="0.7" right="0.7" top="0.75" bottom="0.75" header="0.3" footer="0.3"/>
  <pageSetup paperSize="9" scale="48" orientation="landscape" r:id="rId1"/>
  <rowBreaks count="2" manualBreakCount="2">
    <brk id="63" max="25" man="1"/>
    <brk id="128" max="25" man="1"/>
  </rowBreaks>
  <colBreaks count="1" manualBreakCount="1">
    <brk id="26" max="17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T93"/>
  <sheetViews>
    <sheetView zoomScaleNormal="100" workbookViewId="0">
      <selection activeCell="R4" sqref="R4"/>
    </sheetView>
  </sheetViews>
  <sheetFormatPr defaultRowHeight="12.75"/>
  <cols>
    <col min="1" max="1" width="4.7109375" style="12" customWidth="1"/>
    <col min="2" max="2" width="1.7109375" style="12" customWidth="1"/>
    <col min="3" max="3" width="8" style="12" customWidth="1"/>
    <col min="4" max="6" width="9.140625" style="12"/>
    <col min="7" max="7" width="6.85546875" style="12" customWidth="1"/>
    <col min="8" max="12" width="9.140625" style="12"/>
    <col min="13" max="13" width="2.5703125" style="12" customWidth="1"/>
    <col min="14" max="14" width="3" style="12" customWidth="1"/>
    <col min="15" max="15" width="21.140625" style="12" customWidth="1"/>
    <col min="16" max="16" width="28.5703125" style="12" customWidth="1"/>
    <col min="17" max="17" width="7.85546875" style="40" customWidth="1"/>
    <col min="18" max="18" width="23.42578125" style="40" customWidth="1"/>
    <col min="19" max="19" width="4.28515625" style="12" customWidth="1"/>
    <col min="20" max="20" width="6.140625" style="12" customWidth="1"/>
    <col min="21" max="16384" width="9.140625" style="12"/>
  </cols>
  <sheetData>
    <row r="1" spans="2:18">
      <c r="O1" s="126"/>
      <c r="P1" s="126" t="s">
        <v>371</v>
      </c>
    </row>
    <row r="2" spans="2:18" ht="23.25">
      <c r="B2" s="110"/>
      <c r="C2" s="115" t="s">
        <v>293</v>
      </c>
      <c r="P2" s="126" t="s">
        <v>385</v>
      </c>
      <c r="Q2" s="12"/>
    </row>
    <row r="4" spans="2:18" ht="211.5" customHeight="1">
      <c r="C4" s="656" t="s">
        <v>645</v>
      </c>
      <c r="D4" s="657"/>
      <c r="E4" s="657"/>
      <c r="F4" s="657"/>
      <c r="G4" s="657"/>
      <c r="H4" s="657"/>
      <c r="I4" s="657"/>
      <c r="J4" s="657"/>
      <c r="K4" s="657"/>
      <c r="L4" s="657"/>
    </row>
    <row r="5" spans="2:18" ht="14.25" customHeight="1">
      <c r="C5" s="558"/>
      <c r="P5" s="127" t="s">
        <v>310</v>
      </c>
    </row>
    <row r="6" spans="2:18" ht="6.75" customHeight="1">
      <c r="B6" s="171"/>
      <c r="Q6" s="12"/>
      <c r="R6" s="12"/>
    </row>
    <row r="7" spans="2:18" ht="16.5" customHeight="1">
      <c r="B7" s="70"/>
      <c r="C7" s="91" t="s">
        <v>310</v>
      </c>
      <c r="D7" s="91"/>
      <c r="E7" s="91"/>
      <c r="F7" s="91"/>
      <c r="G7" s="91"/>
      <c r="H7" s="91"/>
      <c r="I7" s="91"/>
      <c r="J7" s="91"/>
      <c r="K7" s="91"/>
      <c r="L7" s="91"/>
      <c r="M7" s="91"/>
      <c r="N7" s="91"/>
      <c r="P7" s="23" t="s">
        <v>147</v>
      </c>
      <c r="Q7" s="72" t="s">
        <v>20</v>
      </c>
      <c r="R7" s="72" t="s">
        <v>8</v>
      </c>
    </row>
    <row r="8" spans="2:18" ht="15">
      <c r="B8" s="70"/>
      <c r="C8" s="91"/>
      <c r="D8" s="91"/>
      <c r="E8" s="91"/>
      <c r="F8" s="91"/>
      <c r="G8" s="91"/>
      <c r="H8" s="91"/>
      <c r="I8" s="91"/>
      <c r="J8" s="91"/>
      <c r="K8" s="91"/>
      <c r="L8" s="91"/>
      <c r="M8" s="91"/>
      <c r="N8" s="91"/>
      <c r="P8" s="12" t="s">
        <v>556</v>
      </c>
      <c r="Q8" s="40">
        <v>42.482322561434898</v>
      </c>
      <c r="R8" s="40">
        <v>5.7093673705471124</v>
      </c>
    </row>
    <row r="9" spans="2:18" ht="14.25" customHeight="1">
      <c r="B9" s="70"/>
      <c r="C9" s="91"/>
      <c r="D9" s="91"/>
      <c r="E9" s="91"/>
      <c r="F9" s="91"/>
      <c r="G9" s="91"/>
      <c r="H9" s="91"/>
      <c r="I9" s="91"/>
      <c r="J9" s="91"/>
      <c r="K9" s="91"/>
      <c r="L9" s="91"/>
      <c r="M9" s="91"/>
      <c r="N9" s="91"/>
      <c r="P9" s="12" t="s">
        <v>557</v>
      </c>
      <c r="Q9" s="40">
        <v>29.583734027665962</v>
      </c>
      <c r="R9" s="40">
        <v>11.92906616421045</v>
      </c>
    </row>
    <row r="10" spans="2:18">
      <c r="B10" s="70"/>
      <c r="C10" s="70"/>
      <c r="D10" s="70"/>
      <c r="E10" s="70"/>
      <c r="F10" s="70"/>
      <c r="G10" s="70"/>
      <c r="H10" s="70"/>
      <c r="I10" s="70"/>
      <c r="J10" s="70"/>
      <c r="K10" s="70"/>
      <c r="L10" s="70"/>
      <c r="M10" s="70"/>
      <c r="N10" s="70"/>
      <c r="P10" s="12" t="s">
        <v>558</v>
      </c>
      <c r="Q10" s="40">
        <v>27.599519897041311</v>
      </c>
      <c r="R10" s="40">
        <v>4.8254231775456402</v>
      </c>
    </row>
    <row r="11" spans="2:18">
      <c r="B11" s="70"/>
      <c r="C11" s="70"/>
      <c r="D11" s="70"/>
      <c r="E11" s="70"/>
      <c r="F11" s="70"/>
      <c r="G11" s="70"/>
      <c r="H11" s="70"/>
      <c r="I11" s="70"/>
      <c r="J11" s="70"/>
      <c r="K11" s="70"/>
      <c r="L11" s="70"/>
      <c r="M11" s="70"/>
      <c r="N11" s="70"/>
      <c r="P11" s="12" t="s">
        <v>559</v>
      </c>
      <c r="Q11" s="40">
        <v>23.598398488624124</v>
      </c>
      <c r="R11" s="40">
        <v>5.6266516133234248</v>
      </c>
    </row>
    <row r="12" spans="2:18">
      <c r="B12" s="70"/>
      <c r="C12" s="70"/>
      <c r="D12" s="70"/>
      <c r="E12" s="70"/>
      <c r="F12" s="70"/>
      <c r="G12" s="70"/>
      <c r="H12" s="70"/>
      <c r="I12" s="70"/>
      <c r="J12" s="70"/>
      <c r="K12" s="70"/>
      <c r="L12" s="70"/>
      <c r="M12" s="70"/>
      <c r="N12" s="70"/>
      <c r="P12" s="12" t="s">
        <v>560</v>
      </c>
      <c r="Q12" s="40">
        <v>22.314809177393411</v>
      </c>
      <c r="R12" s="40">
        <v>3.6678472357789782</v>
      </c>
    </row>
    <row r="13" spans="2:18">
      <c r="B13" s="70"/>
      <c r="C13" s="70"/>
      <c r="D13" s="70"/>
      <c r="E13" s="70"/>
      <c r="F13" s="70"/>
      <c r="G13" s="70"/>
      <c r="H13" s="70"/>
      <c r="I13" s="70"/>
      <c r="J13" s="70"/>
      <c r="K13" s="70"/>
      <c r="L13" s="70"/>
      <c r="M13" s="70"/>
      <c r="N13" s="70"/>
      <c r="P13" s="12" t="s">
        <v>561</v>
      </c>
      <c r="Q13" s="40">
        <v>21.180949852477919</v>
      </c>
      <c r="R13" s="40">
        <v>2.9880157897781272</v>
      </c>
    </row>
    <row r="14" spans="2:18">
      <c r="B14" s="70"/>
      <c r="C14" s="70"/>
      <c r="D14" s="70"/>
      <c r="E14" s="70"/>
      <c r="F14" s="70"/>
      <c r="G14" s="70"/>
      <c r="H14" s="70"/>
      <c r="I14" s="70"/>
      <c r="J14" s="70"/>
      <c r="K14" s="70"/>
      <c r="L14" s="70"/>
      <c r="M14" s="70"/>
      <c r="N14" s="70"/>
      <c r="P14" s="12" t="s">
        <v>562</v>
      </c>
      <c r="Q14" s="40">
        <v>20.955153662040896</v>
      </c>
      <c r="R14" s="40">
        <v>8.056227864092806</v>
      </c>
    </row>
    <row r="15" spans="2:18">
      <c r="B15" s="70"/>
      <c r="C15" s="70"/>
      <c r="D15" s="70"/>
      <c r="E15" s="70"/>
      <c r="F15" s="70"/>
      <c r="G15" s="70"/>
      <c r="H15" s="70"/>
      <c r="I15" s="70"/>
      <c r="J15" s="70"/>
      <c r="K15" s="70"/>
      <c r="L15" s="70"/>
      <c r="M15" s="70"/>
      <c r="N15" s="70"/>
      <c r="P15" s="12" t="s">
        <v>563</v>
      </c>
      <c r="Q15" s="40">
        <v>20.860173424898946</v>
      </c>
      <c r="R15" s="40">
        <v>5.6583711185343422</v>
      </c>
    </row>
    <row r="16" spans="2:18">
      <c r="B16" s="70"/>
      <c r="C16" s="70"/>
      <c r="D16" s="70"/>
      <c r="E16" s="70"/>
      <c r="F16" s="70"/>
      <c r="G16" s="70"/>
      <c r="H16" s="70"/>
      <c r="I16" s="70"/>
      <c r="J16" s="70"/>
      <c r="K16" s="70"/>
      <c r="L16" s="70"/>
      <c r="M16" s="70"/>
      <c r="N16" s="70"/>
      <c r="P16" s="12" t="s">
        <v>564</v>
      </c>
      <c r="Q16" s="40">
        <v>20.029128560902166</v>
      </c>
      <c r="R16" s="40">
        <v>2.1791602518770379</v>
      </c>
    </row>
    <row r="17" spans="2:18">
      <c r="B17" s="70"/>
      <c r="C17" s="70"/>
      <c r="D17" s="70"/>
      <c r="E17" s="70"/>
      <c r="F17" s="70"/>
      <c r="G17" s="70"/>
      <c r="H17" s="70"/>
      <c r="I17" s="70"/>
      <c r="J17" s="70"/>
      <c r="K17" s="70"/>
      <c r="L17" s="70"/>
      <c r="M17" s="70"/>
      <c r="N17" s="70"/>
      <c r="P17" s="12" t="s">
        <v>565</v>
      </c>
      <c r="Q17" s="40">
        <v>19.389278280010448</v>
      </c>
      <c r="R17" s="40">
        <v>7.3990298541643842</v>
      </c>
    </row>
    <row r="18" spans="2:18">
      <c r="B18" s="70"/>
      <c r="C18" s="70"/>
      <c r="D18" s="70"/>
      <c r="E18" s="70"/>
      <c r="F18" s="70"/>
      <c r="G18" s="70"/>
      <c r="H18" s="70"/>
      <c r="I18" s="70"/>
      <c r="J18" s="70"/>
      <c r="K18" s="70"/>
      <c r="L18" s="70"/>
      <c r="M18" s="70"/>
      <c r="N18" s="70"/>
      <c r="P18" s="12" t="s">
        <v>566</v>
      </c>
      <c r="Q18" s="40">
        <v>19.344822932420925</v>
      </c>
      <c r="R18" s="40">
        <v>6.2371712897658629</v>
      </c>
    </row>
    <row r="19" spans="2:18">
      <c r="B19" s="70"/>
      <c r="C19" s="70"/>
      <c r="D19" s="70"/>
      <c r="E19" s="70"/>
      <c r="F19" s="70"/>
      <c r="G19" s="70"/>
      <c r="H19" s="70"/>
      <c r="I19" s="70"/>
      <c r="J19" s="70"/>
      <c r="K19" s="70"/>
      <c r="L19" s="70"/>
      <c r="M19" s="70"/>
      <c r="N19" s="70"/>
      <c r="P19" s="12" t="s">
        <v>567</v>
      </c>
      <c r="Q19" s="40">
        <v>17.584722156998442</v>
      </c>
      <c r="R19" s="40">
        <v>5.7054997325907939</v>
      </c>
    </row>
    <row r="20" spans="2:18">
      <c r="B20" s="70"/>
      <c r="C20" s="70"/>
      <c r="D20" s="70"/>
      <c r="E20" s="70"/>
      <c r="F20" s="70"/>
      <c r="G20" s="70"/>
      <c r="H20" s="70"/>
      <c r="I20" s="70"/>
      <c r="J20" s="70"/>
      <c r="K20" s="70"/>
      <c r="L20" s="70"/>
      <c r="M20" s="70"/>
      <c r="N20" s="70"/>
      <c r="P20" s="12" t="s">
        <v>568</v>
      </c>
      <c r="Q20" s="40">
        <v>16.87512149105336</v>
      </c>
      <c r="R20" s="40">
        <v>5.0373451540706116</v>
      </c>
    </row>
    <row r="21" spans="2:18">
      <c r="B21" s="70"/>
      <c r="C21" s="70"/>
      <c r="D21" s="70"/>
      <c r="E21" s="70"/>
      <c r="F21" s="70"/>
      <c r="G21" s="70"/>
      <c r="H21" s="70"/>
      <c r="I21" s="70"/>
      <c r="J21" s="70"/>
      <c r="K21" s="70"/>
      <c r="L21" s="70"/>
      <c r="M21" s="70"/>
      <c r="N21" s="70"/>
      <c r="P21" s="12" t="s">
        <v>569</v>
      </c>
      <c r="Q21" s="40">
        <v>16.592327788403477</v>
      </c>
      <c r="R21" s="40">
        <v>4.2863258218409577</v>
      </c>
    </row>
    <row r="22" spans="2:18">
      <c r="B22" s="70"/>
      <c r="C22" s="70"/>
      <c r="D22" s="70"/>
      <c r="E22" s="70"/>
      <c r="F22" s="70"/>
      <c r="G22" s="70"/>
      <c r="H22" s="70"/>
      <c r="I22" s="70"/>
      <c r="J22" s="70"/>
      <c r="K22" s="70"/>
      <c r="L22" s="70"/>
      <c r="M22" s="70"/>
      <c r="N22" s="70"/>
      <c r="P22" s="12" t="s">
        <v>570</v>
      </c>
      <c r="Q22" s="40">
        <v>16.408585668171476</v>
      </c>
      <c r="R22" s="40">
        <v>3.9671389068060847</v>
      </c>
    </row>
    <row r="23" spans="2:18">
      <c r="B23" s="70"/>
      <c r="C23" s="70"/>
      <c r="D23" s="70"/>
      <c r="E23" s="70"/>
      <c r="F23" s="70"/>
      <c r="G23" s="70"/>
      <c r="H23" s="70"/>
      <c r="I23" s="70"/>
      <c r="J23" s="70"/>
      <c r="K23" s="70"/>
      <c r="L23" s="70"/>
      <c r="M23" s="70"/>
      <c r="N23" s="70"/>
      <c r="P23" s="12" t="s">
        <v>571</v>
      </c>
      <c r="Q23" s="40">
        <v>16.0732233524542</v>
      </c>
      <c r="R23" s="40">
        <v>3.8498179177596699</v>
      </c>
    </row>
    <row r="24" spans="2:18">
      <c r="B24" s="70"/>
      <c r="C24" s="70"/>
      <c r="D24" s="70"/>
      <c r="E24" s="70"/>
      <c r="F24" s="70"/>
      <c r="G24" s="70"/>
      <c r="H24" s="70"/>
      <c r="I24" s="70"/>
      <c r="J24" s="70"/>
      <c r="K24" s="70"/>
      <c r="L24" s="70"/>
      <c r="M24" s="70"/>
      <c r="N24" s="70"/>
      <c r="P24" s="12" t="s">
        <v>589</v>
      </c>
      <c r="Q24" s="40">
        <v>16.990960917875199</v>
      </c>
      <c r="R24" s="40">
        <v>5.8550315461954598</v>
      </c>
    </row>
    <row r="25" spans="2:18">
      <c r="B25" s="70"/>
      <c r="C25" s="70"/>
      <c r="D25" s="70"/>
      <c r="E25" s="70"/>
      <c r="F25" s="70"/>
      <c r="G25" s="70"/>
      <c r="H25" s="70"/>
      <c r="I25" s="70"/>
      <c r="J25" s="70"/>
      <c r="K25" s="70"/>
      <c r="L25" s="70"/>
      <c r="M25" s="70"/>
      <c r="N25" s="70"/>
      <c r="P25" s="12" t="s">
        <v>572</v>
      </c>
      <c r="Q25" s="40">
        <v>15.727361632951702</v>
      </c>
      <c r="R25" s="40">
        <v>4.8503025623435754</v>
      </c>
    </row>
    <row r="26" spans="2:18">
      <c r="B26" s="70"/>
      <c r="C26" s="70"/>
      <c r="D26" s="70"/>
      <c r="E26" s="70"/>
      <c r="F26" s="70"/>
      <c r="G26" s="70"/>
      <c r="H26" s="70"/>
      <c r="I26" s="70"/>
      <c r="J26" s="70"/>
      <c r="K26" s="70"/>
      <c r="L26" s="70"/>
      <c r="M26" s="70"/>
      <c r="N26" s="70"/>
      <c r="P26" s="12" t="s">
        <v>573</v>
      </c>
      <c r="Q26" s="40">
        <v>15.076526050118842</v>
      </c>
      <c r="R26" s="40">
        <v>4.786208331817396</v>
      </c>
    </row>
    <row r="27" spans="2:18">
      <c r="B27" s="70"/>
      <c r="C27" s="70"/>
      <c r="D27" s="70"/>
      <c r="E27" s="70"/>
      <c r="F27" s="70"/>
      <c r="G27" s="70"/>
      <c r="H27" s="70"/>
      <c r="I27" s="70"/>
      <c r="J27" s="70"/>
      <c r="K27" s="70"/>
      <c r="L27" s="70"/>
      <c r="M27" s="70"/>
      <c r="N27" s="70"/>
      <c r="P27" s="12" t="s">
        <v>574</v>
      </c>
      <c r="Q27" s="40">
        <v>14.871246395242283</v>
      </c>
      <c r="R27" s="40">
        <v>5.2028897242116114</v>
      </c>
    </row>
    <row r="28" spans="2:18">
      <c r="B28" s="70"/>
      <c r="C28" s="70"/>
      <c r="D28" s="70"/>
      <c r="E28" s="70"/>
      <c r="F28" s="70"/>
      <c r="G28" s="70"/>
      <c r="H28" s="70"/>
      <c r="I28" s="70"/>
      <c r="J28" s="70"/>
      <c r="K28" s="70"/>
      <c r="L28" s="70"/>
      <c r="M28" s="70"/>
      <c r="N28" s="70"/>
      <c r="P28" s="12" t="s">
        <v>575</v>
      </c>
      <c r="Q28" s="40">
        <v>14.454997487284965</v>
      </c>
      <c r="R28" s="40">
        <v>2.2779671678274811</v>
      </c>
    </row>
    <row r="29" spans="2:18">
      <c r="B29" s="70"/>
      <c r="C29" s="70"/>
      <c r="D29" s="70"/>
      <c r="E29" s="70"/>
      <c r="F29" s="70"/>
      <c r="G29" s="70"/>
      <c r="H29" s="70"/>
      <c r="I29" s="70"/>
      <c r="J29" s="70"/>
      <c r="K29" s="70"/>
      <c r="L29" s="70"/>
      <c r="M29" s="70"/>
      <c r="N29" s="70"/>
      <c r="P29" s="12" t="s">
        <v>576</v>
      </c>
      <c r="Q29" s="40">
        <v>14.310484368195601</v>
      </c>
      <c r="R29" s="40">
        <v>5.9076662532142619</v>
      </c>
    </row>
    <row r="30" spans="2:18">
      <c r="B30" s="70"/>
      <c r="C30" s="70"/>
      <c r="D30" s="70"/>
      <c r="E30" s="70"/>
      <c r="F30" s="70"/>
      <c r="G30" s="70"/>
      <c r="H30" s="70"/>
      <c r="I30" s="70"/>
      <c r="J30" s="70"/>
      <c r="K30" s="70"/>
      <c r="L30" s="70"/>
      <c r="M30" s="70"/>
      <c r="N30" s="70"/>
      <c r="P30" s="12" t="s">
        <v>577</v>
      </c>
      <c r="Q30" s="40">
        <v>13.129047833553045</v>
      </c>
      <c r="R30" s="40">
        <v>6.3260893170201049</v>
      </c>
    </row>
    <row r="31" spans="2:18">
      <c r="B31" s="70"/>
      <c r="C31" s="70"/>
      <c r="D31" s="70"/>
      <c r="E31" s="70"/>
      <c r="F31" s="70"/>
      <c r="G31" s="70"/>
      <c r="H31" s="70"/>
      <c r="I31" s="70"/>
      <c r="J31" s="70"/>
      <c r="K31" s="70"/>
      <c r="L31" s="70"/>
      <c r="M31" s="70"/>
      <c r="N31" s="70"/>
      <c r="P31" s="12" t="s">
        <v>578</v>
      </c>
      <c r="Q31" s="40">
        <v>12.905645366103103</v>
      </c>
      <c r="R31" s="40">
        <v>4.3841046425768022</v>
      </c>
    </row>
    <row r="32" spans="2:18">
      <c r="B32" s="70"/>
      <c r="C32" s="81" t="s">
        <v>143</v>
      </c>
      <c r="D32" s="81" t="s">
        <v>106</v>
      </c>
      <c r="E32" s="70"/>
      <c r="F32" s="70"/>
      <c r="G32" s="70"/>
      <c r="H32" s="70"/>
      <c r="I32" s="70"/>
      <c r="J32" s="70"/>
      <c r="K32" s="70"/>
      <c r="L32" s="70"/>
      <c r="M32" s="70"/>
      <c r="N32" s="70"/>
      <c r="P32" s="12" t="s">
        <v>579</v>
      </c>
      <c r="Q32" s="40">
        <v>12.899785491024893</v>
      </c>
      <c r="R32" s="40">
        <v>5.2713784880981613</v>
      </c>
    </row>
    <row r="33" spans="2:20">
      <c r="B33" s="70"/>
      <c r="C33" s="81" t="s">
        <v>149</v>
      </c>
      <c r="D33" s="561" t="s">
        <v>592</v>
      </c>
      <c r="E33" s="562"/>
      <c r="F33" s="5"/>
      <c r="G33" s="1"/>
      <c r="H33" s="563" t="s">
        <v>590</v>
      </c>
      <c r="I33" s="563"/>
      <c r="J33" s="563"/>
      <c r="K33" s="563"/>
      <c r="L33" s="81"/>
      <c r="M33" s="81"/>
      <c r="N33" s="70"/>
      <c r="P33" s="12" t="s">
        <v>580</v>
      </c>
      <c r="Q33" s="40">
        <v>12.802676683336061</v>
      </c>
      <c r="R33" s="40">
        <v>3.6393822568581045</v>
      </c>
    </row>
    <row r="34" spans="2:20">
      <c r="B34" s="70"/>
      <c r="C34" s="70"/>
      <c r="D34" s="81" t="s">
        <v>148</v>
      </c>
      <c r="E34" s="70"/>
      <c r="F34" s="70"/>
      <c r="G34" s="70"/>
      <c r="H34" s="70"/>
      <c r="I34" s="70"/>
      <c r="J34" s="70"/>
      <c r="K34" s="70"/>
      <c r="L34" s="70"/>
      <c r="M34" s="70"/>
      <c r="N34" s="70"/>
      <c r="P34" s="12" t="s">
        <v>581</v>
      </c>
      <c r="Q34" s="40">
        <v>12.248479255064773</v>
      </c>
      <c r="R34" s="40">
        <v>5.5620270555242977</v>
      </c>
    </row>
    <row r="35" spans="2:20">
      <c r="B35" s="70"/>
      <c r="C35" s="70"/>
      <c r="D35" s="70"/>
      <c r="E35" s="70"/>
      <c r="F35" s="70"/>
      <c r="G35" s="70"/>
      <c r="H35" s="70"/>
      <c r="I35" s="70"/>
      <c r="J35" s="70"/>
      <c r="K35" s="70"/>
      <c r="L35" s="70"/>
      <c r="M35" s="70"/>
      <c r="N35" s="70"/>
      <c r="P35" s="12" t="s">
        <v>582</v>
      </c>
      <c r="Q35" s="40">
        <v>10.75262982967695</v>
      </c>
      <c r="R35" s="40">
        <v>4.4982991737637716</v>
      </c>
    </row>
    <row r="36" spans="2:20">
      <c r="B36" s="387"/>
      <c r="C36" s="387"/>
      <c r="D36" s="387"/>
      <c r="E36" s="387"/>
      <c r="F36" s="387"/>
      <c r="G36" s="387"/>
      <c r="H36" s="387"/>
      <c r="I36" s="387"/>
      <c r="J36" s="387"/>
      <c r="K36" s="387"/>
      <c r="L36" s="387"/>
      <c r="M36" s="387"/>
      <c r="N36" s="387"/>
      <c r="P36" s="12" t="s">
        <v>583</v>
      </c>
      <c r="Q36" s="40">
        <v>10.368557527609658</v>
      </c>
      <c r="R36" s="40">
        <v>3.1165754304650304</v>
      </c>
    </row>
    <row r="37" spans="2:20">
      <c r="P37" s="12" t="s">
        <v>584</v>
      </c>
      <c r="Q37" s="40">
        <v>8.5572726606584073</v>
      </c>
      <c r="R37" s="40">
        <v>2.8721164470409164</v>
      </c>
    </row>
    <row r="38" spans="2:20">
      <c r="P38" s="12" t="s">
        <v>585</v>
      </c>
      <c r="Q38" s="40">
        <v>7.5537995593317993</v>
      </c>
      <c r="R38" s="40">
        <v>2.0168215269435441</v>
      </c>
    </row>
    <row r="39" spans="2:20">
      <c r="P39" s="12" t="s">
        <v>586</v>
      </c>
      <c r="Q39" s="40">
        <v>6.6147803793900248</v>
      </c>
      <c r="R39" s="40">
        <v>1.6440274047066716</v>
      </c>
    </row>
    <row r="40" spans="2:20">
      <c r="P40" s="12" t="s">
        <v>587</v>
      </c>
      <c r="Q40" s="40">
        <v>6.0556077604262608</v>
      </c>
      <c r="R40" s="40">
        <v>1.4932851358103347</v>
      </c>
    </row>
    <row r="41" spans="2:20">
      <c r="P41" s="12" t="s">
        <v>588</v>
      </c>
      <c r="Q41" s="40">
        <v>2.8667232595295</v>
      </c>
      <c r="R41" s="40">
        <v>0.99761552293819944</v>
      </c>
    </row>
    <row r="42" spans="2:20" ht="9" customHeight="1">
      <c r="Q42" s="12"/>
      <c r="R42" s="12"/>
    </row>
    <row r="43" spans="2:20" ht="21.75" customHeight="1">
      <c r="P43" s="686" t="s">
        <v>315</v>
      </c>
      <c r="Q43" s="635"/>
      <c r="R43" s="635"/>
    </row>
    <row r="44" spans="2:20" ht="13.5" customHeight="1">
      <c r="P44" s="50" t="s">
        <v>149</v>
      </c>
      <c r="Q44" s="12"/>
      <c r="R44" s="12"/>
    </row>
    <row r="45" spans="2:20" ht="12" customHeight="1">
      <c r="P45" s="132" t="s">
        <v>148</v>
      </c>
      <c r="Q45" s="50"/>
      <c r="R45" s="50"/>
    </row>
    <row r="46" spans="2:20" ht="11.25" customHeight="1">
      <c r="P46" s="132" t="s">
        <v>592</v>
      </c>
      <c r="Q46" s="132"/>
      <c r="R46" s="472" t="s">
        <v>590</v>
      </c>
      <c r="S46" s="33"/>
      <c r="T46" s="33"/>
    </row>
    <row r="47" spans="2:20" ht="11.25" customHeight="1">
      <c r="P47" s="230"/>
      <c r="Q47" s="367"/>
      <c r="R47" s="367"/>
      <c r="S47" s="230"/>
      <c r="T47" s="230"/>
    </row>
    <row r="48" spans="2:20" ht="11.25" customHeight="1">
      <c r="P48" s="472"/>
      <c r="Q48" s="132"/>
      <c r="R48" s="132"/>
      <c r="S48" s="33"/>
    </row>
    <row r="49" spans="2:20" ht="11.25" customHeight="1">
      <c r="P49" s="132"/>
      <c r="Q49" s="132"/>
      <c r="R49" s="132"/>
      <c r="S49" s="33"/>
    </row>
    <row r="50" spans="2:20" ht="27.75" customHeight="1">
      <c r="P50" s="653" t="s">
        <v>309</v>
      </c>
      <c r="Q50" s="687"/>
      <c r="R50" s="687"/>
      <c r="S50" s="687"/>
      <c r="T50" s="635"/>
    </row>
    <row r="52" spans="2:20">
      <c r="B52" s="70"/>
      <c r="C52" s="70"/>
      <c r="D52" s="70"/>
      <c r="E52" s="70"/>
      <c r="F52" s="70"/>
      <c r="G52" s="70"/>
      <c r="H52" s="70"/>
      <c r="I52" s="70"/>
      <c r="J52" s="70"/>
      <c r="K52" s="70"/>
      <c r="L52" s="70"/>
      <c r="M52" s="70"/>
      <c r="N52" s="70"/>
      <c r="P52" s="23" t="s">
        <v>147</v>
      </c>
      <c r="Q52" s="72" t="s">
        <v>20</v>
      </c>
      <c r="R52" s="72" t="s">
        <v>8</v>
      </c>
    </row>
    <row r="53" spans="2:20" ht="15">
      <c r="B53" s="70"/>
      <c r="C53" s="91" t="s">
        <v>309</v>
      </c>
      <c r="D53" s="70"/>
      <c r="E53" s="70"/>
      <c r="F53" s="70"/>
      <c r="G53" s="70"/>
      <c r="H53" s="70"/>
      <c r="I53" s="70"/>
      <c r="J53" s="70"/>
      <c r="K53" s="70"/>
      <c r="L53" s="70"/>
      <c r="M53" s="70"/>
      <c r="N53" s="70"/>
    </row>
    <row r="54" spans="2:20">
      <c r="B54" s="70"/>
      <c r="C54" s="70"/>
      <c r="D54" s="70"/>
      <c r="E54" s="70"/>
      <c r="F54" s="70"/>
      <c r="G54" s="70"/>
      <c r="H54" s="70"/>
      <c r="I54" s="70"/>
      <c r="J54" s="70"/>
      <c r="K54" s="70"/>
      <c r="L54" s="70"/>
      <c r="M54" s="70"/>
      <c r="N54" s="70"/>
      <c r="O54" s="53"/>
      <c r="P54" s="12" t="s">
        <v>560</v>
      </c>
      <c r="Q54" s="40">
        <v>29.92945200598589</v>
      </c>
      <c r="R54" s="40">
        <v>1.5102090129273893</v>
      </c>
    </row>
    <row r="55" spans="2:20">
      <c r="B55" s="70"/>
      <c r="C55" s="70"/>
      <c r="D55" s="70"/>
      <c r="E55" s="70"/>
      <c r="F55" s="70"/>
      <c r="G55" s="70"/>
      <c r="H55" s="70"/>
      <c r="I55" s="70"/>
      <c r="J55" s="70"/>
      <c r="K55" s="70"/>
      <c r="L55" s="70"/>
      <c r="M55" s="70"/>
      <c r="N55" s="70"/>
      <c r="P55" s="12" t="s">
        <v>564</v>
      </c>
      <c r="Q55" s="40">
        <v>24.897298643097226</v>
      </c>
      <c r="R55" s="40">
        <v>0</v>
      </c>
    </row>
    <row r="56" spans="2:20">
      <c r="B56" s="70"/>
      <c r="C56" s="70"/>
      <c r="D56" s="70"/>
      <c r="E56" s="70"/>
      <c r="F56" s="70"/>
      <c r="G56" s="70"/>
      <c r="H56" s="70"/>
      <c r="I56" s="70"/>
      <c r="J56" s="70"/>
      <c r="K56" s="70"/>
      <c r="L56" s="70"/>
      <c r="M56" s="70"/>
      <c r="N56" s="70"/>
      <c r="P56" s="12" t="s">
        <v>589</v>
      </c>
      <c r="Q56" s="40">
        <v>24.838262476894599</v>
      </c>
      <c r="R56" s="40">
        <v>8.07930145116684</v>
      </c>
    </row>
    <row r="57" spans="2:20">
      <c r="B57" s="70"/>
      <c r="C57" s="70"/>
      <c r="D57" s="70"/>
      <c r="E57" s="70"/>
      <c r="F57" s="70"/>
      <c r="G57" s="70"/>
      <c r="H57" s="70"/>
      <c r="I57" s="70"/>
      <c r="J57" s="70"/>
      <c r="K57" s="70"/>
      <c r="L57" s="70"/>
      <c r="M57" s="70"/>
      <c r="N57" s="70"/>
      <c r="P57" s="12" t="s">
        <v>556</v>
      </c>
      <c r="Q57" s="40">
        <v>23.048210109731965</v>
      </c>
      <c r="R57" s="40">
        <v>3.5520403511783893</v>
      </c>
    </row>
    <row r="58" spans="2:20">
      <c r="B58" s="70"/>
      <c r="C58" s="70"/>
      <c r="D58" s="70"/>
      <c r="E58" s="70"/>
      <c r="F58" s="70"/>
      <c r="G58" s="70"/>
      <c r="H58" s="70"/>
      <c r="I58" s="70"/>
      <c r="J58" s="70"/>
      <c r="K58" s="70"/>
      <c r="L58" s="70"/>
      <c r="M58" s="70"/>
      <c r="N58" s="70"/>
      <c r="P58" s="12" t="s">
        <v>558</v>
      </c>
      <c r="Q58" s="40">
        <v>21.720653508357731</v>
      </c>
      <c r="R58" s="40">
        <v>2.9980512666766601</v>
      </c>
    </row>
    <row r="59" spans="2:20">
      <c r="B59" s="70"/>
      <c r="C59" s="70"/>
      <c r="D59" s="70"/>
      <c r="E59" s="70"/>
      <c r="F59" s="70"/>
      <c r="G59" s="70"/>
      <c r="H59" s="70"/>
      <c r="I59" s="70"/>
      <c r="J59" s="70"/>
      <c r="K59" s="70"/>
      <c r="L59" s="70"/>
      <c r="M59" s="70"/>
      <c r="N59" s="70"/>
      <c r="P59" s="12" t="s">
        <v>561</v>
      </c>
      <c r="Q59" s="40">
        <v>19.348220029717108</v>
      </c>
      <c r="R59" s="40">
        <v>2.802739517065008</v>
      </c>
    </row>
    <row r="60" spans="2:20">
      <c r="B60" s="70"/>
      <c r="C60" s="70"/>
      <c r="D60" s="70"/>
      <c r="E60" s="70"/>
      <c r="F60" s="70"/>
      <c r="G60" s="70"/>
      <c r="H60" s="70"/>
      <c r="I60" s="70"/>
      <c r="J60" s="70"/>
      <c r="K60" s="70"/>
      <c r="L60" s="70"/>
      <c r="M60" s="70"/>
      <c r="N60" s="70"/>
      <c r="P60" s="12" t="s">
        <v>566</v>
      </c>
      <c r="Q60" s="40">
        <v>18.935010835033978</v>
      </c>
      <c r="R60" s="40">
        <v>6.9002938897897605</v>
      </c>
    </row>
    <row r="61" spans="2:20">
      <c r="B61" s="70"/>
      <c r="C61" s="70"/>
      <c r="D61" s="70"/>
      <c r="E61" s="70"/>
      <c r="F61" s="70"/>
      <c r="G61" s="70"/>
      <c r="H61" s="70"/>
      <c r="I61" s="70"/>
      <c r="J61" s="70"/>
      <c r="K61" s="70"/>
      <c r="L61" s="70"/>
      <c r="M61" s="70"/>
      <c r="N61" s="70"/>
      <c r="P61" s="12" t="s">
        <v>562</v>
      </c>
      <c r="Q61" s="40">
        <v>17.919528015071457</v>
      </c>
      <c r="R61" s="40">
        <v>7.0674585453715242</v>
      </c>
    </row>
    <row r="62" spans="2:20">
      <c r="B62" s="70"/>
      <c r="C62" s="70"/>
      <c r="D62" s="70"/>
      <c r="E62" s="70"/>
      <c r="F62" s="70"/>
      <c r="G62" s="70"/>
      <c r="H62" s="70"/>
      <c r="I62" s="70"/>
      <c r="J62" s="70"/>
      <c r="K62" s="70"/>
      <c r="L62" s="70"/>
      <c r="M62" s="70"/>
      <c r="N62" s="70"/>
      <c r="P62" s="12" t="s">
        <v>567</v>
      </c>
      <c r="Q62" s="40">
        <v>17.464372059490735</v>
      </c>
      <c r="R62" s="40">
        <v>7.206947497387481</v>
      </c>
    </row>
    <row r="63" spans="2:20">
      <c r="B63" s="70"/>
      <c r="C63" s="70"/>
      <c r="D63" s="70"/>
      <c r="E63" s="70"/>
      <c r="F63" s="70"/>
      <c r="G63" s="70"/>
      <c r="H63" s="70"/>
      <c r="I63" s="70"/>
      <c r="J63" s="70"/>
      <c r="K63" s="70"/>
      <c r="L63" s="70"/>
      <c r="M63" s="70"/>
      <c r="N63" s="70"/>
      <c r="P63" s="12" t="s">
        <v>572</v>
      </c>
      <c r="Q63" s="40">
        <v>16.804653021703341</v>
      </c>
      <c r="R63" s="40">
        <v>6.1098067528755733</v>
      </c>
    </row>
    <row r="64" spans="2:20">
      <c r="B64" s="70"/>
      <c r="C64" s="70"/>
      <c r="D64" s="70"/>
      <c r="E64" s="70"/>
      <c r="F64" s="70"/>
      <c r="G64" s="70"/>
      <c r="H64" s="70"/>
      <c r="I64" s="70"/>
      <c r="J64" s="70"/>
      <c r="K64" s="70"/>
      <c r="L64" s="70"/>
      <c r="M64" s="70"/>
      <c r="N64" s="70"/>
      <c r="P64" s="12" t="s">
        <v>571</v>
      </c>
      <c r="Q64" s="40">
        <v>16.106714303494424</v>
      </c>
      <c r="R64" s="40">
        <v>3.459848458637512</v>
      </c>
    </row>
    <row r="65" spans="2:18">
      <c r="B65" s="70"/>
      <c r="C65" s="70"/>
      <c r="D65" s="70"/>
      <c r="E65" s="70"/>
      <c r="F65" s="70"/>
      <c r="G65" s="70"/>
      <c r="H65" s="70"/>
      <c r="I65" s="70"/>
      <c r="J65" s="70"/>
      <c r="K65" s="70"/>
      <c r="L65" s="70"/>
      <c r="M65" s="70"/>
      <c r="N65" s="70"/>
      <c r="P65" s="12" t="s">
        <v>569</v>
      </c>
      <c r="Q65" s="40">
        <v>15.767007688585291</v>
      </c>
      <c r="R65" s="40">
        <v>3.1735839157951391</v>
      </c>
    </row>
    <row r="66" spans="2:18">
      <c r="B66" s="70"/>
      <c r="C66" s="70"/>
      <c r="D66" s="70"/>
      <c r="E66" s="70"/>
      <c r="F66" s="70"/>
      <c r="G66" s="70"/>
      <c r="H66" s="70"/>
      <c r="I66" s="70"/>
      <c r="J66" s="70"/>
      <c r="K66" s="70"/>
      <c r="L66" s="70"/>
      <c r="M66" s="70"/>
      <c r="N66" s="70"/>
      <c r="P66" s="12" t="s">
        <v>570</v>
      </c>
      <c r="Q66" s="40">
        <v>14.77580556555343</v>
      </c>
      <c r="R66" s="40">
        <v>4.3774648111521888</v>
      </c>
    </row>
    <row r="67" spans="2:18">
      <c r="B67" s="70"/>
      <c r="C67" s="70"/>
      <c r="D67" s="70"/>
      <c r="E67" s="70"/>
      <c r="F67" s="70"/>
      <c r="G67" s="70"/>
      <c r="H67" s="70"/>
      <c r="I67" s="70"/>
      <c r="J67" s="70"/>
      <c r="K67" s="70"/>
      <c r="L67" s="70"/>
      <c r="M67" s="70"/>
      <c r="N67" s="70"/>
      <c r="P67" s="12" t="s">
        <v>565</v>
      </c>
      <c r="Q67" s="40">
        <v>13.839882971140122</v>
      </c>
      <c r="R67" s="40">
        <v>3.2328233169690899</v>
      </c>
    </row>
    <row r="68" spans="2:18">
      <c r="B68" s="70"/>
      <c r="C68" s="70"/>
      <c r="D68" s="70"/>
      <c r="E68" s="70"/>
      <c r="F68" s="70"/>
      <c r="G68" s="70"/>
      <c r="H68" s="70"/>
      <c r="I68" s="70"/>
      <c r="J68" s="70"/>
      <c r="K68" s="70"/>
      <c r="L68" s="70"/>
      <c r="M68" s="70"/>
      <c r="N68" s="70"/>
      <c r="P68" s="12" t="s">
        <v>559</v>
      </c>
      <c r="Q68" s="40">
        <v>13.548693035004016</v>
      </c>
      <c r="R68" s="40">
        <v>3.0744319986882425</v>
      </c>
    </row>
    <row r="69" spans="2:18">
      <c r="B69" s="70"/>
      <c r="C69" s="70"/>
      <c r="D69" s="70"/>
      <c r="E69" s="70"/>
      <c r="F69" s="70"/>
      <c r="G69" s="70"/>
      <c r="H69" s="70"/>
      <c r="I69" s="70"/>
      <c r="J69" s="70"/>
      <c r="K69" s="70"/>
      <c r="L69" s="70"/>
      <c r="M69" s="70"/>
      <c r="N69" s="70"/>
      <c r="P69" s="12" t="s">
        <v>577</v>
      </c>
      <c r="Q69" s="40">
        <v>12.459614910971704</v>
      </c>
      <c r="R69" s="40">
        <v>5.2306565704738661</v>
      </c>
    </row>
    <row r="70" spans="2:18">
      <c r="B70" s="70"/>
      <c r="C70" s="70"/>
      <c r="D70" s="70"/>
      <c r="E70" s="70"/>
      <c r="F70" s="70"/>
      <c r="G70" s="70"/>
      <c r="H70" s="70"/>
      <c r="I70" s="70"/>
      <c r="J70" s="70"/>
      <c r="K70" s="70"/>
      <c r="L70" s="70"/>
      <c r="M70" s="70"/>
      <c r="N70" s="70"/>
      <c r="P70" s="12" t="s">
        <v>557</v>
      </c>
      <c r="Q70" s="40">
        <v>11.757395499514763</v>
      </c>
      <c r="R70" s="40">
        <v>7.9707771383166461</v>
      </c>
    </row>
    <row r="71" spans="2:18">
      <c r="B71" s="70"/>
      <c r="C71" s="70"/>
      <c r="D71" s="70"/>
      <c r="E71" s="70"/>
      <c r="F71" s="70"/>
      <c r="G71" s="70"/>
      <c r="H71" s="70"/>
      <c r="I71" s="70"/>
      <c r="J71" s="70"/>
      <c r="K71" s="70"/>
      <c r="L71" s="70"/>
      <c r="M71" s="70"/>
      <c r="N71" s="70"/>
      <c r="P71" s="12" t="s">
        <v>579</v>
      </c>
      <c r="Q71" s="40">
        <v>11.508473113329689</v>
      </c>
      <c r="R71" s="40">
        <v>3.0147723846849566</v>
      </c>
    </row>
    <row r="72" spans="2:18">
      <c r="B72" s="70"/>
      <c r="C72" s="70"/>
      <c r="D72" s="70"/>
      <c r="E72" s="70"/>
      <c r="F72" s="70"/>
      <c r="G72" s="70"/>
      <c r="H72" s="70"/>
      <c r="I72" s="70"/>
      <c r="J72" s="70"/>
      <c r="K72" s="70"/>
      <c r="L72" s="70"/>
      <c r="M72" s="70"/>
      <c r="N72" s="70"/>
      <c r="P72" s="12" t="s">
        <v>576</v>
      </c>
      <c r="Q72" s="40">
        <v>10.946378841293605</v>
      </c>
      <c r="R72" s="40">
        <v>6.485117508622646</v>
      </c>
    </row>
    <row r="73" spans="2:18">
      <c r="B73" s="70"/>
      <c r="C73" s="70"/>
      <c r="D73" s="70"/>
      <c r="E73" s="70"/>
      <c r="F73" s="70"/>
      <c r="G73" s="70"/>
      <c r="H73" s="70"/>
      <c r="I73" s="70"/>
      <c r="J73" s="70"/>
      <c r="K73" s="70"/>
      <c r="L73" s="70"/>
      <c r="M73" s="70"/>
      <c r="N73" s="70"/>
      <c r="P73" s="12" t="s">
        <v>573</v>
      </c>
      <c r="Q73" s="40">
        <v>10.836975761297547</v>
      </c>
      <c r="R73" s="40">
        <v>4.508011966722675</v>
      </c>
    </row>
    <row r="74" spans="2:18">
      <c r="B74" s="70"/>
      <c r="C74" s="70"/>
      <c r="D74" s="70"/>
      <c r="E74" s="70"/>
      <c r="F74" s="70"/>
      <c r="G74" s="70"/>
      <c r="H74" s="70"/>
      <c r="I74" s="70"/>
      <c r="J74" s="70"/>
      <c r="K74" s="70"/>
      <c r="L74" s="70"/>
      <c r="M74" s="70"/>
      <c r="N74" s="70"/>
      <c r="P74" s="12" t="s">
        <v>574</v>
      </c>
      <c r="Q74" s="40">
        <v>10.833062506770663</v>
      </c>
      <c r="R74" s="40">
        <v>3.6917758093132647</v>
      </c>
    </row>
    <row r="75" spans="2:18">
      <c r="B75" s="70"/>
      <c r="C75" s="70"/>
      <c r="D75" s="70"/>
      <c r="E75" s="70"/>
      <c r="F75" s="70"/>
      <c r="G75" s="70"/>
      <c r="H75" s="70"/>
      <c r="I75" s="70"/>
      <c r="J75" s="70"/>
      <c r="K75" s="70"/>
      <c r="L75" s="70"/>
      <c r="M75" s="70"/>
      <c r="N75" s="70"/>
      <c r="P75" s="12" t="s">
        <v>563</v>
      </c>
      <c r="Q75" s="40">
        <v>10.210099196394779</v>
      </c>
      <c r="R75" s="40">
        <v>2.6077319251580939</v>
      </c>
    </row>
    <row r="76" spans="2:18">
      <c r="B76" s="70"/>
      <c r="C76" s="70"/>
      <c r="D76" s="70"/>
      <c r="E76" s="70"/>
      <c r="F76" s="70"/>
      <c r="G76" s="70"/>
      <c r="H76" s="70"/>
      <c r="I76" s="70"/>
      <c r="J76" s="70"/>
      <c r="K76" s="70"/>
      <c r="L76" s="70"/>
      <c r="M76" s="70"/>
      <c r="N76" s="70"/>
      <c r="P76" s="12" t="s">
        <v>583</v>
      </c>
      <c r="Q76" s="40">
        <v>9.0077244850182758</v>
      </c>
      <c r="R76" s="40">
        <v>2.6219166008666441</v>
      </c>
    </row>
    <row r="77" spans="2:18">
      <c r="B77" s="70"/>
      <c r="C77" s="70"/>
      <c r="D77" s="70"/>
      <c r="E77" s="70"/>
      <c r="F77" s="70"/>
      <c r="G77" s="70"/>
      <c r="H77" s="70"/>
      <c r="I77" s="70"/>
      <c r="J77" s="70"/>
      <c r="K77" s="70"/>
      <c r="L77" s="70"/>
      <c r="M77" s="70"/>
      <c r="N77" s="70"/>
      <c r="P77" s="12" t="s">
        <v>575</v>
      </c>
      <c r="Q77" s="40">
        <v>8.7466106883582615</v>
      </c>
      <c r="R77" s="40">
        <v>1.5266895873663382</v>
      </c>
    </row>
    <row r="78" spans="2:18">
      <c r="B78" s="70"/>
      <c r="C78" s="70"/>
      <c r="D78" s="70"/>
      <c r="E78" s="70"/>
      <c r="F78" s="70"/>
      <c r="G78" s="70"/>
      <c r="H78" s="70"/>
      <c r="I78" s="70"/>
      <c r="J78" s="70"/>
      <c r="K78" s="70"/>
      <c r="L78" s="70"/>
      <c r="M78" s="70"/>
      <c r="N78" s="70"/>
      <c r="P78" s="12" t="s">
        <v>578</v>
      </c>
      <c r="Q78" s="40">
        <v>8.3180319890272774</v>
      </c>
      <c r="R78" s="40">
        <v>3.24181174370141</v>
      </c>
    </row>
    <row r="79" spans="2:18">
      <c r="B79" s="70"/>
      <c r="C79" s="81" t="s">
        <v>99</v>
      </c>
      <c r="D79" s="81" t="s">
        <v>101</v>
      </c>
      <c r="E79" s="81"/>
      <c r="F79" s="81"/>
      <c r="G79" s="81"/>
      <c r="H79" s="81"/>
      <c r="I79" s="81"/>
      <c r="J79" s="81"/>
      <c r="K79" s="81"/>
      <c r="L79" s="81"/>
      <c r="M79" s="81"/>
      <c r="N79" s="81"/>
      <c r="O79" s="190"/>
      <c r="P79" s="12" t="s">
        <v>568</v>
      </c>
      <c r="Q79" s="40">
        <v>7.3414118368030179</v>
      </c>
      <c r="R79" s="40">
        <v>2.4784910084656633</v>
      </c>
    </row>
    <row r="80" spans="2:18">
      <c r="B80" s="70"/>
      <c r="C80" s="81" t="s">
        <v>149</v>
      </c>
      <c r="D80" s="561" t="s">
        <v>592</v>
      </c>
      <c r="E80" s="562"/>
      <c r="F80" s="5"/>
      <c r="G80" s="1"/>
      <c r="H80" s="563" t="s">
        <v>590</v>
      </c>
      <c r="I80" s="563"/>
      <c r="J80" s="563"/>
      <c r="K80" s="563"/>
      <c r="L80" s="563"/>
      <c r="M80" s="70"/>
      <c r="N80" s="70"/>
      <c r="P80" s="12" t="s">
        <v>581</v>
      </c>
      <c r="Q80" s="40">
        <v>7.2116352710778768</v>
      </c>
      <c r="R80" s="40">
        <v>3.4131589956730899</v>
      </c>
    </row>
    <row r="81" spans="2:20">
      <c r="B81" s="70"/>
      <c r="C81" s="81"/>
      <c r="D81" s="81" t="s">
        <v>148</v>
      </c>
      <c r="E81" s="81"/>
      <c r="F81" s="81"/>
      <c r="G81" s="81"/>
      <c r="H81" s="70"/>
      <c r="I81" s="70"/>
      <c r="J81" s="70"/>
      <c r="K81" s="70"/>
      <c r="L81" s="70"/>
      <c r="M81" s="70"/>
      <c r="N81" s="70"/>
      <c r="P81" s="12" t="s">
        <v>586</v>
      </c>
      <c r="Q81" s="40">
        <v>5.4291005996829398</v>
      </c>
      <c r="R81" s="40">
        <v>1.295672454003628</v>
      </c>
    </row>
    <row r="82" spans="2:20">
      <c r="B82" s="70"/>
      <c r="C82" s="70"/>
      <c r="D82" s="70"/>
      <c r="E82" s="70"/>
      <c r="F82" s="70"/>
      <c r="G82" s="70"/>
      <c r="H82" s="70"/>
      <c r="I82" s="70"/>
      <c r="J82" s="70"/>
      <c r="K82" s="70"/>
      <c r="L82" s="70"/>
      <c r="M82" s="70"/>
      <c r="N82" s="70"/>
      <c r="P82" s="12" t="s">
        <v>585</v>
      </c>
      <c r="Q82" s="40">
        <v>5.2657244835583477</v>
      </c>
      <c r="R82" s="40">
        <v>1.182754740150523</v>
      </c>
    </row>
    <row r="83" spans="2:20">
      <c r="P83" s="12" t="s">
        <v>580</v>
      </c>
      <c r="Q83" s="40">
        <v>4.9778220250846674</v>
      </c>
      <c r="R83" s="40">
        <v>1.4660499483217393</v>
      </c>
    </row>
    <row r="84" spans="2:20">
      <c r="O84" s="190"/>
      <c r="P84" s="12" t="s">
        <v>582</v>
      </c>
      <c r="Q84" s="40">
        <v>4.8121780185054979</v>
      </c>
      <c r="R84" s="40">
        <v>1.6812279689084908</v>
      </c>
    </row>
    <row r="85" spans="2:20">
      <c r="P85" s="12" t="s">
        <v>584</v>
      </c>
      <c r="Q85" s="40">
        <v>4.7654023048808209</v>
      </c>
      <c r="R85" s="40">
        <v>2.1581343066672116</v>
      </c>
    </row>
    <row r="86" spans="2:20">
      <c r="P86" s="12" t="s">
        <v>587</v>
      </c>
      <c r="Q86" s="40">
        <v>3.5631442610216961</v>
      </c>
      <c r="R86" s="40">
        <v>0.55398797476769446</v>
      </c>
    </row>
    <row r="87" spans="2:20" ht="12.75" customHeight="1">
      <c r="P87" s="12" t="s">
        <v>588</v>
      </c>
      <c r="Q87" s="40">
        <v>3.1489465404714934</v>
      </c>
      <c r="R87" s="40">
        <v>2.0901816032745968</v>
      </c>
    </row>
    <row r="88" spans="2:20">
      <c r="Q88" s="12"/>
      <c r="R88" s="12"/>
      <c r="T88" s="50"/>
    </row>
    <row r="89" spans="2:20">
      <c r="P89" s="50" t="s">
        <v>139</v>
      </c>
      <c r="Q89" s="27"/>
      <c r="R89" s="27"/>
      <c r="S89" s="50"/>
      <c r="T89" s="50"/>
    </row>
    <row r="90" spans="2:20">
      <c r="P90" s="50" t="s">
        <v>591</v>
      </c>
      <c r="Q90" s="50"/>
      <c r="R90" s="50"/>
      <c r="S90" s="50"/>
    </row>
    <row r="91" spans="2:20">
      <c r="P91" s="132" t="s">
        <v>148</v>
      </c>
      <c r="Q91" s="132"/>
      <c r="R91" s="132"/>
      <c r="S91" s="33"/>
    </row>
    <row r="92" spans="2:20">
      <c r="P92" s="132" t="s">
        <v>592</v>
      </c>
      <c r="Q92" s="35"/>
      <c r="R92" s="472" t="s">
        <v>590</v>
      </c>
      <c r="S92" s="33"/>
    </row>
    <row r="93" spans="2:20">
      <c r="P93" s="230"/>
      <c r="Q93" s="473"/>
      <c r="R93" s="473"/>
      <c r="S93" s="230"/>
      <c r="T93" s="230"/>
    </row>
  </sheetData>
  <sortState xmlns:xlrd2="http://schemas.microsoft.com/office/spreadsheetml/2017/richdata2" ref="P7:R41">
    <sortCondition descending="1" ref="Q40:Q72"/>
  </sortState>
  <mergeCells count="3">
    <mergeCell ref="C4:L4"/>
    <mergeCell ref="P43:R43"/>
    <mergeCell ref="P50:T50"/>
  </mergeCells>
  <hyperlinks>
    <hyperlink ref="P1" location="'Key findings'!A1" display="Back to Key Findings" xr:uid="{00000000-0004-0000-0B00-000000000000}"/>
    <hyperlink ref="P2" location="About!A1" display="About the statistics" xr:uid="{00000000-0004-0000-0B00-000001000000}"/>
    <hyperlink ref="R46" r:id="rId1" xr:uid="{00000000-0004-0000-0B00-000002000000}"/>
    <hyperlink ref="R92" r:id="rId2" xr:uid="{00000000-0004-0000-0B00-000003000000}"/>
    <hyperlink ref="H80" r:id="rId3" xr:uid="{00000000-0004-0000-0B00-000004000000}"/>
    <hyperlink ref="H80:L80" r:id="rId4" display="http://www.who.int/healthinfo/mortality_data/en/" xr:uid="{00000000-0004-0000-0B00-000005000000}"/>
    <hyperlink ref="H33" r:id="rId5" xr:uid="{00000000-0004-0000-0B00-000006000000}"/>
    <hyperlink ref="H33:K33" r:id="rId6" display="http://www.who.int/healthinfo/mortality_data/en/" xr:uid="{00000000-0004-0000-0B00-000007000000}"/>
  </hyperlinks>
  <pageMargins left="0.7" right="0.7" top="0.75" bottom="0.75" header="0.3" footer="0.3"/>
  <pageSetup paperSize="9" scale="60" orientation="landscape" r:id="rId7"/>
  <rowBreaks count="1" manualBreakCount="1">
    <brk id="48" max="16383" man="1"/>
  </rowBreaks>
  <drawing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O82"/>
  <sheetViews>
    <sheetView showGridLines="0" zoomScaleNormal="100" workbookViewId="0">
      <selection activeCell="N11" sqref="N11"/>
    </sheetView>
  </sheetViews>
  <sheetFormatPr defaultRowHeight="12.75"/>
  <cols>
    <col min="1" max="1" width="4.7109375" style="12" customWidth="1"/>
    <col min="2" max="2" width="2.28515625" style="12" customWidth="1"/>
    <col min="3" max="3" width="27.5703125" style="98" customWidth="1"/>
    <col min="4" max="4" width="4" style="12" customWidth="1"/>
    <col min="5" max="5" width="95.28515625" style="116" customWidth="1"/>
    <col min="6" max="6" width="2.28515625" style="12" customWidth="1"/>
    <col min="7" max="7" width="3.5703125" style="12" customWidth="1"/>
    <col min="8" max="16384" width="9.140625" style="12"/>
  </cols>
  <sheetData>
    <row r="1" spans="2:15">
      <c r="H1" s="126" t="s">
        <v>371</v>
      </c>
    </row>
    <row r="2" spans="2:15" ht="36.75" customHeight="1">
      <c r="C2" s="688" t="s">
        <v>244</v>
      </c>
      <c r="D2" s="689"/>
      <c r="E2" s="689"/>
      <c r="H2" s="126" t="s">
        <v>355</v>
      </c>
    </row>
    <row r="4" spans="2:15" ht="14.25">
      <c r="B4" s="70"/>
      <c r="C4" s="138"/>
      <c r="D4" s="139"/>
      <c r="E4" s="128"/>
      <c r="F4" s="138"/>
      <c r="G4" s="453"/>
      <c r="H4" s="98"/>
      <c r="I4" s="98"/>
      <c r="J4" s="98"/>
      <c r="K4" s="98"/>
      <c r="L4" s="98"/>
      <c r="M4" s="98"/>
      <c r="N4" s="98"/>
      <c r="O4" s="98"/>
    </row>
    <row r="5" spans="2:15">
      <c r="B5" s="70"/>
      <c r="C5" s="102" t="s">
        <v>424</v>
      </c>
      <c r="D5" s="101"/>
      <c r="E5" s="102" t="s">
        <v>157</v>
      </c>
      <c r="F5" s="70"/>
      <c r="G5" s="70"/>
    </row>
    <row r="6" spans="2:15">
      <c r="B6" s="70"/>
      <c r="C6" s="102"/>
      <c r="D6" s="101"/>
      <c r="E6" s="102" t="s">
        <v>158</v>
      </c>
      <c r="F6" s="70"/>
      <c r="G6" s="70"/>
    </row>
    <row r="7" spans="2:15" ht="24">
      <c r="B7" s="70"/>
      <c r="C7" s="102"/>
      <c r="D7" s="101"/>
      <c r="E7" s="102" t="s">
        <v>159</v>
      </c>
      <c r="F7" s="70"/>
      <c r="G7" s="70"/>
    </row>
    <row r="8" spans="2:15">
      <c r="B8" s="70"/>
      <c r="C8" s="102"/>
      <c r="D8" s="101"/>
      <c r="E8" s="102"/>
      <c r="F8" s="70"/>
      <c r="G8" s="70"/>
    </row>
    <row r="9" spans="2:15" ht="84">
      <c r="B9" s="70"/>
      <c r="C9" s="155" t="s">
        <v>161</v>
      </c>
      <c r="D9" s="101"/>
      <c r="E9" s="102" t="s">
        <v>354</v>
      </c>
      <c r="F9" s="70"/>
      <c r="G9" s="70"/>
    </row>
    <row r="10" spans="2:15" ht="9" customHeight="1">
      <c r="B10" s="70"/>
      <c r="C10" s="155"/>
      <c r="D10" s="101"/>
      <c r="E10" s="102"/>
      <c r="F10" s="70"/>
      <c r="G10" s="70"/>
    </row>
    <row r="11" spans="2:15" ht="36">
      <c r="B11" s="70"/>
      <c r="C11" s="102"/>
      <c r="D11" s="101"/>
      <c r="E11" s="102" t="s">
        <v>162</v>
      </c>
      <c r="F11" s="70"/>
      <c r="G11" s="70"/>
    </row>
    <row r="12" spans="2:15" ht="6.75" customHeight="1">
      <c r="B12" s="70"/>
      <c r="C12" s="102"/>
      <c r="D12" s="101"/>
      <c r="E12" s="102"/>
      <c r="F12" s="70"/>
      <c r="G12" s="70"/>
    </row>
    <row r="13" spans="2:15" ht="24">
      <c r="B13" s="70"/>
      <c r="C13" s="102"/>
      <c r="D13" s="101"/>
      <c r="E13" s="102" t="s">
        <v>163</v>
      </c>
      <c r="F13" s="70"/>
      <c r="G13" s="70"/>
    </row>
    <row r="14" spans="2:15">
      <c r="B14" s="70"/>
      <c r="C14" s="102"/>
      <c r="D14" s="101"/>
      <c r="E14" s="462" t="s">
        <v>461</v>
      </c>
      <c r="F14" s="70"/>
      <c r="G14" s="70"/>
    </row>
    <row r="15" spans="2:15">
      <c r="B15" s="70"/>
      <c r="C15" s="102"/>
      <c r="D15" s="101"/>
      <c r="E15" s="102"/>
      <c r="F15" s="70"/>
      <c r="G15" s="70"/>
    </row>
    <row r="16" spans="2:15" ht="39.75" customHeight="1">
      <c r="B16" s="70"/>
      <c r="C16" s="155" t="s">
        <v>160</v>
      </c>
      <c r="D16" s="101"/>
      <c r="E16" s="475" t="s">
        <v>646</v>
      </c>
      <c r="F16" s="70"/>
      <c r="G16" s="70"/>
    </row>
    <row r="17" spans="2:7" ht="14.25" customHeight="1">
      <c r="B17" s="70"/>
      <c r="C17" s="155"/>
      <c r="D17" s="101"/>
      <c r="E17" s="476" t="s">
        <v>590</v>
      </c>
      <c r="F17" s="70"/>
      <c r="G17" s="70"/>
    </row>
    <row r="18" spans="2:7">
      <c r="B18" s="70"/>
      <c r="C18" s="102"/>
      <c r="D18" s="101"/>
      <c r="E18" s="102"/>
      <c r="F18" s="70"/>
      <c r="G18" s="70"/>
    </row>
    <row r="19" spans="2:7" s="171" customFormat="1" ht="27.75" customHeight="1">
      <c r="B19" s="459"/>
      <c r="C19" s="155" t="s">
        <v>164</v>
      </c>
      <c r="D19" s="442"/>
      <c r="E19" s="155" t="s">
        <v>165</v>
      </c>
      <c r="F19" s="459"/>
      <c r="G19" s="459"/>
    </row>
    <row r="20" spans="2:7" ht="15" customHeight="1">
      <c r="B20" s="70"/>
      <c r="C20" s="102"/>
      <c r="D20" s="101"/>
      <c r="E20" s="102" t="s">
        <v>456</v>
      </c>
      <c r="F20" s="70"/>
      <c r="G20" s="70"/>
    </row>
    <row r="21" spans="2:7">
      <c r="B21" s="70"/>
      <c r="C21" s="102"/>
      <c r="D21" s="101"/>
      <c r="E21" s="102"/>
      <c r="F21" s="70"/>
      <c r="G21" s="70"/>
    </row>
    <row r="22" spans="2:7">
      <c r="B22" s="70"/>
      <c r="C22" s="102"/>
      <c r="D22" s="101"/>
      <c r="E22" s="102" t="s">
        <v>166</v>
      </c>
      <c r="F22" s="70"/>
      <c r="G22" s="70"/>
    </row>
    <row r="23" spans="2:7">
      <c r="B23" s="70"/>
      <c r="C23" s="102"/>
      <c r="D23" s="101"/>
      <c r="E23" s="102" t="s">
        <v>167</v>
      </c>
      <c r="F23" s="70"/>
      <c r="G23" s="70"/>
    </row>
    <row r="24" spans="2:7">
      <c r="B24" s="70"/>
      <c r="C24" s="102"/>
      <c r="D24" s="101"/>
      <c r="E24" s="102" t="s">
        <v>168</v>
      </c>
      <c r="F24" s="70"/>
      <c r="G24" s="70"/>
    </row>
    <row r="25" spans="2:7">
      <c r="B25" s="70"/>
      <c r="C25" s="102"/>
      <c r="D25" s="101"/>
      <c r="E25" s="102" t="s">
        <v>169</v>
      </c>
      <c r="F25" s="70"/>
      <c r="G25" s="70"/>
    </row>
    <row r="26" spans="2:7">
      <c r="B26" s="70"/>
      <c r="C26" s="102"/>
      <c r="D26" s="101"/>
      <c r="E26" s="102"/>
      <c r="F26" s="70"/>
      <c r="G26" s="70"/>
    </row>
    <row r="27" spans="2:7" ht="24">
      <c r="B27" s="70"/>
      <c r="C27" s="102"/>
      <c r="D27" s="101"/>
      <c r="E27" s="102" t="s">
        <v>362</v>
      </c>
      <c r="F27" s="70"/>
      <c r="G27" s="70"/>
    </row>
    <row r="28" spans="2:7">
      <c r="B28" s="70"/>
      <c r="C28" s="102"/>
      <c r="D28" s="101"/>
      <c r="E28" s="102" t="s">
        <v>284</v>
      </c>
      <c r="F28" s="70"/>
      <c r="G28" s="70"/>
    </row>
    <row r="29" spans="2:7">
      <c r="B29" s="70"/>
      <c r="C29" s="102"/>
      <c r="D29" s="101"/>
      <c r="E29" s="102" t="s">
        <v>170</v>
      </c>
      <c r="F29" s="70"/>
      <c r="G29" s="70"/>
    </row>
    <row r="30" spans="2:7">
      <c r="B30" s="70"/>
      <c r="C30" s="102"/>
      <c r="D30" s="101"/>
      <c r="E30" s="102" t="s">
        <v>171</v>
      </c>
      <c r="F30" s="70"/>
      <c r="G30" s="70"/>
    </row>
    <row r="31" spans="2:7">
      <c r="B31" s="70"/>
      <c r="C31" s="102"/>
      <c r="D31" s="101"/>
      <c r="E31" s="102" t="s">
        <v>172</v>
      </c>
      <c r="F31" s="70"/>
      <c r="G31" s="70"/>
    </row>
    <row r="32" spans="2:7">
      <c r="B32" s="70"/>
      <c r="C32" s="102"/>
      <c r="D32" s="101"/>
      <c r="E32" s="102"/>
      <c r="F32" s="70"/>
      <c r="G32" s="70"/>
    </row>
    <row r="33" spans="2:7" ht="36.75" customHeight="1">
      <c r="B33" s="70"/>
      <c r="C33" s="155" t="s">
        <v>253</v>
      </c>
      <c r="D33" s="101"/>
      <c r="E33" s="155" t="s">
        <v>549</v>
      </c>
      <c r="F33" s="70"/>
      <c r="G33" s="70"/>
    </row>
    <row r="34" spans="2:7" ht="48">
      <c r="B34" s="70"/>
      <c r="C34" s="102"/>
      <c r="D34" s="101"/>
      <c r="E34" s="155" t="s">
        <v>444</v>
      </c>
      <c r="F34" s="70"/>
      <c r="G34" s="70"/>
    </row>
    <row r="35" spans="2:7" ht="24.75" customHeight="1">
      <c r="B35" s="70"/>
      <c r="C35" s="102"/>
      <c r="D35" s="101"/>
      <c r="E35" s="443" t="s">
        <v>447</v>
      </c>
      <c r="F35" s="70"/>
      <c r="G35" s="70"/>
    </row>
    <row r="36" spans="2:7" ht="23.25" customHeight="1">
      <c r="B36" s="70"/>
      <c r="C36" s="102"/>
      <c r="D36" s="101"/>
      <c r="E36" s="155" t="s">
        <v>446</v>
      </c>
      <c r="F36" s="70"/>
      <c r="G36" s="70"/>
    </row>
    <row r="37" spans="2:7" ht="44.25" customHeight="1">
      <c r="B37" s="70"/>
      <c r="C37" s="102"/>
      <c r="D37" s="101"/>
      <c r="E37" s="155" t="s">
        <v>434</v>
      </c>
      <c r="F37" s="70"/>
      <c r="G37" s="70"/>
    </row>
    <row r="38" spans="2:7" ht="9.75" customHeight="1">
      <c r="B38" s="70"/>
      <c r="C38" s="102"/>
      <c r="D38" s="101"/>
      <c r="E38" s="102"/>
      <c r="F38" s="70"/>
      <c r="G38" s="70"/>
    </row>
    <row r="39" spans="2:7">
      <c r="B39" s="70"/>
      <c r="C39" s="155" t="s">
        <v>21</v>
      </c>
      <c r="D39" s="442"/>
      <c r="E39" s="155" t="s">
        <v>251</v>
      </c>
      <c r="F39" s="70"/>
      <c r="G39" s="70"/>
    </row>
    <row r="40" spans="2:7">
      <c r="B40" s="70"/>
      <c r="C40" s="155"/>
      <c r="D40" s="442"/>
      <c r="E40" s="155"/>
      <c r="F40" s="70"/>
      <c r="G40" s="70"/>
    </row>
    <row r="41" spans="2:7" ht="36">
      <c r="B41" s="70"/>
      <c r="C41" s="155" t="s">
        <v>22</v>
      </c>
      <c r="D41" s="442"/>
      <c r="E41" s="155" t="s">
        <v>460</v>
      </c>
      <c r="F41" s="70"/>
      <c r="G41" s="70"/>
    </row>
    <row r="42" spans="2:7">
      <c r="B42" s="70"/>
      <c r="C42" s="155"/>
      <c r="D42" s="442"/>
      <c r="E42" s="155"/>
      <c r="F42" s="70"/>
      <c r="G42" s="70"/>
    </row>
    <row r="43" spans="2:7" ht="28.5" customHeight="1">
      <c r="B43" s="70"/>
      <c r="C43" s="155" t="s">
        <v>226</v>
      </c>
      <c r="D43" s="442"/>
      <c r="E43" s="155" t="s">
        <v>227</v>
      </c>
      <c r="F43" s="70"/>
      <c r="G43" s="70"/>
    </row>
    <row r="44" spans="2:7">
      <c r="B44" s="70"/>
      <c r="C44" s="155"/>
      <c r="D44" s="442"/>
      <c r="E44" s="155"/>
      <c r="F44" s="70"/>
      <c r="G44" s="70"/>
    </row>
    <row r="45" spans="2:7" ht="48">
      <c r="B45" s="70"/>
      <c r="C45" s="155" t="s">
        <v>228</v>
      </c>
      <c r="D45" s="442"/>
      <c r="E45" s="155" t="s">
        <v>450</v>
      </c>
      <c r="F45" s="70"/>
      <c r="G45" s="70"/>
    </row>
    <row r="46" spans="2:7">
      <c r="B46" s="70"/>
      <c r="C46" s="155"/>
      <c r="D46" s="442"/>
      <c r="E46" s="155"/>
      <c r="F46" s="70"/>
      <c r="G46" s="70"/>
    </row>
    <row r="47" spans="2:7" ht="39" customHeight="1">
      <c r="B47" s="70"/>
      <c r="C47" s="155" t="s">
        <v>110</v>
      </c>
      <c r="D47" s="442"/>
      <c r="E47" s="155" t="s">
        <v>230</v>
      </c>
      <c r="F47" s="70"/>
      <c r="G47" s="70"/>
    </row>
    <row r="48" spans="2:7" ht="9" customHeight="1">
      <c r="B48" s="70"/>
      <c r="C48" s="155"/>
      <c r="D48" s="442"/>
      <c r="E48" s="155"/>
      <c r="F48" s="70"/>
      <c r="G48" s="70"/>
    </row>
    <row r="49" spans="2:7" ht="47.25" customHeight="1">
      <c r="B49" s="70"/>
      <c r="C49" s="155" t="s">
        <v>229</v>
      </c>
      <c r="D49" s="442"/>
      <c r="E49" s="155" t="s">
        <v>454</v>
      </c>
      <c r="F49" s="70"/>
      <c r="G49" s="70"/>
    </row>
    <row r="50" spans="2:7">
      <c r="B50" s="70"/>
      <c r="C50" s="155"/>
      <c r="D50" s="442"/>
      <c r="E50" s="155"/>
      <c r="F50" s="70"/>
      <c r="G50" s="70"/>
    </row>
    <row r="51" spans="2:7" ht="87.75" customHeight="1">
      <c r="B51" s="70"/>
      <c r="C51" s="155" t="s">
        <v>252</v>
      </c>
      <c r="D51" s="101"/>
      <c r="E51" s="155" t="s">
        <v>426</v>
      </c>
      <c r="F51" s="70"/>
      <c r="G51" s="70"/>
    </row>
    <row r="52" spans="2:7" ht="15" customHeight="1">
      <c r="B52" s="70"/>
      <c r="C52" s="155"/>
      <c r="D52" s="101"/>
      <c r="E52" s="155"/>
      <c r="F52" s="70"/>
      <c r="G52" s="70"/>
    </row>
    <row r="53" spans="2:7" ht="96">
      <c r="B53" s="70"/>
      <c r="C53" s="155" t="s">
        <v>231</v>
      </c>
      <c r="D53" s="101"/>
      <c r="E53" s="155" t="s">
        <v>255</v>
      </c>
      <c r="F53" s="70"/>
      <c r="G53" s="70"/>
    </row>
    <row r="54" spans="2:7">
      <c r="B54" s="70"/>
      <c r="C54" s="101"/>
      <c r="D54" s="101"/>
      <c r="E54" s="102"/>
      <c r="F54" s="70"/>
      <c r="G54" s="70"/>
    </row>
    <row r="55" spans="2:7" ht="84.75" customHeight="1">
      <c r="B55" s="70"/>
      <c r="C55" s="155" t="s">
        <v>80</v>
      </c>
      <c r="D55" s="101"/>
      <c r="E55" s="155" t="s">
        <v>550</v>
      </c>
      <c r="F55" s="70"/>
      <c r="G55" s="70"/>
    </row>
    <row r="56" spans="2:7">
      <c r="B56" s="70"/>
      <c r="C56" s="101"/>
      <c r="D56" s="101"/>
      <c r="E56" s="102"/>
      <c r="F56" s="70"/>
      <c r="G56" s="70"/>
    </row>
    <row r="57" spans="2:7" ht="60">
      <c r="B57" s="70"/>
      <c r="C57" s="155" t="s">
        <v>232</v>
      </c>
      <c r="D57" s="101"/>
      <c r="E57" s="443" t="s">
        <v>254</v>
      </c>
      <c r="F57" s="70"/>
      <c r="G57" s="70"/>
    </row>
    <row r="58" spans="2:7" ht="25.5" customHeight="1">
      <c r="B58" s="70"/>
      <c r="C58" s="101"/>
      <c r="D58" s="101"/>
      <c r="E58" s="444" t="s">
        <v>245</v>
      </c>
      <c r="F58" s="70"/>
      <c r="G58" s="70"/>
    </row>
    <row r="59" spans="2:7">
      <c r="B59" s="70"/>
      <c r="C59" s="102"/>
      <c r="D59" s="101"/>
      <c r="E59" s="155"/>
      <c r="F59" s="70"/>
      <c r="G59" s="70"/>
    </row>
    <row r="60" spans="2:7" ht="33.75" customHeight="1">
      <c r="B60" s="70"/>
      <c r="C60" s="155" t="s">
        <v>173</v>
      </c>
      <c r="D60" s="101"/>
      <c r="E60" s="474" t="s">
        <v>593</v>
      </c>
      <c r="F60" s="70"/>
      <c r="G60" s="70"/>
    </row>
    <row r="61" spans="2:7" ht="60">
      <c r="B61" s="70"/>
      <c r="C61" s="102"/>
      <c r="D61" s="101"/>
      <c r="E61" s="155" t="s">
        <v>174</v>
      </c>
      <c r="F61" s="70"/>
      <c r="G61" s="70"/>
    </row>
    <row r="62" spans="2:7" ht="36.75" customHeight="1">
      <c r="B62" s="70"/>
      <c r="C62" s="102"/>
      <c r="D62" s="101"/>
      <c r="E62" s="155" t="s">
        <v>449</v>
      </c>
      <c r="F62" s="70"/>
      <c r="G62" s="70"/>
    </row>
    <row r="63" spans="2:7">
      <c r="B63" s="70"/>
      <c r="C63" s="102"/>
      <c r="D63" s="101"/>
      <c r="E63" s="102"/>
      <c r="F63" s="70"/>
      <c r="G63" s="70"/>
    </row>
    <row r="64" spans="2:7">
      <c r="B64" s="70"/>
      <c r="C64" s="102" t="s">
        <v>233</v>
      </c>
      <c r="D64" s="101"/>
      <c r="E64" s="172" t="s">
        <v>234</v>
      </c>
      <c r="F64" s="70"/>
      <c r="G64" s="70"/>
    </row>
    <row r="65" spans="2:7" ht="15.75" customHeight="1">
      <c r="B65" s="70"/>
      <c r="C65" s="101"/>
      <c r="D65" s="101"/>
      <c r="E65" s="155" t="s">
        <v>423</v>
      </c>
      <c r="F65" s="70"/>
      <c r="G65" s="70"/>
    </row>
    <row r="66" spans="2:7">
      <c r="B66" s="70"/>
      <c r="C66" s="102"/>
      <c r="D66" s="101"/>
      <c r="E66" s="445" t="s">
        <v>243</v>
      </c>
      <c r="F66" s="70"/>
      <c r="G66" s="70"/>
    </row>
    <row r="67" spans="2:7">
      <c r="B67" s="70"/>
      <c r="C67" s="102"/>
      <c r="D67" s="101"/>
      <c r="E67" s="155"/>
      <c r="F67" s="70"/>
      <c r="G67" s="70"/>
    </row>
    <row r="68" spans="2:7">
      <c r="B68" s="70"/>
      <c r="C68" s="102"/>
      <c r="D68" s="101"/>
      <c r="E68" s="155"/>
      <c r="F68" s="70"/>
      <c r="G68" s="70"/>
    </row>
    <row r="69" spans="2:7">
      <c r="B69" s="70"/>
      <c r="C69" s="102"/>
      <c r="D69" s="101"/>
      <c r="E69" s="155" t="s">
        <v>235</v>
      </c>
      <c r="F69" s="70"/>
      <c r="G69" s="70"/>
    </row>
    <row r="70" spans="2:7">
      <c r="B70" s="70"/>
      <c r="C70" s="102"/>
      <c r="D70" s="101"/>
      <c r="E70" s="155" t="s">
        <v>552</v>
      </c>
      <c r="F70" s="70"/>
      <c r="G70" s="70"/>
    </row>
    <row r="71" spans="2:7">
      <c r="B71" s="70"/>
      <c r="C71" s="102"/>
      <c r="D71" s="101"/>
      <c r="E71" s="155" t="s">
        <v>236</v>
      </c>
      <c r="F71" s="70"/>
      <c r="G71" s="70"/>
    </row>
    <row r="72" spans="2:7">
      <c r="B72" s="70"/>
      <c r="C72" s="102"/>
      <c r="D72" s="101"/>
      <c r="E72" s="155" t="s">
        <v>553</v>
      </c>
      <c r="F72" s="70"/>
      <c r="G72" s="70"/>
    </row>
    <row r="73" spans="2:7">
      <c r="B73" s="70"/>
      <c r="C73" s="102"/>
      <c r="D73" s="101"/>
      <c r="E73" s="155" t="s">
        <v>237</v>
      </c>
      <c r="F73" s="70"/>
      <c r="G73" s="70"/>
    </row>
    <row r="74" spans="2:7">
      <c r="B74" s="70"/>
      <c r="C74" s="102"/>
      <c r="D74" s="101"/>
      <c r="E74" s="155" t="s">
        <v>238</v>
      </c>
      <c r="F74" s="70"/>
      <c r="G74" s="70"/>
    </row>
    <row r="75" spans="2:7">
      <c r="B75" s="70"/>
      <c r="C75" s="102"/>
      <c r="D75" s="101"/>
      <c r="E75" s="155" t="s">
        <v>239</v>
      </c>
      <c r="F75" s="70"/>
      <c r="G75" s="70"/>
    </row>
    <row r="76" spans="2:7">
      <c r="B76" s="70"/>
      <c r="C76" s="102"/>
      <c r="D76" s="101"/>
      <c r="E76" s="155" t="s">
        <v>240</v>
      </c>
      <c r="F76" s="70"/>
      <c r="G76" s="70"/>
    </row>
    <row r="77" spans="2:7">
      <c r="B77" s="70"/>
      <c r="C77" s="102"/>
      <c r="D77" s="101"/>
      <c r="E77" s="446" t="s">
        <v>241</v>
      </c>
      <c r="F77" s="70"/>
      <c r="G77" s="70"/>
    </row>
    <row r="78" spans="2:7">
      <c r="B78" s="70"/>
      <c r="C78" s="102"/>
      <c r="D78" s="101"/>
      <c r="E78" s="568" t="s">
        <v>551</v>
      </c>
      <c r="F78" s="70"/>
      <c r="G78" s="70"/>
    </row>
    <row r="79" spans="2:7">
      <c r="B79" s="70"/>
      <c r="C79" s="102"/>
      <c r="D79" s="101"/>
      <c r="E79" s="447" t="s">
        <v>242</v>
      </c>
      <c r="F79" s="70"/>
      <c r="G79" s="70"/>
    </row>
    <row r="80" spans="2:7">
      <c r="B80" s="70"/>
      <c r="C80" s="102"/>
      <c r="D80" s="101"/>
      <c r="E80" s="153"/>
      <c r="F80" s="70"/>
      <c r="G80" s="70"/>
    </row>
    <row r="81" spans="2:7">
      <c r="B81" s="70"/>
      <c r="C81" s="138"/>
      <c r="D81" s="70"/>
      <c r="E81" s="128"/>
      <c r="F81" s="70"/>
      <c r="G81" s="70"/>
    </row>
    <row r="82" spans="2:7">
      <c r="B82" s="70"/>
      <c r="C82" s="138"/>
      <c r="D82" s="70"/>
      <c r="E82" s="128"/>
      <c r="F82" s="70"/>
      <c r="G82" s="70"/>
    </row>
  </sheetData>
  <mergeCells count="1">
    <mergeCell ref="C2:E2"/>
  </mergeCells>
  <hyperlinks>
    <hyperlink ref="E19" r:id="rId1" display="http://www.stats.govt.nz/" xr:uid="{00000000-0004-0000-0C00-000000000000}"/>
    <hyperlink ref="E79" r:id="rId2" display="http://www.health.govt.nz/" xr:uid="{00000000-0004-0000-0C00-000002000000}"/>
    <hyperlink ref="E66" r:id="rId3" xr:uid="{00000000-0004-0000-0C00-000003000000}"/>
    <hyperlink ref="E58" r:id="rId4" xr:uid="{00000000-0004-0000-0C00-000004000000}"/>
    <hyperlink ref="H1" location="'Key findings'!A1" display="Back to Key Findings" xr:uid="{00000000-0004-0000-0C00-000005000000}"/>
    <hyperlink ref="H2" location="Contents!A1" display="Back to Contents" xr:uid="{00000000-0004-0000-0C00-000006000000}"/>
    <hyperlink ref="E14" r:id="rId5" xr:uid="{00000000-0004-0000-0C00-000007000000}"/>
    <hyperlink ref="E17" r:id="rId6" xr:uid="{00000000-0004-0000-0C00-000008000000}"/>
    <hyperlink ref="E78" r:id="rId7" xr:uid="{00000000-0004-0000-0C00-000001000000}"/>
  </hyperlinks>
  <pageMargins left="0.70866141732283472" right="0.70866141732283472" top="0.74803149606299213" bottom="0.74803149606299213" header="0.31496062992125984" footer="0.31496062992125984"/>
  <pageSetup paperSize="9" scale="60" orientation="portrait" r:id="rId8"/>
  <rowBreaks count="2" manualBreakCount="2">
    <brk id="37" max="16383" man="1"/>
    <brk id="62"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H35"/>
  <sheetViews>
    <sheetView showGridLines="0" zoomScaleNormal="100" workbookViewId="0">
      <selection activeCell="J26" sqref="J26"/>
    </sheetView>
  </sheetViews>
  <sheetFormatPr defaultRowHeight="12"/>
  <cols>
    <col min="1" max="1" width="4.7109375" style="24" customWidth="1"/>
    <col min="2" max="2" width="2.28515625" style="24" customWidth="1"/>
    <col min="3" max="3" width="22.28515625" style="25" customWidth="1"/>
    <col min="4" max="4" width="9.140625" style="24"/>
    <col min="5" max="5" width="76" style="24" customWidth="1"/>
    <col min="6" max="6" width="1.7109375" style="24" customWidth="1"/>
    <col min="7" max="16384" width="9.140625" style="24"/>
  </cols>
  <sheetData>
    <row r="1" spans="2:8" s="100" customFormat="1" ht="12.75">
      <c r="C1" s="25"/>
      <c r="H1" s="126" t="s">
        <v>371</v>
      </c>
    </row>
    <row r="2" spans="2:8" s="100" customFormat="1" ht="23.25">
      <c r="C2" s="170" t="s">
        <v>294</v>
      </c>
      <c r="H2" s="126" t="s">
        <v>355</v>
      </c>
    </row>
    <row r="4" spans="2:8">
      <c r="B4" s="101"/>
      <c r="C4" s="154"/>
      <c r="D4" s="101"/>
      <c r="E4" s="101"/>
      <c r="F4" s="101"/>
    </row>
    <row r="5" spans="2:8" ht="12.75">
      <c r="B5" s="102"/>
      <c r="C5" s="690" t="s">
        <v>276</v>
      </c>
      <c r="D5" s="691"/>
      <c r="E5" s="691"/>
      <c r="F5" s="101"/>
    </row>
    <row r="6" spans="2:8" ht="15">
      <c r="B6" s="102"/>
      <c r="C6" s="152"/>
      <c r="D6" s="153"/>
      <c r="E6" s="153"/>
      <c r="F6" s="101"/>
    </row>
    <row r="7" spans="2:8" ht="25.5">
      <c r="B7" s="102"/>
      <c r="C7" s="148" t="s">
        <v>175</v>
      </c>
      <c r="D7" s="149" t="s">
        <v>176</v>
      </c>
      <c r="E7" s="150" t="s">
        <v>177</v>
      </c>
      <c r="F7" s="101"/>
    </row>
    <row r="8" spans="2:8" ht="24">
      <c r="B8" s="102"/>
      <c r="C8" s="151" t="s">
        <v>47</v>
      </c>
      <c r="D8" s="141" t="s">
        <v>178</v>
      </c>
      <c r="E8" s="145" t="s">
        <v>179</v>
      </c>
      <c r="F8" s="101"/>
    </row>
    <row r="9" spans="2:8" ht="24">
      <c r="B9" s="102"/>
      <c r="C9" s="145"/>
      <c r="D9" s="141" t="s">
        <v>180</v>
      </c>
      <c r="E9" s="145" t="s">
        <v>181</v>
      </c>
      <c r="F9" s="101"/>
    </row>
    <row r="10" spans="2:8" ht="24">
      <c r="B10" s="102"/>
      <c r="C10" s="145"/>
      <c r="D10" s="141" t="s">
        <v>182</v>
      </c>
      <c r="E10" s="145" t="s">
        <v>183</v>
      </c>
      <c r="F10" s="101"/>
    </row>
    <row r="11" spans="2:8" ht="24">
      <c r="B11" s="102"/>
      <c r="C11" s="145"/>
      <c r="D11" s="141" t="s">
        <v>184</v>
      </c>
      <c r="E11" s="145" t="s">
        <v>185</v>
      </c>
      <c r="F11" s="101"/>
    </row>
    <row r="12" spans="2:8" ht="24">
      <c r="B12" s="102"/>
      <c r="C12" s="145"/>
      <c r="D12" s="141" t="s">
        <v>186</v>
      </c>
      <c r="E12" s="145" t="s">
        <v>187</v>
      </c>
      <c r="F12" s="101"/>
    </row>
    <row r="13" spans="2:8">
      <c r="B13" s="102"/>
      <c r="C13" s="145"/>
      <c r="D13" s="141" t="s">
        <v>188</v>
      </c>
      <c r="E13" s="145" t="s">
        <v>189</v>
      </c>
      <c r="F13" s="101"/>
    </row>
    <row r="14" spans="2:8">
      <c r="B14" s="102"/>
      <c r="C14" s="145"/>
      <c r="D14" s="141" t="s">
        <v>190</v>
      </c>
      <c r="E14" s="145" t="s">
        <v>191</v>
      </c>
      <c r="F14" s="101"/>
    </row>
    <row r="15" spans="2:8" ht="24">
      <c r="B15" s="102"/>
      <c r="C15" s="146"/>
      <c r="D15" s="142" t="s">
        <v>192</v>
      </c>
      <c r="E15" s="146" t="s">
        <v>193</v>
      </c>
      <c r="F15" s="101"/>
    </row>
    <row r="16" spans="2:8" ht="24">
      <c r="B16" s="102"/>
      <c r="C16" s="145" t="s">
        <v>46</v>
      </c>
      <c r="D16" s="143" t="s">
        <v>194</v>
      </c>
      <c r="E16" s="151" t="s">
        <v>195</v>
      </c>
      <c r="F16" s="101"/>
    </row>
    <row r="17" spans="2:6">
      <c r="B17" s="102"/>
      <c r="C17" s="146"/>
      <c r="D17" s="142" t="s">
        <v>196</v>
      </c>
      <c r="E17" s="146" t="s">
        <v>197</v>
      </c>
      <c r="F17" s="101"/>
    </row>
    <row r="18" spans="2:6" ht="24">
      <c r="B18" s="102"/>
      <c r="C18" s="147" t="s">
        <v>43</v>
      </c>
      <c r="D18" s="144" t="s">
        <v>198</v>
      </c>
      <c r="E18" s="147" t="s">
        <v>199</v>
      </c>
      <c r="F18" s="101"/>
    </row>
    <row r="19" spans="2:6">
      <c r="B19" s="102"/>
      <c r="C19" s="147" t="s">
        <v>49</v>
      </c>
      <c r="D19" s="144" t="s">
        <v>200</v>
      </c>
      <c r="E19" s="147" t="s">
        <v>201</v>
      </c>
      <c r="F19" s="101"/>
    </row>
    <row r="20" spans="2:6">
      <c r="B20" s="102"/>
      <c r="C20" s="151" t="s">
        <v>42</v>
      </c>
      <c r="D20" s="141" t="s">
        <v>202</v>
      </c>
      <c r="E20" s="145" t="s">
        <v>203</v>
      </c>
      <c r="F20" s="101"/>
    </row>
    <row r="21" spans="2:6">
      <c r="B21" s="102"/>
      <c r="C21" s="145"/>
      <c r="D21" s="141" t="s">
        <v>204</v>
      </c>
      <c r="E21" s="145" t="s">
        <v>205</v>
      </c>
      <c r="F21" s="101"/>
    </row>
    <row r="22" spans="2:6">
      <c r="B22" s="102"/>
      <c r="C22" s="146"/>
      <c r="D22" s="142" t="s">
        <v>206</v>
      </c>
      <c r="E22" s="146" t="s">
        <v>207</v>
      </c>
      <c r="F22" s="101"/>
    </row>
    <row r="23" spans="2:6">
      <c r="B23" s="102"/>
      <c r="C23" s="147" t="s">
        <v>48</v>
      </c>
      <c r="D23" s="144" t="s">
        <v>208</v>
      </c>
      <c r="E23" s="147" t="s">
        <v>209</v>
      </c>
      <c r="F23" s="101"/>
    </row>
    <row r="24" spans="2:6">
      <c r="B24" s="102"/>
      <c r="C24" s="147" t="s">
        <v>44</v>
      </c>
      <c r="D24" s="144" t="s">
        <v>210</v>
      </c>
      <c r="E24" s="147" t="s">
        <v>211</v>
      </c>
      <c r="F24" s="101"/>
    </row>
    <row r="25" spans="2:6">
      <c r="B25" s="102"/>
      <c r="C25" s="151" t="s">
        <v>45</v>
      </c>
      <c r="D25" s="141" t="s">
        <v>212</v>
      </c>
      <c r="E25" s="145" t="s">
        <v>213</v>
      </c>
      <c r="F25" s="101"/>
    </row>
    <row r="26" spans="2:6">
      <c r="B26" s="102"/>
      <c r="C26" s="145"/>
      <c r="D26" s="141" t="s">
        <v>214</v>
      </c>
      <c r="E26" s="145" t="s">
        <v>215</v>
      </c>
      <c r="F26" s="101"/>
    </row>
    <row r="27" spans="2:6">
      <c r="B27" s="102"/>
      <c r="C27" s="145"/>
      <c r="D27" s="141" t="s">
        <v>216</v>
      </c>
      <c r="E27" s="145" t="s">
        <v>217</v>
      </c>
      <c r="F27" s="101"/>
    </row>
    <row r="28" spans="2:6">
      <c r="B28" s="102"/>
      <c r="C28" s="145"/>
      <c r="D28" s="141" t="s">
        <v>218</v>
      </c>
      <c r="E28" s="145" t="s">
        <v>219</v>
      </c>
      <c r="F28" s="101"/>
    </row>
    <row r="29" spans="2:6">
      <c r="B29" s="102"/>
      <c r="C29" s="145"/>
      <c r="D29" s="141" t="s">
        <v>220</v>
      </c>
      <c r="E29" s="145" t="s">
        <v>221</v>
      </c>
      <c r="F29" s="101"/>
    </row>
    <row r="30" spans="2:6">
      <c r="B30" s="102"/>
      <c r="C30" s="145"/>
      <c r="D30" s="141" t="s">
        <v>222</v>
      </c>
      <c r="E30" s="145" t="s">
        <v>223</v>
      </c>
      <c r="F30" s="101"/>
    </row>
    <row r="31" spans="2:6">
      <c r="B31" s="102"/>
      <c r="C31" s="145"/>
      <c r="D31" s="141" t="s">
        <v>224</v>
      </c>
      <c r="E31" s="145" t="s">
        <v>225</v>
      </c>
      <c r="F31" s="101"/>
    </row>
    <row r="32" spans="2:6">
      <c r="B32" s="102"/>
      <c r="C32" s="154"/>
      <c r="D32" s="101"/>
      <c r="E32" s="101"/>
      <c r="F32" s="101"/>
    </row>
    <row r="33" spans="2:6" ht="24" customHeight="1">
      <c r="B33" s="102"/>
      <c r="C33" s="692" t="s">
        <v>505</v>
      </c>
      <c r="D33" s="693"/>
      <c r="E33" s="693"/>
      <c r="F33" s="101"/>
    </row>
    <row r="34" spans="2:6">
      <c r="B34" s="102"/>
      <c r="C34" s="467"/>
      <c r="D34" s="468"/>
      <c r="E34" s="468"/>
      <c r="F34" s="101"/>
    </row>
    <row r="35" spans="2:6">
      <c r="B35" s="102"/>
      <c r="C35" s="145"/>
      <c r="D35" s="153"/>
      <c r="E35" s="153"/>
      <c r="F35" s="101"/>
    </row>
  </sheetData>
  <mergeCells count="2">
    <mergeCell ref="C5:E5"/>
    <mergeCell ref="C33:E33"/>
  </mergeCells>
  <hyperlinks>
    <hyperlink ref="H1" location="'Key findings'!A1" display="Back to Key Findings" xr:uid="{00000000-0004-0000-0D00-000000000000}"/>
    <hyperlink ref="H2" location="Contents!A1" display="Back to Contents" xr:uid="{00000000-0004-0000-0D00-000001000000}"/>
  </hyperlinks>
  <pageMargins left="0.70866141732283472" right="0.70866141732283472" top="0.74803149606299213" bottom="0.74803149606299213" header="0.31496062992125984" footer="0.31496062992125984"/>
  <pageSetup paperSize="9" scale="8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22"/>
  <sheetViews>
    <sheetView workbookViewId="0">
      <selection activeCell="AB4" sqref="AB4"/>
    </sheetView>
  </sheetViews>
  <sheetFormatPr defaultRowHeight="12.75"/>
  <cols>
    <col min="2" max="2" width="11.42578125" customWidth="1"/>
    <col min="28" max="28" width="14.140625" customWidth="1"/>
  </cols>
  <sheetData>
    <row r="1" spans="1:28">
      <c r="A1" s="6">
        <v>1</v>
      </c>
      <c r="B1" s="1" t="s">
        <v>2</v>
      </c>
      <c r="C1" s="1">
        <v>1</v>
      </c>
      <c r="D1" s="5"/>
      <c r="E1" s="7">
        <v>1</v>
      </c>
      <c r="F1" s="1" t="s">
        <v>0</v>
      </c>
      <c r="G1" s="1">
        <v>1</v>
      </c>
      <c r="H1" s="5"/>
      <c r="I1" s="6">
        <v>1</v>
      </c>
      <c r="J1" t="s">
        <v>21</v>
      </c>
      <c r="K1">
        <v>1</v>
      </c>
      <c r="M1" t="s">
        <v>30</v>
      </c>
      <c r="O1" s="454">
        <v>19</v>
      </c>
      <c r="P1" t="s">
        <v>9</v>
      </c>
      <c r="R1" t="s">
        <v>43</v>
      </c>
      <c r="W1" t="s">
        <v>18</v>
      </c>
      <c r="X1" t="s">
        <v>17</v>
      </c>
      <c r="Y1">
        <v>1</v>
      </c>
      <c r="Z1" t="s">
        <v>74</v>
      </c>
      <c r="AB1">
        <v>20022006</v>
      </c>
    </row>
    <row r="2" spans="1:28">
      <c r="A2" s="6">
        <v>2</v>
      </c>
      <c r="B2" s="1" t="s">
        <v>3</v>
      </c>
      <c r="C2" s="1"/>
      <c r="D2" s="1"/>
      <c r="E2" s="7">
        <v>2</v>
      </c>
      <c r="F2" s="1" t="s">
        <v>20</v>
      </c>
      <c r="G2" s="1"/>
      <c r="H2" s="1"/>
      <c r="I2" s="6">
        <v>2</v>
      </c>
      <c r="J2" t="s">
        <v>22</v>
      </c>
      <c r="K2">
        <v>2</v>
      </c>
      <c r="M2" t="s">
        <v>31</v>
      </c>
      <c r="O2" s="454">
        <v>22</v>
      </c>
      <c r="P2" t="s">
        <v>23</v>
      </c>
      <c r="R2" t="s">
        <v>46</v>
      </c>
      <c r="W2" t="s">
        <v>79</v>
      </c>
      <c r="X2" t="s">
        <v>20</v>
      </c>
      <c r="Y2">
        <v>2</v>
      </c>
      <c r="Z2" t="s">
        <v>54</v>
      </c>
      <c r="AB2">
        <v>20072011</v>
      </c>
    </row>
    <row r="3" spans="1:28">
      <c r="A3" s="6">
        <v>3</v>
      </c>
      <c r="B3" s="1" t="s">
        <v>4</v>
      </c>
      <c r="C3" s="1"/>
      <c r="D3" s="1"/>
      <c r="E3" s="7">
        <v>3</v>
      </c>
      <c r="F3" s="1" t="s">
        <v>8</v>
      </c>
      <c r="G3" s="1"/>
      <c r="H3" s="1"/>
      <c r="I3" s="5"/>
      <c r="M3" t="s">
        <v>32</v>
      </c>
      <c r="O3" s="454">
        <v>23</v>
      </c>
      <c r="P3" t="s">
        <v>24</v>
      </c>
      <c r="R3" t="s">
        <v>47</v>
      </c>
      <c r="W3" t="s">
        <v>78</v>
      </c>
      <c r="X3" t="s">
        <v>8</v>
      </c>
      <c r="Y3">
        <v>3</v>
      </c>
      <c r="Z3" t="s">
        <v>55</v>
      </c>
      <c r="AB3">
        <v>20122016</v>
      </c>
    </row>
    <row r="4" spans="1:28">
      <c r="A4" s="5"/>
      <c r="B4" s="5"/>
      <c r="C4" s="5"/>
      <c r="D4" s="5"/>
      <c r="E4" s="5"/>
      <c r="F4" s="5"/>
      <c r="G4" s="5"/>
      <c r="H4" s="5"/>
      <c r="I4" s="5"/>
      <c r="M4" t="s">
        <v>33</v>
      </c>
      <c r="O4" s="454">
        <v>24</v>
      </c>
      <c r="P4" t="s">
        <v>25</v>
      </c>
      <c r="R4" t="s">
        <v>42</v>
      </c>
      <c r="W4" t="s">
        <v>45</v>
      </c>
      <c r="Y4">
        <v>4</v>
      </c>
      <c r="Z4" t="s">
        <v>56</v>
      </c>
    </row>
    <row r="5" spans="1:28">
      <c r="M5" t="s">
        <v>34</v>
      </c>
      <c r="O5" s="454">
        <v>25</v>
      </c>
      <c r="P5" t="s">
        <v>26</v>
      </c>
      <c r="R5" t="s">
        <v>44</v>
      </c>
      <c r="Y5">
        <v>5</v>
      </c>
      <c r="Z5" t="s">
        <v>57</v>
      </c>
    </row>
    <row r="6" spans="1:28">
      <c r="R6" t="s">
        <v>49</v>
      </c>
      <c r="Z6" t="s">
        <v>58</v>
      </c>
    </row>
    <row r="7" spans="1:28">
      <c r="R7" t="s">
        <v>48</v>
      </c>
      <c r="Z7" t="s">
        <v>59</v>
      </c>
    </row>
    <row r="8" spans="1:28">
      <c r="R8" t="s">
        <v>45</v>
      </c>
      <c r="Z8" t="s">
        <v>60</v>
      </c>
    </row>
    <row r="9" spans="1:28">
      <c r="Z9" t="s">
        <v>61</v>
      </c>
    </row>
    <row r="10" spans="1:28">
      <c r="A10" t="s">
        <v>133</v>
      </c>
      <c r="Z10" t="s">
        <v>62</v>
      </c>
    </row>
    <row r="11" spans="1:28">
      <c r="A11" t="s">
        <v>117</v>
      </c>
      <c r="B11" t="s">
        <v>118</v>
      </c>
      <c r="C11" t="s">
        <v>119</v>
      </c>
      <c r="D11" t="s">
        <v>120</v>
      </c>
      <c r="E11" t="s">
        <v>121</v>
      </c>
      <c r="F11" t="s">
        <v>123</v>
      </c>
      <c r="G11" t="s">
        <v>124</v>
      </c>
      <c r="H11" t="s">
        <v>125</v>
      </c>
      <c r="I11" t="s">
        <v>126</v>
      </c>
      <c r="J11" t="s">
        <v>127</v>
      </c>
      <c r="K11" t="s">
        <v>128</v>
      </c>
      <c r="L11" t="s">
        <v>129</v>
      </c>
      <c r="M11" t="s">
        <v>130</v>
      </c>
      <c r="N11" t="s">
        <v>131</v>
      </c>
      <c r="O11" t="s">
        <v>132</v>
      </c>
      <c r="P11" t="s">
        <v>122</v>
      </c>
      <c r="Z11" t="s">
        <v>63</v>
      </c>
    </row>
    <row r="12" spans="1:28">
      <c r="A12">
        <v>3</v>
      </c>
      <c r="B12">
        <v>4</v>
      </c>
      <c r="C12">
        <v>5</v>
      </c>
      <c r="D12">
        <v>6</v>
      </c>
      <c r="E12">
        <v>7</v>
      </c>
      <c r="F12">
        <v>8</v>
      </c>
      <c r="G12">
        <v>9</v>
      </c>
      <c r="H12">
        <v>10</v>
      </c>
      <c r="I12">
        <v>11</v>
      </c>
      <c r="J12">
        <v>12</v>
      </c>
      <c r="K12">
        <v>13</v>
      </c>
      <c r="L12">
        <v>14</v>
      </c>
      <c r="M12">
        <v>15</v>
      </c>
      <c r="N12">
        <v>16</v>
      </c>
      <c r="O12">
        <v>17</v>
      </c>
      <c r="P12">
        <v>18</v>
      </c>
      <c r="Z12" t="s">
        <v>64</v>
      </c>
    </row>
    <row r="13" spans="1:28">
      <c r="Z13" t="s">
        <v>65</v>
      </c>
    </row>
    <row r="14" spans="1:28">
      <c r="Z14" t="s">
        <v>66</v>
      </c>
    </row>
    <row r="15" spans="1:28">
      <c r="Z15" t="s">
        <v>67</v>
      </c>
    </row>
    <row r="16" spans="1:28">
      <c r="Z16" t="s">
        <v>68</v>
      </c>
    </row>
    <row r="17" spans="26:26">
      <c r="Z17" t="s">
        <v>69</v>
      </c>
    </row>
    <row r="18" spans="26:26">
      <c r="Z18" t="s">
        <v>70</v>
      </c>
    </row>
    <row r="19" spans="26:26">
      <c r="Z19" t="s">
        <v>71</v>
      </c>
    </row>
    <row r="20" spans="26:26">
      <c r="Z20" t="s">
        <v>72</v>
      </c>
    </row>
    <row r="21" spans="26:26">
      <c r="Z21" t="s">
        <v>73</v>
      </c>
    </row>
    <row r="22" spans="26:26">
      <c r="Z22" t="s">
        <v>75</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C5657"/>
  <sheetViews>
    <sheetView showGridLines="0" zoomScale="85" zoomScaleNormal="85" workbookViewId="0">
      <selection activeCell="F24" sqref="F24:H24"/>
    </sheetView>
  </sheetViews>
  <sheetFormatPr defaultColWidth="10.42578125" defaultRowHeight="12.75"/>
  <cols>
    <col min="1" max="1" width="18.7109375" customWidth="1"/>
    <col min="5" max="5" width="13.85546875" customWidth="1"/>
    <col min="10" max="10" width="20.7109375" customWidth="1"/>
    <col min="20" max="20" width="37.7109375" customWidth="1"/>
    <col min="21" max="21" width="14.7109375" customWidth="1"/>
    <col min="22" max="22" width="14.42578125" customWidth="1"/>
    <col min="24" max="24" width="13" customWidth="1"/>
    <col min="25" max="25" width="40.42578125" customWidth="1"/>
    <col min="26" max="26" width="13.5703125" customWidth="1"/>
    <col min="30" max="30" width="35.42578125" customWidth="1"/>
    <col min="42" max="42" width="21.5703125" customWidth="1"/>
    <col min="45" max="45" width="14.5703125" customWidth="1"/>
    <col min="51" max="51" width="18.42578125" customWidth="1"/>
    <col min="55" max="55" width="14" customWidth="1"/>
    <col min="60" max="60" width="20.85546875" customWidth="1"/>
    <col min="67" max="67" width="10.42578125" style="80"/>
    <col min="71" max="71" width="19" customWidth="1"/>
    <col min="74" max="74" width="18.28515625" customWidth="1"/>
    <col min="79" max="79" width="17.28515625" customWidth="1"/>
    <col min="88" max="88" width="53" customWidth="1"/>
    <col min="91" max="91" width="29.7109375" customWidth="1"/>
    <col min="98" max="98" width="19.85546875" customWidth="1"/>
  </cols>
  <sheetData>
    <row r="1" spans="1:107" s="334" customFormat="1" ht="21.75" customHeight="1">
      <c r="B1" s="334" t="s">
        <v>458</v>
      </c>
      <c r="C1" s="335"/>
      <c r="D1" s="335"/>
      <c r="E1" s="335"/>
      <c r="F1" s="335"/>
      <c r="G1" s="335"/>
      <c r="H1" s="336"/>
      <c r="I1" s="336"/>
      <c r="J1" s="338"/>
      <c r="K1" s="339" t="s">
        <v>459</v>
      </c>
      <c r="T1" s="338" t="s">
        <v>6</v>
      </c>
      <c r="AD1" s="338" t="s">
        <v>281</v>
      </c>
      <c r="AP1" s="334" t="s">
        <v>648</v>
      </c>
      <c r="AY1" s="334" t="s">
        <v>94</v>
      </c>
      <c r="BH1" s="334" t="s">
        <v>457</v>
      </c>
      <c r="BO1" s="337"/>
      <c r="BT1" s="334" t="s">
        <v>76</v>
      </c>
      <c r="CA1" s="334" t="s">
        <v>285</v>
      </c>
      <c r="CJ1" s="334" t="s">
        <v>286</v>
      </c>
      <c r="CU1" s="334" t="s">
        <v>287</v>
      </c>
      <c r="DB1" s="334" t="s">
        <v>468</v>
      </c>
    </row>
    <row r="2" spans="1:107" ht="14.25">
      <c r="B2" s="3">
        <v>2</v>
      </c>
      <c r="C2" s="2">
        <v>3</v>
      </c>
      <c r="D2" s="2">
        <v>4</v>
      </c>
      <c r="E2" s="2">
        <v>5</v>
      </c>
      <c r="F2" s="2">
        <v>6</v>
      </c>
      <c r="G2" s="4">
        <v>7</v>
      </c>
      <c r="H2" s="4">
        <v>8</v>
      </c>
      <c r="I2" s="4"/>
      <c r="J2" s="340"/>
      <c r="K2" s="341">
        <v>2</v>
      </c>
      <c r="L2">
        <v>3</v>
      </c>
      <c r="M2">
        <v>4</v>
      </c>
      <c r="N2">
        <v>5</v>
      </c>
      <c r="O2">
        <v>6</v>
      </c>
      <c r="P2">
        <v>7</v>
      </c>
      <c r="Q2">
        <v>8</v>
      </c>
      <c r="R2">
        <v>9</v>
      </c>
      <c r="T2" s="340"/>
      <c r="U2">
        <v>2</v>
      </c>
      <c r="V2">
        <v>3</v>
      </c>
      <c r="W2">
        <v>4</v>
      </c>
      <c r="X2">
        <v>5</v>
      </c>
      <c r="Y2">
        <v>6</v>
      </c>
      <c r="Z2">
        <v>7</v>
      </c>
      <c r="AA2">
        <v>8</v>
      </c>
      <c r="AB2">
        <v>9</v>
      </c>
      <c r="AD2" s="340">
        <v>1</v>
      </c>
      <c r="AE2">
        <v>2</v>
      </c>
      <c r="AF2">
        <v>3</v>
      </c>
      <c r="AG2">
        <v>4</v>
      </c>
      <c r="AH2">
        <v>5</v>
      </c>
      <c r="AI2">
        <v>6</v>
      </c>
      <c r="AJ2">
        <v>7</v>
      </c>
      <c r="AK2">
        <v>8</v>
      </c>
      <c r="AL2">
        <v>9</v>
      </c>
      <c r="AM2">
        <v>10</v>
      </c>
      <c r="AN2">
        <v>11</v>
      </c>
      <c r="AP2" s="565">
        <v>1</v>
      </c>
      <c r="AQ2" s="564">
        <v>2</v>
      </c>
      <c r="AR2" s="564">
        <v>3</v>
      </c>
      <c r="AS2" s="564">
        <v>4</v>
      </c>
      <c r="AT2" s="564">
        <v>5</v>
      </c>
      <c r="AU2" s="564">
        <v>6</v>
      </c>
      <c r="AV2" s="564">
        <v>7</v>
      </c>
      <c r="AW2" s="564">
        <v>8</v>
      </c>
      <c r="AZ2">
        <v>2</v>
      </c>
      <c r="BA2">
        <v>3</v>
      </c>
      <c r="BB2">
        <v>4</v>
      </c>
      <c r="BC2">
        <v>5</v>
      </c>
      <c r="BD2">
        <v>6</v>
      </c>
      <c r="BE2">
        <v>7</v>
      </c>
      <c r="BF2">
        <v>8</v>
      </c>
      <c r="BI2">
        <v>2</v>
      </c>
      <c r="BJ2">
        <v>3</v>
      </c>
      <c r="BK2">
        <v>4</v>
      </c>
      <c r="BL2">
        <v>5</v>
      </c>
      <c r="BM2">
        <v>6</v>
      </c>
      <c r="BN2">
        <v>7</v>
      </c>
      <c r="BO2" s="173">
        <v>8</v>
      </c>
      <c r="BP2">
        <v>9</v>
      </c>
      <c r="BQ2">
        <v>10</v>
      </c>
      <c r="BS2">
        <v>1</v>
      </c>
      <c r="BT2">
        <v>2</v>
      </c>
      <c r="BU2">
        <v>3</v>
      </c>
      <c r="BV2">
        <v>4</v>
      </c>
      <c r="BW2">
        <v>5</v>
      </c>
      <c r="BX2">
        <v>6</v>
      </c>
      <c r="BY2">
        <v>7</v>
      </c>
      <c r="CA2">
        <v>1</v>
      </c>
      <c r="CB2">
        <v>2</v>
      </c>
      <c r="CC2">
        <v>3</v>
      </c>
      <c r="CD2">
        <v>4</v>
      </c>
      <c r="CE2">
        <v>5</v>
      </c>
      <c r="CF2">
        <v>6</v>
      </c>
      <c r="CG2">
        <v>7</v>
      </c>
      <c r="CH2">
        <v>8</v>
      </c>
      <c r="CJ2">
        <v>1</v>
      </c>
      <c r="CK2">
        <v>2</v>
      </c>
      <c r="CL2">
        <v>3</v>
      </c>
      <c r="CM2">
        <v>4</v>
      </c>
      <c r="CN2">
        <v>5</v>
      </c>
      <c r="CO2">
        <v>6</v>
      </c>
      <c r="CP2">
        <v>7</v>
      </c>
      <c r="CQ2">
        <v>8</v>
      </c>
      <c r="CT2" s="57">
        <v>1</v>
      </c>
      <c r="CU2">
        <v>2</v>
      </c>
      <c r="CV2">
        <v>3</v>
      </c>
      <c r="CW2">
        <v>4</v>
      </c>
      <c r="CX2">
        <v>5</v>
      </c>
      <c r="CY2">
        <v>6</v>
      </c>
      <c r="DA2" s="57"/>
      <c r="DB2">
        <v>1</v>
      </c>
      <c r="DC2">
        <v>2</v>
      </c>
    </row>
    <row r="3" spans="1:107">
      <c r="A3" t="s">
        <v>28</v>
      </c>
      <c r="B3" t="s">
        <v>12</v>
      </c>
      <c r="C3" t="s">
        <v>10</v>
      </c>
      <c r="D3" t="s">
        <v>11</v>
      </c>
      <c r="E3" t="s">
        <v>13</v>
      </c>
      <c r="F3" t="s">
        <v>14</v>
      </c>
      <c r="G3" t="s">
        <v>15</v>
      </c>
      <c r="H3" t="s">
        <v>16</v>
      </c>
      <c r="J3" s="340" t="s">
        <v>28</v>
      </c>
      <c r="K3" s="341" t="s">
        <v>12</v>
      </c>
      <c r="L3" t="s">
        <v>10</v>
      </c>
      <c r="M3" t="s">
        <v>11</v>
      </c>
      <c r="N3" t="s">
        <v>13</v>
      </c>
      <c r="O3" t="s">
        <v>29</v>
      </c>
      <c r="P3" t="s">
        <v>14</v>
      </c>
      <c r="Q3" t="s">
        <v>15</v>
      </c>
      <c r="R3" t="s">
        <v>16</v>
      </c>
      <c r="T3" s="340" t="s">
        <v>28</v>
      </c>
      <c r="U3" t="s">
        <v>12</v>
      </c>
      <c r="V3" t="s">
        <v>10</v>
      </c>
      <c r="W3" t="s">
        <v>11</v>
      </c>
      <c r="X3" t="s">
        <v>13</v>
      </c>
      <c r="Y3" t="s">
        <v>39</v>
      </c>
      <c r="Z3" t="s">
        <v>14</v>
      </c>
      <c r="AA3" t="s">
        <v>40</v>
      </c>
      <c r="AB3" t="s">
        <v>41</v>
      </c>
      <c r="AD3" s="340" t="s">
        <v>28</v>
      </c>
      <c r="AE3" t="s">
        <v>10</v>
      </c>
      <c r="AF3" t="s">
        <v>11</v>
      </c>
      <c r="AG3" t="s">
        <v>13</v>
      </c>
      <c r="AH3" t="s">
        <v>52</v>
      </c>
      <c r="AI3" t="s">
        <v>53</v>
      </c>
      <c r="AJ3" t="s">
        <v>14</v>
      </c>
      <c r="AK3" t="s">
        <v>15</v>
      </c>
      <c r="AL3" t="s">
        <v>16</v>
      </c>
      <c r="AM3" t="s">
        <v>81</v>
      </c>
      <c r="AN3" t="s">
        <v>12</v>
      </c>
      <c r="AP3" s="565" t="s">
        <v>28</v>
      </c>
      <c r="AQ3" s="564" t="s">
        <v>10</v>
      </c>
      <c r="AR3" s="564" t="s">
        <v>11</v>
      </c>
      <c r="AS3" s="564" t="s">
        <v>13</v>
      </c>
      <c r="AT3" s="564" t="s">
        <v>14</v>
      </c>
      <c r="AU3" s="564" t="s">
        <v>15</v>
      </c>
      <c r="AV3" s="564" t="s">
        <v>16</v>
      </c>
      <c r="AW3" s="564" t="s">
        <v>12</v>
      </c>
      <c r="AY3" t="s">
        <v>28</v>
      </c>
      <c r="AZ3" t="s">
        <v>12</v>
      </c>
      <c r="BA3" t="s">
        <v>10</v>
      </c>
      <c r="BB3" t="s">
        <v>95</v>
      </c>
      <c r="BC3" t="s">
        <v>13</v>
      </c>
      <c r="BD3" t="s">
        <v>14</v>
      </c>
      <c r="BE3" t="s">
        <v>15</v>
      </c>
      <c r="BF3" t="s">
        <v>16</v>
      </c>
      <c r="BH3" t="s">
        <v>28</v>
      </c>
      <c r="BI3" t="s">
        <v>12</v>
      </c>
      <c r="BJ3" t="s">
        <v>10</v>
      </c>
      <c r="BK3" t="s">
        <v>11</v>
      </c>
      <c r="BL3" t="s">
        <v>116</v>
      </c>
      <c r="BM3" t="s">
        <v>14</v>
      </c>
      <c r="BN3" t="s">
        <v>15</v>
      </c>
      <c r="BO3" t="s">
        <v>16</v>
      </c>
      <c r="BP3" t="s">
        <v>40</v>
      </c>
      <c r="BQ3" t="s">
        <v>41</v>
      </c>
      <c r="BS3" t="s">
        <v>28</v>
      </c>
      <c r="BT3" t="s">
        <v>10</v>
      </c>
      <c r="BU3" t="s">
        <v>77</v>
      </c>
      <c r="BV3" t="s">
        <v>13</v>
      </c>
      <c r="BW3" t="s">
        <v>14</v>
      </c>
      <c r="BX3" t="s">
        <v>15</v>
      </c>
      <c r="BY3" t="s">
        <v>16</v>
      </c>
      <c r="CA3" t="s">
        <v>28</v>
      </c>
      <c r="CB3" t="s">
        <v>10</v>
      </c>
      <c r="CC3" t="s">
        <v>77</v>
      </c>
      <c r="CD3" t="s">
        <v>13</v>
      </c>
      <c r="CE3" t="s">
        <v>29</v>
      </c>
      <c r="CF3" t="s">
        <v>14</v>
      </c>
      <c r="CG3" t="s">
        <v>15</v>
      </c>
      <c r="CH3" t="s">
        <v>16</v>
      </c>
      <c r="CJ3" t="s">
        <v>28</v>
      </c>
      <c r="CK3" t="s">
        <v>10</v>
      </c>
      <c r="CL3" t="s">
        <v>77</v>
      </c>
      <c r="CM3" t="s">
        <v>39</v>
      </c>
      <c r="CN3" t="s">
        <v>13</v>
      </c>
      <c r="CO3" t="s">
        <v>14</v>
      </c>
      <c r="CP3" t="s">
        <v>40</v>
      </c>
      <c r="CQ3" t="s">
        <v>41</v>
      </c>
      <c r="CT3" t="s">
        <v>28</v>
      </c>
      <c r="CU3" t="s">
        <v>12</v>
      </c>
      <c r="CV3" t="s">
        <v>10</v>
      </c>
      <c r="CW3" t="s">
        <v>11</v>
      </c>
      <c r="CX3" t="s">
        <v>29</v>
      </c>
      <c r="CY3" t="s">
        <v>288</v>
      </c>
      <c r="DB3" t="s">
        <v>12</v>
      </c>
      <c r="DC3" t="s">
        <v>469</v>
      </c>
    </row>
    <row r="4" spans="1:107">
      <c r="A4" t="str">
        <f t="shared" ref="A4:A67" si="0">B4&amp;C4&amp;D4&amp;E4</f>
        <v>1996AllSexAllEth19</v>
      </c>
      <c r="B4">
        <v>1996</v>
      </c>
      <c r="C4" t="s">
        <v>17</v>
      </c>
      <c r="D4" t="s">
        <v>27</v>
      </c>
      <c r="E4">
        <v>19</v>
      </c>
      <c r="F4">
        <v>540</v>
      </c>
      <c r="G4">
        <v>14.1955765609588</v>
      </c>
      <c r="H4">
        <v>1.2</v>
      </c>
      <c r="J4" s="340" t="str">
        <f t="shared" ref="J4:J67" si="1">K4&amp;L4&amp;M4&amp;N4&amp;O4</f>
        <v>2001AllSexAllEth191</v>
      </c>
      <c r="K4">
        <v>2001</v>
      </c>
      <c r="L4" t="s">
        <v>17</v>
      </c>
      <c r="M4" t="s">
        <v>27</v>
      </c>
      <c r="N4">
        <v>19</v>
      </c>
      <c r="O4">
        <v>1</v>
      </c>
      <c r="P4">
        <v>63</v>
      </c>
      <c r="Q4">
        <v>8.8547779375483593</v>
      </c>
      <c r="R4">
        <v>2.2000000000000002</v>
      </c>
      <c r="T4" s="340" t="str">
        <f>U4&amp;V4&amp;W4&amp;X4&amp;Y4</f>
        <v>1996AllSexAllEth22Firearms and explosives</v>
      </c>
      <c r="U4">
        <v>1996</v>
      </c>
      <c r="V4" t="s">
        <v>17</v>
      </c>
      <c r="W4" t="s">
        <v>27</v>
      </c>
      <c r="X4">
        <v>22</v>
      </c>
      <c r="Y4" t="s">
        <v>42</v>
      </c>
      <c r="Z4">
        <v>8</v>
      </c>
      <c r="AA4">
        <v>143</v>
      </c>
      <c r="AB4">
        <v>5.6</v>
      </c>
      <c r="AD4" s="340" t="str">
        <f>AN4&amp;AE4&amp;AF4&amp;AG4&amp;AI4</f>
        <v>20122016AllSexAllEth19Northland</v>
      </c>
      <c r="AE4" t="s">
        <v>17</v>
      </c>
      <c r="AF4" t="s">
        <v>27</v>
      </c>
      <c r="AG4">
        <v>19</v>
      </c>
      <c r="AH4">
        <v>1</v>
      </c>
      <c r="AI4" t="s">
        <v>54</v>
      </c>
      <c r="AJ4">
        <v>123</v>
      </c>
      <c r="AK4">
        <v>16.060755621495701</v>
      </c>
      <c r="AL4">
        <v>3.7</v>
      </c>
      <c r="AM4" t="s">
        <v>84</v>
      </c>
      <c r="AN4">
        <v>20122016</v>
      </c>
      <c r="AP4" t="str">
        <f>AQ4&amp;AR4&amp;AS4&amp;AW4</f>
        <v>AllSexAllEth1920022006</v>
      </c>
      <c r="AQ4" s="566" t="s">
        <v>17</v>
      </c>
      <c r="AR4" s="566" t="s">
        <v>27</v>
      </c>
      <c r="AS4" s="566">
        <v>19</v>
      </c>
      <c r="AT4" s="566">
        <v>2525</v>
      </c>
      <c r="AU4" s="566">
        <v>12.07150766</v>
      </c>
      <c r="AV4" s="566">
        <v>0.6</v>
      </c>
      <c r="AW4" s="566">
        <v>20022006</v>
      </c>
      <c r="AY4" t="str">
        <f t="shared" ref="AY4:AY67" si="2">AZ4&amp;BA4&amp;BB4&amp;BC4</f>
        <v>2003AllSexRural22</v>
      </c>
      <c r="AZ4">
        <v>2003</v>
      </c>
      <c r="BA4" t="s">
        <v>17</v>
      </c>
      <c r="BB4" t="s">
        <v>96</v>
      </c>
      <c r="BC4">
        <v>22</v>
      </c>
      <c r="BD4">
        <v>11</v>
      </c>
      <c r="BE4">
        <v>18.780945876728701</v>
      </c>
      <c r="BF4">
        <v>11.1</v>
      </c>
      <c r="BH4" t="str">
        <f>BI4&amp;BJ4&amp;BK4&amp;BL4</f>
        <v>2016AllSexAllEth3</v>
      </c>
      <c r="BI4">
        <v>2016</v>
      </c>
      <c r="BJ4" t="s">
        <v>17</v>
      </c>
      <c r="BK4" t="s">
        <v>27</v>
      </c>
      <c r="BL4">
        <v>3</v>
      </c>
      <c r="BM4">
        <v>8</v>
      </c>
      <c r="BN4">
        <v>2.7175759222773301</v>
      </c>
      <c r="BO4">
        <v>1.9</v>
      </c>
      <c r="BP4">
        <v>36</v>
      </c>
      <c r="BQ4">
        <v>22.2</v>
      </c>
      <c r="BS4" t="str">
        <f t="shared" ref="BS4:BS35" si="3">BT4&amp;BU4&amp;BV4</f>
        <v>AllSexMaori19</v>
      </c>
      <c r="BT4" t="s">
        <v>17</v>
      </c>
      <c r="BU4" t="s">
        <v>18</v>
      </c>
      <c r="BV4">
        <v>19</v>
      </c>
      <c r="BW4">
        <v>568</v>
      </c>
      <c r="BX4">
        <v>17.1163264219492</v>
      </c>
      <c r="BY4">
        <v>1.4</v>
      </c>
      <c r="CA4" t="str">
        <f>CB4&amp;CC4&amp;CD4&amp;CE4</f>
        <v>AllSexAsian191</v>
      </c>
      <c r="CB4" t="s">
        <v>17</v>
      </c>
      <c r="CC4" t="s">
        <v>78</v>
      </c>
      <c r="CD4">
        <v>19</v>
      </c>
      <c r="CE4">
        <v>1</v>
      </c>
      <c r="CF4">
        <v>16</v>
      </c>
      <c r="CG4">
        <v>3.2844948212678799</v>
      </c>
      <c r="CH4">
        <v>1.6</v>
      </c>
      <c r="CJ4" t="str">
        <f>CK4&amp;CL4&amp;CN4&amp;CM4</f>
        <v>AllSexAllEth21Firearms and explosives</v>
      </c>
      <c r="CK4" t="s">
        <v>17</v>
      </c>
      <c r="CL4" t="s">
        <v>27</v>
      </c>
      <c r="CM4" t="s">
        <v>42</v>
      </c>
      <c r="CN4">
        <v>21</v>
      </c>
      <c r="CO4">
        <v>3</v>
      </c>
      <c r="CP4">
        <v>36</v>
      </c>
      <c r="CQ4">
        <v>8.3000000000000007</v>
      </c>
      <c r="CT4" t="str">
        <f>CU4&amp;CV4&amp;CW4&amp;CX4</f>
        <v>2001AllSexAllEth9</v>
      </c>
      <c r="CU4">
        <v>2001</v>
      </c>
      <c r="CV4" t="s">
        <v>17</v>
      </c>
      <c r="CW4" t="s">
        <v>27</v>
      </c>
      <c r="CX4">
        <v>9</v>
      </c>
      <c r="CY4">
        <v>52</v>
      </c>
      <c r="DB4">
        <v>2003</v>
      </c>
      <c r="DC4">
        <v>59</v>
      </c>
    </row>
    <row r="5" spans="1:107">
      <c r="A5" t="str">
        <f t="shared" si="0"/>
        <v>1997AllSexAllEth19</v>
      </c>
      <c r="B5">
        <v>1997</v>
      </c>
      <c r="C5" t="s">
        <v>17</v>
      </c>
      <c r="D5" t="s">
        <v>27</v>
      </c>
      <c r="E5">
        <v>19</v>
      </c>
      <c r="F5">
        <v>562</v>
      </c>
      <c r="G5">
        <v>14.7420910684024</v>
      </c>
      <c r="H5">
        <v>1.2</v>
      </c>
      <c r="J5" s="340" t="str">
        <f t="shared" si="1"/>
        <v>2001AllSexAllEth192</v>
      </c>
      <c r="K5">
        <v>2001</v>
      </c>
      <c r="L5" t="s">
        <v>17</v>
      </c>
      <c r="M5" t="s">
        <v>27</v>
      </c>
      <c r="N5">
        <v>19</v>
      </c>
      <c r="O5">
        <v>2</v>
      </c>
      <c r="P5">
        <v>74</v>
      </c>
      <c r="Q5">
        <v>9.0094490119343202</v>
      </c>
      <c r="R5">
        <v>2.1</v>
      </c>
      <c r="T5" s="340" t="str">
        <f t="shared" ref="T5:T68" si="4">U5&amp;V5&amp;W5&amp;X5&amp;Y5</f>
        <v>1996AllSexAllEth23Firearms and explosives</v>
      </c>
      <c r="U5">
        <v>1996</v>
      </c>
      <c r="V5" t="s">
        <v>17</v>
      </c>
      <c r="W5" t="s">
        <v>27</v>
      </c>
      <c r="X5">
        <v>23</v>
      </c>
      <c r="Y5" t="s">
        <v>42</v>
      </c>
      <c r="Z5">
        <v>21</v>
      </c>
      <c r="AA5">
        <v>222</v>
      </c>
      <c r="AB5">
        <v>9.5</v>
      </c>
      <c r="AD5" s="340" t="str">
        <f t="shared" ref="AD5:AD68" si="5">AN5&amp;AE5&amp;AF5&amp;AG5&amp;AI5</f>
        <v>20122016AllSexAllEth19Waitemata</v>
      </c>
      <c r="AE5" t="s">
        <v>17</v>
      </c>
      <c r="AF5" t="s">
        <v>27</v>
      </c>
      <c r="AG5">
        <v>19</v>
      </c>
      <c r="AH5">
        <v>2</v>
      </c>
      <c r="AI5" t="s">
        <v>55</v>
      </c>
      <c r="AJ5">
        <v>257</v>
      </c>
      <c r="AK5">
        <v>8.3928296188527103</v>
      </c>
      <c r="AL5">
        <v>1.3</v>
      </c>
      <c r="AM5" t="s">
        <v>83</v>
      </c>
      <c r="AN5">
        <v>20122016</v>
      </c>
      <c r="AP5" t="str">
        <f t="shared" ref="AP5:AP9" si="6">AQ5&amp;AR5&amp;AS5&amp;AW5</f>
        <v>AllSexAllEth2220022006</v>
      </c>
      <c r="AQ5" s="566" t="s">
        <v>17</v>
      </c>
      <c r="AR5" s="566" t="s">
        <v>27</v>
      </c>
      <c r="AS5" s="566">
        <v>22</v>
      </c>
      <c r="AT5" s="566">
        <v>536</v>
      </c>
      <c r="AU5" s="566">
        <v>18.408363439999999</v>
      </c>
      <c r="AV5" s="566">
        <v>2</v>
      </c>
      <c r="AW5" s="566">
        <v>20022006</v>
      </c>
      <c r="AY5" t="str">
        <f t="shared" si="2"/>
        <v>2003AllSexUrban22</v>
      </c>
      <c r="AZ5">
        <v>2003</v>
      </c>
      <c r="BA5" t="s">
        <v>17</v>
      </c>
      <c r="BB5" t="s">
        <v>97</v>
      </c>
      <c r="BC5">
        <v>22</v>
      </c>
      <c r="BD5">
        <v>76</v>
      </c>
      <c r="BE5">
        <v>14.759287670168799</v>
      </c>
      <c r="BF5">
        <v>3.3</v>
      </c>
      <c r="BH5" t="str">
        <f t="shared" ref="BH5:BH68" si="7">BI5&amp;BJ5&amp;BK5&amp;BL5</f>
        <v>2016AllSexAllEth4</v>
      </c>
      <c r="BI5">
        <v>2016</v>
      </c>
      <c r="BJ5" t="s">
        <v>17</v>
      </c>
      <c r="BK5" t="s">
        <v>27</v>
      </c>
      <c r="BL5">
        <v>4</v>
      </c>
      <c r="BM5">
        <v>44</v>
      </c>
      <c r="BN5">
        <v>13.8182274982727</v>
      </c>
      <c r="BO5">
        <v>4.0999999999999996</v>
      </c>
      <c r="BP5">
        <v>147</v>
      </c>
      <c r="BQ5">
        <v>29.9</v>
      </c>
      <c r="BS5" t="str">
        <f t="shared" si="3"/>
        <v>AllSexPacific19</v>
      </c>
      <c r="BT5" t="s">
        <v>17</v>
      </c>
      <c r="BU5" t="s">
        <v>79</v>
      </c>
      <c r="BV5">
        <v>19</v>
      </c>
      <c r="BW5">
        <v>119</v>
      </c>
      <c r="BX5">
        <v>8.0575490376604098</v>
      </c>
      <c r="BY5">
        <v>1.4</v>
      </c>
      <c r="CA5" t="str">
        <f t="shared" ref="CA5:CA68" si="8">CB5&amp;CC5&amp;CD5&amp;CE5</f>
        <v>AllSexAsian192</v>
      </c>
      <c r="CB5" t="s">
        <v>17</v>
      </c>
      <c r="CC5" t="s">
        <v>78</v>
      </c>
      <c r="CD5">
        <v>19</v>
      </c>
      <c r="CE5">
        <v>2</v>
      </c>
      <c r="CF5">
        <v>22</v>
      </c>
      <c r="CG5">
        <v>3.5260026920376202</v>
      </c>
      <c r="CH5">
        <v>1.5</v>
      </c>
      <c r="CJ5" t="str">
        <f t="shared" ref="CJ5:CJ68" si="9">CK5&amp;CL5&amp;CN5&amp;CM5</f>
        <v>AllSexAllEth22Firearms and explosives</v>
      </c>
      <c r="CK5" t="s">
        <v>17</v>
      </c>
      <c r="CL5" t="s">
        <v>27</v>
      </c>
      <c r="CM5" t="s">
        <v>42</v>
      </c>
      <c r="CN5">
        <v>22</v>
      </c>
      <c r="CO5">
        <v>23</v>
      </c>
      <c r="CP5">
        <v>571</v>
      </c>
      <c r="CQ5">
        <v>4</v>
      </c>
      <c r="CT5" t="str">
        <f t="shared" ref="CT5:CT68" si="10">CU5&amp;CV5&amp;CW5&amp;CX5</f>
        <v>2001AllSexMaori9</v>
      </c>
      <c r="CU5">
        <v>2001</v>
      </c>
      <c r="CV5" t="s">
        <v>17</v>
      </c>
      <c r="CW5" t="s">
        <v>18</v>
      </c>
      <c r="CX5">
        <v>9</v>
      </c>
      <c r="CY5">
        <v>7</v>
      </c>
      <c r="DB5">
        <v>2004</v>
      </c>
      <c r="DC5">
        <v>33</v>
      </c>
    </row>
    <row r="6" spans="1:107">
      <c r="A6" t="str">
        <f t="shared" si="0"/>
        <v>1998AllSexAllEth19</v>
      </c>
      <c r="B6">
        <v>1998</v>
      </c>
      <c r="C6" t="s">
        <v>17</v>
      </c>
      <c r="D6" t="s">
        <v>27</v>
      </c>
      <c r="E6">
        <v>19</v>
      </c>
      <c r="F6">
        <v>578</v>
      </c>
      <c r="G6">
        <v>15.019333169925099</v>
      </c>
      <c r="H6">
        <v>1.2</v>
      </c>
      <c r="J6" s="340" t="str">
        <f t="shared" si="1"/>
        <v>2001AllSexAllEth193</v>
      </c>
      <c r="K6">
        <v>2001</v>
      </c>
      <c r="L6" t="s">
        <v>17</v>
      </c>
      <c r="M6" t="s">
        <v>27</v>
      </c>
      <c r="N6">
        <v>19</v>
      </c>
      <c r="O6">
        <v>3</v>
      </c>
      <c r="P6">
        <v>100</v>
      </c>
      <c r="Q6">
        <v>12.4033582887318</v>
      </c>
      <c r="R6">
        <v>2.4</v>
      </c>
      <c r="T6" s="340" t="str">
        <f t="shared" si="4"/>
        <v>1996AllSexAllEth24Firearms and explosives</v>
      </c>
      <c r="U6">
        <v>1996</v>
      </c>
      <c r="V6" t="s">
        <v>17</v>
      </c>
      <c r="W6" t="s">
        <v>27</v>
      </c>
      <c r="X6">
        <v>24</v>
      </c>
      <c r="Y6" t="s">
        <v>42</v>
      </c>
      <c r="Z6">
        <v>9</v>
      </c>
      <c r="AA6">
        <v>102</v>
      </c>
      <c r="AB6">
        <v>8.8000000000000007</v>
      </c>
      <c r="AD6" s="340" t="str">
        <f t="shared" si="5"/>
        <v>20122016AllSexAllEth19Auckland</v>
      </c>
      <c r="AE6" t="s">
        <v>17</v>
      </c>
      <c r="AF6" t="s">
        <v>27</v>
      </c>
      <c r="AG6">
        <v>19</v>
      </c>
      <c r="AH6">
        <v>3</v>
      </c>
      <c r="AI6" t="s">
        <v>56</v>
      </c>
      <c r="AJ6">
        <v>221</v>
      </c>
      <c r="AK6">
        <v>8.3482961782500702</v>
      </c>
      <c r="AL6">
        <v>1.4</v>
      </c>
      <c r="AM6" t="s">
        <v>83</v>
      </c>
      <c r="AN6">
        <v>20122016</v>
      </c>
      <c r="AP6" t="str">
        <f t="shared" si="6"/>
        <v>AllSexAllEth1920072011</v>
      </c>
      <c r="AQ6" s="566" t="s">
        <v>17</v>
      </c>
      <c r="AR6" s="566" t="s">
        <v>27</v>
      </c>
      <c r="AS6" s="566">
        <v>19</v>
      </c>
      <c r="AT6" s="566">
        <v>2560</v>
      </c>
      <c r="AU6" s="566">
        <v>11.547666789999999</v>
      </c>
      <c r="AV6" s="566">
        <v>0.6</v>
      </c>
      <c r="AW6" s="566">
        <v>20072011</v>
      </c>
      <c r="AY6" t="str">
        <f t="shared" si="2"/>
        <v>2003AllSexRural23</v>
      </c>
      <c r="AZ6">
        <v>2003</v>
      </c>
      <c r="BA6" t="s">
        <v>17</v>
      </c>
      <c r="BB6" t="s">
        <v>96</v>
      </c>
      <c r="BC6">
        <v>23</v>
      </c>
      <c r="BD6">
        <v>24</v>
      </c>
      <c r="BE6">
        <v>15.153428463189799</v>
      </c>
      <c r="BF6">
        <v>6.1</v>
      </c>
      <c r="BH6" t="str">
        <f t="shared" si="7"/>
        <v>2016AllSexAllEth5</v>
      </c>
      <c r="BI6">
        <v>2016</v>
      </c>
      <c r="BJ6" t="s">
        <v>17</v>
      </c>
      <c r="BK6" t="s">
        <v>27</v>
      </c>
      <c r="BL6">
        <v>5</v>
      </c>
      <c r="BM6">
        <v>68</v>
      </c>
      <c r="BN6">
        <v>19.4491319394789</v>
      </c>
      <c r="BO6">
        <v>4.5999999999999996</v>
      </c>
      <c r="BP6">
        <v>192</v>
      </c>
      <c r="BQ6">
        <v>35.4</v>
      </c>
      <c r="BS6" t="str">
        <f t="shared" si="3"/>
        <v>AllSexAsian19</v>
      </c>
      <c r="BT6" t="s">
        <v>17</v>
      </c>
      <c r="BU6" t="s">
        <v>78</v>
      </c>
      <c r="BV6">
        <v>19</v>
      </c>
      <c r="BW6">
        <v>128</v>
      </c>
      <c r="BX6">
        <v>4.2471211665853597</v>
      </c>
      <c r="BY6">
        <v>0.7</v>
      </c>
      <c r="CA6" t="str">
        <f t="shared" si="8"/>
        <v>AllSexAsian193</v>
      </c>
      <c r="CB6" t="s">
        <v>17</v>
      </c>
      <c r="CC6" t="s">
        <v>78</v>
      </c>
      <c r="CD6">
        <v>19</v>
      </c>
      <c r="CE6">
        <v>3</v>
      </c>
      <c r="CF6">
        <v>22</v>
      </c>
      <c r="CG6">
        <v>3.2461930773524501</v>
      </c>
      <c r="CH6">
        <v>1.4</v>
      </c>
      <c r="CJ6" t="str">
        <f t="shared" si="9"/>
        <v>AllSexAllEth23Firearms and explosives</v>
      </c>
      <c r="CK6" t="s">
        <v>17</v>
      </c>
      <c r="CL6" t="s">
        <v>27</v>
      </c>
      <c r="CM6" t="s">
        <v>42</v>
      </c>
      <c r="CN6">
        <v>23</v>
      </c>
      <c r="CO6">
        <v>44</v>
      </c>
      <c r="CP6">
        <v>910</v>
      </c>
      <c r="CQ6">
        <v>4.8</v>
      </c>
      <c r="CT6" t="str">
        <f t="shared" si="10"/>
        <v>2001AllSexNon-Maori9</v>
      </c>
      <c r="CU6">
        <v>2001</v>
      </c>
      <c r="CV6" t="s">
        <v>17</v>
      </c>
      <c r="CW6" t="s">
        <v>19</v>
      </c>
      <c r="CX6">
        <v>9</v>
      </c>
      <c r="CY6">
        <v>45</v>
      </c>
      <c r="DB6">
        <v>2005</v>
      </c>
      <c r="DC6">
        <v>11</v>
      </c>
    </row>
    <row r="7" spans="1:107">
      <c r="A7" t="str">
        <f t="shared" si="0"/>
        <v>1999AllSexAllEth19</v>
      </c>
      <c r="B7">
        <v>1999</v>
      </c>
      <c r="C7" t="s">
        <v>17</v>
      </c>
      <c r="D7" t="s">
        <v>27</v>
      </c>
      <c r="E7">
        <v>19</v>
      </c>
      <c r="F7">
        <v>516</v>
      </c>
      <c r="G7">
        <v>13.312991012512001</v>
      </c>
      <c r="H7">
        <v>1.1000000000000001</v>
      </c>
      <c r="J7" s="340" t="str">
        <f t="shared" si="1"/>
        <v>2001AllSexAllEth194</v>
      </c>
      <c r="K7">
        <v>2001</v>
      </c>
      <c r="L7" t="s">
        <v>17</v>
      </c>
      <c r="M7" t="s">
        <v>27</v>
      </c>
      <c r="N7">
        <v>19</v>
      </c>
      <c r="O7">
        <v>4</v>
      </c>
      <c r="P7">
        <v>111</v>
      </c>
      <c r="Q7">
        <v>13.7455421063391</v>
      </c>
      <c r="R7">
        <v>2.6</v>
      </c>
      <c r="T7" s="340" t="str">
        <f t="shared" si="4"/>
        <v>1996AllSexAllEth25Firearms and explosives</v>
      </c>
      <c r="U7">
        <v>1996</v>
      </c>
      <c r="V7" t="s">
        <v>17</v>
      </c>
      <c r="W7" t="s">
        <v>27</v>
      </c>
      <c r="X7">
        <v>25</v>
      </c>
      <c r="Y7" t="s">
        <v>42</v>
      </c>
      <c r="Z7">
        <v>9</v>
      </c>
      <c r="AA7">
        <v>66</v>
      </c>
      <c r="AB7">
        <v>13.6</v>
      </c>
      <c r="AD7" s="340" t="str">
        <f t="shared" si="5"/>
        <v>20122016AllSexAllEth19Counties Manukau</v>
      </c>
      <c r="AE7" t="s">
        <v>17</v>
      </c>
      <c r="AF7" t="s">
        <v>27</v>
      </c>
      <c r="AG7">
        <v>19</v>
      </c>
      <c r="AH7">
        <v>4</v>
      </c>
      <c r="AI7" t="s">
        <v>57</v>
      </c>
      <c r="AJ7">
        <v>236</v>
      </c>
      <c r="AK7">
        <v>9.1547991018067094</v>
      </c>
      <c r="AL7">
        <v>1.5</v>
      </c>
      <c r="AM7" t="s">
        <v>83</v>
      </c>
      <c r="AN7">
        <v>20122016</v>
      </c>
      <c r="AP7" t="str">
        <f t="shared" si="6"/>
        <v>AllSexAllEth2220072011</v>
      </c>
      <c r="AQ7" s="566" t="s">
        <v>17</v>
      </c>
      <c r="AR7" s="566" t="s">
        <v>27</v>
      </c>
      <c r="AS7" s="566">
        <v>22</v>
      </c>
      <c r="AT7" s="566">
        <v>573</v>
      </c>
      <c r="AU7" s="566">
        <v>18.701471640000001</v>
      </c>
      <c r="AV7" s="566">
        <v>2</v>
      </c>
      <c r="AW7" s="566">
        <v>20072011</v>
      </c>
      <c r="AY7" t="str">
        <f t="shared" si="2"/>
        <v>2003AllSexUrban23</v>
      </c>
      <c r="AZ7">
        <v>2003</v>
      </c>
      <c r="BA7" t="s">
        <v>17</v>
      </c>
      <c r="BB7" t="s">
        <v>97</v>
      </c>
      <c r="BC7">
        <v>23</v>
      </c>
      <c r="BD7">
        <v>166</v>
      </c>
      <c r="BE7">
        <v>16.3500083719922</v>
      </c>
      <c r="BF7">
        <v>2.5</v>
      </c>
      <c r="BH7" t="str">
        <f t="shared" si="7"/>
        <v>2016AllSexAllEth6</v>
      </c>
      <c r="BI7">
        <v>2016</v>
      </c>
      <c r="BJ7" t="s">
        <v>17</v>
      </c>
      <c r="BK7" t="s">
        <v>27</v>
      </c>
      <c r="BL7">
        <v>6</v>
      </c>
      <c r="BM7">
        <v>68</v>
      </c>
      <c r="BN7">
        <v>20.052490342366799</v>
      </c>
      <c r="BO7">
        <v>4.8</v>
      </c>
      <c r="BP7">
        <v>176</v>
      </c>
      <c r="BQ7">
        <v>38.6</v>
      </c>
      <c r="BS7" t="str">
        <f t="shared" si="3"/>
        <v>AllSexOther19</v>
      </c>
      <c r="BT7" t="s">
        <v>17</v>
      </c>
      <c r="BU7" t="s">
        <v>45</v>
      </c>
      <c r="BV7">
        <v>19</v>
      </c>
      <c r="BW7">
        <v>1841</v>
      </c>
      <c r="BX7">
        <v>11.299548397764401</v>
      </c>
      <c r="BY7">
        <v>0.5</v>
      </c>
      <c r="CA7" t="str">
        <f t="shared" si="8"/>
        <v>AllSexAsian194</v>
      </c>
      <c r="CB7" t="s">
        <v>17</v>
      </c>
      <c r="CC7" t="s">
        <v>78</v>
      </c>
      <c r="CD7">
        <v>19</v>
      </c>
      <c r="CE7">
        <v>4</v>
      </c>
      <c r="CF7">
        <v>33</v>
      </c>
      <c r="CG7">
        <v>4.9909035898710803</v>
      </c>
      <c r="CH7">
        <v>1.7</v>
      </c>
      <c r="CJ7" t="str">
        <f t="shared" si="9"/>
        <v>AllSexAllEth24Firearms and explosives</v>
      </c>
      <c r="CK7" t="s">
        <v>17</v>
      </c>
      <c r="CL7" t="s">
        <v>27</v>
      </c>
      <c r="CM7" t="s">
        <v>42</v>
      </c>
      <c r="CN7">
        <v>24</v>
      </c>
      <c r="CO7">
        <v>86</v>
      </c>
      <c r="CP7">
        <v>838</v>
      </c>
      <c r="CQ7">
        <v>10.3</v>
      </c>
      <c r="CT7" t="str">
        <f t="shared" si="10"/>
        <v>2001FemaleAllEth9</v>
      </c>
      <c r="CU7">
        <v>2001</v>
      </c>
      <c r="CV7" t="s">
        <v>8</v>
      </c>
      <c r="CW7" t="s">
        <v>27</v>
      </c>
      <c r="CX7">
        <v>9</v>
      </c>
      <c r="CY7">
        <v>8</v>
      </c>
      <c r="DB7">
        <v>2006</v>
      </c>
      <c r="DC7">
        <v>6</v>
      </c>
    </row>
    <row r="8" spans="1:107">
      <c r="A8" t="str">
        <f t="shared" si="0"/>
        <v>2000AllSexAllEth19</v>
      </c>
      <c r="B8">
        <v>2000</v>
      </c>
      <c r="C8" t="s">
        <v>17</v>
      </c>
      <c r="D8" t="s">
        <v>27</v>
      </c>
      <c r="E8">
        <v>19</v>
      </c>
      <c r="F8">
        <v>459</v>
      </c>
      <c r="G8">
        <v>11.849825329552701</v>
      </c>
      <c r="H8">
        <v>1.1000000000000001</v>
      </c>
      <c r="J8" s="340" t="str">
        <f t="shared" si="1"/>
        <v>2001AllSexAllEth195</v>
      </c>
      <c r="K8">
        <v>2001</v>
      </c>
      <c r="L8" t="s">
        <v>17</v>
      </c>
      <c r="M8" t="s">
        <v>27</v>
      </c>
      <c r="N8">
        <v>19</v>
      </c>
      <c r="O8">
        <v>5</v>
      </c>
      <c r="P8">
        <v>108</v>
      </c>
      <c r="Q8">
        <v>14.0699387222214</v>
      </c>
      <c r="R8">
        <v>2.7</v>
      </c>
      <c r="T8" s="340" t="str">
        <f t="shared" si="4"/>
        <v>1996AllSexAllEth21Hanging, strangulation and suffocation</v>
      </c>
      <c r="U8">
        <v>1996</v>
      </c>
      <c r="V8" t="s">
        <v>17</v>
      </c>
      <c r="W8" t="s">
        <v>27</v>
      </c>
      <c r="X8">
        <v>21</v>
      </c>
      <c r="Y8" t="s">
        <v>43</v>
      </c>
      <c r="Z8">
        <v>6</v>
      </c>
      <c r="AA8">
        <v>7</v>
      </c>
      <c r="AB8">
        <v>85.7</v>
      </c>
      <c r="AD8" s="340" t="str">
        <f t="shared" si="5"/>
        <v>20122016AllSexAllEth19Waikato</v>
      </c>
      <c r="AE8" t="s">
        <v>17</v>
      </c>
      <c r="AF8" t="s">
        <v>27</v>
      </c>
      <c r="AG8">
        <v>19</v>
      </c>
      <c r="AH8">
        <v>5</v>
      </c>
      <c r="AI8" t="s">
        <v>58</v>
      </c>
      <c r="AJ8">
        <v>232</v>
      </c>
      <c r="AK8">
        <v>11.731198449934</v>
      </c>
      <c r="AL8">
        <v>2</v>
      </c>
      <c r="AM8" t="s">
        <v>82</v>
      </c>
      <c r="AN8">
        <v>20122016</v>
      </c>
      <c r="AP8" t="str">
        <f t="shared" si="6"/>
        <v>AllSexAllEth1920122016</v>
      </c>
      <c r="AQ8" s="566" t="s">
        <v>17</v>
      </c>
      <c r="AR8" s="566" t="s">
        <v>27</v>
      </c>
      <c r="AS8" s="566">
        <v>19</v>
      </c>
      <c r="AT8" s="566">
        <v>2656</v>
      </c>
      <c r="AU8" s="566">
        <v>11.32357595</v>
      </c>
      <c r="AV8" s="566">
        <v>0.6</v>
      </c>
      <c r="AW8" s="566">
        <v>20122016</v>
      </c>
      <c r="AY8" t="str">
        <f t="shared" si="2"/>
        <v>2003AllSexRural24</v>
      </c>
      <c r="AZ8">
        <v>2003</v>
      </c>
      <c r="BA8" t="s">
        <v>17</v>
      </c>
      <c r="BB8" t="s">
        <v>96</v>
      </c>
      <c r="BC8">
        <v>24</v>
      </c>
      <c r="BD8">
        <v>11</v>
      </c>
      <c r="BE8">
        <v>7.1488919217521296</v>
      </c>
      <c r="BF8">
        <v>4.2</v>
      </c>
      <c r="BH8" t="str">
        <f t="shared" si="7"/>
        <v>2016AllSexAllEth7</v>
      </c>
      <c r="BI8">
        <v>2016</v>
      </c>
      <c r="BJ8" t="s">
        <v>17</v>
      </c>
      <c r="BK8" t="s">
        <v>27</v>
      </c>
      <c r="BL8">
        <v>7</v>
      </c>
      <c r="BM8">
        <v>48</v>
      </c>
      <c r="BN8">
        <v>16.023501134998</v>
      </c>
      <c r="BO8">
        <v>4.5</v>
      </c>
      <c r="BP8">
        <v>182</v>
      </c>
      <c r="BQ8">
        <v>26.4</v>
      </c>
      <c r="BS8" t="str">
        <f t="shared" si="3"/>
        <v>FemaleMaori19</v>
      </c>
      <c r="BT8" t="s">
        <v>8</v>
      </c>
      <c r="BU8" t="s">
        <v>18</v>
      </c>
      <c r="BV8">
        <v>19</v>
      </c>
      <c r="BW8">
        <v>180</v>
      </c>
      <c r="BX8">
        <v>10.1818538229683</v>
      </c>
      <c r="BY8">
        <v>1.5</v>
      </c>
      <c r="CA8" t="str">
        <f t="shared" si="8"/>
        <v>AllSexAsian195</v>
      </c>
      <c r="CB8" t="s">
        <v>17</v>
      </c>
      <c r="CC8" t="s">
        <v>78</v>
      </c>
      <c r="CD8">
        <v>19</v>
      </c>
      <c r="CE8">
        <v>5</v>
      </c>
      <c r="CF8">
        <v>28</v>
      </c>
      <c r="CG8">
        <v>5.1823639238389401</v>
      </c>
      <c r="CH8">
        <v>1.9</v>
      </c>
      <c r="CJ8" t="str">
        <f t="shared" si="9"/>
        <v>AllSexAllEth25Firearms and explosives</v>
      </c>
      <c r="CK8" t="s">
        <v>17</v>
      </c>
      <c r="CL8" t="s">
        <v>27</v>
      </c>
      <c r="CM8" t="s">
        <v>42</v>
      </c>
      <c r="CN8">
        <v>25</v>
      </c>
      <c r="CO8">
        <v>55</v>
      </c>
      <c r="CP8">
        <v>301</v>
      </c>
      <c r="CQ8">
        <v>18.3</v>
      </c>
      <c r="CT8" t="str">
        <f t="shared" si="10"/>
        <v>2001FemaleMaori9</v>
      </c>
      <c r="CU8">
        <v>2001</v>
      </c>
      <c r="CV8" t="s">
        <v>8</v>
      </c>
      <c r="CW8" t="s">
        <v>18</v>
      </c>
      <c r="CX8">
        <v>9</v>
      </c>
      <c r="CY8">
        <v>3</v>
      </c>
      <c r="DB8">
        <v>2007</v>
      </c>
      <c r="DC8">
        <v>3</v>
      </c>
    </row>
    <row r="9" spans="1:107">
      <c r="A9" t="str">
        <f t="shared" si="0"/>
        <v>2001AllSexAllEth19</v>
      </c>
      <c r="B9">
        <v>2001</v>
      </c>
      <c r="C9" t="s">
        <v>17</v>
      </c>
      <c r="D9" t="s">
        <v>27</v>
      </c>
      <c r="E9">
        <v>19</v>
      </c>
      <c r="F9">
        <v>508</v>
      </c>
      <c r="G9">
        <v>12.883752602379101</v>
      </c>
      <c r="H9">
        <v>1.1000000000000001</v>
      </c>
      <c r="J9" s="340" t="str">
        <f t="shared" si="1"/>
        <v>2002AllSexAllEth191</v>
      </c>
      <c r="K9">
        <v>2002</v>
      </c>
      <c r="L9" t="s">
        <v>17</v>
      </c>
      <c r="M9" t="s">
        <v>27</v>
      </c>
      <c r="N9">
        <v>19</v>
      </c>
      <c r="O9">
        <v>1</v>
      </c>
      <c r="P9">
        <v>59</v>
      </c>
      <c r="Q9">
        <v>7.4217186427377397</v>
      </c>
      <c r="R9">
        <v>1.9</v>
      </c>
      <c r="T9" s="340" t="str">
        <f t="shared" si="4"/>
        <v>1996AllSexAllEth22Hanging, strangulation and suffocation</v>
      </c>
      <c r="U9">
        <v>1996</v>
      </c>
      <c r="V9" t="s">
        <v>17</v>
      </c>
      <c r="W9" t="s">
        <v>27</v>
      </c>
      <c r="X9">
        <v>22</v>
      </c>
      <c r="Y9" t="s">
        <v>43</v>
      </c>
      <c r="Z9">
        <v>88</v>
      </c>
      <c r="AA9">
        <v>143</v>
      </c>
      <c r="AB9">
        <v>61.5</v>
      </c>
      <c r="AD9" s="340" t="str">
        <f t="shared" si="5"/>
        <v>20122016AllSexAllEth19Lakes</v>
      </c>
      <c r="AE9" t="s">
        <v>17</v>
      </c>
      <c r="AF9" t="s">
        <v>27</v>
      </c>
      <c r="AG9">
        <v>19</v>
      </c>
      <c r="AH9">
        <v>6</v>
      </c>
      <c r="AI9" t="s">
        <v>59</v>
      </c>
      <c r="AJ9">
        <v>81</v>
      </c>
      <c r="AK9">
        <v>16.715475177359501</v>
      </c>
      <c r="AL9">
        <v>4.8</v>
      </c>
      <c r="AM9" t="s">
        <v>84</v>
      </c>
      <c r="AN9">
        <v>20122016</v>
      </c>
      <c r="AP9" t="str">
        <f t="shared" si="6"/>
        <v>AllSexAllEth2220122016</v>
      </c>
      <c r="AQ9" s="566" t="s">
        <v>17</v>
      </c>
      <c r="AR9" s="566" t="s">
        <v>27</v>
      </c>
      <c r="AS9" s="566">
        <v>22</v>
      </c>
      <c r="AT9" s="566">
        <v>571</v>
      </c>
      <c r="AU9" s="566">
        <v>17.743499230000001</v>
      </c>
      <c r="AV9" s="566">
        <v>1.9</v>
      </c>
      <c r="AW9" s="566">
        <v>20122016</v>
      </c>
      <c r="AY9" t="str">
        <f t="shared" si="2"/>
        <v>2003AllSexUrban24</v>
      </c>
      <c r="AZ9">
        <v>2003</v>
      </c>
      <c r="BA9" t="s">
        <v>17</v>
      </c>
      <c r="BB9" t="s">
        <v>97</v>
      </c>
      <c r="BC9">
        <v>24</v>
      </c>
      <c r="BD9">
        <v>111</v>
      </c>
      <c r="BE9">
        <v>14.6129541864139</v>
      </c>
      <c r="BF9">
        <v>2.7</v>
      </c>
      <c r="BH9" t="str">
        <f t="shared" si="7"/>
        <v>2016AllSexAllEth8</v>
      </c>
      <c r="BI9">
        <v>2016</v>
      </c>
      <c r="BJ9" t="s">
        <v>17</v>
      </c>
      <c r="BK9" t="s">
        <v>27</v>
      </c>
      <c r="BL9">
        <v>8</v>
      </c>
      <c r="BM9">
        <v>32</v>
      </c>
      <c r="BN9">
        <v>11.4596762641455</v>
      </c>
      <c r="BO9">
        <v>4</v>
      </c>
      <c r="BP9">
        <v>219</v>
      </c>
      <c r="BQ9">
        <v>14.6</v>
      </c>
      <c r="BS9" t="str">
        <f t="shared" si="3"/>
        <v>FemalePacific19</v>
      </c>
      <c r="BT9" t="s">
        <v>8</v>
      </c>
      <c r="BU9" t="s">
        <v>79</v>
      </c>
      <c r="BV9">
        <v>19</v>
      </c>
      <c r="BW9">
        <v>28</v>
      </c>
      <c r="BX9">
        <v>3.5995728387145101</v>
      </c>
      <c r="BY9">
        <v>1.3</v>
      </c>
      <c r="CA9" t="str">
        <f t="shared" si="8"/>
        <v>AllSexMaori191</v>
      </c>
      <c r="CB9" t="s">
        <v>17</v>
      </c>
      <c r="CC9" t="s">
        <v>18</v>
      </c>
      <c r="CD9">
        <v>19</v>
      </c>
      <c r="CE9">
        <v>1</v>
      </c>
      <c r="CF9">
        <v>17</v>
      </c>
      <c r="CG9">
        <v>6.4091002482543198</v>
      </c>
      <c r="CH9">
        <v>3</v>
      </c>
      <c r="CJ9" t="str">
        <f t="shared" si="9"/>
        <v>AllSexAllEth21Hanging, strangulation and suffocation</v>
      </c>
      <c r="CK9" t="s">
        <v>17</v>
      </c>
      <c r="CL9" t="s">
        <v>27</v>
      </c>
      <c r="CM9" t="s">
        <v>43</v>
      </c>
      <c r="CN9">
        <v>21</v>
      </c>
      <c r="CO9">
        <v>30</v>
      </c>
      <c r="CP9">
        <v>36</v>
      </c>
      <c r="CQ9">
        <v>83.3</v>
      </c>
      <c r="CT9" t="str">
        <f t="shared" si="10"/>
        <v>2001FemaleNon-Maori9</v>
      </c>
      <c r="CU9">
        <v>2001</v>
      </c>
      <c r="CV9" t="s">
        <v>8</v>
      </c>
      <c r="CW9" t="s">
        <v>19</v>
      </c>
      <c r="CX9">
        <v>9</v>
      </c>
      <c r="CY9">
        <v>5</v>
      </c>
      <c r="DB9">
        <v>2008</v>
      </c>
      <c r="DC9">
        <v>7</v>
      </c>
    </row>
    <row r="10" spans="1:107">
      <c r="A10" t="str">
        <f t="shared" si="0"/>
        <v>2002AllSexAllEth19</v>
      </c>
      <c r="B10">
        <v>2002</v>
      </c>
      <c r="C10" t="s">
        <v>17</v>
      </c>
      <c r="D10" t="s">
        <v>27</v>
      </c>
      <c r="E10">
        <v>19</v>
      </c>
      <c r="F10">
        <v>470</v>
      </c>
      <c r="G10">
        <v>11.6928074680746</v>
      </c>
      <c r="H10">
        <v>1.1000000000000001</v>
      </c>
      <c r="J10" s="340" t="str">
        <f t="shared" si="1"/>
        <v>2002AllSexAllEth192</v>
      </c>
      <c r="K10">
        <v>2002</v>
      </c>
      <c r="L10" t="s">
        <v>17</v>
      </c>
      <c r="M10" t="s">
        <v>27</v>
      </c>
      <c r="N10">
        <v>19</v>
      </c>
      <c r="O10">
        <v>2</v>
      </c>
      <c r="P10">
        <v>94</v>
      </c>
      <c r="Q10">
        <v>11.8425891060502</v>
      </c>
      <c r="R10">
        <v>2.4</v>
      </c>
      <c r="T10" s="340" t="str">
        <f t="shared" si="4"/>
        <v>1996AllSexAllEth23Hanging, strangulation and suffocation</v>
      </c>
      <c r="U10">
        <v>1996</v>
      </c>
      <c r="V10" t="s">
        <v>17</v>
      </c>
      <c r="W10" t="s">
        <v>27</v>
      </c>
      <c r="X10">
        <v>23</v>
      </c>
      <c r="Y10" t="s">
        <v>43</v>
      </c>
      <c r="Z10">
        <v>87</v>
      </c>
      <c r="AA10">
        <v>222</v>
      </c>
      <c r="AB10">
        <v>39.200000000000003</v>
      </c>
      <c r="AD10" s="340" t="str">
        <f t="shared" si="5"/>
        <v>20122016AllSexAllEth19Bay of Plenty</v>
      </c>
      <c r="AE10" t="s">
        <v>17</v>
      </c>
      <c r="AF10" t="s">
        <v>27</v>
      </c>
      <c r="AG10">
        <v>19</v>
      </c>
      <c r="AH10">
        <v>7</v>
      </c>
      <c r="AI10" t="s">
        <v>60</v>
      </c>
      <c r="AJ10">
        <v>159</v>
      </c>
      <c r="AK10">
        <v>15.0633973619644</v>
      </c>
      <c r="AL10">
        <v>3.1</v>
      </c>
      <c r="AM10" t="s">
        <v>84</v>
      </c>
      <c r="AN10">
        <v>20122016</v>
      </c>
      <c r="AY10" t="str">
        <f t="shared" si="2"/>
        <v>2003AllSexRural25</v>
      </c>
      <c r="AZ10">
        <v>2003</v>
      </c>
      <c r="BA10" t="s">
        <v>17</v>
      </c>
      <c r="BB10" t="s">
        <v>96</v>
      </c>
      <c r="BC10">
        <v>25</v>
      </c>
      <c r="BD10">
        <v>7</v>
      </c>
      <c r="BE10">
        <v>12.888970723623601</v>
      </c>
      <c r="BF10">
        <v>9.5</v>
      </c>
      <c r="BH10" t="str">
        <f t="shared" si="7"/>
        <v>2016AllSexAllEth9</v>
      </c>
      <c r="BI10">
        <v>2016</v>
      </c>
      <c r="BJ10" t="s">
        <v>17</v>
      </c>
      <c r="BK10" t="s">
        <v>27</v>
      </c>
      <c r="BL10">
        <v>9</v>
      </c>
      <c r="BM10">
        <v>52</v>
      </c>
      <c r="BN10">
        <v>17.241379310344801</v>
      </c>
      <c r="BO10">
        <v>4.7</v>
      </c>
      <c r="BP10">
        <v>369</v>
      </c>
      <c r="BQ10">
        <v>14.1</v>
      </c>
      <c r="BS10" t="str">
        <f t="shared" si="3"/>
        <v>FemaleAsian19</v>
      </c>
      <c r="BT10" t="s">
        <v>8</v>
      </c>
      <c r="BU10" t="s">
        <v>78</v>
      </c>
      <c r="BV10">
        <v>19</v>
      </c>
      <c r="BW10">
        <v>41</v>
      </c>
      <c r="BX10">
        <v>2.6328691951566099</v>
      </c>
      <c r="BY10">
        <v>0.8</v>
      </c>
      <c r="CA10" t="str">
        <f t="shared" si="8"/>
        <v>AllSexMaori192</v>
      </c>
      <c r="CB10" t="s">
        <v>17</v>
      </c>
      <c r="CC10" t="s">
        <v>18</v>
      </c>
      <c r="CD10">
        <v>19</v>
      </c>
      <c r="CE10">
        <v>2</v>
      </c>
      <c r="CF10">
        <v>45</v>
      </c>
      <c r="CG10">
        <v>11.8142604326396</v>
      </c>
      <c r="CH10">
        <v>3.5</v>
      </c>
      <c r="CJ10" t="str">
        <f t="shared" si="9"/>
        <v>AllSexAllEth22Hanging, strangulation and suffocation</v>
      </c>
      <c r="CK10" t="s">
        <v>17</v>
      </c>
      <c r="CL10" t="s">
        <v>27</v>
      </c>
      <c r="CM10" t="s">
        <v>43</v>
      </c>
      <c r="CN10">
        <v>22</v>
      </c>
      <c r="CO10">
        <v>473</v>
      </c>
      <c r="CP10">
        <v>571</v>
      </c>
      <c r="CQ10">
        <v>82.8</v>
      </c>
      <c r="CT10" t="str">
        <f t="shared" si="10"/>
        <v>2001MaleAllEth9</v>
      </c>
      <c r="CU10">
        <v>2001</v>
      </c>
      <c r="CV10" t="s">
        <v>20</v>
      </c>
      <c r="CW10" t="s">
        <v>27</v>
      </c>
      <c r="CX10">
        <v>9</v>
      </c>
      <c r="CY10">
        <v>44</v>
      </c>
      <c r="DB10">
        <v>2009</v>
      </c>
      <c r="DC10">
        <v>3</v>
      </c>
    </row>
    <row r="11" spans="1:107">
      <c r="A11" t="str">
        <f t="shared" si="0"/>
        <v>2003AllSexAllEth19</v>
      </c>
      <c r="B11">
        <v>2003</v>
      </c>
      <c r="C11" t="s">
        <v>17</v>
      </c>
      <c r="D11" t="s">
        <v>27</v>
      </c>
      <c r="E11">
        <v>19</v>
      </c>
      <c r="F11">
        <v>522</v>
      </c>
      <c r="G11">
        <v>12.438164727895</v>
      </c>
      <c r="H11">
        <v>1.1000000000000001</v>
      </c>
      <c r="J11" s="340" t="str">
        <f t="shared" si="1"/>
        <v>2002AllSexAllEth193</v>
      </c>
      <c r="K11">
        <v>2002</v>
      </c>
      <c r="L11" t="s">
        <v>17</v>
      </c>
      <c r="M11" t="s">
        <v>27</v>
      </c>
      <c r="N11">
        <v>19</v>
      </c>
      <c r="O11">
        <v>3</v>
      </c>
      <c r="P11">
        <v>79</v>
      </c>
      <c r="Q11">
        <v>9.6156116024133098</v>
      </c>
      <c r="R11">
        <v>2.1</v>
      </c>
      <c r="T11" s="340" t="str">
        <f t="shared" si="4"/>
        <v>1996AllSexAllEth24Hanging, strangulation and suffocation</v>
      </c>
      <c r="U11">
        <v>1996</v>
      </c>
      <c r="V11" t="s">
        <v>17</v>
      </c>
      <c r="W11" t="s">
        <v>27</v>
      </c>
      <c r="X11">
        <v>24</v>
      </c>
      <c r="Y11" t="s">
        <v>43</v>
      </c>
      <c r="Z11">
        <v>30</v>
      </c>
      <c r="AA11">
        <v>102</v>
      </c>
      <c r="AB11">
        <v>29.4</v>
      </c>
      <c r="AD11" s="340" t="str">
        <f t="shared" si="5"/>
        <v>20122016AllSexAllEth19Tairawhiti</v>
      </c>
      <c r="AE11" t="s">
        <v>17</v>
      </c>
      <c r="AF11" t="s">
        <v>27</v>
      </c>
      <c r="AG11">
        <v>19</v>
      </c>
      <c r="AH11">
        <v>8</v>
      </c>
      <c r="AI11" t="s">
        <v>61</v>
      </c>
      <c r="AJ11">
        <v>35</v>
      </c>
      <c r="AK11">
        <v>15.2623131267483</v>
      </c>
      <c r="AL11">
        <v>6.6</v>
      </c>
      <c r="AM11" t="s">
        <v>82</v>
      </c>
      <c r="AN11">
        <v>20122016</v>
      </c>
      <c r="AY11" t="str">
        <f t="shared" si="2"/>
        <v>2003AllSexUrban25</v>
      </c>
      <c r="AZ11">
        <v>2003</v>
      </c>
      <c r="BA11" t="s">
        <v>17</v>
      </c>
      <c r="BB11" t="s">
        <v>97</v>
      </c>
      <c r="BC11">
        <v>25</v>
      </c>
      <c r="BD11">
        <v>52</v>
      </c>
      <c r="BE11">
        <v>12.3427486351768</v>
      </c>
      <c r="BF11">
        <v>3.4</v>
      </c>
      <c r="BH11" t="str">
        <f t="shared" si="7"/>
        <v>2016AllSexAllEth10</v>
      </c>
      <c r="BI11">
        <v>2016</v>
      </c>
      <c r="BJ11" t="s">
        <v>17</v>
      </c>
      <c r="BK11" t="s">
        <v>27</v>
      </c>
      <c r="BL11">
        <v>10</v>
      </c>
      <c r="BM11">
        <v>48</v>
      </c>
      <c r="BN11">
        <v>15.082008420788</v>
      </c>
      <c r="BO11">
        <v>4.3</v>
      </c>
      <c r="BP11">
        <v>625</v>
      </c>
      <c r="BQ11">
        <v>7.7</v>
      </c>
      <c r="BS11" t="str">
        <f t="shared" si="3"/>
        <v>FemaleOther19</v>
      </c>
      <c r="BT11" t="s">
        <v>8</v>
      </c>
      <c r="BU11" t="s">
        <v>45</v>
      </c>
      <c r="BV11">
        <v>19</v>
      </c>
      <c r="BW11">
        <v>461</v>
      </c>
      <c r="BX11">
        <v>5.6087024914769001</v>
      </c>
      <c r="BY11">
        <v>0.5</v>
      </c>
      <c r="CA11" t="str">
        <f t="shared" si="8"/>
        <v>AllSexMaori193</v>
      </c>
      <c r="CB11" t="s">
        <v>17</v>
      </c>
      <c r="CC11" t="s">
        <v>18</v>
      </c>
      <c r="CD11">
        <v>19</v>
      </c>
      <c r="CE11">
        <v>3</v>
      </c>
      <c r="CF11">
        <v>84</v>
      </c>
      <c r="CG11">
        <v>15.4624845571972</v>
      </c>
      <c r="CH11">
        <v>3.3</v>
      </c>
      <c r="CJ11" t="str">
        <f t="shared" si="9"/>
        <v>AllSexAllEth23Hanging, strangulation and suffocation</v>
      </c>
      <c r="CK11" t="s">
        <v>17</v>
      </c>
      <c r="CL11" t="s">
        <v>27</v>
      </c>
      <c r="CM11" t="s">
        <v>43</v>
      </c>
      <c r="CN11">
        <v>23</v>
      </c>
      <c r="CO11">
        <v>624</v>
      </c>
      <c r="CP11">
        <v>910</v>
      </c>
      <c r="CQ11">
        <v>68.599999999999994</v>
      </c>
      <c r="CT11" t="str">
        <f t="shared" si="10"/>
        <v>2001MaleMaori9</v>
      </c>
      <c r="CU11">
        <v>2001</v>
      </c>
      <c r="CV11" t="s">
        <v>20</v>
      </c>
      <c r="CW11" t="s">
        <v>18</v>
      </c>
      <c r="CX11">
        <v>9</v>
      </c>
      <c r="CY11">
        <v>4</v>
      </c>
      <c r="DB11">
        <v>2010</v>
      </c>
      <c r="DC11">
        <v>6</v>
      </c>
    </row>
    <row r="12" spans="1:107">
      <c r="A12" t="str">
        <f t="shared" si="0"/>
        <v>2004AllSexAllEth19</v>
      </c>
      <c r="B12">
        <v>2004</v>
      </c>
      <c r="C12" t="s">
        <v>17</v>
      </c>
      <c r="D12" t="s">
        <v>27</v>
      </c>
      <c r="E12">
        <v>19</v>
      </c>
      <c r="F12">
        <v>494</v>
      </c>
      <c r="G12">
        <v>11.7975245433749</v>
      </c>
      <c r="H12">
        <v>1</v>
      </c>
      <c r="J12" s="340" t="str">
        <f t="shared" si="1"/>
        <v>2002AllSexAllEth194</v>
      </c>
      <c r="K12">
        <v>2002</v>
      </c>
      <c r="L12" t="s">
        <v>17</v>
      </c>
      <c r="M12" t="s">
        <v>27</v>
      </c>
      <c r="N12">
        <v>19</v>
      </c>
      <c r="O12">
        <v>4</v>
      </c>
      <c r="P12">
        <v>98</v>
      </c>
      <c r="Q12">
        <v>12.1731613565074</v>
      </c>
      <c r="R12">
        <v>2.4</v>
      </c>
      <c r="T12" s="340" t="str">
        <f t="shared" si="4"/>
        <v>1996AllSexAllEth25Hanging, strangulation and suffocation</v>
      </c>
      <c r="U12">
        <v>1996</v>
      </c>
      <c r="V12" t="s">
        <v>17</v>
      </c>
      <c r="W12" t="s">
        <v>27</v>
      </c>
      <c r="X12">
        <v>25</v>
      </c>
      <c r="Y12" t="s">
        <v>43</v>
      </c>
      <c r="Z12">
        <v>19</v>
      </c>
      <c r="AA12">
        <v>66</v>
      </c>
      <c r="AB12">
        <v>28.8</v>
      </c>
      <c r="AD12" s="340" t="str">
        <f t="shared" si="5"/>
        <v>20122016AllSexAllEth19Hawke's Bay</v>
      </c>
      <c r="AE12" t="s">
        <v>17</v>
      </c>
      <c r="AF12" t="s">
        <v>27</v>
      </c>
      <c r="AG12">
        <v>19</v>
      </c>
      <c r="AH12">
        <v>9</v>
      </c>
      <c r="AI12" t="s">
        <v>62</v>
      </c>
      <c r="AJ12">
        <v>110</v>
      </c>
      <c r="AK12">
        <v>15.191460881905501</v>
      </c>
      <c r="AL12">
        <v>3.7</v>
      </c>
      <c r="AM12" t="s">
        <v>84</v>
      </c>
      <c r="AN12">
        <v>20122016</v>
      </c>
      <c r="AY12" t="str">
        <f t="shared" si="2"/>
        <v>2003FemaleRural22</v>
      </c>
      <c r="AZ12">
        <v>2003</v>
      </c>
      <c r="BA12" t="s">
        <v>8</v>
      </c>
      <c r="BB12" t="s">
        <v>96</v>
      </c>
      <c r="BC12">
        <v>22</v>
      </c>
      <c r="BD12">
        <v>1</v>
      </c>
      <c r="BE12">
        <v>3.7160906726124101</v>
      </c>
      <c r="BF12">
        <v>7.3</v>
      </c>
      <c r="BH12" t="str">
        <f t="shared" si="7"/>
        <v>2016AllSexAllEth11</v>
      </c>
      <c r="BI12">
        <v>2016</v>
      </c>
      <c r="BJ12" t="s">
        <v>17</v>
      </c>
      <c r="BK12" t="s">
        <v>27</v>
      </c>
      <c r="BL12">
        <v>11</v>
      </c>
      <c r="BM12">
        <v>48</v>
      </c>
      <c r="BN12">
        <v>15.1371807000946</v>
      </c>
      <c r="BO12">
        <v>4.3</v>
      </c>
      <c r="BP12">
        <v>946</v>
      </c>
      <c r="BQ12">
        <v>5.0999999999999996</v>
      </c>
      <c r="BS12" t="str">
        <f t="shared" si="3"/>
        <v>MaleMaori19</v>
      </c>
      <c r="BT12" t="s">
        <v>20</v>
      </c>
      <c r="BU12" t="s">
        <v>18</v>
      </c>
      <c r="BV12">
        <v>19</v>
      </c>
      <c r="BW12">
        <v>388</v>
      </c>
      <c r="BX12">
        <v>25.009592906631699</v>
      </c>
      <c r="BY12">
        <v>2.5</v>
      </c>
      <c r="CA12" t="str">
        <f t="shared" si="8"/>
        <v>AllSexMaori194</v>
      </c>
      <c r="CB12" t="s">
        <v>17</v>
      </c>
      <c r="CC12" t="s">
        <v>18</v>
      </c>
      <c r="CD12">
        <v>19</v>
      </c>
      <c r="CE12">
        <v>4</v>
      </c>
      <c r="CF12">
        <v>149</v>
      </c>
      <c r="CG12">
        <v>18.724771329844401</v>
      </c>
      <c r="CH12">
        <v>3</v>
      </c>
      <c r="CJ12" t="str">
        <f t="shared" si="9"/>
        <v>AllSexAllEth24Hanging, strangulation and suffocation</v>
      </c>
      <c r="CK12" t="s">
        <v>17</v>
      </c>
      <c r="CL12" t="s">
        <v>27</v>
      </c>
      <c r="CM12" t="s">
        <v>43</v>
      </c>
      <c r="CN12">
        <v>24</v>
      </c>
      <c r="CO12">
        <v>396</v>
      </c>
      <c r="CP12">
        <v>838</v>
      </c>
      <c r="CQ12">
        <v>47.3</v>
      </c>
      <c r="CT12" t="str">
        <f t="shared" si="10"/>
        <v>2001MaleNon-Maori9</v>
      </c>
      <c r="CU12">
        <v>2001</v>
      </c>
      <c r="CV12" t="s">
        <v>20</v>
      </c>
      <c r="CW12" t="s">
        <v>19</v>
      </c>
      <c r="CX12">
        <v>9</v>
      </c>
      <c r="CY12">
        <v>40</v>
      </c>
      <c r="DB12">
        <v>2011</v>
      </c>
      <c r="DC12">
        <v>1</v>
      </c>
    </row>
    <row r="13" spans="1:107">
      <c r="A13" t="str">
        <f t="shared" si="0"/>
        <v>2005AllSexAllEth19</v>
      </c>
      <c r="B13">
        <v>2005</v>
      </c>
      <c r="C13" t="s">
        <v>17</v>
      </c>
      <c r="D13" t="s">
        <v>27</v>
      </c>
      <c r="E13">
        <v>19</v>
      </c>
      <c r="F13">
        <v>515</v>
      </c>
      <c r="G13">
        <v>12.193157353861301</v>
      </c>
      <c r="H13">
        <v>1.1000000000000001</v>
      </c>
      <c r="J13" s="340" t="str">
        <f t="shared" si="1"/>
        <v>2002AllSexAllEth195</v>
      </c>
      <c r="K13">
        <v>2002</v>
      </c>
      <c r="L13" t="s">
        <v>17</v>
      </c>
      <c r="M13" t="s">
        <v>27</v>
      </c>
      <c r="N13">
        <v>19</v>
      </c>
      <c r="O13">
        <v>5</v>
      </c>
      <c r="P13">
        <v>104</v>
      </c>
      <c r="Q13">
        <v>13.354420806045299</v>
      </c>
      <c r="R13">
        <v>2.6</v>
      </c>
      <c r="T13" s="340" t="str">
        <f t="shared" si="4"/>
        <v>1996AllSexAllEth22Jumping from a high place</v>
      </c>
      <c r="U13">
        <v>1996</v>
      </c>
      <c r="V13" t="s">
        <v>17</v>
      </c>
      <c r="W13" t="s">
        <v>27</v>
      </c>
      <c r="X13">
        <v>22</v>
      </c>
      <c r="Y13" t="s">
        <v>44</v>
      </c>
      <c r="Z13">
        <v>3</v>
      </c>
      <c r="AA13">
        <v>143</v>
      </c>
      <c r="AB13">
        <v>2.1</v>
      </c>
      <c r="AD13" s="340" t="str">
        <f t="shared" si="5"/>
        <v>20122016AllSexAllEth19Taranaki</v>
      </c>
      <c r="AE13" t="s">
        <v>17</v>
      </c>
      <c r="AF13" t="s">
        <v>27</v>
      </c>
      <c r="AG13">
        <v>19</v>
      </c>
      <c r="AH13">
        <v>10</v>
      </c>
      <c r="AI13" t="s">
        <v>63</v>
      </c>
      <c r="AJ13">
        <v>74</v>
      </c>
      <c r="AK13">
        <v>13.1076974411182</v>
      </c>
      <c r="AL13">
        <v>3.9</v>
      </c>
      <c r="AM13" t="s">
        <v>82</v>
      </c>
      <c r="AN13">
        <v>20122016</v>
      </c>
      <c r="AY13" t="str">
        <f t="shared" si="2"/>
        <v>2003FemaleUrban22</v>
      </c>
      <c r="AZ13">
        <v>2003</v>
      </c>
      <c r="BA13" t="s">
        <v>8</v>
      </c>
      <c r="BB13" t="s">
        <v>97</v>
      </c>
      <c r="BC13">
        <v>22</v>
      </c>
      <c r="BD13">
        <v>23</v>
      </c>
      <c r="BE13">
        <v>8.9812175407083394</v>
      </c>
      <c r="BF13">
        <v>3.7</v>
      </c>
      <c r="BH13" t="str">
        <f t="shared" si="7"/>
        <v>2016AllSexAllEth12</v>
      </c>
      <c r="BI13">
        <v>2016</v>
      </c>
      <c r="BJ13" t="s">
        <v>17</v>
      </c>
      <c r="BK13" t="s">
        <v>27</v>
      </c>
      <c r="BL13">
        <v>12</v>
      </c>
      <c r="BM13">
        <v>48</v>
      </c>
      <c r="BN13">
        <v>16.217859918235</v>
      </c>
      <c r="BO13">
        <v>4.5999999999999996</v>
      </c>
      <c r="BP13">
        <v>1272</v>
      </c>
      <c r="BQ13">
        <v>3.8</v>
      </c>
      <c r="BS13" t="str">
        <f t="shared" si="3"/>
        <v>MalePacific19</v>
      </c>
      <c r="BT13" t="s">
        <v>20</v>
      </c>
      <c r="BU13" t="s">
        <v>79</v>
      </c>
      <c r="BV13">
        <v>19</v>
      </c>
      <c r="BW13">
        <v>91</v>
      </c>
      <c r="BX13">
        <v>12.7453600779049</v>
      </c>
      <c r="BY13">
        <v>2.6</v>
      </c>
      <c r="CA13" t="str">
        <f t="shared" si="8"/>
        <v>AllSexMaori195</v>
      </c>
      <c r="CB13" t="s">
        <v>17</v>
      </c>
      <c r="CC13" t="s">
        <v>18</v>
      </c>
      <c r="CD13">
        <v>19</v>
      </c>
      <c r="CE13">
        <v>5</v>
      </c>
      <c r="CF13">
        <v>266</v>
      </c>
      <c r="CG13">
        <v>20.3961570551959</v>
      </c>
      <c r="CH13">
        <v>2.5</v>
      </c>
      <c r="CJ13" t="str">
        <f t="shared" si="9"/>
        <v>AllSexAllEth25Hanging, strangulation and suffocation</v>
      </c>
      <c r="CK13" t="s">
        <v>17</v>
      </c>
      <c r="CL13" t="s">
        <v>27</v>
      </c>
      <c r="CM13" t="s">
        <v>43</v>
      </c>
      <c r="CN13">
        <v>25</v>
      </c>
      <c r="CO13">
        <v>112</v>
      </c>
      <c r="CP13">
        <v>301</v>
      </c>
      <c r="CQ13">
        <v>37.200000000000003</v>
      </c>
      <c r="CT13" t="str">
        <f t="shared" si="10"/>
        <v>2002AllSexAllEth9</v>
      </c>
      <c r="CU13">
        <v>2002</v>
      </c>
      <c r="CV13" t="s">
        <v>17</v>
      </c>
      <c r="CW13" t="s">
        <v>27</v>
      </c>
      <c r="CX13">
        <v>9</v>
      </c>
      <c r="CY13">
        <v>36</v>
      </c>
      <c r="DB13">
        <v>2012</v>
      </c>
      <c r="DC13">
        <v>3</v>
      </c>
    </row>
    <row r="14" spans="1:107">
      <c r="A14" t="str">
        <f t="shared" si="0"/>
        <v>2006AllSexAllEth19</v>
      </c>
      <c r="B14">
        <v>2006</v>
      </c>
      <c r="C14" t="s">
        <v>17</v>
      </c>
      <c r="D14" t="s">
        <v>27</v>
      </c>
      <c r="E14">
        <v>19</v>
      </c>
      <c r="F14">
        <v>524</v>
      </c>
      <c r="G14">
        <v>12.199561585611701</v>
      </c>
      <c r="H14">
        <v>1</v>
      </c>
      <c r="J14" s="340" t="str">
        <f t="shared" si="1"/>
        <v>2003AllSexAllEth191</v>
      </c>
      <c r="K14">
        <v>2003</v>
      </c>
      <c r="L14" t="s">
        <v>17</v>
      </c>
      <c r="M14" t="s">
        <v>27</v>
      </c>
      <c r="N14">
        <v>19</v>
      </c>
      <c r="O14">
        <v>1</v>
      </c>
      <c r="P14">
        <v>63</v>
      </c>
      <c r="Q14">
        <v>7.7190227520079304</v>
      </c>
      <c r="R14">
        <v>1.9</v>
      </c>
      <c r="T14" s="340" t="str">
        <f t="shared" si="4"/>
        <v>1996AllSexAllEth23Jumping from a high place</v>
      </c>
      <c r="U14">
        <v>1996</v>
      </c>
      <c r="V14" t="s">
        <v>17</v>
      </c>
      <c r="W14" t="s">
        <v>27</v>
      </c>
      <c r="X14">
        <v>23</v>
      </c>
      <c r="Y14" t="s">
        <v>44</v>
      </c>
      <c r="Z14">
        <v>7</v>
      </c>
      <c r="AA14">
        <v>222</v>
      </c>
      <c r="AB14">
        <v>3.2</v>
      </c>
      <c r="AD14" s="340" t="str">
        <f t="shared" si="5"/>
        <v>20122016AllSexAllEth19MidCentral</v>
      </c>
      <c r="AE14" t="s">
        <v>17</v>
      </c>
      <c r="AF14" t="s">
        <v>27</v>
      </c>
      <c r="AG14">
        <v>19</v>
      </c>
      <c r="AH14">
        <v>11</v>
      </c>
      <c r="AI14" t="s">
        <v>64</v>
      </c>
      <c r="AJ14">
        <v>132</v>
      </c>
      <c r="AK14">
        <v>15.3445965888308</v>
      </c>
      <c r="AL14">
        <v>3.4</v>
      </c>
      <c r="AM14" t="s">
        <v>84</v>
      </c>
      <c r="AN14">
        <v>20122016</v>
      </c>
      <c r="AY14" t="str">
        <f t="shared" si="2"/>
        <v>2003FemaleRural23</v>
      </c>
      <c r="AZ14">
        <v>2003</v>
      </c>
      <c r="BA14" t="s">
        <v>8</v>
      </c>
      <c r="BB14" t="s">
        <v>96</v>
      </c>
      <c r="BC14">
        <v>23</v>
      </c>
      <c r="BD14">
        <v>3</v>
      </c>
      <c r="BE14">
        <v>3.7457859907603899</v>
      </c>
      <c r="BF14">
        <v>4.2</v>
      </c>
      <c r="BH14" t="str">
        <f t="shared" si="7"/>
        <v>2016AllSexAllEth13</v>
      </c>
      <c r="BI14">
        <v>2016</v>
      </c>
      <c r="BJ14" t="s">
        <v>17</v>
      </c>
      <c r="BK14" t="s">
        <v>27</v>
      </c>
      <c r="BL14">
        <v>13</v>
      </c>
      <c r="BM14">
        <v>27</v>
      </c>
      <c r="BN14">
        <v>10.4972590490261</v>
      </c>
      <c r="BO14">
        <v>4</v>
      </c>
      <c r="BP14">
        <v>1675</v>
      </c>
      <c r="BQ14">
        <v>1.6</v>
      </c>
      <c r="BS14" t="str">
        <f t="shared" si="3"/>
        <v>MaleAsian19</v>
      </c>
      <c r="BT14" t="s">
        <v>20</v>
      </c>
      <c r="BU14" t="s">
        <v>78</v>
      </c>
      <c r="BV14">
        <v>19</v>
      </c>
      <c r="BW14">
        <v>87</v>
      </c>
      <c r="BX14">
        <v>5.9055924486463098</v>
      </c>
      <c r="BY14">
        <v>1.2</v>
      </c>
      <c r="CA14" t="str">
        <f t="shared" si="8"/>
        <v>AllSexOther191</v>
      </c>
      <c r="CB14" t="s">
        <v>17</v>
      </c>
      <c r="CC14" t="s">
        <v>45</v>
      </c>
      <c r="CD14">
        <v>19</v>
      </c>
      <c r="CE14">
        <v>1</v>
      </c>
      <c r="CF14">
        <v>303</v>
      </c>
      <c r="CG14">
        <v>7.3652310459834904</v>
      </c>
      <c r="CH14">
        <v>0.8</v>
      </c>
      <c r="CJ14" t="str">
        <f t="shared" si="9"/>
        <v>AllSexAllEth22Jumping from a high place</v>
      </c>
      <c r="CK14" t="s">
        <v>17</v>
      </c>
      <c r="CL14" t="s">
        <v>27</v>
      </c>
      <c r="CM14" t="s">
        <v>44</v>
      </c>
      <c r="CN14">
        <v>22</v>
      </c>
      <c r="CO14">
        <v>18</v>
      </c>
      <c r="CP14">
        <v>571</v>
      </c>
      <c r="CQ14">
        <v>3.2</v>
      </c>
      <c r="CT14" t="str">
        <f t="shared" si="10"/>
        <v>2002AllSexMaori9</v>
      </c>
      <c r="CU14">
        <v>2002</v>
      </c>
      <c r="CV14" t="s">
        <v>17</v>
      </c>
      <c r="CW14" t="s">
        <v>18</v>
      </c>
      <c r="CX14">
        <v>9</v>
      </c>
      <c r="CY14">
        <v>9</v>
      </c>
      <c r="DB14">
        <v>2013</v>
      </c>
      <c r="DC14">
        <v>1</v>
      </c>
    </row>
    <row r="15" spans="1:107">
      <c r="A15" t="str">
        <f t="shared" si="0"/>
        <v>2007AllSexAllEth19</v>
      </c>
      <c r="B15">
        <v>2007</v>
      </c>
      <c r="C15" t="s">
        <v>17</v>
      </c>
      <c r="D15" t="s">
        <v>27</v>
      </c>
      <c r="E15">
        <v>19</v>
      </c>
      <c r="F15">
        <v>501</v>
      </c>
      <c r="G15">
        <v>11.3776715520784</v>
      </c>
      <c r="H15">
        <v>1</v>
      </c>
      <c r="J15" s="340" t="str">
        <f t="shared" si="1"/>
        <v>2003AllSexAllEth192</v>
      </c>
      <c r="K15">
        <v>2003</v>
      </c>
      <c r="L15" t="s">
        <v>17</v>
      </c>
      <c r="M15" t="s">
        <v>27</v>
      </c>
      <c r="N15">
        <v>19</v>
      </c>
      <c r="O15">
        <v>2</v>
      </c>
      <c r="P15">
        <v>72</v>
      </c>
      <c r="Q15">
        <v>8.3286717783904507</v>
      </c>
      <c r="R15">
        <v>1.9</v>
      </c>
      <c r="T15" s="340" t="str">
        <f t="shared" si="4"/>
        <v>1996AllSexAllEth24Jumping from a high place</v>
      </c>
      <c r="U15">
        <v>1996</v>
      </c>
      <c r="V15" t="s">
        <v>17</v>
      </c>
      <c r="W15" t="s">
        <v>27</v>
      </c>
      <c r="X15">
        <v>24</v>
      </c>
      <c r="Y15" t="s">
        <v>44</v>
      </c>
      <c r="Z15">
        <v>1</v>
      </c>
      <c r="AA15">
        <v>102</v>
      </c>
      <c r="AB15">
        <v>1</v>
      </c>
      <c r="AD15" s="340" t="str">
        <f t="shared" si="5"/>
        <v>20122016AllSexAllEth19Whanganui</v>
      </c>
      <c r="AE15" t="s">
        <v>17</v>
      </c>
      <c r="AF15" t="s">
        <v>27</v>
      </c>
      <c r="AG15">
        <v>19</v>
      </c>
      <c r="AH15">
        <v>12</v>
      </c>
      <c r="AI15" t="s">
        <v>65</v>
      </c>
      <c r="AJ15">
        <v>42</v>
      </c>
      <c r="AK15">
        <v>14.5439172325546</v>
      </c>
      <c r="AL15">
        <v>5.8</v>
      </c>
      <c r="AM15" t="s">
        <v>82</v>
      </c>
      <c r="AN15">
        <v>20122016</v>
      </c>
      <c r="AY15" t="str">
        <f t="shared" si="2"/>
        <v>2003FemaleUrban23</v>
      </c>
      <c r="AZ15">
        <v>2003</v>
      </c>
      <c r="BA15" t="s">
        <v>8</v>
      </c>
      <c r="BB15" t="s">
        <v>97</v>
      </c>
      <c r="BC15">
        <v>23</v>
      </c>
      <c r="BD15">
        <v>42</v>
      </c>
      <c r="BE15">
        <v>7.9756931257121204</v>
      </c>
      <c r="BF15">
        <v>2.4</v>
      </c>
      <c r="BH15" t="str">
        <f t="shared" si="7"/>
        <v>2016AllSexAllEth14</v>
      </c>
      <c r="BI15">
        <v>2016</v>
      </c>
      <c r="BJ15" t="s">
        <v>17</v>
      </c>
      <c r="BK15" t="s">
        <v>27</v>
      </c>
      <c r="BL15">
        <v>14</v>
      </c>
      <c r="BM15">
        <v>21</v>
      </c>
      <c r="BN15">
        <v>9.0140361419925306</v>
      </c>
      <c r="BO15">
        <v>3.9</v>
      </c>
      <c r="BP15">
        <v>2429</v>
      </c>
      <c r="BQ15">
        <v>0.9</v>
      </c>
      <c r="BS15" t="str">
        <f t="shared" si="3"/>
        <v>MaleOther19</v>
      </c>
      <c r="BT15" t="s">
        <v>20</v>
      </c>
      <c r="BU15" t="s">
        <v>45</v>
      </c>
      <c r="BV15">
        <v>19</v>
      </c>
      <c r="BW15">
        <v>1380</v>
      </c>
      <c r="BX15">
        <v>17.187829947754299</v>
      </c>
      <c r="BY15">
        <v>0.9</v>
      </c>
      <c r="CA15" t="str">
        <f t="shared" si="8"/>
        <v>AllSexOther192</v>
      </c>
      <c r="CB15" t="s">
        <v>17</v>
      </c>
      <c r="CC15" t="s">
        <v>45</v>
      </c>
      <c r="CD15">
        <v>19</v>
      </c>
      <c r="CE15">
        <v>2</v>
      </c>
      <c r="CF15">
        <v>331</v>
      </c>
      <c r="CG15">
        <v>8.6431395680052905</v>
      </c>
      <c r="CH15">
        <v>0.9</v>
      </c>
      <c r="CJ15" t="str">
        <f t="shared" si="9"/>
        <v>AllSexAllEth23Jumping from a high place</v>
      </c>
      <c r="CK15" t="s">
        <v>17</v>
      </c>
      <c r="CL15" t="s">
        <v>27</v>
      </c>
      <c r="CM15" t="s">
        <v>44</v>
      </c>
      <c r="CN15">
        <v>23</v>
      </c>
      <c r="CO15">
        <v>31</v>
      </c>
      <c r="CP15">
        <v>910</v>
      </c>
      <c r="CQ15">
        <v>3.4</v>
      </c>
      <c r="CT15" t="str">
        <f t="shared" si="10"/>
        <v>2002AllSexNon-Maori9</v>
      </c>
      <c r="CU15">
        <v>2002</v>
      </c>
      <c r="CV15" t="s">
        <v>17</v>
      </c>
      <c r="CW15" t="s">
        <v>19</v>
      </c>
      <c r="CX15">
        <v>9</v>
      </c>
      <c r="CY15">
        <v>27</v>
      </c>
      <c r="DB15">
        <v>2014</v>
      </c>
      <c r="DC15">
        <v>6</v>
      </c>
    </row>
    <row r="16" spans="1:107">
      <c r="A16" t="str">
        <f t="shared" si="0"/>
        <v>2008AllSexAllEth19</v>
      </c>
      <c r="B16">
        <v>2008</v>
      </c>
      <c r="C16" t="s">
        <v>17</v>
      </c>
      <c r="D16" t="s">
        <v>27</v>
      </c>
      <c r="E16">
        <v>19</v>
      </c>
      <c r="F16">
        <v>518</v>
      </c>
      <c r="G16">
        <v>11.809655272717</v>
      </c>
      <c r="H16">
        <v>1</v>
      </c>
      <c r="J16" s="340" t="str">
        <f t="shared" si="1"/>
        <v>2003AllSexAllEth193</v>
      </c>
      <c r="K16">
        <v>2003</v>
      </c>
      <c r="L16" t="s">
        <v>17</v>
      </c>
      <c r="M16" t="s">
        <v>27</v>
      </c>
      <c r="N16">
        <v>19</v>
      </c>
      <c r="O16">
        <v>3</v>
      </c>
      <c r="P16">
        <v>119</v>
      </c>
      <c r="Q16">
        <v>13.7429971950121</v>
      </c>
      <c r="R16">
        <v>2.5</v>
      </c>
      <c r="T16" s="340" t="str">
        <f t="shared" si="4"/>
        <v>1996AllSexAllEth25Jumping from a high place</v>
      </c>
      <c r="U16">
        <v>1996</v>
      </c>
      <c r="V16" t="s">
        <v>17</v>
      </c>
      <c r="W16" t="s">
        <v>27</v>
      </c>
      <c r="X16">
        <v>25</v>
      </c>
      <c r="Y16" t="s">
        <v>44</v>
      </c>
      <c r="Z16">
        <v>1</v>
      </c>
      <c r="AA16">
        <v>66</v>
      </c>
      <c r="AB16">
        <v>1.5</v>
      </c>
      <c r="AD16" s="340" t="str">
        <f t="shared" si="5"/>
        <v>20122016AllSexAllEth19Capital &amp; Coast</v>
      </c>
      <c r="AE16" t="s">
        <v>17</v>
      </c>
      <c r="AF16" t="s">
        <v>27</v>
      </c>
      <c r="AG16">
        <v>19</v>
      </c>
      <c r="AH16">
        <v>13</v>
      </c>
      <c r="AI16" t="s">
        <v>66</v>
      </c>
      <c r="AJ16">
        <v>143</v>
      </c>
      <c r="AK16">
        <v>8.9492627152604403</v>
      </c>
      <c r="AL16">
        <v>1.9</v>
      </c>
      <c r="AM16" t="s">
        <v>83</v>
      </c>
      <c r="AN16">
        <v>20122016</v>
      </c>
      <c r="AY16" t="str">
        <f t="shared" si="2"/>
        <v>2003FemaleRural24</v>
      </c>
      <c r="AZ16">
        <v>2003</v>
      </c>
      <c r="BA16" t="s">
        <v>8</v>
      </c>
      <c r="BB16" t="s">
        <v>96</v>
      </c>
      <c r="BC16">
        <v>24</v>
      </c>
      <c r="BD16">
        <v>3</v>
      </c>
      <c r="BE16">
        <v>4.0832993058391196</v>
      </c>
      <c r="BF16">
        <v>4.5999999999999996</v>
      </c>
      <c r="BH16" t="str">
        <f t="shared" si="7"/>
        <v>2016AllSexAllEth15</v>
      </c>
      <c r="BI16">
        <v>2016</v>
      </c>
      <c r="BJ16" t="s">
        <v>17</v>
      </c>
      <c r="BK16" t="s">
        <v>27</v>
      </c>
      <c r="BL16">
        <v>15</v>
      </c>
      <c r="BM16">
        <v>9</v>
      </c>
      <c r="BN16">
        <v>5.2770448548812698</v>
      </c>
      <c r="BO16">
        <v>3.4</v>
      </c>
      <c r="BP16">
        <v>3020</v>
      </c>
      <c r="BQ16">
        <v>0.3</v>
      </c>
      <c r="BS16" t="str">
        <f t="shared" si="3"/>
        <v>AllSexMaori22</v>
      </c>
      <c r="BT16" t="s">
        <v>17</v>
      </c>
      <c r="BU16" t="s">
        <v>18</v>
      </c>
      <c r="BV16">
        <v>22</v>
      </c>
      <c r="BW16">
        <v>225</v>
      </c>
      <c r="BX16">
        <v>34.170121645633103</v>
      </c>
      <c r="BY16">
        <v>4.5</v>
      </c>
      <c r="CA16" t="str">
        <f t="shared" si="8"/>
        <v>AllSexOther193</v>
      </c>
      <c r="CB16" t="s">
        <v>17</v>
      </c>
      <c r="CC16" t="s">
        <v>45</v>
      </c>
      <c r="CD16">
        <v>19</v>
      </c>
      <c r="CE16">
        <v>3</v>
      </c>
      <c r="CF16">
        <v>389</v>
      </c>
      <c r="CG16">
        <v>11.0419626461655</v>
      </c>
      <c r="CH16">
        <v>1.1000000000000001</v>
      </c>
      <c r="CJ16" t="str">
        <f t="shared" si="9"/>
        <v>AllSexAllEth24Jumping from a high place</v>
      </c>
      <c r="CK16" t="s">
        <v>17</v>
      </c>
      <c r="CL16" t="s">
        <v>27</v>
      </c>
      <c r="CM16" t="s">
        <v>44</v>
      </c>
      <c r="CN16">
        <v>24</v>
      </c>
      <c r="CO16">
        <v>31</v>
      </c>
      <c r="CP16">
        <v>838</v>
      </c>
      <c r="CQ16">
        <v>3.7</v>
      </c>
      <c r="CT16" t="str">
        <f t="shared" si="10"/>
        <v>2002FemaleAllEth9</v>
      </c>
      <c r="CU16">
        <v>2002</v>
      </c>
      <c r="CV16" t="s">
        <v>8</v>
      </c>
      <c r="CW16" t="s">
        <v>27</v>
      </c>
      <c r="CX16">
        <v>9</v>
      </c>
      <c r="CY16">
        <v>10</v>
      </c>
      <c r="DB16">
        <v>2015</v>
      </c>
      <c r="DC16">
        <v>1</v>
      </c>
    </row>
    <row r="17" spans="1:107">
      <c r="A17" t="str">
        <f t="shared" si="0"/>
        <v>2009AllSexAllEth19</v>
      </c>
      <c r="B17">
        <v>2009</v>
      </c>
      <c r="C17" t="s">
        <v>17</v>
      </c>
      <c r="D17" t="s">
        <v>27</v>
      </c>
      <c r="E17">
        <v>19</v>
      </c>
      <c r="F17">
        <v>512</v>
      </c>
      <c r="G17">
        <v>11.484055558810701</v>
      </c>
      <c r="H17">
        <v>1</v>
      </c>
      <c r="J17" s="340" t="str">
        <f t="shared" si="1"/>
        <v>2003AllSexAllEth194</v>
      </c>
      <c r="K17">
        <v>2003</v>
      </c>
      <c r="L17" t="s">
        <v>17</v>
      </c>
      <c r="M17" t="s">
        <v>27</v>
      </c>
      <c r="N17">
        <v>19</v>
      </c>
      <c r="O17">
        <v>4</v>
      </c>
      <c r="P17">
        <v>122</v>
      </c>
      <c r="Q17">
        <v>14.7372467792256</v>
      </c>
      <c r="R17">
        <v>2.6</v>
      </c>
      <c r="T17" s="340" t="str">
        <f t="shared" si="4"/>
        <v>1996AllSexAllEth22Other</v>
      </c>
      <c r="U17">
        <v>1996</v>
      </c>
      <c r="V17" t="s">
        <v>17</v>
      </c>
      <c r="W17" t="s">
        <v>27</v>
      </c>
      <c r="X17">
        <v>22</v>
      </c>
      <c r="Y17" t="s">
        <v>45</v>
      </c>
      <c r="Z17">
        <v>4</v>
      </c>
      <c r="AA17">
        <v>143</v>
      </c>
      <c r="AB17">
        <v>2.8</v>
      </c>
      <c r="AD17" s="340" t="str">
        <f t="shared" si="5"/>
        <v>20122016AllSexAllEth19Hutt Valley</v>
      </c>
      <c r="AE17" t="s">
        <v>17</v>
      </c>
      <c r="AF17" t="s">
        <v>27</v>
      </c>
      <c r="AG17">
        <v>19</v>
      </c>
      <c r="AH17">
        <v>14</v>
      </c>
      <c r="AI17" t="s">
        <v>67</v>
      </c>
      <c r="AJ17">
        <v>92</v>
      </c>
      <c r="AK17">
        <v>12.371523325455099</v>
      </c>
      <c r="AL17">
        <v>3.3</v>
      </c>
      <c r="AM17" t="s">
        <v>82</v>
      </c>
      <c r="AN17">
        <v>20122016</v>
      </c>
      <c r="AY17" t="str">
        <f t="shared" si="2"/>
        <v>2003FemaleUrban24</v>
      </c>
      <c r="AZ17">
        <v>2003</v>
      </c>
      <c r="BA17" t="s">
        <v>8</v>
      </c>
      <c r="BB17" t="s">
        <v>97</v>
      </c>
      <c r="BC17">
        <v>24</v>
      </c>
      <c r="BD17">
        <v>30</v>
      </c>
      <c r="BE17">
        <v>7.72041793195738</v>
      </c>
      <c r="BF17">
        <v>2.8</v>
      </c>
      <c r="BH17" t="str">
        <f t="shared" si="7"/>
        <v>2016AllSexAllEth16</v>
      </c>
      <c r="BI17">
        <v>2016</v>
      </c>
      <c r="BJ17" t="s">
        <v>17</v>
      </c>
      <c r="BK17" t="s">
        <v>27</v>
      </c>
      <c r="BL17">
        <v>16</v>
      </c>
      <c r="BM17">
        <v>12</v>
      </c>
      <c r="BN17">
        <v>9.3691442848219904</v>
      </c>
      <c r="BO17">
        <v>5.3</v>
      </c>
      <c r="BP17">
        <v>3762</v>
      </c>
      <c r="BQ17">
        <v>0.3</v>
      </c>
      <c r="BS17" t="str">
        <f t="shared" si="3"/>
        <v>AllSexPacific22</v>
      </c>
      <c r="BT17" t="s">
        <v>17</v>
      </c>
      <c r="BU17" t="s">
        <v>79</v>
      </c>
      <c r="BV17">
        <v>22</v>
      </c>
      <c r="BW17">
        <v>50</v>
      </c>
      <c r="BX17">
        <v>18.051193183869501</v>
      </c>
      <c r="BY17">
        <v>5</v>
      </c>
      <c r="CA17" t="str">
        <f t="shared" si="8"/>
        <v>AllSexOther194</v>
      </c>
      <c r="CB17" t="s">
        <v>17</v>
      </c>
      <c r="CC17" t="s">
        <v>45</v>
      </c>
      <c r="CD17">
        <v>19</v>
      </c>
      <c r="CE17">
        <v>4</v>
      </c>
      <c r="CF17">
        <v>421</v>
      </c>
      <c r="CG17">
        <v>14.393151044449599</v>
      </c>
      <c r="CH17">
        <v>1.4</v>
      </c>
      <c r="CJ17" t="str">
        <f t="shared" si="9"/>
        <v>AllSexAllEth25Jumping from a high place</v>
      </c>
      <c r="CK17" t="s">
        <v>17</v>
      </c>
      <c r="CL17" t="s">
        <v>27</v>
      </c>
      <c r="CM17" t="s">
        <v>44</v>
      </c>
      <c r="CN17">
        <v>25</v>
      </c>
      <c r="CO17">
        <v>7</v>
      </c>
      <c r="CP17">
        <v>301</v>
      </c>
      <c r="CQ17">
        <v>2.2999999999999998</v>
      </c>
      <c r="CT17" t="str">
        <f t="shared" si="10"/>
        <v>2002FemaleMaori9</v>
      </c>
      <c r="CU17">
        <v>2002</v>
      </c>
      <c r="CV17" t="s">
        <v>8</v>
      </c>
      <c r="CW17" t="s">
        <v>18</v>
      </c>
      <c r="CX17">
        <v>9</v>
      </c>
      <c r="CY17">
        <v>3</v>
      </c>
      <c r="DB17">
        <v>2016</v>
      </c>
      <c r="DC17">
        <v>2</v>
      </c>
    </row>
    <row r="18" spans="1:107">
      <c r="A18" t="str">
        <f t="shared" si="0"/>
        <v>2010AllSexAllEth19</v>
      </c>
      <c r="B18">
        <v>2010</v>
      </c>
      <c r="C18" t="s">
        <v>17</v>
      </c>
      <c r="D18" t="s">
        <v>27</v>
      </c>
      <c r="E18">
        <v>19</v>
      </c>
      <c r="F18">
        <v>534</v>
      </c>
      <c r="G18">
        <v>11.9073434349195</v>
      </c>
      <c r="H18">
        <v>1</v>
      </c>
      <c r="J18" s="340" t="str">
        <f t="shared" si="1"/>
        <v>2003AllSexAllEth195</v>
      </c>
      <c r="K18">
        <v>2003</v>
      </c>
      <c r="L18" t="s">
        <v>17</v>
      </c>
      <c r="M18" t="s">
        <v>27</v>
      </c>
      <c r="N18">
        <v>19</v>
      </c>
      <c r="O18">
        <v>5</v>
      </c>
      <c r="P18">
        <v>120</v>
      </c>
      <c r="Q18">
        <v>15.034665493241601</v>
      </c>
      <c r="R18">
        <v>2.7</v>
      </c>
      <c r="T18" s="340" t="str">
        <f t="shared" si="4"/>
        <v>1996AllSexAllEth23Other</v>
      </c>
      <c r="U18">
        <v>1996</v>
      </c>
      <c r="V18" t="s">
        <v>17</v>
      </c>
      <c r="W18" t="s">
        <v>27</v>
      </c>
      <c r="X18">
        <v>23</v>
      </c>
      <c r="Y18" t="s">
        <v>45</v>
      </c>
      <c r="Z18">
        <v>6</v>
      </c>
      <c r="AA18">
        <v>222</v>
      </c>
      <c r="AB18">
        <v>2.7</v>
      </c>
      <c r="AD18" s="340" t="str">
        <f t="shared" si="5"/>
        <v>20122016AllSexAllEth19Wairarapa</v>
      </c>
      <c r="AE18" t="s">
        <v>17</v>
      </c>
      <c r="AF18" t="s">
        <v>27</v>
      </c>
      <c r="AG18">
        <v>19</v>
      </c>
      <c r="AH18">
        <v>15</v>
      </c>
      <c r="AI18" t="s">
        <v>68</v>
      </c>
      <c r="AJ18">
        <v>37</v>
      </c>
      <c r="AK18">
        <v>17.713416586712299</v>
      </c>
      <c r="AL18">
        <v>7.5</v>
      </c>
      <c r="AM18" t="s">
        <v>82</v>
      </c>
      <c r="AN18">
        <v>20122016</v>
      </c>
      <c r="AY18" t="str">
        <f t="shared" si="2"/>
        <v>2003FemaleRural25</v>
      </c>
      <c r="AZ18">
        <v>2003</v>
      </c>
      <c r="BA18" t="s">
        <v>8</v>
      </c>
      <c r="BB18" t="s">
        <v>96</v>
      </c>
      <c r="BC18">
        <v>25</v>
      </c>
      <c r="BD18">
        <v>1</v>
      </c>
      <c r="BE18">
        <v>3.91696043869957</v>
      </c>
      <c r="BF18">
        <v>7.7</v>
      </c>
      <c r="BH18" t="str">
        <f t="shared" si="7"/>
        <v>2016AllSexAllEth17</v>
      </c>
      <c r="BI18">
        <v>2016</v>
      </c>
      <c r="BJ18" t="s">
        <v>17</v>
      </c>
      <c r="BK18" t="s">
        <v>27</v>
      </c>
      <c r="BL18">
        <v>17</v>
      </c>
      <c r="BM18">
        <v>9</v>
      </c>
      <c r="BN18">
        <v>10.702818408847699</v>
      </c>
      <c r="BO18">
        <v>7</v>
      </c>
      <c r="BP18">
        <v>4828</v>
      </c>
      <c r="BQ18">
        <v>0.2</v>
      </c>
      <c r="BS18" t="str">
        <f t="shared" si="3"/>
        <v>AllSexAsian22</v>
      </c>
      <c r="BT18" t="s">
        <v>17</v>
      </c>
      <c r="BU18" t="s">
        <v>78</v>
      </c>
      <c r="BV18">
        <v>22</v>
      </c>
      <c r="BW18">
        <v>29</v>
      </c>
      <c r="BX18">
        <v>6.0532687651331702</v>
      </c>
      <c r="BY18">
        <v>2.2000000000000002</v>
      </c>
      <c r="CA18" t="str">
        <f t="shared" si="8"/>
        <v>AllSexOther195</v>
      </c>
      <c r="CB18" t="s">
        <v>17</v>
      </c>
      <c r="CC18" t="s">
        <v>45</v>
      </c>
      <c r="CD18">
        <v>19</v>
      </c>
      <c r="CE18">
        <v>5</v>
      </c>
      <c r="CF18">
        <v>339</v>
      </c>
      <c r="CG18">
        <v>18.144771355977198</v>
      </c>
      <c r="CH18">
        <v>1.9</v>
      </c>
      <c r="CJ18" t="str">
        <f t="shared" si="9"/>
        <v>AllSexAllEth21Other</v>
      </c>
      <c r="CK18" t="s">
        <v>17</v>
      </c>
      <c r="CL18" t="s">
        <v>27</v>
      </c>
      <c r="CM18" t="s">
        <v>45</v>
      </c>
      <c r="CN18">
        <v>21</v>
      </c>
      <c r="CO18">
        <v>2</v>
      </c>
      <c r="CP18">
        <v>36</v>
      </c>
      <c r="CQ18">
        <v>5.6</v>
      </c>
      <c r="CT18" t="str">
        <f t="shared" si="10"/>
        <v>2002FemaleNon-Maori9</v>
      </c>
      <c r="CU18">
        <v>2002</v>
      </c>
      <c r="CV18" t="s">
        <v>8</v>
      </c>
      <c r="CW18" t="s">
        <v>19</v>
      </c>
      <c r="CX18">
        <v>9</v>
      </c>
      <c r="CY18">
        <v>7</v>
      </c>
    </row>
    <row r="19" spans="1:107">
      <c r="A19" t="str">
        <f t="shared" si="0"/>
        <v>2011AllSexAllEth19</v>
      </c>
      <c r="B19">
        <v>2011</v>
      </c>
      <c r="C19" t="s">
        <v>17</v>
      </c>
      <c r="D19" t="s">
        <v>27</v>
      </c>
      <c r="E19">
        <v>19</v>
      </c>
      <c r="F19">
        <v>495</v>
      </c>
      <c r="G19">
        <v>11.144714822415599</v>
      </c>
      <c r="H19">
        <v>1</v>
      </c>
      <c r="J19" s="340" t="str">
        <f t="shared" si="1"/>
        <v>2004AllSexAllEth191</v>
      </c>
      <c r="K19">
        <v>2004</v>
      </c>
      <c r="L19" t="s">
        <v>17</v>
      </c>
      <c r="M19" t="s">
        <v>27</v>
      </c>
      <c r="N19">
        <v>19</v>
      </c>
      <c r="O19">
        <v>1</v>
      </c>
      <c r="P19">
        <v>58</v>
      </c>
      <c r="Q19">
        <v>7.2841075117793102</v>
      </c>
      <c r="R19">
        <v>1.9</v>
      </c>
      <c r="T19" s="340" t="str">
        <f t="shared" si="4"/>
        <v>1996AllSexAllEth24Other</v>
      </c>
      <c r="U19">
        <v>1996</v>
      </c>
      <c r="V19" t="s">
        <v>17</v>
      </c>
      <c r="W19" t="s">
        <v>27</v>
      </c>
      <c r="X19">
        <v>24</v>
      </c>
      <c r="Y19" t="s">
        <v>45</v>
      </c>
      <c r="Z19">
        <v>2</v>
      </c>
      <c r="AA19">
        <v>102</v>
      </c>
      <c r="AB19">
        <v>2</v>
      </c>
      <c r="AD19" s="340" t="str">
        <f t="shared" si="5"/>
        <v>20122016AllSexAllEth19Nelson Marlborough</v>
      </c>
      <c r="AE19" t="s">
        <v>17</v>
      </c>
      <c r="AF19" t="s">
        <v>27</v>
      </c>
      <c r="AG19">
        <v>19</v>
      </c>
      <c r="AH19">
        <v>16</v>
      </c>
      <c r="AI19" t="s">
        <v>69</v>
      </c>
      <c r="AJ19">
        <v>85</v>
      </c>
      <c r="AK19">
        <v>11.253237212717799</v>
      </c>
      <c r="AL19">
        <v>3.1</v>
      </c>
      <c r="AM19" t="s">
        <v>82</v>
      </c>
      <c r="AN19">
        <v>20122016</v>
      </c>
      <c r="AY19" t="str">
        <f t="shared" si="2"/>
        <v>2003FemaleUrban25</v>
      </c>
      <c r="AZ19">
        <v>2003</v>
      </c>
      <c r="BA19" t="s">
        <v>8</v>
      </c>
      <c r="BB19" t="s">
        <v>97</v>
      </c>
      <c r="BC19">
        <v>25</v>
      </c>
      <c r="BD19">
        <v>16</v>
      </c>
      <c r="BE19">
        <v>6.6577896138482</v>
      </c>
      <c r="BF19">
        <v>3.3</v>
      </c>
      <c r="BH19" t="str">
        <f t="shared" si="7"/>
        <v>2016AllSexAllEth18</v>
      </c>
      <c r="BI19">
        <v>2016</v>
      </c>
      <c r="BJ19" t="s">
        <v>17</v>
      </c>
      <c r="BK19" t="s">
        <v>27</v>
      </c>
      <c r="BL19">
        <v>18</v>
      </c>
      <c r="BM19">
        <v>12</v>
      </c>
      <c r="BN19">
        <v>14.492753623188401</v>
      </c>
      <c r="BO19">
        <v>8.1999999999999993</v>
      </c>
      <c r="BP19">
        <v>11565</v>
      </c>
      <c r="BQ19">
        <v>0.1</v>
      </c>
      <c r="BS19" t="str">
        <f t="shared" si="3"/>
        <v>AllSexOther22</v>
      </c>
      <c r="BT19" t="s">
        <v>17</v>
      </c>
      <c r="BU19" t="s">
        <v>45</v>
      </c>
      <c r="BV19">
        <v>22</v>
      </c>
      <c r="BW19">
        <v>267</v>
      </c>
      <c r="BX19">
        <v>14.789785631197001</v>
      </c>
      <c r="BY19">
        <v>1.8</v>
      </c>
      <c r="CA19" t="str">
        <f t="shared" si="8"/>
        <v>AllSexPacific191</v>
      </c>
      <c r="CB19" t="s">
        <v>17</v>
      </c>
      <c r="CC19" t="s">
        <v>79</v>
      </c>
      <c r="CD19">
        <v>19</v>
      </c>
      <c r="CE19">
        <v>1</v>
      </c>
      <c r="CF19">
        <v>4</v>
      </c>
      <c r="CG19">
        <v>6.0665385468972701</v>
      </c>
      <c r="CH19">
        <v>5.9</v>
      </c>
      <c r="CJ19" t="str">
        <f t="shared" si="9"/>
        <v>AllSexAllEth22Other</v>
      </c>
      <c r="CK19" t="s">
        <v>17</v>
      </c>
      <c r="CL19" t="s">
        <v>27</v>
      </c>
      <c r="CM19" t="s">
        <v>45</v>
      </c>
      <c r="CN19">
        <v>22</v>
      </c>
      <c r="CO19">
        <v>15</v>
      </c>
      <c r="CP19">
        <v>571</v>
      </c>
      <c r="CQ19">
        <v>2.6</v>
      </c>
      <c r="CT19" t="str">
        <f t="shared" si="10"/>
        <v>2002MaleAllEth9</v>
      </c>
      <c r="CU19">
        <v>2002</v>
      </c>
      <c r="CV19" t="s">
        <v>20</v>
      </c>
      <c r="CW19" t="s">
        <v>27</v>
      </c>
      <c r="CX19">
        <v>9</v>
      </c>
      <c r="CY19">
        <v>26</v>
      </c>
    </row>
    <row r="20" spans="1:107">
      <c r="A20" t="str">
        <f t="shared" si="0"/>
        <v>2012AllSexAllEth19</v>
      </c>
      <c r="B20">
        <v>2012</v>
      </c>
      <c r="C20" t="s">
        <v>17</v>
      </c>
      <c r="D20" t="s">
        <v>27</v>
      </c>
      <c r="E20">
        <v>19</v>
      </c>
      <c r="F20">
        <v>549</v>
      </c>
      <c r="G20">
        <v>12.308740005230501</v>
      </c>
      <c r="H20">
        <v>1</v>
      </c>
      <c r="J20" s="340" t="str">
        <f t="shared" si="1"/>
        <v>2004AllSexAllEth192</v>
      </c>
      <c r="K20">
        <v>2004</v>
      </c>
      <c r="L20" t="s">
        <v>17</v>
      </c>
      <c r="M20" t="s">
        <v>27</v>
      </c>
      <c r="N20">
        <v>19</v>
      </c>
      <c r="O20">
        <v>2</v>
      </c>
      <c r="P20">
        <v>69</v>
      </c>
      <c r="Q20">
        <v>8.25703919404949</v>
      </c>
      <c r="R20">
        <v>1.9</v>
      </c>
      <c r="T20" s="340" t="str">
        <f t="shared" si="4"/>
        <v>1996AllSexAllEth25Other</v>
      </c>
      <c r="U20">
        <v>1996</v>
      </c>
      <c r="V20" t="s">
        <v>17</v>
      </c>
      <c r="W20" t="s">
        <v>27</v>
      </c>
      <c r="X20">
        <v>25</v>
      </c>
      <c r="Y20" t="s">
        <v>45</v>
      </c>
      <c r="Z20">
        <v>5</v>
      </c>
      <c r="AA20">
        <v>66</v>
      </c>
      <c r="AB20">
        <v>7.6</v>
      </c>
      <c r="AD20" s="340" t="str">
        <f t="shared" si="5"/>
        <v>20122016AllSexAllEth19West Coast</v>
      </c>
      <c r="AE20" t="s">
        <v>17</v>
      </c>
      <c r="AF20" t="s">
        <v>27</v>
      </c>
      <c r="AG20">
        <v>19</v>
      </c>
      <c r="AH20">
        <v>17</v>
      </c>
      <c r="AI20" t="s">
        <v>70</v>
      </c>
      <c r="AJ20">
        <v>37</v>
      </c>
      <c r="AK20">
        <v>25.504881808908099</v>
      </c>
      <c r="AL20">
        <v>10.8</v>
      </c>
      <c r="AM20" t="s">
        <v>84</v>
      </c>
      <c r="AN20">
        <v>20122016</v>
      </c>
      <c r="AY20" t="str">
        <f t="shared" si="2"/>
        <v>2003MaleRural22</v>
      </c>
      <c r="AZ20">
        <v>2003</v>
      </c>
      <c r="BA20" t="s">
        <v>20</v>
      </c>
      <c r="BB20" t="s">
        <v>96</v>
      </c>
      <c r="BC20">
        <v>22</v>
      </c>
      <c r="BD20">
        <v>10</v>
      </c>
      <c r="BE20">
        <v>31.585596967782699</v>
      </c>
      <c r="BF20">
        <v>19.600000000000001</v>
      </c>
      <c r="BH20" t="str">
        <f t="shared" si="7"/>
        <v>2016FemaleAllEth3</v>
      </c>
      <c r="BI20">
        <v>2016</v>
      </c>
      <c r="BJ20" t="s">
        <v>8</v>
      </c>
      <c r="BK20" t="s">
        <v>27</v>
      </c>
      <c r="BL20">
        <v>3</v>
      </c>
      <c r="BM20">
        <v>3</v>
      </c>
      <c r="BN20">
        <v>2.0865210738628499</v>
      </c>
      <c r="BO20">
        <v>2.4</v>
      </c>
      <c r="BP20">
        <v>14</v>
      </c>
      <c r="BQ20">
        <v>21.4</v>
      </c>
      <c r="BS20" t="str">
        <f t="shared" si="3"/>
        <v>FemaleMaori22</v>
      </c>
      <c r="BT20" t="s">
        <v>8</v>
      </c>
      <c r="BU20" t="s">
        <v>18</v>
      </c>
      <c r="BV20">
        <v>22</v>
      </c>
      <c r="BW20">
        <v>85</v>
      </c>
      <c r="BX20">
        <v>25.933609958506199</v>
      </c>
      <c r="BY20">
        <v>5.5</v>
      </c>
      <c r="CA20" t="str">
        <f t="shared" si="8"/>
        <v>AllSexPacific192</v>
      </c>
      <c r="CB20" t="s">
        <v>17</v>
      </c>
      <c r="CC20" t="s">
        <v>79</v>
      </c>
      <c r="CD20">
        <v>19</v>
      </c>
      <c r="CE20">
        <v>2</v>
      </c>
      <c r="CF20">
        <v>9</v>
      </c>
      <c r="CG20">
        <v>7.9636228457882101</v>
      </c>
      <c r="CH20">
        <v>5.2</v>
      </c>
      <c r="CJ20" t="str">
        <f t="shared" si="9"/>
        <v>AllSexAllEth23Other</v>
      </c>
      <c r="CK20" t="s">
        <v>17</v>
      </c>
      <c r="CL20" t="s">
        <v>27</v>
      </c>
      <c r="CM20" t="s">
        <v>45</v>
      </c>
      <c r="CN20">
        <v>23</v>
      </c>
      <c r="CO20">
        <v>28</v>
      </c>
      <c r="CP20">
        <v>910</v>
      </c>
      <c r="CQ20">
        <v>3.1</v>
      </c>
      <c r="CT20" t="str">
        <f t="shared" si="10"/>
        <v>2002MaleMaori9</v>
      </c>
      <c r="CU20">
        <v>2002</v>
      </c>
      <c r="CV20" t="s">
        <v>20</v>
      </c>
      <c r="CW20" t="s">
        <v>18</v>
      </c>
      <c r="CX20">
        <v>9</v>
      </c>
      <c r="CY20">
        <v>6</v>
      </c>
    </row>
    <row r="21" spans="1:107">
      <c r="A21" t="str">
        <f t="shared" si="0"/>
        <v>2013AllSexAllEth19</v>
      </c>
      <c r="B21">
        <v>2013</v>
      </c>
      <c r="C21" t="s">
        <v>17</v>
      </c>
      <c r="D21" t="s">
        <v>27</v>
      </c>
      <c r="E21">
        <v>19</v>
      </c>
      <c r="F21">
        <v>513</v>
      </c>
      <c r="G21">
        <v>11.0080199296969</v>
      </c>
      <c r="H21">
        <v>1</v>
      </c>
      <c r="J21" s="340" t="str">
        <f t="shared" si="1"/>
        <v>2004AllSexAllEth193</v>
      </c>
      <c r="K21">
        <v>2004</v>
      </c>
      <c r="L21" t="s">
        <v>17</v>
      </c>
      <c r="M21" t="s">
        <v>27</v>
      </c>
      <c r="N21">
        <v>19</v>
      </c>
      <c r="O21">
        <v>3</v>
      </c>
      <c r="P21">
        <v>96</v>
      </c>
      <c r="Q21">
        <v>11.2749743244082</v>
      </c>
      <c r="R21">
        <v>2.2999999999999998</v>
      </c>
      <c r="T21" s="340" t="str">
        <f t="shared" si="4"/>
        <v>1996AllSexAllEth22Poisoning by gases and vapours</v>
      </c>
      <c r="U21">
        <v>1996</v>
      </c>
      <c r="V21" t="s">
        <v>17</v>
      </c>
      <c r="W21" t="s">
        <v>27</v>
      </c>
      <c r="X21">
        <v>22</v>
      </c>
      <c r="Y21" t="s">
        <v>46</v>
      </c>
      <c r="Z21">
        <v>26</v>
      </c>
      <c r="AA21">
        <v>143</v>
      </c>
      <c r="AB21">
        <v>18.2</v>
      </c>
      <c r="AD21" s="340" t="str">
        <f t="shared" si="5"/>
        <v>20122016AllSexAllEth19Canterbury</v>
      </c>
      <c r="AE21" t="s">
        <v>17</v>
      </c>
      <c r="AF21" t="s">
        <v>27</v>
      </c>
      <c r="AG21">
        <v>19</v>
      </c>
      <c r="AH21">
        <v>18</v>
      </c>
      <c r="AI21" t="s">
        <v>71</v>
      </c>
      <c r="AJ21">
        <v>309</v>
      </c>
      <c r="AK21">
        <v>11.399211184765701</v>
      </c>
      <c r="AL21">
        <v>1.7</v>
      </c>
      <c r="AM21" t="s">
        <v>82</v>
      </c>
      <c r="AN21">
        <v>20122016</v>
      </c>
      <c r="AY21" t="str">
        <f t="shared" si="2"/>
        <v>2003MaleUrban22</v>
      </c>
      <c r="AZ21">
        <v>2003</v>
      </c>
      <c r="BA21" t="s">
        <v>20</v>
      </c>
      <c r="BB21" t="s">
        <v>97</v>
      </c>
      <c r="BC21">
        <v>22</v>
      </c>
      <c r="BD21">
        <v>53</v>
      </c>
      <c r="BE21">
        <v>20.4751786749082</v>
      </c>
      <c r="BF21">
        <v>5.5</v>
      </c>
      <c r="BH21" t="str">
        <f t="shared" si="7"/>
        <v>2016FemaleAllEth4</v>
      </c>
      <c r="BI21">
        <v>2016</v>
      </c>
      <c r="BJ21" t="s">
        <v>8</v>
      </c>
      <c r="BK21" t="s">
        <v>27</v>
      </c>
      <c r="BL21">
        <v>4</v>
      </c>
      <c r="BM21">
        <v>10</v>
      </c>
      <c r="BN21">
        <v>6.4683053040103502</v>
      </c>
      <c r="BO21">
        <v>4</v>
      </c>
      <c r="BP21">
        <v>48</v>
      </c>
      <c r="BQ21">
        <v>20.8</v>
      </c>
      <c r="BS21" t="str">
        <f t="shared" si="3"/>
        <v>FemalePacific22</v>
      </c>
      <c r="BT21" t="s">
        <v>8</v>
      </c>
      <c r="BU21" t="s">
        <v>79</v>
      </c>
      <c r="BV21">
        <v>22</v>
      </c>
      <c r="BW21">
        <v>14</v>
      </c>
      <c r="BX21">
        <v>10.0618082506828</v>
      </c>
      <c r="BY21">
        <v>5.3</v>
      </c>
      <c r="CA21" t="str">
        <f t="shared" si="8"/>
        <v>AllSexPacific193</v>
      </c>
      <c r="CB21" t="s">
        <v>17</v>
      </c>
      <c r="CC21" t="s">
        <v>79</v>
      </c>
      <c r="CD21">
        <v>19</v>
      </c>
      <c r="CE21">
        <v>3</v>
      </c>
      <c r="CF21">
        <v>11</v>
      </c>
      <c r="CG21">
        <v>6.5828484582463602</v>
      </c>
      <c r="CH21">
        <v>3.9</v>
      </c>
      <c r="CJ21" t="str">
        <f t="shared" si="9"/>
        <v>AllSexAllEth24Other</v>
      </c>
      <c r="CK21" t="s">
        <v>17</v>
      </c>
      <c r="CL21" t="s">
        <v>27</v>
      </c>
      <c r="CM21" t="s">
        <v>45</v>
      </c>
      <c r="CN21">
        <v>24</v>
      </c>
      <c r="CO21">
        <v>41</v>
      </c>
      <c r="CP21">
        <v>838</v>
      </c>
      <c r="CQ21">
        <v>4.9000000000000004</v>
      </c>
      <c r="CT21" t="str">
        <f t="shared" si="10"/>
        <v>2002MaleNon-Maori9</v>
      </c>
      <c r="CU21">
        <v>2002</v>
      </c>
      <c r="CV21" t="s">
        <v>20</v>
      </c>
      <c r="CW21" t="s">
        <v>19</v>
      </c>
      <c r="CX21">
        <v>9</v>
      </c>
      <c r="CY21">
        <v>20</v>
      </c>
    </row>
    <row r="22" spans="1:107">
      <c r="A22" t="str">
        <f t="shared" si="0"/>
        <v>2014AllSexAllEth19</v>
      </c>
      <c r="B22">
        <v>2014</v>
      </c>
      <c r="C22" t="s">
        <v>17</v>
      </c>
      <c r="D22" t="s">
        <v>27</v>
      </c>
      <c r="E22">
        <v>19</v>
      </c>
      <c r="F22">
        <v>510</v>
      </c>
      <c r="G22">
        <v>10.808867367895701</v>
      </c>
      <c r="H22">
        <v>0.9</v>
      </c>
      <c r="J22" s="340" t="str">
        <f t="shared" si="1"/>
        <v>2004AllSexAllEth194</v>
      </c>
      <c r="K22">
        <v>2004</v>
      </c>
      <c r="L22" t="s">
        <v>17</v>
      </c>
      <c r="M22" t="s">
        <v>27</v>
      </c>
      <c r="N22">
        <v>19</v>
      </c>
      <c r="O22">
        <v>4</v>
      </c>
      <c r="P22">
        <v>118</v>
      </c>
      <c r="Q22">
        <v>14.0160997986733</v>
      </c>
      <c r="R22">
        <v>2.5</v>
      </c>
      <c r="T22" s="340" t="str">
        <f t="shared" si="4"/>
        <v>1996AllSexAllEth23Poisoning by gases and vapours</v>
      </c>
      <c r="U22">
        <v>1996</v>
      </c>
      <c r="V22" t="s">
        <v>17</v>
      </c>
      <c r="W22" t="s">
        <v>27</v>
      </c>
      <c r="X22">
        <v>23</v>
      </c>
      <c r="Y22" t="s">
        <v>46</v>
      </c>
      <c r="Z22">
        <v>79</v>
      </c>
      <c r="AA22">
        <v>222</v>
      </c>
      <c r="AB22">
        <v>35.6</v>
      </c>
      <c r="AD22" s="340" t="str">
        <f t="shared" si="5"/>
        <v>20122016AllSexAllEth19South Canterbury</v>
      </c>
      <c r="AE22" t="s">
        <v>17</v>
      </c>
      <c r="AF22" t="s">
        <v>27</v>
      </c>
      <c r="AG22">
        <v>19</v>
      </c>
      <c r="AH22">
        <v>19</v>
      </c>
      <c r="AI22" t="s">
        <v>72</v>
      </c>
      <c r="AJ22">
        <v>34</v>
      </c>
      <c r="AK22">
        <v>13.6201605498718</v>
      </c>
      <c r="AL22">
        <v>6</v>
      </c>
      <c r="AM22" t="s">
        <v>82</v>
      </c>
      <c r="AN22">
        <v>20122016</v>
      </c>
      <c r="AY22" t="str">
        <f t="shared" si="2"/>
        <v>2003MaleRural23</v>
      </c>
      <c r="AZ22">
        <v>2003</v>
      </c>
      <c r="BA22" t="s">
        <v>20</v>
      </c>
      <c r="BB22" t="s">
        <v>96</v>
      </c>
      <c r="BC22">
        <v>23</v>
      </c>
      <c r="BD22">
        <v>21</v>
      </c>
      <c r="BE22">
        <v>26.826775677056698</v>
      </c>
      <c r="BF22">
        <v>11.5</v>
      </c>
      <c r="BH22" t="str">
        <f t="shared" si="7"/>
        <v>2016FemaleAllEth5</v>
      </c>
      <c r="BI22">
        <v>2016</v>
      </c>
      <c r="BJ22" t="s">
        <v>8</v>
      </c>
      <c r="BK22" t="s">
        <v>27</v>
      </c>
      <c r="BL22">
        <v>5</v>
      </c>
      <c r="BM22">
        <v>16</v>
      </c>
      <c r="BN22">
        <v>9.5688056934393906</v>
      </c>
      <c r="BO22">
        <v>4.7</v>
      </c>
      <c r="BP22">
        <v>54</v>
      </c>
      <c r="BQ22">
        <v>29.6</v>
      </c>
      <c r="BS22" t="str">
        <f t="shared" si="3"/>
        <v>FemaleAsian22</v>
      </c>
      <c r="BT22" t="s">
        <v>8</v>
      </c>
      <c r="BU22" t="s">
        <v>78</v>
      </c>
      <c r="BV22">
        <v>22</v>
      </c>
      <c r="BW22">
        <v>5</v>
      </c>
      <c r="BX22">
        <v>2.2213336887467201</v>
      </c>
      <c r="BY22">
        <v>1.9</v>
      </c>
      <c r="CA22" t="str">
        <f t="shared" si="8"/>
        <v>AllSexPacific194</v>
      </c>
      <c r="CB22" t="s">
        <v>17</v>
      </c>
      <c r="CC22" t="s">
        <v>79</v>
      </c>
      <c r="CD22">
        <v>19</v>
      </c>
      <c r="CE22">
        <v>4</v>
      </c>
      <c r="CF22">
        <v>26</v>
      </c>
      <c r="CG22">
        <v>8.5620618161637108</v>
      </c>
      <c r="CH22">
        <v>3.3</v>
      </c>
      <c r="CJ22" t="str">
        <f t="shared" si="9"/>
        <v>AllSexAllEth25Other</v>
      </c>
      <c r="CK22" t="s">
        <v>17</v>
      </c>
      <c r="CL22" t="s">
        <v>27</v>
      </c>
      <c r="CM22" t="s">
        <v>45</v>
      </c>
      <c r="CN22">
        <v>25</v>
      </c>
      <c r="CO22">
        <v>12</v>
      </c>
      <c r="CP22">
        <v>301</v>
      </c>
      <c r="CQ22">
        <v>4</v>
      </c>
      <c r="CT22" t="str">
        <f t="shared" si="10"/>
        <v>2003AllSexAllEth9</v>
      </c>
      <c r="CU22">
        <v>2003</v>
      </c>
      <c r="CV22" t="s">
        <v>17</v>
      </c>
      <c r="CW22" t="s">
        <v>27</v>
      </c>
      <c r="CX22">
        <v>9</v>
      </c>
      <c r="CY22">
        <v>26</v>
      </c>
    </row>
    <row r="23" spans="1:107">
      <c r="A23" t="str">
        <f t="shared" si="0"/>
        <v>2015AllSexAllEth19</v>
      </c>
      <c r="B23">
        <v>2015</v>
      </c>
      <c r="C23" t="s">
        <v>17</v>
      </c>
      <c r="D23" t="s">
        <v>27</v>
      </c>
      <c r="E23">
        <v>19</v>
      </c>
      <c r="F23">
        <v>530</v>
      </c>
      <c r="G23">
        <v>11.101919255474099</v>
      </c>
      <c r="H23">
        <v>0.9</v>
      </c>
      <c r="J23" s="340" t="str">
        <f t="shared" si="1"/>
        <v>2004AllSexAllEth195</v>
      </c>
      <c r="K23">
        <v>2004</v>
      </c>
      <c r="L23" t="s">
        <v>17</v>
      </c>
      <c r="M23" t="s">
        <v>27</v>
      </c>
      <c r="N23">
        <v>19</v>
      </c>
      <c r="O23">
        <v>5</v>
      </c>
      <c r="P23">
        <v>131</v>
      </c>
      <c r="Q23">
        <v>15.942288466223999</v>
      </c>
      <c r="R23">
        <v>2.7</v>
      </c>
      <c r="T23" s="340" t="str">
        <f t="shared" si="4"/>
        <v>1996AllSexAllEth24Poisoning by gases and vapours</v>
      </c>
      <c r="U23">
        <v>1996</v>
      </c>
      <c r="V23" t="s">
        <v>17</v>
      </c>
      <c r="W23" t="s">
        <v>27</v>
      </c>
      <c r="X23">
        <v>24</v>
      </c>
      <c r="Y23" t="s">
        <v>46</v>
      </c>
      <c r="Z23">
        <v>39</v>
      </c>
      <c r="AA23">
        <v>102</v>
      </c>
      <c r="AB23">
        <v>38.200000000000003</v>
      </c>
      <c r="AD23" s="340" t="str">
        <f t="shared" si="5"/>
        <v>20122016AllSexAllEth19Southern</v>
      </c>
      <c r="AE23" t="s">
        <v>17</v>
      </c>
      <c r="AF23" t="s">
        <v>27</v>
      </c>
      <c r="AG23">
        <v>19</v>
      </c>
      <c r="AH23">
        <v>20</v>
      </c>
      <c r="AI23" t="s">
        <v>73</v>
      </c>
      <c r="AJ23">
        <v>206</v>
      </c>
      <c r="AK23">
        <v>13.2539499729693</v>
      </c>
      <c r="AL23">
        <v>2.4</v>
      </c>
      <c r="AM23" t="s">
        <v>82</v>
      </c>
      <c r="AN23">
        <v>20122016</v>
      </c>
      <c r="AY23" t="str">
        <f t="shared" si="2"/>
        <v>2003MaleUrban23</v>
      </c>
      <c r="AZ23">
        <v>2003</v>
      </c>
      <c r="BA23" t="s">
        <v>20</v>
      </c>
      <c r="BB23" t="s">
        <v>97</v>
      </c>
      <c r="BC23">
        <v>23</v>
      </c>
      <c r="BD23">
        <v>124</v>
      </c>
      <c r="BE23">
        <v>25.3739589514825</v>
      </c>
      <c r="BF23">
        <v>4.5</v>
      </c>
      <c r="BH23" t="str">
        <f t="shared" si="7"/>
        <v>2016FemaleAllEth6</v>
      </c>
      <c r="BI23">
        <v>2016</v>
      </c>
      <c r="BJ23" t="s">
        <v>8</v>
      </c>
      <c r="BK23" t="s">
        <v>27</v>
      </c>
      <c r="BL23">
        <v>6</v>
      </c>
      <c r="BM23">
        <v>18</v>
      </c>
      <c r="BN23">
        <v>10.6603494225644</v>
      </c>
      <c r="BO23">
        <v>4.9000000000000004</v>
      </c>
      <c r="BP23">
        <v>53</v>
      </c>
      <c r="BQ23">
        <v>34</v>
      </c>
      <c r="BS23" t="str">
        <f t="shared" si="3"/>
        <v>FemaleOther22</v>
      </c>
      <c r="BT23" t="s">
        <v>8</v>
      </c>
      <c r="BU23" t="s">
        <v>45</v>
      </c>
      <c r="BV23">
        <v>22</v>
      </c>
      <c r="BW23">
        <v>63</v>
      </c>
      <c r="BX23">
        <v>7.1460980036297599</v>
      </c>
      <c r="BY23">
        <v>1.8</v>
      </c>
      <c r="CA23" t="str">
        <f t="shared" si="8"/>
        <v>AllSexPacific195</v>
      </c>
      <c r="CB23" t="s">
        <v>17</v>
      </c>
      <c r="CC23" t="s">
        <v>79</v>
      </c>
      <c r="CD23">
        <v>19</v>
      </c>
      <c r="CE23">
        <v>5</v>
      </c>
      <c r="CF23">
        <v>64</v>
      </c>
      <c r="CG23">
        <v>7.7587347258217303</v>
      </c>
      <c r="CH23">
        <v>1.9</v>
      </c>
      <c r="CJ23" t="str">
        <f t="shared" si="9"/>
        <v>AllSexAllEth22Poisoning by gases and vapours</v>
      </c>
      <c r="CK23" t="s">
        <v>17</v>
      </c>
      <c r="CL23" t="s">
        <v>27</v>
      </c>
      <c r="CM23" t="s">
        <v>46</v>
      </c>
      <c r="CN23">
        <v>22</v>
      </c>
      <c r="CO23">
        <v>17</v>
      </c>
      <c r="CP23">
        <v>571</v>
      </c>
      <c r="CQ23">
        <v>3</v>
      </c>
      <c r="CT23" t="str">
        <f t="shared" si="10"/>
        <v>2003AllSexMaori9</v>
      </c>
      <c r="CU23">
        <v>2003</v>
      </c>
      <c r="CV23" t="s">
        <v>17</v>
      </c>
      <c r="CW23" t="s">
        <v>18</v>
      </c>
      <c r="CX23">
        <v>9</v>
      </c>
      <c r="CY23">
        <v>3</v>
      </c>
    </row>
    <row r="24" spans="1:107">
      <c r="A24" t="str">
        <f t="shared" si="0"/>
        <v>2016AllSexAllEth19</v>
      </c>
      <c r="B24">
        <v>2016</v>
      </c>
      <c r="C24" t="s">
        <v>17</v>
      </c>
      <c r="D24" t="s">
        <v>27</v>
      </c>
      <c r="E24">
        <v>19</v>
      </c>
      <c r="F24">
        <v>554</v>
      </c>
      <c r="G24">
        <v>11.3314970522047</v>
      </c>
      <c r="H24">
        <v>0.9</v>
      </c>
      <c r="J24" s="340" t="str">
        <f t="shared" si="1"/>
        <v>2005AllSexAllEth191</v>
      </c>
      <c r="K24">
        <v>2005</v>
      </c>
      <c r="L24" t="s">
        <v>17</v>
      </c>
      <c r="M24" t="s">
        <v>27</v>
      </c>
      <c r="N24">
        <v>19</v>
      </c>
      <c r="O24">
        <v>1</v>
      </c>
      <c r="P24">
        <v>76</v>
      </c>
      <c r="Q24">
        <v>9.0900800329956297</v>
      </c>
      <c r="R24">
        <v>2</v>
      </c>
      <c r="T24" s="340" t="str">
        <f t="shared" si="4"/>
        <v>1996AllSexAllEth25Poisoning by gases and vapours</v>
      </c>
      <c r="U24">
        <v>1996</v>
      </c>
      <c r="V24" t="s">
        <v>17</v>
      </c>
      <c r="W24" t="s">
        <v>27</v>
      </c>
      <c r="X24">
        <v>25</v>
      </c>
      <c r="Y24" t="s">
        <v>46</v>
      </c>
      <c r="Z24">
        <v>13</v>
      </c>
      <c r="AA24">
        <v>66</v>
      </c>
      <c r="AB24">
        <v>19.7</v>
      </c>
      <c r="AD24" s="340" t="str">
        <f t="shared" si="5"/>
        <v>20122016AllSexAllEth19Unknown</v>
      </c>
      <c r="AE24" t="s">
        <v>17</v>
      </c>
      <c r="AF24" t="s">
        <v>27</v>
      </c>
      <c r="AG24">
        <v>19</v>
      </c>
      <c r="AH24">
        <v>98</v>
      </c>
      <c r="AI24" t="s">
        <v>75</v>
      </c>
      <c r="AJ24">
        <v>11</v>
      </c>
      <c r="AK24">
        <v>0</v>
      </c>
      <c r="AL24">
        <v>0</v>
      </c>
      <c r="AM24" t="s">
        <v>83</v>
      </c>
      <c r="AN24">
        <v>20122016</v>
      </c>
      <c r="AY24" t="str">
        <f t="shared" si="2"/>
        <v>2003MaleRural24</v>
      </c>
      <c r="AZ24">
        <v>2003</v>
      </c>
      <c r="BA24" t="s">
        <v>20</v>
      </c>
      <c r="BB24" t="s">
        <v>96</v>
      </c>
      <c r="BC24">
        <v>24</v>
      </c>
      <c r="BD24">
        <v>8</v>
      </c>
      <c r="BE24">
        <v>9.9539629214881202</v>
      </c>
      <c r="BF24">
        <v>6.9</v>
      </c>
      <c r="BH24" t="str">
        <f t="shared" si="7"/>
        <v>2016FemaleAllEth7</v>
      </c>
      <c r="BI24">
        <v>2016</v>
      </c>
      <c r="BJ24" t="s">
        <v>8</v>
      </c>
      <c r="BK24" t="s">
        <v>27</v>
      </c>
      <c r="BL24">
        <v>7</v>
      </c>
      <c r="BM24">
        <v>11</v>
      </c>
      <c r="BN24">
        <v>7.1243523316062198</v>
      </c>
      <c r="BO24">
        <v>4.2</v>
      </c>
      <c r="BP24">
        <v>69</v>
      </c>
      <c r="BQ24">
        <v>15.9</v>
      </c>
      <c r="BS24" t="str">
        <f t="shared" si="3"/>
        <v>MaleMaori22</v>
      </c>
      <c r="BT24" t="s">
        <v>20</v>
      </c>
      <c r="BU24" t="s">
        <v>18</v>
      </c>
      <c r="BV24">
        <v>22</v>
      </c>
      <c r="BW24">
        <v>140</v>
      </c>
      <c r="BX24">
        <v>42.331881954523503</v>
      </c>
      <c r="BY24">
        <v>7</v>
      </c>
      <c r="CA24" t="str">
        <f t="shared" si="8"/>
        <v>FemaleAsian191</v>
      </c>
      <c r="CB24" t="s">
        <v>8</v>
      </c>
      <c r="CC24" t="s">
        <v>78</v>
      </c>
      <c r="CD24">
        <v>19</v>
      </c>
      <c r="CE24">
        <v>1</v>
      </c>
      <c r="CF24">
        <v>6</v>
      </c>
      <c r="CG24">
        <v>2.2660423214890399</v>
      </c>
      <c r="CH24">
        <v>1.8</v>
      </c>
      <c r="CJ24" t="str">
        <f t="shared" si="9"/>
        <v>AllSexAllEth23Poisoning by gases and vapours</v>
      </c>
      <c r="CK24" t="s">
        <v>17</v>
      </c>
      <c r="CL24" t="s">
        <v>27</v>
      </c>
      <c r="CM24" t="s">
        <v>46</v>
      </c>
      <c r="CN24">
        <v>23</v>
      </c>
      <c r="CO24">
        <v>81</v>
      </c>
      <c r="CP24">
        <v>910</v>
      </c>
      <c r="CQ24">
        <v>8.9</v>
      </c>
      <c r="CT24" t="str">
        <f t="shared" si="10"/>
        <v>2003AllSexNon-Maori9</v>
      </c>
      <c r="CU24">
        <v>2003</v>
      </c>
      <c r="CV24" t="s">
        <v>17</v>
      </c>
      <c r="CW24" t="s">
        <v>19</v>
      </c>
      <c r="CX24">
        <v>9</v>
      </c>
      <c r="CY24">
        <v>23</v>
      </c>
    </row>
    <row r="25" spans="1:107">
      <c r="A25" t="str">
        <f t="shared" si="0"/>
        <v>1996AllSexMaori19</v>
      </c>
      <c r="B25">
        <v>1996</v>
      </c>
      <c r="C25" t="s">
        <v>17</v>
      </c>
      <c r="D25" t="s">
        <v>18</v>
      </c>
      <c r="E25">
        <v>19</v>
      </c>
      <c r="F25">
        <v>97</v>
      </c>
      <c r="G25">
        <v>18.424036081023001</v>
      </c>
      <c r="H25">
        <v>3.7</v>
      </c>
      <c r="J25" s="340" t="str">
        <f t="shared" si="1"/>
        <v>2005AllSexAllEth192</v>
      </c>
      <c r="K25">
        <v>2005</v>
      </c>
      <c r="L25" t="s">
        <v>17</v>
      </c>
      <c r="M25" t="s">
        <v>27</v>
      </c>
      <c r="N25">
        <v>19</v>
      </c>
      <c r="O25">
        <v>2</v>
      </c>
      <c r="P25">
        <v>72</v>
      </c>
      <c r="Q25">
        <v>8.3548178501638102</v>
      </c>
      <c r="R25">
        <v>1.9</v>
      </c>
      <c r="T25" s="340" t="str">
        <f t="shared" si="4"/>
        <v>1996AllSexAllEth21Poisoning by solids and liquids</v>
      </c>
      <c r="U25">
        <v>1996</v>
      </c>
      <c r="V25" t="s">
        <v>17</v>
      </c>
      <c r="W25" t="s">
        <v>27</v>
      </c>
      <c r="X25">
        <v>21</v>
      </c>
      <c r="Y25" t="s">
        <v>47</v>
      </c>
      <c r="Z25">
        <v>1</v>
      </c>
      <c r="AA25">
        <v>7</v>
      </c>
      <c r="AB25">
        <v>14.3</v>
      </c>
      <c r="AD25" s="340" t="str">
        <f t="shared" si="5"/>
        <v>20122016AllSexAllEth22Auckland</v>
      </c>
      <c r="AE25" t="s">
        <v>17</v>
      </c>
      <c r="AF25" t="s">
        <v>27</v>
      </c>
      <c r="AG25">
        <v>22</v>
      </c>
      <c r="AH25">
        <v>3</v>
      </c>
      <c r="AI25" t="s">
        <v>56</v>
      </c>
      <c r="AJ25">
        <v>42</v>
      </c>
      <c r="AK25">
        <v>10.8108108108108</v>
      </c>
      <c r="AL25">
        <v>4.3</v>
      </c>
      <c r="AM25" t="s">
        <v>83</v>
      </c>
      <c r="AN25">
        <v>20122016</v>
      </c>
      <c r="AY25" t="str">
        <f t="shared" si="2"/>
        <v>2003MaleUrban24</v>
      </c>
      <c r="AZ25">
        <v>2003</v>
      </c>
      <c r="BA25" t="s">
        <v>20</v>
      </c>
      <c r="BB25" t="s">
        <v>97</v>
      </c>
      <c r="BC25">
        <v>24</v>
      </c>
      <c r="BD25">
        <v>81</v>
      </c>
      <c r="BE25">
        <v>21.833472600339601</v>
      </c>
      <c r="BF25">
        <v>4.8</v>
      </c>
      <c r="BH25" t="str">
        <f t="shared" si="7"/>
        <v>2016FemaleAllEth8</v>
      </c>
      <c r="BI25">
        <v>2016</v>
      </c>
      <c r="BJ25" t="s">
        <v>8</v>
      </c>
      <c r="BK25" t="s">
        <v>27</v>
      </c>
      <c r="BL25">
        <v>8</v>
      </c>
      <c r="BM25">
        <v>10</v>
      </c>
      <c r="BN25">
        <v>6.8808917635725599</v>
      </c>
      <c r="BO25">
        <v>4.3</v>
      </c>
      <c r="BP25">
        <v>89</v>
      </c>
      <c r="BQ25">
        <v>11.2</v>
      </c>
      <c r="BS25" t="str">
        <f t="shared" si="3"/>
        <v>MalePacific22</v>
      </c>
      <c r="BT25" t="s">
        <v>20</v>
      </c>
      <c r="BU25" t="s">
        <v>79</v>
      </c>
      <c r="BV25">
        <v>22</v>
      </c>
      <c r="BW25">
        <v>36</v>
      </c>
      <c r="BX25">
        <v>26.117237376668601</v>
      </c>
      <c r="BY25">
        <v>8.5</v>
      </c>
      <c r="CA25" t="str">
        <f t="shared" si="8"/>
        <v>FemaleAsian192</v>
      </c>
      <c r="CB25" t="s">
        <v>8</v>
      </c>
      <c r="CC25" t="s">
        <v>78</v>
      </c>
      <c r="CD25">
        <v>19</v>
      </c>
      <c r="CE25">
        <v>2</v>
      </c>
      <c r="CF25">
        <v>8</v>
      </c>
      <c r="CG25">
        <v>2.40790348061191</v>
      </c>
      <c r="CH25">
        <v>1.7</v>
      </c>
      <c r="CJ25" t="str">
        <f t="shared" si="9"/>
        <v>AllSexAllEth24Poisoning by gases and vapours</v>
      </c>
      <c r="CK25" t="s">
        <v>17</v>
      </c>
      <c r="CL25" t="s">
        <v>27</v>
      </c>
      <c r="CM25" t="s">
        <v>46</v>
      </c>
      <c r="CN25">
        <v>24</v>
      </c>
      <c r="CO25">
        <v>97</v>
      </c>
      <c r="CP25">
        <v>838</v>
      </c>
      <c r="CQ25">
        <v>11.6</v>
      </c>
      <c r="CT25" t="str">
        <f t="shared" si="10"/>
        <v>2003FemaleAllEth9</v>
      </c>
      <c r="CU25">
        <v>2003</v>
      </c>
      <c r="CV25" t="s">
        <v>8</v>
      </c>
      <c r="CW25" t="s">
        <v>27</v>
      </c>
      <c r="CX25">
        <v>9</v>
      </c>
      <c r="CY25">
        <v>12</v>
      </c>
    </row>
    <row r="26" spans="1:107">
      <c r="A26" t="str">
        <f t="shared" si="0"/>
        <v>1997AllSexMaori19</v>
      </c>
      <c r="B26">
        <v>1997</v>
      </c>
      <c r="C26" t="s">
        <v>17</v>
      </c>
      <c r="D26" t="s">
        <v>18</v>
      </c>
      <c r="E26">
        <v>19</v>
      </c>
      <c r="F26">
        <v>106</v>
      </c>
      <c r="G26">
        <v>19.8982046762785</v>
      </c>
      <c r="H26">
        <v>3.8</v>
      </c>
      <c r="J26" s="340" t="str">
        <f t="shared" si="1"/>
        <v>2005AllSexAllEth193</v>
      </c>
      <c r="K26">
        <v>2005</v>
      </c>
      <c r="L26" t="s">
        <v>17</v>
      </c>
      <c r="M26" t="s">
        <v>27</v>
      </c>
      <c r="N26">
        <v>19</v>
      </c>
      <c r="O26">
        <v>3</v>
      </c>
      <c r="P26">
        <v>87</v>
      </c>
      <c r="Q26">
        <v>10.014806359447499</v>
      </c>
      <c r="R26">
        <v>2.1</v>
      </c>
      <c r="T26" s="340" t="str">
        <f t="shared" si="4"/>
        <v>1996AllSexAllEth22Poisoning by solids and liquids</v>
      </c>
      <c r="U26">
        <v>1996</v>
      </c>
      <c r="V26" t="s">
        <v>17</v>
      </c>
      <c r="W26" t="s">
        <v>27</v>
      </c>
      <c r="X26">
        <v>22</v>
      </c>
      <c r="Y26" t="s">
        <v>47</v>
      </c>
      <c r="Z26">
        <v>14</v>
      </c>
      <c r="AA26">
        <v>143</v>
      </c>
      <c r="AB26">
        <v>9.8000000000000007</v>
      </c>
      <c r="AD26" s="340" t="str">
        <f t="shared" si="5"/>
        <v>20122016AllSexAllEth22Bay of Plenty</v>
      </c>
      <c r="AE26" t="s">
        <v>17</v>
      </c>
      <c r="AF26" t="s">
        <v>27</v>
      </c>
      <c r="AG26">
        <v>22</v>
      </c>
      <c r="AH26">
        <v>7</v>
      </c>
      <c r="AI26" t="s">
        <v>60</v>
      </c>
      <c r="AJ26">
        <v>31</v>
      </c>
      <c r="AK26">
        <v>23.923444976076599</v>
      </c>
      <c r="AL26">
        <v>11.1</v>
      </c>
      <c r="AM26" t="s">
        <v>82</v>
      </c>
      <c r="AN26">
        <v>20122016</v>
      </c>
      <c r="AY26" t="str">
        <f t="shared" si="2"/>
        <v>2003MaleRural25</v>
      </c>
      <c r="AZ26">
        <v>2003</v>
      </c>
      <c r="BA26" t="s">
        <v>20</v>
      </c>
      <c r="BB26" t="s">
        <v>96</v>
      </c>
      <c r="BC26">
        <v>25</v>
      </c>
      <c r="BD26">
        <v>6</v>
      </c>
      <c r="BE26">
        <v>20.8478109798471</v>
      </c>
      <c r="BF26">
        <v>16.7</v>
      </c>
      <c r="BH26" t="str">
        <f t="shared" si="7"/>
        <v>2016FemaleAllEth9</v>
      </c>
      <c r="BI26">
        <v>2016</v>
      </c>
      <c r="BJ26" t="s">
        <v>8</v>
      </c>
      <c r="BK26" t="s">
        <v>27</v>
      </c>
      <c r="BL26">
        <v>9</v>
      </c>
      <c r="BM26">
        <v>18</v>
      </c>
      <c r="BN26">
        <v>11.4176974310181</v>
      </c>
      <c r="BO26">
        <v>5.3</v>
      </c>
      <c r="BP26">
        <v>157</v>
      </c>
      <c r="BQ26">
        <v>11.5</v>
      </c>
      <c r="BS26" t="str">
        <f t="shared" si="3"/>
        <v>MaleAsian22</v>
      </c>
      <c r="BT26" t="s">
        <v>20</v>
      </c>
      <c r="BU26" t="s">
        <v>78</v>
      </c>
      <c r="BV26">
        <v>22</v>
      </c>
      <c r="BW26">
        <v>24</v>
      </c>
      <c r="BX26">
        <v>9.4488188976377998</v>
      </c>
      <c r="BY26">
        <v>3.8</v>
      </c>
      <c r="CA26" t="str">
        <f t="shared" si="8"/>
        <v>FemaleAsian193</v>
      </c>
      <c r="CB26" t="s">
        <v>8</v>
      </c>
      <c r="CC26" t="s">
        <v>78</v>
      </c>
      <c r="CD26">
        <v>19</v>
      </c>
      <c r="CE26">
        <v>3</v>
      </c>
      <c r="CF26">
        <v>3</v>
      </c>
      <c r="CG26">
        <v>0.82045067410122297</v>
      </c>
      <c r="CH26">
        <v>0.9</v>
      </c>
      <c r="CJ26" t="str">
        <f t="shared" si="9"/>
        <v>AllSexAllEth25Poisoning by gases and vapours</v>
      </c>
      <c r="CK26" t="s">
        <v>17</v>
      </c>
      <c r="CL26" t="s">
        <v>27</v>
      </c>
      <c r="CM26" t="s">
        <v>46</v>
      </c>
      <c r="CN26">
        <v>25</v>
      </c>
      <c r="CO26">
        <v>23</v>
      </c>
      <c r="CP26">
        <v>301</v>
      </c>
      <c r="CQ26">
        <v>7.6</v>
      </c>
      <c r="CT26" t="str">
        <f t="shared" si="10"/>
        <v>2003FemaleMaori9</v>
      </c>
      <c r="CU26">
        <v>2003</v>
      </c>
      <c r="CV26" t="s">
        <v>8</v>
      </c>
      <c r="CW26" t="s">
        <v>18</v>
      </c>
      <c r="CX26">
        <v>9</v>
      </c>
      <c r="CY26">
        <v>1</v>
      </c>
    </row>
    <row r="27" spans="1:107">
      <c r="A27" t="str">
        <f t="shared" si="0"/>
        <v>1998AllSexMaori19</v>
      </c>
      <c r="B27">
        <v>1998</v>
      </c>
      <c r="C27" t="s">
        <v>17</v>
      </c>
      <c r="D27" t="s">
        <v>18</v>
      </c>
      <c r="E27">
        <v>19</v>
      </c>
      <c r="F27">
        <v>112</v>
      </c>
      <c r="G27">
        <v>20.911450065459601</v>
      </c>
      <c r="H27">
        <v>3.9</v>
      </c>
      <c r="J27" s="340" t="str">
        <f t="shared" si="1"/>
        <v>2005AllSexAllEth194</v>
      </c>
      <c r="K27">
        <v>2005</v>
      </c>
      <c r="L27" t="s">
        <v>17</v>
      </c>
      <c r="M27" t="s">
        <v>27</v>
      </c>
      <c r="N27">
        <v>19</v>
      </c>
      <c r="O27">
        <v>4</v>
      </c>
      <c r="P27">
        <v>125</v>
      </c>
      <c r="Q27">
        <v>14.889497808842499</v>
      </c>
      <c r="R27">
        <v>2.6</v>
      </c>
      <c r="T27" s="340" t="str">
        <f t="shared" si="4"/>
        <v>1996AllSexAllEth23Poisoning by solids and liquids</v>
      </c>
      <c r="U27">
        <v>1996</v>
      </c>
      <c r="V27" t="s">
        <v>17</v>
      </c>
      <c r="W27" t="s">
        <v>27</v>
      </c>
      <c r="X27">
        <v>23</v>
      </c>
      <c r="Y27" t="s">
        <v>47</v>
      </c>
      <c r="Z27">
        <v>18</v>
      </c>
      <c r="AA27">
        <v>222</v>
      </c>
      <c r="AB27">
        <v>8.1</v>
      </c>
      <c r="AD27" s="340" t="str">
        <f t="shared" si="5"/>
        <v>20122016AllSexAllEth22Canterbury</v>
      </c>
      <c r="AE27" t="s">
        <v>17</v>
      </c>
      <c r="AF27" t="s">
        <v>27</v>
      </c>
      <c r="AG27">
        <v>22</v>
      </c>
      <c r="AH27">
        <v>18</v>
      </c>
      <c r="AI27" t="s">
        <v>71</v>
      </c>
      <c r="AJ27">
        <v>58</v>
      </c>
      <c r="AK27">
        <v>15.742474825611399</v>
      </c>
      <c r="AL27">
        <v>5.3</v>
      </c>
      <c r="AM27" t="s">
        <v>82</v>
      </c>
      <c r="AN27">
        <v>20122016</v>
      </c>
      <c r="AY27" t="str">
        <f t="shared" si="2"/>
        <v>2003MaleUrban25</v>
      </c>
      <c r="AZ27">
        <v>2003</v>
      </c>
      <c r="BA27" t="s">
        <v>20</v>
      </c>
      <c r="BB27" t="s">
        <v>97</v>
      </c>
      <c r="BC27">
        <v>25</v>
      </c>
      <c r="BD27">
        <v>36</v>
      </c>
      <c r="BE27">
        <v>19.8906016907011</v>
      </c>
      <c r="BF27">
        <v>6.5</v>
      </c>
      <c r="BH27" t="str">
        <f t="shared" si="7"/>
        <v>2016FemaleAllEth10</v>
      </c>
      <c r="BI27">
        <v>2016</v>
      </c>
      <c r="BJ27" t="s">
        <v>8</v>
      </c>
      <c r="BK27" t="s">
        <v>27</v>
      </c>
      <c r="BL27">
        <v>10</v>
      </c>
      <c r="BM27">
        <v>17</v>
      </c>
      <c r="BN27">
        <v>10.2261790182868</v>
      </c>
      <c r="BO27">
        <v>4.9000000000000004</v>
      </c>
      <c r="BP27">
        <v>284</v>
      </c>
      <c r="BQ27">
        <v>6</v>
      </c>
      <c r="BS27" t="str">
        <f t="shared" si="3"/>
        <v>MaleOther22</v>
      </c>
      <c r="BT27" t="s">
        <v>20</v>
      </c>
      <c r="BU27" t="s">
        <v>45</v>
      </c>
      <c r="BV27">
        <v>22</v>
      </c>
      <c r="BW27">
        <v>204</v>
      </c>
      <c r="BX27">
        <v>22.085092562520298</v>
      </c>
      <c r="BY27">
        <v>3</v>
      </c>
      <c r="CA27" t="str">
        <f t="shared" si="8"/>
        <v>FemaleAsian194</v>
      </c>
      <c r="CB27" t="s">
        <v>8</v>
      </c>
      <c r="CC27" t="s">
        <v>78</v>
      </c>
      <c r="CD27">
        <v>19</v>
      </c>
      <c r="CE27">
        <v>4</v>
      </c>
      <c r="CF27">
        <v>8</v>
      </c>
      <c r="CG27">
        <v>2.3748596784129301</v>
      </c>
      <c r="CH27">
        <v>1.6</v>
      </c>
      <c r="CJ27" t="str">
        <f t="shared" si="9"/>
        <v>AllSexAllEth21Poisoning by solids and liquids</v>
      </c>
      <c r="CK27" t="s">
        <v>17</v>
      </c>
      <c r="CL27" t="s">
        <v>27</v>
      </c>
      <c r="CM27" t="s">
        <v>47</v>
      </c>
      <c r="CN27">
        <v>21</v>
      </c>
      <c r="CO27">
        <v>1</v>
      </c>
      <c r="CP27">
        <v>36</v>
      </c>
      <c r="CQ27">
        <v>2.8</v>
      </c>
      <c r="CT27" t="str">
        <f t="shared" si="10"/>
        <v>2003FemaleNon-Maori9</v>
      </c>
      <c r="CU27">
        <v>2003</v>
      </c>
      <c r="CV27" t="s">
        <v>8</v>
      </c>
      <c r="CW27" t="s">
        <v>19</v>
      </c>
      <c r="CX27">
        <v>9</v>
      </c>
      <c r="CY27">
        <v>11</v>
      </c>
    </row>
    <row r="28" spans="1:107">
      <c r="A28" t="str">
        <f t="shared" si="0"/>
        <v>1999AllSexMaori19</v>
      </c>
      <c r="B28">
        <v>1999</v>
      </c>
      <c r="C28" t="s">
        <v>17</v>
      </c>
      <c r="D28" t="s">
        <v>18</v>
      </c>
      <c r="E28">
        <v>19</v>
      </c>
      <c r="F28">
        <v>79</v>
      </c>
      <c r="G28">
        <v>13.680080488400799</v>
      </c>
      <c r="H28">
        <v>3</v>
      </c>
      <c r="J28" s="340" t="str">
        <f t="shared" si="1"/>
        <v>2005AllSexAllEth195</v>
      </c>
      <c r="K28">
        <v>2005</v>
      </c>
      <c r="L28" t="s">
        <v>17</v>
      </c>
      <c r="M28" t="s">
        <v>27</v>
      </c>
      <c r="N28">
        <v>19</v>
      </c>
      <c r="O28">
        <v>5</v>
      </c>
      <c r="P28">
        <v>131</v>
      </c>
      <c r="Q28">
        <v>16.4250668499181</v>
      </c>
      <c r="R28">
        <v>2.8</v>
      </c>
      <c r="T28" s="340" t="str">
        <f t="shared" si="4"/>
        <v>1996AllSexAllEth24Poisoning by solids and liquids</v>
      </c>
      <c r="U28">
        <v>1996</v>
      </c>
      <c r="V28" t="s">
        <v>17</v>
      </c>
      <c r="W28" t="s">
        <v>27</v>
      </c>
      <c r="X28">
        <v>24</v>
      </c>
      <c r="Y28" t="s">
        <v>47</v>
      </c>
      <c r="Z28">
        <v>12</v>
      </c>
      <c r="AA28">
        <v>102</v>
      </c>
      <c r="AB28">
        <v>11.8</v>
      </c>
      <c r="AD28" s="340" t="str">
        <f t="shared" si="5"/>
        <v>20122016AllSexAllEth22Capital &amp; Coast</v>
      </c>
      <c r="AE28" t="s">
        <v>17</v>
      </c>
      <c r="AF28" t="s">
        <v>27</v>
      </c>
      <c r="AG28">
        <v>22</v>
      </c>
      <c r="AH28">
        <v>13</v>
      </c>
      <c r="AI28" t="s">
        <v>66</v>
      </c>
      <c r="AJ28">
        <v>31</v>
      </c>
      <c r="AK28">
        <v>13.1361498368575</v>
      </c>
      <c r="AL28">
        <v>6.1</v>
      </c>
      <c r="AM28" t="s">
        <v>82</v>
      </c>
      <c r="AN28">
        <v>20122016</v>
      </c>
      <c r="AY28" t="str">
        <f t="shared" si="2"/>
        <v>2004AllSexRural22</v>
      </c>
      <c r="AZ28">
        <v>2004</v>
      </c>
      <c r="BA28" t="s">
        <v>17</v>
      </c>
      <c r="BB28" t="s">
        <v>96</v>
      </c>
      <c r="BC28">
        <v>22</v>
      </c>
      <c r="BD28">
        <v>10</v>
      </c>
      <c r="BE28">
        <v>17.003910899506899</v>
      </c>
      <c r="BF28">
        <v>10.5</v>
      </c>
      <c r="BH28" t="str">
        <f t="shared" si="7"/>
        <v>2016FemaleAllEth11</v>
      </c>
      <c r="BI28">
        <v>2016</v>
      </c>
      <c r="BJ28" t="s">
        <v>8</v>
      </c>
      <c r="BK28" t="s">
        <v>27</v>
      </c>
      <c r="BL28">
        <v>11</v>
      </c>
      <c r="BM28">
        <v>11</v>
      </c>
      <c r="BN28">
        <v>6.7142769944454601</v>
      </c>
      <c r="BO28">
        <v>4</v>
      </c>
      <c r="BP28">
        <v>419</v>
      </c>
      <c r="BQ28">
        <v>2.6</v>
      </c>
      <c r="BS28" t="str">
        <f t="shared" si="3"/>
        <v>AllSexMaori23</v>
      </c>
      <c r="BT28" t="s">
        <v>17</v>
      </c>
      <c r="BU28" t="s">
        <v>18</v>
      </c>
      <c r="BV28">
        <v>23</v>
      </c>
      <c r="BW28">
        <v>247</v>
      </c>
      <c r="BX28">
        <v>28.975646379803901</v>
      </c>
      <c r="BY28">
        <v>3.6</v>
      </c>
      <c r="CA28" t="str">
        <f t="shared" si="8"/>
        <v>FemaleAsian195</v>
      </c>
      <c r="CB28" t="s">
        <v>8</v>
      </c>
      <c r="CC28" t="s">
        <v>78</v>
      </c>
      <c r="CD28">
        <v>19</v>
      </c>
      <c r="CE28">
        <v>5</v>
      </c>
      <c r="CF28">
        <v>12</v>
      </c>
      <c r="CG28">
        <v>5.00007505480347</v>
      </c>
      <c r="CH28">
        <v>2.8</v>
      </c>
      <c r="CJ28" t="str">
        <f t="shared" si="9"/>
        <v>AllSexAllEth22Poisoning by solids and liquids</v>
      </c>
      <c r="CK28" t="s">
        <v>17</v>
      </c>
      <c r="CL28" t="s">
        <v>27</v>
      </c>
      <c r="CM28" t="s">
        <v>47</v>
      </c>
      <c r="CN28">
        <v>22</v>
      </c>
      <c r="CO28">
        <v>17</v>
      </c>
      <c r="CP28">
        <v>571</v>
      </c>
      <c r="CQ28">
        <v>3</v>
      </c>
      <c r="CT28" t="str">
        <f t="shared" si="10"/>
        <v>2003MaleAllEth9</v>
      </c>
      <c r="CU28">
        <v>2003</v>
      </c>
      <c r="CV28" t="s">
        <v>20</v>
      </c>
      <c r="CW28" t="s">
        <v>27</v>
      </c>
      <c r="CX28">
        <v>9</v>
      </c>
      <c r="CY28">
        <v>14</v>
      </c>
    </row>
    <row r="29" spans="1:107">
      <c r="A29" t="str">
        <f t="shared" si="0"/>
        <v>2000AllSexMaori19</v>
      </c>
      <c r="B29">
        <v>2000</v>
      </c>
      <c r="C29" t="s">
        <v>17</v>
      </c>
      <c r="D29" t="s">
        <v>18</v>
      </c>
      <c r="E29">
        <v>19</v>
      </c>
      <c r="F29">
        <v>80</v>
      </c>
      <c r="G29">
        <v>15.0216247954586</v>
      </c>
      <c r="H29">
        <v>3.3</v>
      </c>
      <c r="J29" s="340" t="str">
        <f t="shared" si="1"/>
        <v>2006AllSexAllEth191</v>
      </c>
      <c r="K29">
        <v>2006</v>
      </c>
      <c r="L29" t="s">
        <v>17</v>
      </c>
      <c r="M29" t="s">
        <v>27</v>
      </c>
      <c r="N29">
        <v>19</v>
      </c>
      <c r="O29">
        <v>1</v>
      </c>
      <c r="P29">
        <v>67</v>
      </c>
      <c r="Q29">
        <v>7.7829388850515304</v>
      </c>
      <c r="R29">
        <v>1.9</v>
      </c>
      <c r="T29" s="340" t="str">
        <f t="shared" si="4"/>
        <v>1996AllSexAllEth25Poisoning by solids and liquids</v>
      </c>
      <c r="U29">
        <v>1996</v>
      </c>
      <c r="V29" t="s">
        <v>17</v>
      </c>
      <c r="W29" t="s">
        <v>27</v>
      </c>
      <c r="X29">
        <v>25</v>
      </c>
      <c r="Y29" t="s">
        <v>47</v>
      </c>
      <c r="Z29">
        <v>14</v>
      </c>
      <c r="AA29">
        <v>66</v>
      </c>
      <c r="AB29">
        <v>21.2</v>
      </c>
      <c r="AD29" s="340" t="str">
        <f t="shared" si="5"/>
        <v>20122016AllSexAllEth22Counties Manukau</v>
      </c>
      <c r="AE29" t="s">
        <v>17</v>
      </c>
      <c r="AF29" t="s">
        <v>27</v>
      </c>
      <c r="AG29">
        <v>22</v>
      </c>
      <c r="AH29">
        <v>4</v>
      </c>
      <c r="AI29" t="s">
        <v>57</v>
      </c>
      <c r="AJ29">
        <v>61</v>
      </c>
      <c r="AK29">
        <v>15.439910904120699</v>
      </c>
      <c r="AL29">
        <v>5.0999999999999996</v>
      </c>
      <c r="AM29" t="s">
        <v>82</v>
      </c>
      <c r="AN29">
        <v>20122016</v>
      </c>
      <c r="AY29" t="str">
        <f t="shared" si="2"/>
        <v>2004AllSexUrban22</v>
      </c>
      <c r="AZ29">
        <v>2004</v>
      </c>
      <c r="BA29" t="s">
        <v>17</v>
      </c>
      <c r="BB29" t="s">
        <v>97</v>
      </c>
      <c r="BC29">
        <v>22</v>
      </c>
      <c r="BD29">
        <v>100</v>
      </c>
      <c r="BE29">
        <v>18.9879426564132</v>
      </c>
      <c r="BF29">
        <v>3.7</v>
      </c>
      <c r="BH29" t="str">
        <f t="shared" si="7"/>
        <v>2016FemaleAllEth12</v>
      </c>
      <c r="BI29">
        <v>2016</v>
      </c>
      <c r="BJ29" t="s">
        <v>8</v>
      </c>
      <c r="BK29" t="s">
        <v>27</v>
      </c>
      <c r="BL29">
        <v>12</v>
      </c>
      <c r="BM29">
        <v>12</v>
      </c>
      <c r="BN29">
        <v>7.8575170246202202</v>
      </c>
      <c r="BO29">
        <v>4.4000000000000004</v>
      </c>
      <c r="BP29">
        <v>533</v>
      </c>
      <c r="BQ29">
        <v>2.2999999999999998</v>
      </c>
      <c r="BS29" t="str">
        <f t="shared" si="3"/>
        <v>AllSexPacific23</v>
      </c>
      <c r="BT29" t="s">
        <v>17</v>
      </c>
      <c r="BU29" t="s">
        <v>79</v>
      </c>
      <c r="BV29">
        <v>23</v>
      </c>
      <c r="BW29">
        <v>34</v>
      </c>
      <c r="BX29">
        <v>8.6865435221379101</v>
      </c>
      <c r="BY29">
        <v>2.9</v>
      </c>
      <c r="CA29" t="str">
        <f t="shared" si="8"/>
        <v>FemaleMaori191</v>
      </c>
      <c r="CB29" t="s">
        <v>8</v>
      </c>
      <c r="CC29" t="s">
        <v>18</v>
      </c>
      <c r="CD29">
        <v>19</v>
      </c>
      <c r="CE29">
        <v>1</v>
      </c>
      <c r="CF29">
        <v>7</v>
      </c>
      <c r="CG29">
        <v>5.3182950861743796</v>
      </c>
      <c r="CH29">
        <v>3.9</v>
      </c>
      <c r="CJ29" t="str">
        <f t="shared" si="9"/>
        <v>AllSexAllEth23Poisoning by solids and liquids</v>
      </c>
      <c r="CK29" t="s">
        <v>17</v>
      </c>
      <c r="CL29" t="s">
        <v>27</v>
      </c>
      <c r="CM29" t="s">
        <v>47</v>
      </c>
      <c r="CN29">
        <v>23</v>
      </c>
      <c r="CO29">
        <v>78</v>
      </c>
      <c r="CP29">
        <v>910</v>
      </c>
      <c r="CQ29">
        <v>8.6</v>
      </c>
      <c r="CT29" t="str">
        <f t="shared" si="10"/>
        <v>2003MaleMaori9</v>
      </c>
      <c r="CU29">
        <v>2003</v>
      </c>
      <c r="CV29" t="s">
        <v>20</v>
      </c>
      <c r="CW29" t="s">
        <v>18</v>
      </c>
      <c r="CX29">
        <v>9</v>
      </c>
      <c r="CY29">
        <v>2</v>
      </c>
    </row>
    <row r="30" spans="1:107">
      <c r="A30" t="str">
        <f t="shared" si="0"/>
        <v>2001AllSexMaori19</v>
      </c>
      <c r="B30">
        <v>2001</v>
      </c>
      <c r="C30" t="s">
        <v>17</v>
      </c>
      <c r="D30" t="s">
        <v>18</v>
      </c>
      <c r="E30">
        <v>19</v>
      </c>
      <c r="F30">
        <v>79</v>
      </c>
      <c r="G30">
        <v>14.087317407503001</v>
      </c>
      <c r="H30">
        <v>3.1</v>
      </c>
      <c r="J30" s="340" t="str">
        <f t="shared" si="1"/>
        <v>2006AllSexAllEth192</v>
      </c>
      <c r="K30">
        <v>2006</v>
      </c>
      <c r="L30" t="s">
        <v>17</v>
      </c>
      <c r="M30" t="s">
        <v>27</v>
      </c>
      <c r="N30">
        <v>19</v>
      </c>
      <c r="O30">
        <v>2</v>
      </c>
      <c r="P30">
        <v>89</v>
      </c>
      <c r="Q30">
        <v>9.8647821715884607</v>
      </c>
      <c r="R30">
        <v>2</v>
      </c>
      <c r="T30" s="340" t="str">
        <f t="shared" si="4"/>
        <v>1996AllSexAllEth23Sharp object</v>
      </c>
      <c r="U30">
        <v>1996</v>
      </c>
      <c r="V30" t="s">
        <v>17</v>
      </c>
      <c r="W30" t="s">
        <v>27</v>
      </c>
      <c r="X30">
        <v>23</v>
      </c>
      <c r="Y30" t="s">
        <v>48</v>
      </c>
      <c r="Z30">
        <v>3</v>
      </c>
      <c r="AA30">
        <v>222</v>
      </c>
      <c r="AB30">
        <v>1.4</v>
      </c>
      <c r="AD30" s="340" t="str">
        <f t="shared" si="5"/>
        <v>20122016AllSexAllEth22Hawke's Bay</v>
      </c>
      <c r="AE30" t="s">
        <v>17</v>
      </c>
      <c r="AF30" t="s">
        <v>27</v>
      </c>
      <c r="AG30">
        <v>22</v>
      </c>
      <c r="AH30">
        <v>9</v>
      </c>
      <c r="AI30" t="s">
        <v>62</v>
      </c>
      <c r="AJ30">
        <v>26</v>
      </c>
      <c r="AK30">
        <v>26.281208935611001</v>
      </c>
      <c r="AL30">
        <v>13.3</v>
      </c>
      <c r="AM30" t="s">
        <v>82</v>
      </c>
      <c r="AN30">
        <v>20122016</v>
      </c>
      <c r="AY30" t="str">
        <f t="shared" si="2"/>
        <v>2004AllSexRural23</v>
      </c>
      <c r="AZ30">
        <v>2004</v>
      </c>
      <c r="BA30" t="s">
        <v>17</v>
      </c>
      <c r="BB30" t="s">
        <v>96</v>
      </c>
      <c r="BC30">
        <v>23</v>
      </c>
      <c r="BD30">
        <v>28</v>
      </c>
      <c r="BE30">
        <v>17.783423308987</v>
      </c>
      <c r="BF30">
        <v>6.6</v>
      </c>
      <c r="BH30" t="str">
        <f t="shared" si="7"/>
        <v>2016FemaleAllEth13</v>
      </c>
      <c r="BI30">
        <v>2016</v>
      </c>
      <c r="BJ30" t="s">
        <v>8</v>
      </c>
      <c r="BK30" t="s">
        <v>27</v>
      </c>
      <c r="BL30">
        <v>13</v>
      </c>
      <c r="BM30">
        <v>4</v>
      </c>
      <c r="BN30">
        <v>3.02023557837511</v>
      </c>
      <c r="BO30">
        <v>3</v>
      </c>
      <c r="BP30">
        <v>674</v>
      </c>
      <c r="BQ30">
        <v>0.6</v>
      </c>
      <c r="BS30" t="str">
        <f t="shared" si="3"/>
        <v>AllSexAsian23</v>
      </c>
      <c r="BT30" t="s">
        <v>17</v>
      </c>
      <c r="BU30" t="s">
        <v>78</v>
      </c>
      <c r="BV30">
        <v>23</v>
      </c>
      <c r="BW30">
        <v>46</v>
      </c>
      <c r="BX30">
        <v>4.5585626653717704</v>
      </c>
      <c r="BY30">
        <v>1.3</v>
      </c>
      <c r="CA30" t="str">
        <f t="shared" si="8"/>
        <v>FemaleMaori192</v>
      </c>
      <c r="CB30" t="s">
        <v>8</v>
      </c>
      <c r="CC30" t="s">
        <v>18</v>
      </c>
      <c r="CD30">
        <v>19</v>
      </c>
      <c r="CE30">
        <v>2</v>
      </c>
      <c r="CF30">
        <v>14</v>
      </c>
      <c r="CG30">
        <v>7.2437387402834403</v>
      </c>
      <c r="CH30">
        <v>3.8</v>
      </c>
      <c r="CJ30" t="str">
        <f t="shared" si="9"/>
        <v>AllSexAllEth24Poisoning by solids and liquids</v>
      </c>
      <c r="CK30" t="s">
        <v>17</v>
      </c>
      <c r="CL30" t="s">
        <v>27</v>
      </c>
      <c r="CM30" t="s">
        <v>47</v>
      </c>
      <c r="CN30">
        <v>24</v>
      </c>
      <c r="CO30">
        <v>144</v>
      </c>
      <c r="CP30">
        <v>838</v>
      </c>
      <c r="CQ30">
        <v>17.2</v>
      </c>
      <c r="CT30" t="str">
        <f t="shared" si="10"/>
        <v>2003MaleNon-Maori9</v>
      </c>
      <c r="CU30">
        <v>2003</v>
      </c>
      <c r="CV30" t="s">
        <v>20</v>
      </c>
      <c r="CW30" t="s">
        <v>19</v>
      </c>
      <c r="CX30">
        <v>9</v>
      </c>
      <c r="CY30">
        <v>12</v>
      </c>
    </row>
    <row r="31" spans="1:107">
      <c r="A31" t="str">
        <f t="shared" si="0"/>
        <v>2002AllSexMaori19</v>
      </c>
      <c r="B31">
        <v>2002</v>
      </c>
      <c r="C31" t="s">
        <v>17</v>
      </c>
      <c r="D31" t="s">
        <v>18</v>
      </c>
      <c r="E31">
        <v>19</v>
      </c>
      <c r="F31">
        <v>80</v>
      </c>
      <c r="G31">
        <v>13.892088049665601</v>
      </c>
      <c r="H31">
        <v>3</v>
      </c>
      <c r="J31" s="340" t="str">
        <f t="shared" si="1"/>
        <v>2006AllSexAllEth193</v>
      </c>
      <c r="K31">
        <v>2006</v>
      </c>
      <c r="L31" t="s">
        <v>17</v>
      </c>
      <c r="M31" t="s">
        <v>27</v>
      </c>
      <c r="N31">
        <v>19</v>
      </c>
      <c r="O31">
        <v>3</v>
      </c>
      <c r="P31">
        <v>96</v>
      </c>
      <c r="Q31">
        <v>10.927855897608399</v>
      </c>
      <c r="R31">
        <v>2.2000000000000002</v>
      </c>
      <c r="T31" s="340" t="str">
        <f t="shared" si="4"/>
        <v>1996AllSexAllEth24Sharp object</v>
      </c>
      <c r="U31">
        <v>1996</v>
      </c>
      <c r="V31" t="s">
        <v>17</v>
      </c>
      <c r="W31" t="s">
        <v>27</v>
      </c>
      <c r="X31">
        <v>24</v>
      </c>
      <c r="Y31" t="s">
        <v>48</v>
      </c>
      <c r="Z31">
        <v>4</v>
      </c>
      <c r="AA31">
        <v>102</v>
      </c>
      <c r="AB31">
        <v>3.9</v>
      </c>
      <c r="AD31" s="340" t="str">
        <f t="shared" si="5"/>
        <v>20122016AllSexAllEth22Hutt Valley</v>
      </c>
      <c r="AE31" t="s">
        <v>17</v>
      </c>
      <c r="AF31" t="s">
        <v>27</v>
      </c>
      <c r="AG31">
        <v>22</v>
      </c>
      <c r="AH31">
        <v>14</v>
      </c>
      <c r="AI31" t="s">
        <v>67</v>
      </c>
      <c r="AJ31">
        <v>23</v>
      </c>
      <c r="AK31">
        <v>24.2616033755274</v>
      </c>
      <c r="AL31">
        <v>13</v>
      </c>
      <c r="AM31" t="s">
        <v>82</v>
      </c>
      <c r="AN31">
        <v>20122016</v>
      </c>
      <c r="AY31" t="str">
        <f t="shared" si="2"/>
        <v>2004AllSexUrban23</v>
      </c>
      <c r="AZ31">
        <v>2004</v>
      </c>
      <c r="BA31" t="s">
        <v>17</v>
      </c>
      <c r="BB31" t="s">
        <v>97</v>
      </c>
      <c r="BC31">
        <v>23</v>
      </c>
      <c r="BD31">
        <v>156</v>
      </c>
      <c r="BE31">
        <v>15.255530129672</v>
      </c>
      <c r="BF31">
        <v>2.4</v>
      </c>
      <c r="BH31" t="str">
        <f t="shared" si="7"/>
        <v>2016FemaleAllEth14</v>
      </c>
      <c r="BI31">
        <v>2016</v>
      </c>
      <c r="BJ31" t="s">
        <v>8</v>
      </c>
      <c r="BK31" t="s">
        <v>27</v>
      </c>
      <c r="BL31">
        <v>14</v>
      </c>
      <c r="BM31">
        <v>4</v>
      </c>
      <c r="BN31">
        <v>3.3557046979865799</v>
      </c>
      <c r="BO31">
        <v>3.3</v>
      </c>
      <c r="BP31">
        <v>1018</v>
      </c>
      <c r="BQ31">
        <v>0.4</v>
      </c>
      <c r="BS31" t="str">
        <f t="shared" si="3"/>
        <v>AllSexOther23</v>
      </c>
      <c r="BT31" t="s">
        <v>17</v>
      </c>
      <c r="BU31" t="s">
        <v>45</v>
      </c>
      <c r="BV31">
        <v>23</v>
      </c>
      <c r="BW31">
        <v>583</v>
      </c>
      <c r="BX31">
        <v>16.107864671833301</v>
      </c>
      <c r="BY31">
        <v>1.3</v>
      </c>
      <c r="CA31" t="str">
        <f t="shared" si="8"/>
        <v>FemaleMaori193</v>
      </c>
      <c r="CB31" t="s">
        <v>8</v>
      </c>
      <c r="CC31" t="s">
        <v>18</v>
      </c>
      <c r="CD31">
        <v>19</v>
      </c>
      <c r="CE31">
        <v>3</v>
      </c>
      <c r="CF31">
        <v>25</v>
      </c>
      <c r="CG31">
        <v>9.1474285444461092</v>
      </c>
      <c r="CH31">
        <v>3.6</v>
      </c>
      <c r="CJ31" t="str">
        <f t="shared" si="9"/>
        <v>AllSexAllEth25Poisoning by solids and liquids</v>
      </c>
      <c r="CK31" t="s">
        <v>17</v>
      </c>
      <c r="CL31" t="s">
        <v>27</v>
      </c>
      <c r="CM31" t="s">
        <v>47</v>
      </c>
      <c r="CN31">
        <v>25</v>
      </c>
      <c r="CO31">
        <v>62</v>
      </c>
      <c r="CP31">
        <v>301</v>
      </c>
      <c r="CQ31">
        <v>20.6</v>
      </c>
      <c r="CT31" t="str">
        <f t="shared" si="10"/>
        <v>2004AllSexAllEth9</v>
      </c>
      <c r="CU31">
        <v>2004</v>
      </c>
      <c r="CV31" t="s">
        <v>17</v>
      </c>
      <c r="CW31" t="s">
        <v>27</v>
      </c>
      <c r="CX31">
        <v>9</v>
      </c>
      <c r="CY31">
        <v>22</v>
      </c>
    </row>
    <row r="32" spans="1:107">
      <c r="A32" t="str">
        <f t="shared" si="0"/>
        <v>2003AllSexMaori19</v>
      </c>
      <c r="B32">
        <v>2003</v>
      </c>
      <c r="C32" t="s">
        <v>17</v>
      </c>
      <c r="D32" t="s">
        <v>18</v>
      </c>
      <c r="E32">
        <v>19</v>
      </c>
      <c r="F32">
        <v>87</v>
      </c>
      <c r="G32">
        <v>14.459643080013199</v>
      </c>
      <c r="H32">
        <v>3</v>
      </c>
      <c r="J32" s="340" t="str">
        <f t="shared" si="1"/>
        <v>2006AllSexAllEth194</v>
      </c>
      <c r="K32">
        <v>2006</v>
      </c>
      <c r="L32" t="s">
        <v>17</v>
      </c>
      <c r="M32" t="s">
        <v>27</v>
      </c>
      <c r="N32">
        <v>19</v>
      </c>
      <c r="O32">
        <v>4</v>
      </c>
      <c r="P32">
        <v>100</v>
      </c>
      <c r="Q32">
        <v>11.6604236929648</v>
      </c>
      <c r="R32">
        <v>2.2999999999999998</v>
      </c>
      <c r="T32" s="340" t="str">
        <f t="shared" si="4"/>
        <v>1996AllSexAllEth23Submersion (drowning)</v>
      </c>
      <c r="U32">
        <v>1996</v>
      </c>
      <c r="V32" t="s">
        <v>17</v>
      </c>
      <c r="W32" t="s">
        <v>27</v>
      </c>
      <c r="X32">
        <v>23</v>
      </c>
      <c r="Y32" t="s">
        <v>49</v>
      </c>
      <c r="Z32">
        <v>1</v>
      </c>
      <c r="AA32">
        <v>222</v>
      </c>
      <c r="AB32">
        <v>0.5</v>
      </c>
      <c r="AD32" s="340" t="str">
        <f t="shared" si="5"/>
        <v>20122016AllSexAllEth22Lakes</v>
      </c>
      <c r="AE32" t="s">
        <v>17</v>
      </c>
      <c r="AF32" t="s">
        <v>27</v>
      </c>
      <c r="AG32">
        <v>22</v>
      </c>
      <c r="AH32">
        <v>6</v>
      </c>
      <c r="AI32" t="s">
        <v>59</v>
      </c>
      <c r="AJ32">
        <v>26</v>
      </c>
      <c r="AK32">
        <v>38.507109004739299</v>
      </c>
      <c r="AL32">
        <v>19.5</v>
      </c>
      <c r="AM32" t="s">
        <v>84</v>
      </c>
      <c r="AN32">
        <v>20122016</v>
      </c>
      <c r="AY32" t="str">
        <f t="shared" si="2"/>
        <v>2004AllSexRural24</v>
      </c>
      <c r="AZ32">
        <v>2004</v>
      </c>
      <c r="BA32" t="s">
        <v>17</v>
      </c>
      <c r="BB32" t="s">
        <v>96</v>
      </c>
      <c r="BC32">
        <v>24</v>
      </c>
      <c r="BD32">
        <v>22</v>
      </c>
      <c r="BE32">
        <v>13.8078202472855</v>
      </c>
      <c r="BF32">
        <v>5.8</v>
      </c>
      <c r="BH32" t="str">
        <f t="shared" si="7"/>
        <v>2016FemaleAllEth15</v>
      </c>
      <c r="BI32">
        <v>2016</v>
      </c>
      <c r="BJ32" t="s">
        <v>8</v>
      </c>
      <c r="BK32" t="s">
        <v>27</v>
      </c>
      <c r="BL32">
        <v>15</v>
      </c>
      <c r="BM32">
        <v>3</v>
      </c>
      <c r="BN32">
        <v>3.3955857385399</v>
      </c>
      <c r="BO32">
        <v>3.8</v>
      </c>
      <c r="BP32">
        <v>1247</v>
      </c>
      <c r="BQ32">
        <v>0.2</v>
      </c>
      <c r="BS32" t="str">
        <f t="shared" si="3"/>
        <v>FemaleMaori23</v>
      </c>
      <c r="BT32" t="s">
        <v>8</v>
      </c>
      <c r="BU32" t="s">
        <v>18</v>
      </c>
      <c r="BV32">
        <v>23</v>
      </c>
      <c r="BW32">
        <v>66</v>
      </c>
      <c r="BX32">
        <v>14.359376019841999</v>
      </c>
      <c r="BY32">
        <v>3.5</v>
      </c>
      <c r="CA32" t="str">
        <f t="shared" si="8"/>
        <v>FemaleMaori194</v>
      </c>
      <c r="CB32" t="s">
        <v>8</v>
      </c>
      <c r="CC32" t="s">
        <v>18</v>
      </c>
      <c r="CD32">
        <v>19</v>
      </c>
      <c r="CE32">
        <v>4</v>
      </c>
      <c r="CF32">
        <v>42</v>
      </c>
      <c r="CG32">
        <v>10.000137649677299</v>
      </c>
      <c r="CH32">
        <v>3</v>
      </c>
      <c r="CJ32" t="str">
        <f t="shared" si="9"/>
        <v>AllSexAllEth22Sharp object</v>
      </c>
      <c r="CK32" t="s">
        <v>17</v>
      </c>
      <c r="CL32" t="s">
        <v>27</v>
      </c>
      <c r="CM32" t="s">
        <v>48</v>
      </c>
      <c r="CN32">
        <v>22</v>
      </c>
      <c r="CO32">
        <v>3</v>
      </c>
      <c r="CP32">
        <v>571</v>
      </c>
      <c r="CQ32">
        <v>0.5</v>
      </c>
      <c r="CT32" t="str">
        <f t="shared" si="10"/>
        <v>2004AllSexMaori9</v>
      </c>
      <c r="CU32">
        <v>2004</v>
      </c>
      <c r="CV32" t="s">
        <v>17</v>
      </c>
      <c r="CW32" t="s">
        <v>18</v>
      </c>
      <c r="CX32">
        <v>9</v>
      </c>
      <c r="CY32">
        <v>2</v>
      </c>
    </row>
    <row r="33" spans="1:103">
      <c r="A33" t="str">
        <f t="shared" si="0"/>
        <v>2004AllSexMaori19</v>
      </c>
      <c r="B33">
        <v>2004</v>
      </c>
      <c r="C33" t="s">
        <v>17</v>
      </c>
      <c r="D33" t="s">
        <v>18</v>
      </c>
      <c r="E33">
        <v>19</v>
      </c>
      <c r="F33">
        <v>111</v>
      </c>
      <c r="G33">
        <v>18.923065742235899</v>
      </c>
      <c r="H33">
        <v>3.5</v>
      </c>
      <c r="J33" s="340" t="str">
        <f t="shared" si="1"/>
        <v>2006AllSexAllEth195</v>
      </c>
      <c r="K33">
        <v>2006</v>
      </c>
      <c r="L33" t="s">
        <v>17</v>
      </c>
      <c r="M33" t="s">
        <v>27</v>
      </c>
      <c r="N33">
        <v>19</v>
      </c>
      <c r="O33">
        <v>5</v>
      </c>
      <c r="P33">
        <v>148</v>
      </c>
      <c r="Q33">
        <v>18.165153052613999</v>
      </c>
      <c r="R33">
        <v>2.9</v>
      </c>
      <c r="T33" s="340" t="str">
        <f t="shared" si="4"/>
        <v>1996AllSexAllEth24Submersion (drowning)</v>
      </c>
      <c r="U33">
        <v>1996</v>
      </c>
      <c r="V33" t="s">
        <v>17</v>
      </c>
      <c r="W33" t="s">
        <v>27</v>
      </c>
      <c r="X33">
        <v>24</v>
      </c>
      <c r="Y33" t="s">
        <v>49</v>
      </c>
      <c r="Z33">
        <v>5</v>
      </c>
      <c r="AA33">
        <v>102</v>
      </c>
      <c r="AB33">
        <v>4.9000000000000004</v>
      </c>
      <c r="AD33" s="340" t="str">
        <f t="shared" si="5"/>
        <v>20122016AllSexAllEth22MidCentral</v>
      </c>
      <c r="AE33" t="s">
        <v>17</v>
      </c>
      <c r="AF33" t="s">
        <v>27</v>
      </c>
      <c r="AG33">
        <v>22</v>
      </c>
      <c r="AH33">
        <v>11</v>
      </c>
      <c r="AI33" t="s">
        <v>64</v>
      </c>
      <c r="AJ33">
        <v>32</v>
      </c>
      <c r="AK33">
        <v>25.046963055729499</v>
      </c>
      <c r="AL33">
        <v>11.4</v>
      </c>
      <c r="AM33" t="s">
        <v>82</v>
      </c>
      <c r="AN33">
        <v>20122016</v>
      </c>
      <c r="AY33" t="str">
        <f t="shared" si="2"/>
        <v>2004AllSexUrban24</v>
      </c>
      <c r="AZ33">
        <v>2004</v>
      </c>
      <c r="BA33" t="s">
        <v>17</v>
      </c>
      <c r="BB33" t="s">
        <v>97</v>
      </c>
      <c r="BC33">
        <v>24</v>
      </c>
      <c r="BD33">
        <v>88</v>
      </c>
      <c r="BE33">
        <v>11.2219133362238</v>
      </c>
      <c r="BF33">
        <v>2.2999999999999998</v>
      </c>
      <c r="BH33" t="str">
        <f t="shared" si="7"/>
        <v>2016FemaleAllEth16</v>
      </c>
      <c r="BI33">
        <v>2016</v>
      </c>
      <c r="BJ33" t="s">
        <v>8</v>
      </c>
      <c r="BK33" t="s">
        <v>27</v>
      </c>
      <c r="BL33">
        <v>16</v>
      </c>
      <c r="BM33">
        <v>2</v>
      </c>
      <c r="BN33">
        <v>2.93341155764154</v>
      </c>
      <c r="BO33">
        <v>4.0999999999999996</v>
      </c>
      <c r="BP33">
        <v>1692</v>
      </c>
      <c r="BQ33">
        <v>0.1</v>
      </c>
      <c r="BS33" t="str">
        <f t="shared" si="3"/>
        <v>FemalePacific23</v>
      </c>
      <c r="BT33" t="s">
        <v>8</v>
      </c>
      <c r="BU33" t="s">
        <v>79</v>
      </c>
      <c r="BV33">
        <v>23</v>
      </c>
      <c r="BW33">
        <v>3</v>
      </c>
      <c r="BX33">
        <v>1.4937263493327999</v>
      </c>
      <c r="BY33">
        <v>1.7</v>
      </c>
      <c r="CA33" t="str">
        <f t="shared" si="8"/>
        <v>FemaleMaori195</v>
      </c>
      <c r="CB33" t="s">
        <v>8</v>
      </c>
      <c r="CC33" t="s">
        <v>18</v>
      </c>
      <c r="CD33">
        <v>19</v>
      </c>
      <c r="CE33">
        <v>5</v>
      </c>
      <c r="CF33">
        <v>89</v>
      </c>
      <c r="CG33">
        <v>12.0656972425622</v>
      </c>
      <c r="CH33">
        <v>2.5</v>
      </c>
      <c r="CJ33" t="str">
        <f t="shared" si="9"/>
        <v>AllSexAllEth23Sharp object</v>
      </c>
      <c r="CK33" t="s">
        <v>17</v>
      </c>
      <c r="CL33" t="s">
        <v>27</v>
      </c>
      <c r="CM33" t="s">
        <v>48</v>
      </c>
      <c r="CN33">
        <v>23</v>
      </c>
      <c r="CO33">
        <v>16</v>
      </c>
      <c r="CP33">
        <v>910</v>
      </c>
      <c r="CQ33">
        <v>1.8</v>
      </c>
      <c r="CT33" t="str">
        <f t="shared" si="10"/>
        <v>2004AllSexNon-Maori9</v>
      </c>
      <c r="CU33">
        <v>2004</v>
      </c>
      <c r="CV33" t="s">
        <v>17</v>
      </c>
      <c r="CW33" t="s">
        <v>19</v>
      </c>
      <c r="CX33">
        <v>9</v>
      </c>
      <c r="CY33">
        <v>20</v>
      </c>
    </row>
    <row r="34" spans="1:103">
      <c r="A34" t="str">
        <f t="shared" si="0"/>
        <v>2005AllSexMaori19</v>
      </c>
      <c r="B34">
        <v>2005</v>
      </c>
      <c r="C34" t="s">
        <v>17</v>
      </c>
      <c r="D34" t="s">
        <v>18</v>
      </c>
      <c r="E34">
        <v>19</v>
      </c>
      <c r="F34">
        <v>105</v>
      </c>
      <c r="G34">
        <v>17.852603495775298</v>
      </c>
      <c r="H34">
        <v>3.4</v>
      </c>
      <c r="J34" s="340" t="str">
        <f t="shared" si="1"/>
        <v>2007AllSexAllEth191</v>
      </c>
      <c r="K34">
        <v>2007</v>
      </c>
      <c r="L34" t="s">
        <v>17</v>
      </c>
      <c r="M34" t="s">
        <v>27</v>
      </c>
      <c r="N34">
        <v>19</v>
      </c>
      <c r="O34">
        <v>1</v>
      </c>
      <c r="P34">
        <v>69</v>
      </c>
      <c r="Q34">
        <v>7.8368796841505901</v>
      </c>
      <c r="R34">
        <v>1.8</v>
      </c>
      <c r="T34" s="340" t="str">
        <f t="shared" si="4"/>
        <v>1996AllSexAllEth25Submersion (drowning)</v>
      </c>
      <c r="U34">
        <v>1996</v>
      </c>
      <c r="V34" t="s">
        <v>17</v>
      </c>
      <c r="W34" t="s">
        <v>27</v>
      </c>
      <c r="X34">
        <v>25</v>
      </c>
      <c r="Y34" t="s">
        <v>49</v>
      </c>
      <c r="Z34">
        <v>5</v>
      </c>
      <c r="AA34">
        <v>66</v>
      </c>
      <c r="AB34">
        <v>7.6</v>
      </c>
      <c r="AD34" s="340" t="str">
        <f t="shared" si="5"/>
        <v>20122016AllSexAllEth22Nelson Marlborough</v>
      </c>
      <c r="AE34" t="s">
        <v>17</v>
      </c>
      <c r="AF34" t="s">
        <v>27</v>
      </c>
      <c r="AG34">
        <v>22</v>
      </c>
      <c r="AH34">
        <v>16</v>
      </c>
      <c r="AI34" t="s">
        <v>69</v>
      </c>
      <c r="AJ34">
        <v>13</v>
      </c>
      <c r="AK34">
        <v>17.046944662994999</v>
      </c>
      <c r="AL34">
        <v>12.2</v>
      </c>
      <c r="AM34" t="s">
        <v>82</v>
      </c>
      <c r="AN34">
        <v>20122016</v>
      </c>
      <c r="AY34" t="str">
        <f t="shared" si="2"/>
        <v>2004AllSexRural25</v>
      </c>
      <c r="AZ34">
        <v>2004</v>
      </c>
      <c r="BA34" t="s">
        <v>17</v>
      </c>
      <c r="BB34" t="s">
        <v>96</v>
      </c>
      <c r="BC34">
        <v>25</v>
      </c>
      <c r="BD34">
        <v>4</v>
      </c>
      <c r="BE34">
        <v>7.16845878136201</v>
      </c>
      <c r="BF34">
        <v>7</v>
      </c>
      <c r="BH34" t="str">
        <f t="shared" si="7"/>
        <v>2016FemaleAllEth17</v>
      </c>
      <c r="BI34">
        <v>2016</v>
      </c>
      <c r="BJ34" t="s">
        <v>8</v>
      </c>
      <c r="BK34" t="s">
        <v>27</v>
      </c>
      <c r="BL34">
        <v>17</v>
      </c>
      <c r="BM34">
        <v>1</v>
      </c>
      <c r="BN34">
        <v>2.1561017680034502</v>
      </c>
      <c r="BO34">
        <v>4.2</v>
      </c>
      <c r="BP34">
        <v>2368</v>
      </c>
      <c r="BQ34">
        <v>0</v>
      </c>
      <c r="BS34" t="str">
        <f t="shared" si="3"/>
        <v>FemaleAsian23</v>
      </c>
      <c r="BT34" t="s">
        <v>8</v>
      </c>
      <c r="BU34" t="s">
        <v>78</v>
      </c>
      <c r="BV34">
        <v>23</v>
      </c>
      <c r="BW34">
        <v>13</v>
      </c>
      <c r="BX34">
        <v>2.4664655548598899</v>
      </c>
      <c r="BY34">
        <v>1.3</v>
      </c>
      <c r="CA34" t="str">
        <f t="shared" si="8"/>
        <v>FemaleOther191</v>
      </c>
      <c r="CB34" t="s">
        <v>8</v>
      </c>
      <c r="CC34" t="s">
        <v>45</v>
      </c>
      <c r="CD34">
        <v>19</v>
      </c>
      <c r="CE34">
        <v>1</v>
      </c>
      <c r="CF34">
        <v>67</v>
      </c>
      <c r="CG34">
        <v>3.1031009095441302</v>
      </c>
      <c r="CH34">
        <v>0.7</v>
      </c>
      <c r="CJ34" t="str">
        <f t="shared" si="9"/>
        <v>AllSexAllEth24Sharp object</v>
      </c>
      <c r="CK34" t="s">
        <v>17</v>
      </c>
      <c r="CL34" t="s">
        <v>27</v>
      </c>
      <c r="CM34" t="s">
        <v>48</v>
      </c>
      <c r="CN34">
        <v>24</v>
      </c>
      <c r="CO34">
        <v>22</v>
      </c>
      <c r="CP34">
        <v>838</v>
      </c>
      <c r="CQ34">
        <v>2.6</v>
      </c>
      <c r="CT34" t="str">
        <f t="shared" si="10"/>
        <v>2004FemaleAllEth9</v>
      </c>
      <c r="CU34">
        <v>2004</v>
      </c>
      <c r="CV34" t="s">
        <v>8</v>
      </c>
      <c r="CW34" t="s">
        <v>27</v>
      </c>
      <c r="CX34">
        <v>9</v>
      </c>
      <c r="CY34">
        <v>5</v>
      </c>
    </row>
    <row r="35" spans="1:103">
      <c r="A35" t="str">
        <f t="shared" si="0"/>
        <v>2006AllSexMaori19</v>
      </c>
      <c r="B35">
        <v>2006</v>
      </c>
      <c r="C35" t="s">
        <v>17</v>
      </c>
      <c r="D35" t="s">
        <v>18</v>
      </c>
      <c r="E35">
        <v>19</v>
      </c>
      <c r="F35">
        <v>108</v>
      </c>
      <c r="G35">
        <v>17.9531609994688</v>
      </c>
      <c r="H35">
        <v>3.4</v>
      </c>
      <c r="J35" s="340" t="str">
        <f t="shared" si="1"/>
        <v>2007AllSexAllEth192</v>
      </c>
      <c r="K35">
        <v>2007</v>
      </c>
      <c r="L35" t="s">
        <v>17</v>
      </c>
      <c r="M35" t="s">
        <v>27</v>
      </c>
      <c r="N35">
        <v>19</v>
      </c>
      <c r="O35">
        <v>2</v>
      </c>
      <c r="P35">
        <v>74</v>
      </c>
      <c r="Q35">
        <v>7.8887909690839697</v>
      </c>
      <c r="R35">
        <v>1.8</v>
      </c>
      <c r="T35" s="340" t="str">
        <f t="shared" si="4"/>
        <v>1996AllSexMaori23Firearms and explosives</v>
      </c>
      <c r="U35">
        <v>1996</v>
      </c>
      <c r="V35" t="s">
        <v>17</v>
      </c>
      <c r="W35" t="s">
        <v>18</v>
      </c>
      <c r="X35">
        <v>23</v>
      </c>
      <c r="Y35" t="s">
        <v>42</v>
      </c>
      <c r="Z35">
        <v>4</v>
      </c>
      <c r="AA35">
        <v>45</v>
      </c>
      <c r="AB35">
        <v>8.9</v>
      </c>
      <c r="AD35" s="340" t="str">
        <f t="shared" si="5"/>
        <v>20122016AllSexAllEth22Northland</v>
      </c>
      <c r="AE35" t="s">
        <v>17</v>
      </c>
      <c r="AF35" t="s">
        <v>27</v>
      </c>
      <c r="AG35">
        <v>22</v>
      </c>
      <c r="AH35">
        <v>1</v>
      </c>
      <c r="AI35" t="s">
        <v>54</v>
      </c>
      <c r="AJ35">
        <v>33</v>
      </c>
      <c r="AK35">
        <v>33.431263296525202</v>
      </c>
      <c r="AL35">
        <v>15</v>
      </c>
      <c r="AM35" t="s">
        <v>84</v>
      </c>
      <c r="AN35">
        <v>20122016</v>
      </c>
      <c r="AY35" t="str">
        <f t="shared" si="2"/>
        <v>2004AllSexUrban25</v>
      </c>
      <c r="AZ35">
        <v>2004</v>
      </c>
      <c r="BA35" t="s">
        <v>17</v>
      </c>
      <c r="BB35" t="s">
        <v>97</v>
      </c>
      <c r="BC35">
        <v>25</v>
      </c>
      <c r="BD35">
        <v>48</v>
      </c>
      <c r="BE35">
        <v>11.196118678857999</v>
      </c>
      <c r="BF35">
        <v>3.2</v>
      </c>
      <c r="BH35" t="str">
        <f t="shared" si="7"/>
        <v>2016FemaleAllEth18</v>
      </c>
      <c r="BI35">
        <v>2016</v>
      </c>
      <c r="BJ35" t="s">
        <v>8</v>
      </c>
      <c r="BK35" t="s">
        <v>27</v>
      </c>
      <c r="BL35">
        <v>18</v>
      </c>
      <c r="BM35">
        <v>2</v>
      </c>
      <c r="BN35">
        <v>3.87596899224806</v>
      </c>
      <c r="BO35">
        <v>5.4</v>
      </c>
      <c r="BP35">
        <v>6988</v>
      </c>
      <c r="BQ35">
        <v>0</v>
      </c>
      <c r="BS35" t="str">
        <f t="shared" si="3"/>
        <v>FemaleOther23</v>
      </c>
      <c r="BT35" t="s">
        <v>8</v>
      </c>
      <c r="BU35" t="s">
        <v>45</v>
      </c>
      <c r="BV35">
        <v>23</v>
      </c>
      <c r="BW35">
        <v>151</v>
      </c>
      <c r="BX35">
        <v>8.1496513460417503</v>
      </c>
      <c r="BY35">
        <v>1.3</v>
      </c>
      <c r="CA35" t="str">
        <f t="shared" si="8"/>
        <v>FemaleOther192</v>
      </c>
      <c r="CB35" t="s">
        <v>8</v>
      </c>
      <c r="CC35" t="s">
        <v>45</v>
      </c>
      <c r="CD35">
        <v>19</v>
      </c>
      <c r="CE35">
        <v>2</v>
      </c>
      <c r="CF35">
        <v>84</v>
      </c>
      <c r="CG35">
        <v>4.2203771467120603</v>
      </c>
      <c r="CH35">
        <v>0.9</v>
      </c>
      <c r="CJ35" t="str">
        <f t="shared" si="9"/>
        <v>AllSexAllEth25Sharp object</v>
      </c>
      <c r="CK35" t="s">
        <v>17</v>
      </c>
      <c r="CL35" t="s">
        <v>27</v>
      </c>
      <c r="CM35" t="s">
        <v>48</v>
      </c>
      <c r="CN35">
        <v>25</v>
      </c>
      <c r="CO35">
        <v>10</v>
      </c>
      <c r="CP35">
        <v>301</v>
      </c>
      <c r="CQ35">
        <v>3.3</v>
      </c>
      <c r="CT35" t="str">
        <f t="shared" si="10"/>
        <v>2004FemaleNon-Maori9</v>
      </c>
      <c r="CU35">
        <v>2004</v>
      </c>
      <c r="CV35" t="s">
        <v>8</v>
      </c>
      <c r="CW35" t="s">
        <v>19</v>
      </c>
      <c r="CX35">
        <v>9</v>
      </c>
      <c r="CY35">
        <v>5</v>
      </c>
    </row>
    <row r="36" spans="1:103">
      <c r="A36" t="str">
        <f t="shared" si="0"/>
        <v>2007AllSexMaori19</v>
      </c>
      <c r="B36">
        <v>2007</v>
      </c>
      <c r="C36" t="s">
        <v>17</v>
      </c>
      <c r="D36" t="s">
        <v>18</v>
      </c>
      <c r="E36">
        <v>19</v>
      </c>
      <c r="F36">
        <v>97</v>
      </c>
      <c r="G36">
        <v>16.111509144203101</v>
      </c>
      <c r="H36">
        <v>3.2</v>
      </c>
      <c r="J36" s="340" t="str">
        <f t="shared" si="1"/>
        <v>2007AllSexAllEth193</v>
      </c>
      <c r="K36">
        <v>2007</v>
      </c>
      <c r="L36" t="s">
        <v>17</v>
      </c>
      <c r="M36" t="s">
        <v>27</v>
      </c>
      <c r="N36">
        <v>19</v>
      </c>
      <c r="O36">
        <v>3</v>
      </c>
      <c r="P36">
        <v>106</v>
      </c>
      <c r="Q36">
        <v>12.2118090894897</v>
      </c>
      <c r="R36">
        <v>2.2999999999999998</v>
      </c>
      <c r="T36" s="340" t="str">
        <f t="shared" si="4"/>
        <v>1996AllSexMaori21Hanging, strangulation and suffocation</v>
      </c>
      <c r="U36">
        <v>1996</v>
      </c>
      <c r="V36" t="s">
        <v>17</v>
      </c>
      <c r="W36" t="s">
        <v>18</v>
      </c>
      <c r="X36">
        <v>21</v>
      </c>
      <c r="Y36" t="s">
        <v>43</v>
      </c>
      <c r="Z36">
        <v>3</v>
      </c>
      <c r="AA36">
        <v>4</v>
      </c>
      <c r="AB36">
        <v>75</v>
      </c>
      <c r="AD36" s="340" t="str">
        <f t="shared" si="5"/>
        <v>20122016AllSexAllEth22South Canterbury</v>
      </c>
      <c r="AE36" t="s">
        <v>17</v>
      </c>
      <c r="AF36" t="s">
        <v>27</v>
      </c>
      <c r="AG36">
        <v>22</v>
      </c>
      <c r="AH36">
        <v>19</v>
      </c>
      <c r="AI36" t="s">
        <v>72</v>
      </c>
      <c r="AJ36">
        <v>10</v>
      </c>
      <c r="AK36">
        <v>30.202355783751099</v>
      </c>
      <c r="AL36">
        <v>24.6</v>
      </c>
      <c r="AM36" t="s">
        <v>82</v>
      </c>
      <c r="AN36">
        <v>20122016</v>
      </c>
      <c r="AY36" t="str">
        <f t="shared" si="2"/>
        <v>2004FemaleRural22</v>
      </c>
      <c r="AZ36">
        <v>2004</v>
      </c>
      <c r="BA36" t="s">
        <v>8</v>
      </c>
      <c r="BB36" t="s">
        <v>96</v>
      </c>
      <c r="BC36">
        <v>22</v>
      </c>
      <c r="BD36">
        <v>1</v>
      </c>
      <c r="BE36">
        <v>3.7050759540570599</v>
      </c>
      <c r="BF36">
        <v>7.3</v>
      </c>
      <c r="BH36" t="str">
        <f t="shared" si="7"/>
        <v>2016MaleAllEth3</v>
      </c>
      <c r="BI36">
        <v>2016</v>
      </c>
      <c r="BJ36" t="s">
        <v>20</v>
      </c>
      <c r="BK36" t="s">
        <v>27</v>
      </c>
      <c r="BL36">
        <v>3</v>
      </c>
      <c r="BM36">
        <v>5</v>
      </c>
      <c r="BN36">
        <v>3.3200531208499302</v>
      </c>
      <c r="BO36">
        <v>2.9</v>
      </c>
      <c r="BP36">
        <v>22</v>
      </c>
      <c r="BQ36">
        <v>22.7</v>
      </c>
      <c r="BS36" t="str">
        <f t="shared" ref="BS36:BS63" si="11">BT36&amp;BU36&amp;BV36</f>
        <v>MaleMaori23</v>
      </c>
      <c r="BT36" t="s">
        <v>20</v>
      </c>
      <c r="BU36" t="s">
        <v>18</v>
      </c>
      <c r="BV36">
        <v>23</v>
      </c>
      <c r="BW36">
        <v>181</v>
      </c>
      <c r="BX36">
        <v>46.075910699284698</v>
      </c>
      <c r="BY36">
        <v>6.7</v>
      </c>
      <c r="CA36" t="str">
        <f t="shared" si="8"/>
        <v>FemaleOther193</v>
      </c>
      <c r="CB36" t="s">
        <v>8</v>
      </c>
      <c r="CC36" t="s">
        <v>45</v>
      </c>
      <c r="CD36">
        <v>19</v>
      </c>
      <c r="CE36">
        <v>3</v>
      </c>
      <c r="CF36">
        <v>105</v>
      </c>
      <c r="CG36">
        <v>5.9857709029456698</v>
      </c>
      <c r="CH36">
        <v>1.1000000000000001</v>
      </c>
      <c r="CJ36" t="str">
        <f t="shared" si="9"/>
        <v>AllSexAllEth22Submersion (drowning)</v>
      </c>
      <c r="CK36" t="s">
        <v>17</v>
      </c>
      <c r="CL36" t="s">
        <v>27</v>
      </c>
      <c r="CM36" t="s">
        <v>49</v>
      </c>
      <c r="CN36">
        <v>22</v>
      </c>
      <c r="CO36">
        <v>5</v>
      </c>
      <c r="CP36">
        <v>571</v>
      </c>
      <c r="CQ36">
        <v>0.9</v>
      </c>
      <c r="CT36" t="str">
        <f t="shared" si="10"/>
        <v>2004MaleAllEth9</v>
      </c>
      <c r="CU36">
        <v>2004</v>
      </c>
      <c r="CV36" t="s">
        <v>20</v>
      </c>
      <c r="CW36" t="s">
        <v>27</v>
      </c>
      <c r="CX36">
        <v>9</v>
      </c>
      <c r="CY36">
        <v>17</v>
      </c>
    </row>
    <row r="37" spans="1:103">
      <c r="A37" t="str">
        <f t="shared" si="0"/>
        <v>2008AllSexMaori19</v>
      </c>
      <c r="B37">
        <v>2008</v>
      </c>
      <c r="C37" t="s">
        <v>17</v>
      </c>
      <c r="D37" t="s">
        <v>18</v>
      </c>
      <c r="E37">
        <v>19</v>
      </c>
      <c r="F37">
        <v>87</v>
      </c>
      <c r="G37">
        <v>14.0105109663824</v>
      </c>
      <c r="H37">
        <v>2.9</v>
      </c>
      <c r="J37" s="340" t="str">
        <f t="shared" si="1"/>
        <v>2007AllSexAllEth194</v>
      </c>
      <c r="K37">
        <v>2007</v>
      </c>
      <c r="L37" t="s">
        <v>17</v>
      </c>
      <c r="M37" t="s">
        <v>27</v>
      </c>
      <c r="N37">
        <v>19</v>
      </c>
      <c r="O37">
        <v>4</v>
      </c>
      <c r="P37">
        <v>109</v>
      </c>
      <c r="Q37">
        <v>12.225496208264399</v>
      </c>
      <c r="R37">
        <v>2.2999999999999998</v>
      </c>
      <c r="T37" s="340" t="str">
        <f t="shared" si="4"/>
        <v>1996AllSexMaori22Hanging, strangulation and suffocation</v>
      </c>
      <c r="U37">
        <v>1996</v>
      </c>
      <c r="V37" t="s">
        <v>17</v>
      </c>
      <c r="W37" t="s">
        <v>18</v>
      </c>
      <c r="X37">
        <v>22</v>
      </c>
      <c r="Y37" t="s">
        <v>43</v>
      </c>
      <c r="Z37">
        <v>34</v>
      </c>
      <c r="AA37">
        <v>39</v>
      </c>
      <c r="AB37">
        <v>87.2</v>
      </c>
      <c r="AD37" s="340" t="str">
        <f t="shared" si="5"/>
        <v>20122016AllSexAllEth22Southern</v>
      </c>
      <c r="AE37" t="s">
        <v>17</v>
      </c>
      <c r="AF37" t="s">
        <v>27</v>
      </c>
      <c r="AG37">
        <v>22</v>
      </c>
      <c r="AH37">
        <v>20</v>
      </c>
      <c r="AI37" t="s">
        <v>73</v>
      </c>
      <c r="AJ37">
        <v>42</v>
      </c>
      <c r="AK37">
        <v>17.507294706127599</v>
      </c>
      <c r="AL37">
        <v>7</v>
      </c>
      <c r="AM37" t="s">
        <v>82</v>
      </c>
      <c r="AN37">
        <v>20122016</v>
      </c>
      <c r="AY37" t="str">
        <f t="shared" si="2"/>
        <v>2004FemaleUrban22</v>
      </c>
      <c r="AZ37">
        <v>2004</v>
      </c>
      <c r="BA37" t="s">
        <v>8</v>
      </c>
      <c r="BB37" t="s">
        <v>97</v>
      </c>
      <c r="BC37">
        <v>22</v>
      </c>
      <c r="BD37">
        <v>28</v>
      </c>
      <c r="BE37">
        <v>10.6853915432758</v>
      </c>
      <c r="BF37">
        <v>4</v>
      </c>
      <c r="BH37" t="str">
        <f t="shared" si="7"/>
        <v>2016MaleAllEth4</v>
      </c>
      <c r="BI37">
        <v>2016</v>
      </c>
      <c r="BJ37" t="s">
        <v>20</v>
      </c>
      <c r="BK37" t="s">
        <v>27</v>
      </c>
      <c r="BL37">
        <v>4</v>
      </c>
      <c r="BM37">
        <v>34</v>
      </c>
      <c r="BN37">
        <v>20.7544866316689</v>
      </c>
      <c r="BO37">
        <v>7</v>
      </c>
      <c r="BP37">
        <v>99</v>
      </c>
      <c r="BQ37">
        <v>34.299999999999997</v>
      </c>
      <c r="BS37" t="str">
        <f t="shared" si="11"/>
        <v>MalePacific23</v>
      </c>
      <c r="BT37" t="s">
        <v>20</v>
      </c>
      <c r="BU37" t="s">
        <v>79</v>
      </c>
      <c r="BV37">
        <v>23</v>
      </c>
      <c r="BW37">
        <v>31</v>
      </c>
      <c r="BX37">
        <v>16.266988508159699</v>
      </c>
      <c r="BY37">
        <v>5.7</v>
      </c>
      <c r="CA37" t="str">
        <f t="shared" si="8"/>
        <v>FemaleOther194</v>
      </c>
      <c r="CB37" t="s">
        <v>8</v>
      </c>
      <c r="CC37" t="s">
        <v>45</v>
      </c>
      <c r="CD37">
        <v>19</v>
      </c>
      <c r="CE37">
        <v>4</v>
      </c>
      <c r="CF37">
        <v>98</v>
      </c>
      <c r="CG37">
        <v>6.7997590877576402</v>
      </c>
      <c r="CH37">
        <v>1.3</v>
      </c>
      <c r="CJ37" t="str">
        <f t="shared" si="9"/>
        <v>AllSexAllEth23Submersion (drowning)</v>
      </c>
      <c r="CK37" t="s">
        <v>17</v>
      </c>
      <c r="CL37" t="s">
        <v>27</v>
      </c>
      <c r="CM37" t="s">
        <v>49</v>
      </c>
      <c r="CN37">
        <v>23</v>
      </c>
      <c r="CO37">
        <v>8</v>
      </c>
      <c r="CP37">
        <v>910</v>
      </c>
      <c r="CQ37">
        <v>0.9</v>
      </c>
      <c r="CT37" t="str">
        <f t="shared" si="10"/>
        <v>2004MaleMaori9</v>
      </c>
      <c r="CU37">
        <v>2004</v>
      </c>
      <c r="CV37" t="s">
        <v>20</v>
      </c>
      <c r="CW37" t="s">
        <v>18</v>
      </c>
      <c r="CX37">
        <v>9</v>
      </c>
      <c r="CY37">
        <v>2</v>
      </c>
    </row>
    <row r="38" spans="1:103">
      <c r="A38" t="str">
        <f t="shared" si="0"/>
        <v>2009AllSexMaori19</v>
      </c>
      <c r="B38">
        <v>2009</v>
      </c>
      <c r="C38" t="s">
        <v>17</v>
      </c>
      <c r="D38" t="s">
        <v>18</v>
      </c>
      <c r="E38">
        <v>19</v>
      </c>
      <c r="F38">
        <v>83</v>
      </c>
      <c r="G38">
        <v>13.081017831193</v>
      </c>
      <c r="H38">
        <v>2.8</v>
      </c>
      <c r="J38" s="340" t="str">
        <f t="shared" si="1"/>
        <v>2007AllSexAllEth195</v>
      </c>
      <c r="K38">
        <v>2007</v>
      </c>
      <c r="L38" t="s">
        <v>17</v>
      </c>
      <c r="M38" t="s">
        <v>27</v>
      </c>
      <c r="N38">
        <v>19</v>
      </c>
      <c r="O38">
        <v>5</v>
      </c>
      <c r="P38">
        <v>121</v>
      </c>
      <c r="Q38">
        <v>14.712819146531</v>
      </c>
      <c r="R38">
        <v>2.6</v>
      </c>
      <c r="T38" s="340" t="str">
        <f t="shared" si="4"/>
        <v>1996AllSexMaori23Hanging, strangulation and suffocation</v>
      </c>
      <c r="U38">
        <v>1996</v>
      </c>
      <c r="V38" t="s">
        <v>17</v>
      </c>
      <c r="W38" t="s">
        <v>18</v>
      </c>
      <c r="X38">
        <v>23</v>
      </c>
      <c r="Y38" t="s">
        <v>43</v>
      </c>
      <c r="Z38">
        <v>26</v>
      </c>
      <c r="AA38">
        <v>45</v>
      </c>
      <c r="AB38">
        <v>57.8</v>
      </c>
      <c r="AD38" s="340" t="str">
        <f t="shared" si="5"/>
        <v>20122016AllSexAllEth22Tairawhiti</v>
      </c>
      <c r="AE38" t="s">
        <v>17</v>
      </c>
      <c r="AF38" t="s">
        <v>27</v>
      </c>
      <c r="AG38">
        <v>22</v>
      </c>
      <c r="AH38">
        <v>8</v>
      </c>
      <c r="AI38" t="s">
        <v>61</v>
      </c>
      <c r="AJ38">
        <v>7</v>
      </c>
      <c r="AK38">
        <v>22.102936532996502</v>
      </c>
      <c r="AL38">
        <v>21.5</v>
      </c>
      <c r="AM38" t="s">
        <v>82</v>
      </c>
      <c r="AN38">
        <v>20122016</v>
      </c>
      <c r="AY38" t="str">
        <f t="shared" si="2"/>
        <v>2004FemaleRural23</v>
      </c>
      <c r="AZ38">
        <v>2004</v>
      </c>
      <c r="BA38" t="s">
        <v>8</v>
      </c>
      <c r="BB38" t="s">
        <v>96</v>
      </c>
      <c r="BC38">
        <v>23</v>
      </c>
      <c r="BD38">
        <v>2</v>
      </c>
      <c r="BE38">
        <v>2.5056376847907802</v>
      </c>
      <c r="BF38">
        <v>3.5</v>
      </c>
      <c r="BH38" t="str">
        <f t="shared" si="7"/>
        <v>2016MaleAllEth5</v>
      </c>
      <c r="BI38">
        <v>2016</v>
      </c>
      <c r="BJ38" t="s">
        <v>20</v>
      </c>
      <c r="BK38" t="s">
        <v>27</v>
      </c>
      <c r="BL38">
        <v>5</v>
      </c>
      <c r="BM38">
        <v>52</v>
      </c>
      <c r="BN38">
        <v>28.505646310711501</v>
      </c>
      <c r="BO38">
        <v>7.7</v>
      </c>
      <c r="BP38">
        <v>138</v>
      </c>
      <c r="BQ38">
        <v>37.700000000000003</v>
      </c>
      <c r="BS38" t="str">
        <f t="shared" si="11"/>
        <v>MaleAsian23</v>
      </c>
      <c r="BT38" t="s">
        <v>20</v>
      </c>
      <c r="BU38" t="s">
        <v>78</v>
      </c>
      <c r="BV38">
        <v>23</v>
      </c>
      <c r="BW38">
        <v>33</v>
      </c>
      <c r="BX38">
        <v>6.8459049041573303</v>
      </c>
      <c r="BY38">
        <v>2.2999999999999998</v>
      </c>
      <c r="CA38" t="str">
        <f t="shared" si="8"/>
        <v>FemaleOther195</v>
      </c>
      <c r="CB38" t="s">
        <v>8</v>
      </c>
      <c r="CC38" t="s">
        <v>45</v>
      </c>
      <c r="CD38">
        <v>19</v>
      </c>
      <c r="CE38">
        <v>5</v>
      </c>
      <c r="CF38">
        <v>93</v>
      </c>
      <c r="CG38">
        <v>10.159141566931</v>
      </c>
      <c r="CH38">
        <v>2.1</v>
      </c>
      <c r="CJ38" t="str">
        <f t="shared" si="9"/>
        <v>AllSexAllEth24Submersion (drowning)</v>
      </c>
      <c r="CK38" t="s">
        <v>17</v>
      </c>
      <c r="CL38" t="s">
        <v>27</v>
      </c>
      <c r="CM38" t="s">
        <v>49</v>
      </c>
      <c r="CN38">
        <v>24</v>
      </c>
      <c r="CO38">
        <v>21</v>
      </c>
      <c r="CP38">
        <v>838</v>
      </c>
      <c r="CQ38">
        <v>2.5</v>
      </c>
      <c r="CT38" t="str">
        <f t="shared" si="10"/>
        <v>2004MaleNon-Maori9</v>
      </c>
      <c r="CU38">
        <v>2004</v>
      </c>
      <c r="CV38" t="s">
        <v>20</v>
      </c>
      <c r="CW38" t="s">
        <v>19</v>
      </c>
      <c r="CX38">
        <v>9</v>
      </c>
      <c r="CY38">
        <v>15</v>
      </c>
    </row>
    <row r="39" spans="1:103">
      <c r="A39" t="str">
        <f t="shared" si="0"/>
        <v>2010AllSexMaori19</v>
      </c>
      <c r="B39">
        <v>2010</v>
      </c>
      <c r="C39" t="s">
        <v>17</v>
      </c>
      <c r="D39" t="s">
        <v>18</v>
      </c>
      <c r="E39">
        <v>19</v>
      </c>
      <c r="F39">
        <v>102</v>
      </c>
      <c r="G39">
        <v>15.806302990390501</v>
      </c>
      <c r="H39">
        <v>3.1</v>
      </c>
      <c r="J39" s="340" t="str">
        <f t="shared" si="1"/>
        <v>2008AllSexAllEth191</v>
      </c>
      <c r="K39">
        <v>2008</v>
      </c>
      <c r="L39" t="s">
        <v>17</v>
      </c>
      <c r="M39" t="s">
        <v>27</v>
      </c>
      <c r="N39">
        <v>19</v>
      </c>
      <c r="O39">
        <v>1</v>
      </c>
      <c r="P39">
        <v>83</v>
      </c>
      <c r="Q39">
        <v>9.8455520002290502</v>
      </c>
      <c r="R39">
        <v>2.1</v>
      </c>
      <c r="T39" s="340" t="str">
        <f t="shared" si="4"/>
        <v>1996AllSexMaori24Hanging, strangulation and suffocation</v>
      </c>
      <c r="U39">
        <v>1996</v>
      </c>
      <c r="V39" t="s">
        <v>17</v>
      </c>
      <c r="W39" t="s">
        <v>18</v>
      </c>
      <c r="X39">
        <v>24</v>
      </c>
      <c r="Y39" t="s">
        <v>43</v>
      </c>
      <c r="Z39">
        <v>2</v>
      </c>
      <c r="AA39">
        <v>8</v>
      </c>
      <c r="AB39">
        <v>25</v>
      </c>
      <c r="AD39" s="340" t="str">
        <f t="shared" si="5"/>
        <v>20122016AllSexAllEth22Taranaki</v>
      </c>
      <c r="AE39" t="s">
        <v>17</v>
      </c>
      <c r="AF39" t="s">
        <v>27</v>
      </c>
      <c r="AG39">
        <v>22</v>
      </c>
      <c r="AH39">
        <v>10</v>
      </c>
      <c r="AI39" t="s">
        <v>63</v>
      </c>
      <c r="AJ39">
        <v>13</v>
      </c>
      <c r="AK39">
        <v>18.680844948986898</v>
      </c>
      <c r="AL39">
        <v>13.3</v>
      </c>
      <c r="AM39" t="s">
        <v>82</v>
      </c>
      <c r="AN39">
        <v>20122016</v>
      </c>
      <c r="AY39" t="str">
        <f t="shared" si="2"/>
        <v>2004FemaleUrban23</v>
      </c>
      <c r="AZ39">
        <v>2004</v>
      </c>
      <c r="BA39" t="s">
        <v>8</v>
      </c>
      <c r="BB39" t="s">
        <v>97</v>
      </c>
      <c r="BC39">
        <v>23</v>
      </c>
      <c r="BD39">
        <v>37</v>
      </c>
      <c r="BE39">
        <v>6.9648369851667802</v>
      </c>
      <c r="BF39">
        <v>2.2000000000000002</v>
      </c>
      <c r="BH39" t="str">
        <f t="shared" si="7"/>
        <v>2016MaleAllEth6</v>
      </c>
      <c r="BI39">
        <v>2016</v>
      </c>
      <c r="BJ39" t="s">
        <v>20</v>
      </c>
      <c r="BK39" t="s">
        <v>27</v>
      </c>
      <c r="BL39">
        <v>6</v>
      </c>
      <c r="BM39">
        <v>50</v>
      </c>
      <c r="BN39">
        <v>29.366850698931</v>
      </c>
      <c r="BO39">
        <v>8.1</v>
      </c>
      <c r="BP39">
        <v>123</v>
      </c>
      <c r="BQ39">
        <v>40.700000000000003</v>
      </c>
      <c r="BS39" t="str">
        <f t="shared" si="11"/>
        <v>MaleOther23</v>
      </c>
      <c r="BT39" t="s">
        <v>20</v>
      </c>
      <c r="BU39" t="s">
        <v>45</v>
      </c>
      <c r="BV39">
        <v>23</v>
      </c>
      <c r="BW39">
        <v>432</v>
      </c>
      <c r="BX39">
        <v>24.4554141569675</v>
      </c>
      <c r="BY39">
        <v>2.2999999999999998</v>
      </c>
      <c r="CA39" t="str">
        <f t="shared" si="8"/>
        <v>FemalePacific191</v>
      </c>
      <c r="CB39" t="s">
        <v>8</v>
      </c>
      <c r="CC39" t="s">
        <v>79</v>
      </c>
      <c r="CD39">
        <v>19</v>
      </c>
      <c r="CE39">
        <v>1</v>
      </c>
      <c r="CF39">
        <v>1</v>
      </c>
      <c r="CG39">
        <v>3.0145518766100898</v>
      </c>
      <c r="CH39">
        <v>5.9</v>
      </c>
      <c r="CJ39" t="str">
        <f t="shared" si="9"/>
        <v>AllSexAllEth25Submersion (drowning)</v>
      </c>
      <c r="CK39" t="s">
        <v>17</v>
      </c>
      <c r="CL39" t="s">
        <v>27</v>
      </c>
      <c r="CM39" t="s">
        <v>49</v>
      </c>
      <c r="CN39">
        <v>25</v>
      </c>
      <c r="CO39">
        <v>20</v>
      </c>
      <c r="CP39">
        <v>301</v>
      </c>
      <c r="CQ39">
        <v>6.6</v>
      </c>
      <c r="CT39" t="str">
        <f t="shared" si="10"/>
        <v>2005AllSexAllEth9</v>
      </c>
      <c r="CU39">
        <v>2005</v>
      </c>
      <c r="CV39" t="s">
        <v>17</v>
      </c>
      <c r="CW39" t="s">
        <v>27</v>
      </c>
      <c r="CX39">
        <v>9</v>
      </c>
      <c r="CY39">
        <v>24</v>
      </c>
    </row>
    <row r="40" spans="1:103">
      <c r="A40" t="str">
        <f t="shared" si="0"/>
        <v>2011AllSexMaori19</v>
      </c>
      <c r="B40">
        <v>2011</v>
      </c>
      <c r="C40" t="s">
        <v>17</v>
      </c>
      <c r="D40" t="s">
        <v>18</v>
      </c>
      <c r="E40">
        <v>19</v>
      </c>
      <c r="F40">
        <v>113</v>
      </c>
      <c r="G40">
        <v>17.366835060391999</v>
      </c>
      <c r="H40">
        <v>3.2</v>
      </c>
      <c r="J40" s="340" t="str">
        <f t="shared" si="1"/>
        <v>2008AllSexAllEth192</v>
      </c>
      <c r="K40">
        <v>2008</v>
      </c>
      <c r="L40" t="s">
        <v>17</v>
      </c>
      <c r="M40" t="s">
        <v>27</v>
      </c>
      <c r="N40">
        <v>19</v>
      </c>
      <c r="O40">
        <v>2</v>
      </c>
      <c r="P40">
        <v>85</v>
      </c>
      <c r="Q40">
        <v>9.2358257009264193</v>
      </c>
      <c r="R40">
        <v>2</v>
      </c>
      <c r="T40" s="340" t="str">
        <f t="shared" si="4"/>
        <v>1996AllSexMaori25Hanging, strangulation and suffocation</v>
      </c>
      <c r="U40">
        <v>1996</v>
      </c>
      <c r="V40" t="s">
        <v>17</v>
      </c>
      <c r="W40" t="s">
        <v>18</v>
      </c>
      <c r="X40">
        <v>25</v>
      </c>
      <c r="Y40" t="s">
        <v>43</v>
      </c>
      <c r="Z40">
        <v>1</v>
      </c>
      <c r="AA40">
        <v>1</v>
      </c>
      <c r="AB40">
        <v>100</v>
      </c>
      <c r="AD40" s="340" t="str">
        <f t="shared" si="5"/>
        <v>20122016AllSexAllEth22Waikato</v>
      </c>
      <c r="AE40" t="s">
        <v>17</v>
      </c>
      <c r="AF40" t="s">
        <v>27</v>
      </c>
      <c r="AG40">
        <v>22</v>
      </c>
      <c r="AH40">
        <v>5</v>
      </c>
      <c r="AI40" t="s">
        <v>58</v>
      </c>
      <c r="AJ40">
        <v>49</v>
      </c>
      <c r="AK40">
        <v>17.577214190910102</v>
      </c>
      <c r="AL40">
        <v>6.5</v>
      </c>
      <c r="AM40" t="s">
        <v>82</v>
      </c>
      <c r="AN40">
        <v>20122016</v>
      </c>
      <c r="AY40" t="str">
        <f t="shared" si="2"/>
        <v>2004FemaleRural24</v>
      </c>
      <c r="AZ40">
        <v>2004</v>
      </c>
      <c r="BA40" t="s">
        <v>8</v>
      </c>
      <c r="BB40" t="s">
        <v>96</v>
      </c>
      <c r="BC40">
        <v>24</v>
      </c>
      <c r="BD40">
        <v>4</v>
      </c>
      <c r="BE40">
        <v>5.2417769623902499</v>
      </c>
      <c r="BF40">
        <v>5.0999999999999996</v>
      </c>
      <c r="BH40" t="str">
        <f t="shared" si="7"/>
        <v>2016MaleAllEth7</v>
      </c>
      <c r="BI40">
        <v>2016</v>
      </c>
      <c r="BJ40" t="s">
        <v>20</v>
      </c>
      <c r="BK40" t="s">
        <v>27</v>
      </c>
      <c r="BL40">
        <v>7</v>
      </c>
      <c r="BM40">
        <v>37</v>
      </c>
      <c r="BN40">
        <v>25.4891154588041</v>
      </c>
      <c r="BO40">
        <v>8.1999999999999993</v>
      </c>
      <c r="BP40">
        <v>113</v>
      </c>
      <c r="BQ40">
        <v>32.700000000000003</v>
      </c>
      <c r="BS40" t="str">
        <f t="shared" si="11"/>
        <v>AllSexMaori24</v>
      </c>
      <c r="BT40" t="s">
        <v>17</v>
      </c>
      <c r="BU40" t="s">
        <v>18</v>
      </c>
      <c r="BV40">
        <v>24</v>
      </c>
      <c r="BW40">
        <v>73</v>
      </c>
      <c r="BX40">
        <v>11.1591788067322</v>
      </c>
      <c r="BY40">
        <v>2.6</v>
      </c>
      <c r="CA40" t="str">
        <f t="shared" si="8"/>
        <v>FemalePacific192</v>
      </c>
      <c r="CB40" t="s">
        <v>8</v>
      </c>
      <c r="CC40" t="s">
        <v>79</v>
      </c>
      <c r="CD40">
        <v>19</v>
      </c>
      <c r="CE40">
        <v>2</v>
      </c>
      <c r="CF40">
        <v>2</v>
      </c>
      <c r="CG40">
        <v>3.37157753465572</v>
      </c>
      <c r="CH40">
        <v>4.7</v>
      </c>
      <c r="CJ40" t="str">
        <f t="shared" si="9"/>
        <v>AllSexAsian22Firearms and explosives</v>
      </c>
      <c r="CK40" t="s">
        <v>17</v>
      </c>
      <c r="CL40" t="s">
        <v>78</v>
      </c>
      <c r="CM40" t="s">
        <v>42</v>
      </c>
      <c r="CN40">
        <v>22</v>
      </c>
      <c r="CO40">
        <v>1</v>
      </c>
      <c r="CP40">
        <v>29</v>
      </c>
      <c r="CQ40">
        <v>3.4</v>
      </c>
      <c r="CT40" t="str">
        <f t="shared" si="10"/>
        <v>2005AllSexMaori9</v>
      </c>
      <c r="CU40">
        <v>2005</v>
      </c>
      <c r="CV40" t="s">
        <v>17</v>
      </c>
      <c r="CW40" t="s">
        <v>18</v>
      </c>
      <c r="CX40">
        <v>9</v>
      </c>
      <c r="CY40">
        <v>5</v>
      </c>
    </row>
    <row r="41" spans="1:103">
      <c r="A41" t="str">
        <f t="shared" si="0"/>
        <v>2012AllSexMaori19</v>
      </c>
      <c r="B41">
        <v>2012</v>
      </c>
      <c r="C41" t="s">
        <v>17</v>
      </c>
      <c r="D41" t="s">
        <v>18</v>
      </c>
      <c r="E41">
        <v>19</v>
      </c>
      <c r="F41">
        <v>118</v>
      </c>
      <c r="G41">
        <v>17.511079499725199</v>
      </c>
      <c r="H41">
        <v>3.2</v>
      </c>
      <c r="J41" s="340" t="str">
        <f t="shared" si="1"/>
        <v>2008AllSexAllEth193</v>
      </c>
      <c r="K41">
        <v>2008</v>
      </c>
      <c r="L41" t="s">
        <v>17</v>
      </c>
      <c r="M41" t="s">
        <v>27</v>
      </c>
      <c r="N41">
        <v>19</v>
      </c>
      <c r="O41">
        <v>3</v>
      </c>
      <c r="P41">
        <v>105</v>
      </c>
      <c r="Q41">
        <v>11.7800727004485</v>
      </c>
      <c r="R41">
        <v>2.2999999999999998</v>
      </c>
      <c r="T41" s="340" t="str">
        <f t="shared" si="4"/>
        <v>1996AllSexMaori23Jumping from a high place</v>
      </c>
      <c r="U41">
        <v>1996</v>
      </c>
      <c r="V41" t="s">
        <v>17</v>
      </c>
      <c r="W41" t="s">
        <v>18</v>
      </c>
      <c r="X41">
        <v>23</v>
      </c>
      <c r="Y41" t="s">
        <v>44</v>
      </c>
      <c r="Z41">
        <v>1</v>
      </c>
      <c r="AA41">
        <v>45</v>
      </c>
      <c r="AB41">
        <v>2.2000000000000002</v>
      </c>
      <c r="AD41" s="340" t="str">
        <f t="shared" si="5"/>
        <v>20122016AllSexAllEth22Wairarapa</v>
      </c>
      <c r="AE41" t="s">
        <v>17</v>
      </c>
      <c r="AF41" t="s">
        <v>27</v>
      </c>
      <c r="AG41">
        <v>22</v>
      </c>
      <c r="AH41">
        <v>15</v>
      </c>
      <c r="AI41" t="s">
        <v>68</v>
      </c>
      <c r="AJ41">
        <v>7</v>
      </c>
      <c r="AK41">
        <v>28.618152085036801</v>
      </c>
      <c r="AL41">
        <v>27.9</v>
      </c>
      <c r="AM41" t="s">
        <v>82</v>
      </c>
      <c r="AN41">
        <v>20122016</v>
      </c>
      <c r="AY41" t="str">
        <f t="shared" si="2"/>
        <v>2004FemaleUrban24</v>
      </c>
      <c r="AZ41">
        <v>2004</v>
      </c>
      <c r="BA41" t="s">
        <v>8</v>
      </c>
      <c r="BB41" t="s">
        <v>97</v>
      </c>
      <c r="BC41">
        <v>24</v>
      </c>
      <c r="BD41">
        <v>24</v>
      </c>
      <c r="BE41">
        <v>5.9784774810681496</v>
      </c>
      <c r="BF41">
        <v>2.4</v>
      </c>
      <c r="BH41" t="str">
        <f t="shared" si="7"/>
        <v>2016MaleAllEth8</v>
      </c>
      <c r="BI41">
        <v>2016</v>
      </c>
      <c r="BJ41" t="s">
        <v>20</v>
      </c>
      <c r="BK41" t="s">
        <v>27</v>
      </c>
      <c r="BL41">
        <v>8</v>
      </c>
      <c r="BM41">
        <v>22</v>
      </c>
      <c r="BN41">
        <v>16.428944813680801</v>
      </c>
      <c r="BO41">
        <v>6.9</v>
      </c>
      <c r="BP41">
        <v>130</v>
      </c>
      <c r="BQ41">
        <v>16.899999999999999</v>
      </c>
      <c r="BS41" t="str">
        <f t="shared" si="11"/>
        <v>AllSexPacific24</v>
      </c>
      <c r="BT41" t="s">
        <v>17</v>
      </c>
      <c r="BU41" t="s">
        <v>79</v>
      </c>
      <c r="BV41">
        <v>24</v>
      </c>
      <c r="BW41">
        <v>24</v>
      </c>
      <c r="BX41">
        <v>8.9609080386812501</v>
      </c>
      <c r="BY41">
        <v>3.6</v>
      </c>
      <c r="CA41" t="str">
        <f t="shared" si="8"/>
        <v>FemalePacific193</v>
      </c>
      <c r="CB41" t="s">
        <v>8</v>
      </c>
      <c r="CC41" t="s">
        <v>79</v>
      </c>
      <c r="CD41">
        <v>19</v>
      </c>
      <c r="CE41">
        <v>3</v>
      </c>
      <c r="CF41">
        <v>2</v>
      </c>
      <c r="CG41">
        <v>2.4777469344287999</v>
      </c>
      <c r="CH41">
        <v>3.4</v>
      </c>
      <c r="CJ41" t="str">
        <f t="shared" si="9"/>
        <v>AllSexAsian21Hanging, strangulation and suffocation</v>
      </c>
      <c r="CK41" t="s">
        <v>17</v>
      </c>
      <c r="CL41" t="s">
        <v>78</v>
      </c>
      <c r="CM41" t="s">
        <v>43</v>
      </c>
      <c r="CN41">
        <v>21</v>
      </c>
      <c r="CO41">
        <v>1</v>
      </c>
      <c r="CP41">
        <v>1</v>
      </c>
      <c r="CQ41">
        <v>100</v>
      </c>
      <c r="CT41" t="str">
        <f t="shared" si="10"/>
        <v>2005AllSexNon-Maori9</v>
      </c>
      <c r="CU41">
        <v>2005</v>
      </c>
      <c r="CV41" t="s">
        <v>17</v>
      </c>
      <c r="CW41" t="s">
        <v>19</v>
      </c>
      <c r="CX41">
        <v>9</v>
      </c>
      <c r="CY41">
        <v>19</v>
      </c>
    </row>
    <row r="42" spans="1:103">
      <c r="A42" t="str">
        <f t="shared" si="0"/>
        <v>2013AllSexMaori19</v>
      </c>
      <c r="B42">
        <v>2013</v>
      </c>
      <c r="C42" t="s">
        <v>17</v>
      </c>
      <c r="D42" t="s">
        <v>18</v>
      </c>
      <c r="E42">
        <v>19</v>
      </c>
      <c r="F42">
        <v>104</v>
      </c>
      <c r="G42">
        <v>15.8165730495112</v>
      </c>
      <c r="H42">
        <v>3</v>
      </c>
      <c r="J42" s="340" t="str">
        <f t="shared" si="1"/>
        <v>2008AllSexAllEth194</v>
      </c>
      <c r="K42">
        <v>2008</v>
      </c>
      <c r="L42" t="s">
        <v>17</v>
      </c>
      <c r="M42" t="s">
        <v>27</v>
      </c>
      <c r="N42">
        <v>19</v>
      </c>
      <c r="O42">
        <v>4</v>
      </c>
      <c r="P42">
        <v>101</v>
      </c>
      <c r="Q42">
        <v>11.6112566860872</v>
      </c>
      <c r="R42">
        <v>2.2999999999999998</v>
      </c>
      <c r="T42" s="340" t="str">
        <f t="shared" si="4"/>
        <v>1996AllSexMaori22Other</v>
      </c>
      <c r="U42">
        <v>1996</v>
      </c>
      <c r="V42" t="s">
        <v>17</v>
      </c>
      <c r="W42" t="s">
        <v>18</v>
      </c>
      <c r="X42">
        <v>22</v>
      </c>
      <c r="Y42" t="s">
        <v>45</v>
      </c>
      <c r="Z42">
        <v>1</v>
      </c>
      <c r="AA42">
        <v>39</v>
      </c>
      <c r="AB42">
        <v>2.6</v>
      </c>
      <c r="AD42" s="340" t="str">
        <f t="shared" si="5"/>
        <v>20122016AllSexAllEth22Waitemata</v>
      </c>
      <c r="AE42" t="s">
        <v>17</v>
      </c>
      <c r="AF42" t="s">
        <v>27</v>
      </c>
      <c r="AG42">
        <v>22</v>
      </c>
      <c r="AH42">
        <v>2</v>
      </c>
      <c r="AI42" t="s">
        <v>55</v>
      </c>
      <c r="AJ42">
        <v>44</v>
      </c>
      <c r="AK42">
        <v>11.0758697074964</v>
      </c>
      <c r="AL42">
        <v>4.3</v>
      </c>
      <c r="AM42" t="s">
        <v>83</v>
      </c>
      <c r="AN42">
        <v>20122016</v>
      </c>
      <c r="AY42" t="str">
        <f t="shared" si="2"/>
        <v>2004FemaleRural25</v>
      </c>
      <c r="AZ42">
        <v>2004</v>
      </c>
      <c r="BA42" t="s">
        <v>8</v>
      </c>
      <c r="BB42" t="s">
        <v>96</v>
      </c>
      <c r="BC42">
        <v>25</v>
      </c>
      <c r="BD42">
        <v>0</v>
      </c>
      <c r="BE42">
        <v>0</v>
      </c>
      <c r="BH42" t="str">
        <f t="shared" si="7"/>
        <v>2016MaleAllEth9</v>
      </c>
      <c r="BI42">
        <v>2016</v>
      </c>
      <c r="BJ42" t="s">
        <v>20</v>
      </c>
      <c r="BK42" t="s">
        <v>27</v>
      </c>
      <c r="BL42">
        <v>9</v>
      </c>
      <c r="BM42">
        <v>34</v>
      </c>
      <c r="BN42">
        <v>23.620953174934002</v>
      </c>
      <c r="BO42">
        <v>7.9</v>
      </c>
      <c r="BP42">
        <v>212</v>
      </c>
      <c r="BQ42">
        <v>16</v>
      </c>
      <c r="BS42" t="str">
        <f t="shared" si="11"/>
        <v>AllSexAsian24</v>
      </c>
      <c r="BT42" t="s">
        <v>17</v>
      </c>
      <c r="BU42" t="s">
        <v>78</v>
      </c>
      <c r="BV42">
        <v>24</v>
      </c>
      <c r="BW42">
        <v>41</v>
      </c>
      <c r="BX42">
        <v>6.8208284811179496</v>
      </c>
      <c r="BY42">
        <v>2.1</v>
      </c>
      <c r="CA42" t="str">
        <f t="shared" si="8"/>
        <v>FemalePacific194</v>
      </c>
      <c r="CB42" t="s">
        <v>8</v>
      </c>
      <c r="CC42" t="s">
        <v>79</v>
      </c>
      <c r="CD42">
        <v>19</v>
      </c>
      <c r="CE42">
        <v>4</v>
      </c>
      <c r="CF42">
        <v>7</v>
      </c>
      <c r="CG42">
        <v>4.3439454743066603</v>
      </c>
      <c r="CH42">
        <v>3.2</v>
      </c>
      <c r="CJ42" t="str">
        <f t="shared" si="9"/>
        <v>AllSexAsian22Hanging, strangulation and suffocation</v>
      </c>
      <c r="CK42" t="s">
        <v>17</v>
      </c>
      <c r="CL42" t="s">
        <v>78</v>
      </c>
      <c r="CM42" t="s">
        <v>43</v>
      </c>
      <c r="CN42">
        <v>22</v>
      </c>
      <c r="CO42">
        <v>21</v>
      </c>
      <c r="CP42">
        <v>29</v>
      </c>
      <c r="CQ42">
        <v>72.400000000000006</v>
      </c>
      <c r="CT42" t="str">
        <f t="shared" si="10"/>
        <v>2005FemaleAllEth9</v>
      </c>
      <c r="CU42">
        <v>2005</v>
      </c>
      <c r="CV42" t="s">
        <v>8</v>
      </c>
      <c r="CW42" t="s">
        <v>27</v>
      </c>
      <c r="CX42">
        <v>9</v>
      </c>
      <c r="CY42">
        <v>6</v>
      </c>
    </row>
    <row r="43" spans="1:103">
      <c r="A43" t="str">
        <f t="shared" si="0"/>
        <v>2014AllSexMaori19</v>
      </c>
      <c r="B43">
        <v>2014</v>
      </c>
      <c r="C43" t="s">
        <v>17</v>
      </c>
      <c r="D43" t="s">
        <v>18</v>
      </c>
      <c r="E43">
        <v>19</v>
      </c>
      <c r="F43">
        <v>93</v>
      </c>
      <c r="G43">
        <v>14.573975403997499</v>
      </c>
      <c r="H43">
        <v>3</v>
      </c>
      <c r="J43" s="340" t="str">
        <f t="shared" si="1"/>
        <v>2008AllSexAllEth195</v>
      </c>
      <c r="K43">
        <v>2008</v>
      </c>
      <c r="L43" t="s">
        <v>17</v>
      </c>
      <c r="M43" t="s">
        <v>27</v>
      </c>
      <c r="N43">
        <v>19</v>
      </c>
      <c r="O43">
        <v>5</v>
      </c>
      <c r="P43">
        <v>119</v>
      </c>
      <c r="Q43">
        <v>14.0640790028423</v>
      </c>
      <c r="R43">
        <v>2.5</v>
      </c>
      <c r="T43" s="340" t="str">
        <f t="shared" si="4"/>
        <v>1996AllSexMaori23Other</v>
      </c>
      <c r="U43">
        <v>1996</v>
      </c>
      <c r="V43" t="s">
        <v>17</v>
      </c>
      <c r="W43" t="s">
        <v>18</v>
      </c>
      <c r="X43">
        <v>23</v>
      </c>
      <c r="Y43" t="s">
        <v>45</v>
      </c>
      <c r="Z43">
        <v>1</v>
      </c>
      <c r="AA43">
        <v>45</v>
      </c>
      <c r="AB43">
        <v>2.2000000000000002</v>
      </c>
      <c r="AD43" s="340" t="str">
        <f t="shared" si="5"/>
        <v>20122016AllSexAllEth22West Coast</v>
      </c>
      <c r="AE43" t="s">
        <v>17</v>
      </c>
      <c r="AF43" t="s">
        <v>27</v>
      </c>
      <c r="AG43">
        <v>22</v>
      </c>
      <c r="AH43">
        <v>17</v>
      </c>
      <c r="AI43" t="s">
        <v>70</v>
      </c>
      <c r="AJ43">
        <v>12</v>
      </c>
      <c r="AK43">
        <v>66.6666666666667</v>
      </c>
      <c r="AL43">
        <v>49.6</v>
      </c>
      <c r="AM43" t="s">
        <v>82</v>
      </c>
      <c r="AN43">
        <v>20122016</v>
      </c>
      <c r="AY43" t="str">
        <f t="shared" si="2"/>
        <v>2004FemaleUrban25</v>
      </c>
      <c r="AZ43">
        <v>2004</v>
      </c>
      <c r="BA43" t="s">
        <v>8</v>
      </c>
      <c r="BB43" t="s">
        <v>97</v>
      </c>
      <c r="BC43">
        <v>25</v>
      </c>
      <c r="BD43">
        <v>9</v>
      </c>
      <c r="BE43">
        <v>3.68867576540022</v>
      </c>
      <c r="BF43">
        <v>2.4</v>
      </c>
      <c r="BH43" t="str">
        <f t="shared" si="7"/>
        <v>2016MaleAllEth10</v>
      </c>
      <c r="BI43">
        <v>2016</v>
      </c>
      <c r="BJ43" t="s">
        <v>20</v>
      </c>
      <c r="BK43" t="s">
        <v>27</v>
      </c>
      <c r="BL43">
        <v>10</v>
      </c>
      <c r="BM43">
        <v>31</v>
      </c>
      <c r="BN43">
        <v>20.3920536771477</v>
      </c>
      <c r="BO43">
        <v>7.2</v>
      </c>
      <c r="BP43">
        <v>341</v>
      </c>
      <c r="BQ43">
        <v>9.1</v>
      </c>
      <c r="BS43" t="str">
        <f t="shared" si="11"/>
        <v>AllSexOther24</v>
      </c>
      <c r="BT43" t="s">
        <v>17</v>
      </c>
      <c r="BU43" t="s">
        <v>45</v>
      </c>
      <c r="BV43">
        <v>24</v>
      </c>
      <c r="BW43">
        <v>700</v>
      </c>
      <c r="BX43">
        <v>16.5308773172748</v>
      </c>
      <c r="BY43">
        <v>1.2</v>
      </c>
      <c r="CA43" t="str">
        <f t="shared" si="8"/>
        <v>FemalePacific195</v>
      </c>
      <c r="CB43" t="s">
        <v>8</v>
      </c>
      <c r="CC43" t="s">
        <v>79</v>
      </c>
      <c r="CD43">
        <v>19</v>
      </c>
      <c r="CE43">
        <v>5</v>
      </c>
      <c r="CF43">
        <v>16</v>
      </c>
      <c r="CG43">
        <v>3.5082816304249702</v>
      </c>
      <c r="CH43">
        <v>1.7</v>
      </c>
      <c r="CJ43" t="str">
        <f t="shared" si="9"/>
        <v>AllSexAsian23Hanging, strangulation and suffocation</v>
      </c>
      <c r="CK43" t="s">
        <v>17</v>
      </c>
      <c r="CL43" t="s">
        <v>78</v>
      </c>
      <c r="CM43" t="s">
        <v>43</v>
      </c>
      <c r="CN43">
        <v>23</v>
      </c>
      <c r="CO43">
        <v>33</v>
      </c>
      <c r="CP43">
        <v>46</v>
      </c>
      <c r="CQ43">
        <v>71.7</v>
      </c>
      <c r="CT43" t="str">
        <f t="shared" si="10"/>
        <v>2005FemaleMaori9</v>
      </c>
      <c r="CU43">
        <v>2005</v>
      </c>
      <c r="CV43" t="s">
        <v>8</v>
      </c>
      <c r="CW43" t="s">
        <v>18</v>
      </c>
      <c r="CX43">
        <v>9</v>
      </c>
      <c r="CY43">
        <v>1</v>
      </c>
    </row>
    <row r="44" spans="1:103">
      <c r="A44" t="str">
        <f t="shared" si="0"/>
        <v>2015AllSexMaori19</v>
      </c>
      <c r="B44">
        <v>2015</v>
      </c>
      <c r="C44" t="s">
        <v>17</v>
      </c>
      <c r="D44" t="s">
        <v>18</v>
      </c>
      <c r="E44">
        <v>19</v>
      </c>
      <c r="F44">
        <v>118</v>
      </c>
      <c r="G44">
        <v>17.835459808531901</v>
      </c>
      <c r="H44">
        <v>3.2</v>
      </c>
      <c r="J44" s="340" t="str">
        <f t="shared" si="1"/>
        <v>2009AllSexAllEth191</v>
      </c>
      <c r="K44">
        <v>2009</v>
      </c>
      <c r="L44" t="s">
        <v>17</v>
      </c>
      <c r="M44" t="s">
        <v>27</v>
      </c>
      <c r="N44">
        <v>19</v>
      </c>
      <c r="O44">
        <v>1</v>
      </c>
      <c r="P44">
        <v>74</v>
      </c>
      <c r="Q44">
        <v>7.9860259733649004</v>
      </c>
      <c r="R44">
        <v>1.8</v>
      </c>
      <c r="T44" s="340" t="str">
        <f t="shared" si="4"/>
        <v>1996AllSexMaori22Poisoning by gases and vapours</v>
      </c>
      <c r="U44">
        <v>1996</v>
      </c>
      <c r="V44" t="s">
        <v>17</v>
      </c>
      <c r="W44" t="s">
        <v>18</v>
      </c>
      <c r="X44">
        <v>22</v>
      </c>
      <c r="Y44" t="s">
        <v>46</v>
      </c>
      <c r="Z44">
        <v>2</v>
      </c>
      <c r="AA44">
        <v>39</v>
      </c>
      <c r="AB44">
        <v>5.0999999999999996</v>
      </c>
      <c r="AD44" s="340" t="str">
        <f t="shared" si="5"/>
        <v>20122016AllSexAllEth22Whanganui</v>
      </c>
      <c r="AE44" t="s">
        <v>17</v>
      </c>
      <c r="AF44" t="s">
        <v>27</v>
      </c>
      <c r="AG44">
        <v>22</v>
      </c>
      <c r="AH44">
        <v>12</v>
      </c>
      <c r="AI44" t="s">
        <v>65</v>
      </c>
      <c r="AJ44">
        <v>10</v>
      </c>
      <c r="AK44">
        <v>26.048450117218</v>
      </c>
      <c r="AL44">
        <v>21.2</v>
      </c>
      <c r="AM44" t="s">
        <v>82</v>
      </c>
      <c r="AN44">
        <v>20122016</v>
      </c>
      <c r="AY44" t="str">
        <f t="shared" si="2"/>
        <v>2004MaleRural22</v>
      </c>
      <c r="AZ44">
        <v>2004</v>
      </c>
      <c r="BA44" t="s">
        <v>20</v>
      </c>
      <c r="BB44" t="s">
        <v>96</v>
      </c>
      <c r="BC44">
        <v>22</v>
      </c>
      <c r="BD44">
        <v>9</v>
      </c>
      <c r="BE44">
        <v>28.266331658291499</v>
      </c>
      <c r="BF44">
        <v>18.5</v>
      </c>
      <c r="BH44" t="str">
        <f t="shared" si="7"/>
        <v>2016MaleAllEth11</v>
      </c>
      <c r="BI44">
        <v>2016</v>
      </c>
      <c r="BJ44" t="s">
        <v>20</v>
      </c>
      <c r="BK44" t="s">
        <v>27</v>
      </c>
      <c r="BL44">
        <v>11</v>
      </c>
      <c r="BM44">
        <v>37</v>
      </c>
      <c r="BN44">
        <v>24.140405819795099</v>
      </c>
      <c r="BO44">
        <v>7.8</v>
      </c>
      <c r="BP44">
        <v>527</v>
      </c>
      <c r="BQ44">
        <v>7</v>
      </c>
      <c r="BS44" t="str">
        <f t="shared" si="11"/>
        <v>FemaleMaori24</v>
      </c>
      <c r="BT44" t="s">
        <v>8</v>
      </c>
      <c r="BU44" t="s">
        <v>18</v>
      </c>
      <c r="BV44">
        <v>24</v>
      </c>
      <c r="BW44">
        <v>20</v>
      </c>
      <c r="BX44">
        <v>5.7577153385536599</v>
      </c>
      <c r="BY44">
        <v>2.5</v>
      </c>
      <c r="CA44" t="str">
        <f t="shared" si="8"/>
        <v>MaleAsian191</v>
      </c>
      <c r="CB44" t="s">
        <v>20</v>
      </c>
      <c r="CC44" t="s">
        <v>78</v>
      </c>
      <c r="CD44">
        <v>19</v>
      </c>
      <c r="CE44">
        <v>1</v>
      </c>
      <c r="CF44">
        <v>10</v>
      </c>
      <c r="CG44">
        <v>4.2480818118786701</v>
      </c>
      <c r="CH44">
        <v>2.6</v>
      </c>
      <c r="CJ44" t="str">
        <f t="shared" si="9"/>
        <v>AllSexAsian24Hanging, strangulation and suffocation</v>
      </c>
      <c r="CK44" t="s">
        <v>17</v>
      </c>
      <c r="CL44" t="s">
        <v>78</v>
      </c>
      <c r="CM44" t="s">
        <v>43</v>
      </c>
      <c r="CN44">
        <v>24</v>
      </c>
      <c r="CO44">
        <v>25</v>
      </c>
      <c r="CP44">
        <v>41</v>
      </c>
      <c r="CQ44">
        <v>61</v>
      </c>
      <c r="CT44" t="str">
        <f t="shared" si="10"/>
        <v>2005FemaleNon-Maori9</v>
      </c>
      <c r="CU44">
        <v>2005</v>
      </c>
      <c r="CV44" t="s">
        <v>8</v>
      </c>
      <c r="CW44" t="s">
        <v>19</v>
      </c>
      <c r="CX44">
        <v>9</v>
      </c>
      <c r="CY44">
        <v>5</v>
      </c>
    </row>
    <row r="45" spans="1:103">
      <c r="A45" t="str">
        <f t="shared" si="0"/>
        <v>2016AllSexMaori19</v>
      </c>
      <c r="B45">
        <v>2016</v>
      </c>
      <c r="C45" t="s">
        <v>17</v>
      </c>
      <c r="D45" t="s">
        <v>18</v>
      </c>
      <c r="E45">
        <v>19</v>
      </c>
      <c r="F45">
        <v>135</v>
      </c>
      <c r="G45">
        <v>20.237649160748301</v>
      </c>
      <c r="H45">
        <v>3.4</v>
      </c>
      <c r="J45" s="340" t="str">
        <f t="shared" si="1"/>
        <v>2009AllSexAllEth192</v>
      </c>
      <c r="K45">
        <v>2009</v>
      </c>
      <c r="L45" t="s">
        <v>17</v>
      </c>
      <c r="M45" t="s">
        <v>27</v>
      </c>
      <c r="N45">
        <v>19</v>
      </c>
      <c r="O45">
        <v>2</v>
      </c>
      <c r="P45">
        <v>89</v>
      </c>
      <c r="Q45">
        <v>9.5258859884151494</v>
      </c>
      <c r="R45">
        <v>2</v>
      </c>
      <c r="T45" s="340" t="str">
        <f t="shared" si="4"/>
        <v>1996AllSexMaori23Poisoning by gases and vapours</v>
      </c>
      <c r="U45">
        <v>1996</v>
      </c>
      <c r="V45" t="s">
        <v>17</v>
      </c>
      <c r="W45" t="s">
        <v>18</v>
      </c>
      <c r="X45">
        <v>23</v>
      </c>
      <c r="Y45" t="s">
        <v>46</v>
      </c>
      <c r="Z45">
        <v>6</v>
      </c>
      <c r="AA45">
        <v>45</v>
      </c>
      <c r="AB45">
        <v>13.3</v>
      </c>
      <c r="AD45" s="340" t="str">
        <f t="shared" si="5"/>
        <v>20122016AllSexAllEth22Unknown</v>
      </c>
      <c r="AE45" t="s">
        <v>17</v>
      </c>
      <c r="AF45" t="s">
        <v>27</v>
      </c>
      <c r="AG45">
        <v>22</v>
      </c>
      <c r="AH45">
        <v>98</v>
      </c>
      <c r="AI45" t="s">
        <v>75</v>
      </c>
      <c r="AJ45">
        <v>1</v>
      </c>
      <c r="AK45">
        <v>0</v>
      </c>
      <c r="AL45">
        <v>0</v>
      </c>
      <c r="AM45" t="s">
        <v>83</v>
      </c>
      <c r="AN45">
        <v>20122016</v>
      </c>
      <c r="AY45" t="str">
        <f t="shared" si="2"/>
        <v>2004MaleUrban22</v>
      </c>
      <c r="AZ45">
        <v>2004</v>
      </c>
      <c r="BA45" t="s">
        <v>20</v>
      </c>
      <c r="BB45" t="s">
        <v>97</v>
      </c>
      <c r="BC45">
        <v>22</v>
      </c>
      <c r="BD45">
        <v>72</v>
      </c>
      <c r="BE45">
        <v>27.211912770701801</v>
      </c>
      <c r="BF45">
        <v>6.3</v>
      </c>
      <c r="BH45" t="str">
        <f t="shared" si="7"/>
        <v>2016MaleAllEth12</v>
      </c>
      <c r="BI45">
        <v>2016</v>
      </c>
      <c r="BJ45" t="s">
        <v>20</v>
      </c>
      <c r="BK45" t="s">
        <v>27</v>
      </c>
      <c r="BL45">
        <v>12</v>
      </c>
      <c r="BM45">
        <v>36</v>
      </c>
      <c r="BN45">
        <v>25.130890052356001</v>
      </c>
      <c r="BO45">
        <v>8.1999999999999993</v>
      </c>
      <c r="BP45">
        <v>739</v>
      </c>
      <c r="BQ45">
        <v>4.9000000000000004</v>
      </c>
      <c r="BS45" t="str">
        <f t="shared" si="11"/>
        <v>FemalePacific24</v>
      </c>
      <c r="BT45" t="s">
        <v>8</v>
      </c>
      <c r="BU45" t="s">
        <v>79</v>
      </c>
      <c r="BV45">
        <v>24</v>
      </c>
      <c r="BW45">
        <v>5</v>
      </c>
      <c r="BX45">
        <v>3.6245016310257299</v>
      </c>
      <c r="BY45">
        <v>3.2</v>
      </c>
      <c r="CA45" t="str">
        <f t="shared" si="8"/>
        <v>MaleAsian192</v>
      </c>
      <c r="CB45" t="s">
        <v>20</v>
      </c>
      <c r="CC45" t="s">
        <v>78</v>
      </c>
      <c r="CD45">
        <v>19</v>
      </c>
      <c r="CE45">
        <v>2</v>
      </c>
      <c r="CF45">
        <v>14</v>
      </c>
      <c r="CG45">
        <v>4.7987667782136896</v>
      </c>
      <c r="CH45">
        <v>2.5</v>
      </c>
      <c r="CJ45" t="str">
        <f t="shared" si="9"/>
        <v>AllSexAsian25Hanging, strangulation and suffocation</v>
      </c>
      <c r="CK45" t="s">
        <v>17</v>
      </c>
      <c r="CL45" t="s">
        <v>78</v>
      </c>
      <c r="CM45" t="s">
        <v>43</v>
      </c>
      <c r="CN45">
        <v>25</v>
      </c>
      <c r="CO45">
        <v>7</v>
      </c>
      <c r="CP45">
        <v>11</v>
      </c>
      <c r="CQ45">
        <v>63.6</v>
      </c>
      <c r="CT45" t="str">
        <f t="shared" si="10"/>
        <v>2005MaleAllEth9</v>
      </c>
      <c r="CU45">
        <v>2005</v>
      </c>
      <c r="CV45" t="s">
        <v>20</v>
      </c>
      <c r="CW45" t="s">
        <v>27</v>
      </c>
      <c r="CX45">
        <v>9</v>
      </c>
      <c r="CY45">
        <v>18</v>
      </c>
    </row>
    <row r="46" spans="1:103">
      <c r="A46" t="str">
        <f t="shared" si="0"/>
        <v>1996AllSexNon-Maori19</v>
      </c>
      <c r="B46">
        <v>1996</v>
      </c>
      <c r="C46" t="s">
        <v>17</v>
      </c>
      <c r="D46" t="s">
        <v>19</v>
      </c>
      <c r="E46">
        <v>19</v>
      </c>
      <c r="F46">
        <v>443</v>
      </c>
      <c r="G46">
        <v>13.202661641130099</v>
      </c>
      <c r="H46">
        <v>1.2</v>
      </c>
      <c r="J46" s="340" t="str">
        <f t="shared" si="1"/>
        <v>2009AllSexAllEth193</v>
      </c>
      <c r="K46">
        <v>2009</v>
      </c>
      <c r="L46" t="s">
        <v>17</v>
      </c>
      <c r="M46" t="s">
        <v>27</v>
      </c>
      <c r="N46">
        <v>19</v>
      </c>
      <c r="O46">
        <v>3</v>
      </c>
      <c r="P46">
        <v>87</v>
      </c>
      <c r="Q46">
        <v>9.8737223189076193</v>
      </c>
      <c r="R46">
        <v>2.1</v>
      </c>
      <c r="T46" s="340" t="str">
        <f t="shared" si="4"/>
        <v>1996AllSexMaori24Poisoning by gases and vapours</v>
      </c>
      <c r="U46">
        <v>1996</v>
      </c>
      <c r="V46" t="s">
        <v>17</v>
      </c>
      <c r="W46" t="s">
        <v>18</v>
      </c>
      <c r="X46">
        <v>24</v>
      </c>
      <c r="Y46" t="s">
        <v>46</v>
      </c>
      <c r="Z46">
        <v>2</v>
      </c>
      <c r="AA46">
        <v>8</v>
      </c>
      <c r="AB46">
        <v>25</v>
      </c>
      <c r="AD46" s="340" t="str">
        <f t="shared" si="5"/>
        <v>20072011AllSexAllEth19Northland</v>
      </c>
      <c r="AE46" t="s">
        <v>17</v>
      </c>
      <c r="AF46" t="s">
        <v>27</v>
      </c>
      <c r="AG46">
        <v>19</v>
      </c>
      <c r="AH46">
        <v>1</v>
      </c>
      <c r="AI46" t="s">
        <v>54</v>
      </c>
      <c r="AJ46">
        <v>89</v>
      </c>
      <c r="AK46">
        <v>12.189835929941101</v>
      </c>
      <c r="AL46">
        <v>3.3</v>
      </c>
      <c r="AM46" t="s">
        <v>82</v>
      </c>
      <c r="AN46">
        <v>20072011</v>
      </c>
      <c r="AY46" t="str">
        <f t="shared" si="2"/>
        <v>2004MaleRural23</v>
      </c>
      <c r="AZ46">
        <v>2004</v>
      </c>
      <c r="BA46" t="s">
        <v>20</v>
      </c>
      <c r="BB46" t="s">
        <v>96</v>
      </c>
      <c r="BC46">
        <v>23</v>
      </c>
      <c r="BD46">
        <v>26</v>
      </c>
      <c r="BE46">
        <v>33.492206621151603</v>
      </c>
      <c r="BF46">
        <v>12.9</v>
      </c>
      <c r="BH46" t="str">
        <f t="shared" si="7"/>
        <v>2016MaleAllEth13</v>
      </c>
      <c r="BI46">
        <v>2016</v>
      </c>
      <c r="BJ46" t="s">
        <v>20</v>
      </c>
      <c r="BK46" t="s">
        <v>27</v>
      </c>
      <c r="BL46">
        <v>13</v>
      </c>
      <c r="BM46">
        <v>23</v>
      </c>
      <c r="BN46">
        <v>18.433918409874199</v>
      </c>
      <c r="BO46">
        <v>7.5</v>
      </c>
      <c r="BP46">
        <v>1001</v>
      </c>
      <c r="BQ46">
        <v>2.2999999999999998</v>
      </c>
      <c r="BS46" t="str">
        <f t="shared" si="11"/>
        <v>FemaleAsian24</v>
      </c>
      <c r="BT46" t="s">
        <v>8</v>
      </c>
      <c r="BU46" t="s">
        <v>78</v>
      </c>
      <c r="BV46">
        <v>24</v>
      </c>
      <c r="BW46">
        <v>18</v>
      </c>
      <c r="BX46">
        <v>5.4736201915767104</v>
      </c>
      <c r="BY46">
        <v>2.5</v>
      </c>
      <c r="CA46" t="str">
        <f t="shared" si="8"/>
        <v>MaleAsian193</v>
      </c>
      <c r="CB46" t="s">
        <v>20</v>
      </c>
      <c r="CC46" t="s">
        <v>78</v>
      </c>
      <c r="CD46">
        <v>19</v>
      </c>
      <c r="CE46">
        <v>3</v>
      </c>
      <c r="CF46">
        <v>19</v>
      </c>
      <c r="CG46">
        <v>5.8168577191100397</v>
      </c>
      <c r="CH46">
        <v>2.6</v>
      </c>
      <c r="CJ46" t="str">
        <f t="shared" si="9"/>
        <v>AllSexAsian22Jumping from a high place</v>
      </c>
      <c r="CK46" t="s">
        <v>17</v>
      </c>
      <c r="CL46" t="s">
        <v>78</v>
      </c>
      <c r="CM46" t="s">
        <v>44</v>
      </c>
      <c r="CN46">
        <v>22</v>
      </c>
      <c r="CO46">
        <v>4</v>
      </c>
      <c r="CP46">
        <v>29</v>
      </c>
      <c r="CQ46">
        <v>13.8</v>
      </c>
      <c r="CT46" t="str">
        <f t="shared" si="10"/>
        <v>2005MaleMaori9</v>
      </c>
      <c r="CU46">
        <v>2005</v>
      </c>
      <c r="CV46" t="s">
        <v>20</v>
      </c>
      <c r="CW46" t="s">
        <v>18</v>
      </c>
      <c r="CX46">
        <v>9</v>
      </c>
      <c r="CY46">
        <v>4</v>
      </c>
    </row>
    <row r="47" spans="1:103">
      <c r="A47" t="str">
        <f t="shared" si="0"/>
        <v>1997AllSexNon-Maori19</v>
      </c>
      <c r="B47">
        <v>1997</v>
      </c>
      <c r="C47" t="s">
        <v>17</v>
      </c>
      <c r="D47" t="s">
        <v>19</v>
      </c>
      <c r="E47">
        <v>19</v>
      </c>
      <c r="F47">
        <v>456</v>
      </c>
      <c r="G47">
        <v>13.6356969902152</v>
      </c>
      <c r="H47">
        <v>1.3</v>
      </c>
      <c r="J47" s="340" t="str">
        <f t="shared" si="1"/>
        <v>2009AllSexAllEth194</v>
      </c>
      <c r="K47">
        <v>2009</v>
      </c>
      <c r="L47" t="s">
        <v>17</v>
      </c>
      <c r="M47" t="s">
        <v>27</v>
      </c>
      <c r="N47">
        <v>19</v>
      </c>
      <c r="O47">
        <v>4</v>
      </c>
      <c r="P47">
        <v>129</v>
      </c>
      <c r="Q47">
        <v>14.455050464133199</v>
      </c>
      <c r="R47">
        <v>2.5</v>
      </c>
      <c r="T47" s="340" t="str">
        <f t="shared" si="4"/>
        <v>1996AllSexMaori21Poisoning by solids and liquids</v>
      </c>
      <c r="U47">
        <v>1996</v>
      </c>
      <c r="V47" t="s">
        <v>17</v>
      </c>
      <c r="W47" t="s">
        <v>18</v>
      </c>
      <c r="X47">
        <v>21</v>
      </c>
      <c r="Y47" t="s">
        <v>47</v>
      </c>
      <c r="Z47">
        <v>1</v>
      </c>
      <c r="AA47">
        <v>4</v>
      </c>
      <c r="AB47">
        <v>25</v>
      </c>
      <c r="AD47" s="340" t="str">
        <f t="shared" si="5"/>
        <v>20072011AllSexAllEth19Waitemata</v>
      </c>
      <c r="AE47" t="s">
        <v>17</v>
      </c>
      <c r="AF47" t="s">
        <v>27</v>
      </c>
      <c r="AG47">
        <v>19</v>
      </c>
      <c r="AH47">
        <v>2</v>
      </c>
      <c r="AI47" t="s">
        <v>55</v>
      </c>
      <c r="AJ47">
        <v>265</v>
      </c>
      <c r="AK47">
        <v>9.4623926574046706</v>
      </c>
      <c r="AL47">
        <v>1.5</v>
      </c>
      <c r="AM47" t="s">
        <v>83</v>
      </c>
      <c r="AN47">
        <v>20072011</v>
      </c>
      <c r="AY47" t="str">
        <f t="shared" si="2"/>
        <v>2004MaleUrban23</v>
      </c>
      <c r="AZ47">
        <v>2004</v>
      </c>
      <c r="BA47" t="s">
        <v>20</v>
      </c>
      <c r="BB47" t="s">
        <v>97</v>
      </c>
      <c r="BC47">
        <v>23</v>
      </c>
      <c r="BD47">
        <v>119</v>
      </c>
      <c r="BE47">
        <v>24.218988501068502</v>
      </c>
      <c r="BF47">
        <v>4.4000000000000004</v>
      </c>
      <c r="BH47" t="str">
        <f t="shared" si="7"/>
        <v>2016MaleAllEth14</v>
      </c>
      <c r="BI47">
        <v>2016</v>
      </c>
      <c r="BJ47" t="s">
        <v>20</v>
      </c>
      <c r="BK47" t="s">
        <v>27</v>
      </c>
      <c r="BL47">
        <v>14</v>
      </c>
      <c r="BM47">
        <v>17</v>
      </c>
      <c r="BN47">
        <v>14.9424277050189</v>
      </c>
      <c r="BO47">
        <v>7.1</v>
      </c>
      <c r="BP47">
        <v>1411</v>
      </c>
      <c r="BQ47">
        <v>1.2</v>
      </c>
      <c r="BS47" t="str">
        <f t="shared" si="11"/>
        <v>FemaleOther24</v>
      </c>
      <c r="BT47" t="s">
        <v>8</v>
      </c>
      <c r="BU47" t="s">
        <v>45</v>
      </c>
      <c r="BV47">
        <v>24</v>
      </c>
      <c r="BW47">
        <v>188</v>
      </c>
      <c r="BX47">
        <v>8.7181936644701192</v>
      </c>
      <c r="BY47">
        <v>1.2</v>
      </c>
      <c r="CA47" t="str">
        <f t="shared" si="8"/>
        <v>MaleAsian194</v>
      </c>
      <c r="CB47" t="s">
        <v>20</v>
      </c>
      <c r="CC47" t="s">
        <v>78</v>
      </c>
      <c r="CD47">
        <v>19</v>
      </c>
      <c r="CE47">
        <v>4</v>
      </c>
      <c r="CF47">
        <v>25</v>
      </c>
      <c r="CG47">
        <v>7.6674841514499699</v>
      </c>
      <c r="CH47">
        <v>3</v>
      </c>
      <c r="CJ47" t="str">
        <f t="shared" si="9"/>
        <v>AllSexAsian23Jumping from a high place</v>
      </c>
      <c r="CK47" t="s">
        <v>17</v>
      </c>
      <c r="CL47" t="s">
        <v>78</v>
      </c>
      <c r="CM47" t="s">
        <v>44</v>
      </c>
      <c r="CN47">
        <v>23</v>
      </c>
      <c r="CO47">
        <v>4</v>
      </c>
      <c r="CP47">
        <v>46</v>
      </c>
      <c r="CQ47">
        <v>8.6999999999999993</v>
      </c>
      <c r="CT47" t="str">
        <f t="shared" si="10"/>
        <v>2005MaleNon-Maori9</v>
      </c>
      <c r="CU47">
        <v>2005</v>
      </c>
      <c r="CV47" t="s">
        <v>20</v>
      </c>
      <c r="CW47" t="s">
        <v>19</v>
      </c>
      <c r="CX47">
        <v>9</v>
      </c>
      <c r="CY47">
        <v>14</v>
      </c>
    </row>
    <row r="48" spans="1:103">
      <c r="A48" t="str">
        <f t="shared" si="0"/>
        <v>1998AllSexNon-Maori19</v>
      </c>
      <c r="B48">
        <v>1998</v>
      </c>
      <c r="C48" t="s">
        <v>17</v>
      </c>
      <c r="D48" t="s">
        <v>19</v>
      </c>
      <c r="E48">
        <v>19</v>
      </c>
      <c r="F48">
        <v>466</v>
      </c>
      <c r="G48">
        <v>13.719933399984299</v>
      </c>
      <c r="H48">
        <v>1.2</v>
      </c>
      <c r="J48" s="340" t="str">
        <f t="shared" si="1"/>
        <v>2009AllSexAllEth195</v>
      </c>
      <c r="K48">
        <v>2009</v>
      </c>
      <c r="L48" t="s">
        <v>17</v>
      </c>
      <c r="M48" t="s">
        <v>27</v>
      </c>
      <c r="N48">
        <v>19</v>
      </c>
      <c r="O48">
        <v>5</v>
      </c>
      <c r="P48">
        <v>128</v>
      </c>
      <c r="Q48">
        <v>15.354556077231001</v>
      </c>
      <c r="R48">
        <v>2.7</v>
      </c>
      <c r="T48" s="340" t="str">
        <f t="shared" si="4"/>
        <v>1996AllSexMaori22Poisoning by solids and liquids</v>
      </c>
      <c r="U48">
        <v>1996</v>
      </c>
      <c r="V48" t="s">
        <v>17</v>
      </c>
      <c r="W48" t="s">
        <v>18</v>
      </c>
      <c r="X48">
        <v>22</v>
      </c>
      <c r="Y48" t="s">
        <v>47</v>
      </c>
      <c r="Z48">
        <v>2</v>
      </c>
      <c r="AA48">
        <v>39</v>
      </c>
      <c r="AB48">
        <v>5.0999999999999996</v>
      </c>
      <c r="AD48" s="340" t="str">
        <f t="shared" si="5"/>
        <v>20072011AllSexAllEth19Auckland</v>
      </c>
      <c r="AE48" t="s">
        <v>17</v>
      </c>
      <c r="AF48" t="s">
        <v>27</v>
      </c>
      <c r="AG48">
        <v>19</v>
      </c>
      <c r="AH48">
        <v>3</v>
      </c>
      <c r="AI48" t="s">
        <v>56</v>
      </c>
      <c r="AJ48">
        <v>210</v>
      </c>
      <c r="AK48">
        <v>8.7782021416660605</v>
      </c>
      <c r="AL48">
        <v>1.6</v>
      </c>
      <c r="AM48" t="s">
        <v>83</v>
      </c>
      <c r="AN48">
        <v>20072011</v>
      </c>
      <c r="AY48" t="str">
        <f t="shared" si="2"/>
        <v>2004MaleRural24</v>
      </c>
      <c r="AZ48">
        <v>2004</v>
      </c>
      <c r="BA48" t="s">
        <v>20</v>
      </c>
      <c r="BB48" t="s">
        <v>96</v>
      </c>
      <c r="BC48">
        <v>24</v>
      </c>
      <c r="BD48">
        <v>18</v>
      </c>
      <c r="BE48">
        <v>21.691973969631199</v>
      </c>
      <c r="BF48">
        <v>10</v>
      </c>
      <c r="BH48" t="str">
        <f t="shared" si="7"/>
        <v>2016MaleAllEth15</v>
      </c>
      <c r="BI48">
        <v>2016</v>
      </c>
      <c r="BJ48" t="s">
        <v>20</v>
      </c>
      <c r="BK48" t="s">
        <v>27</v>
      </c>
      <c r="BL48">
        <v>15</v>
      </c>
      <c r="BM48">
        <v>6</v>
      </c>
      <c r="BN48">
        <v>7.2992700729926998</v>
      </c>
      <c r="BO48">
        <v>5.8</v>
      </c>
      <c r="BP48">
        <v>1773</v>
      </c>
      <c r="BQ48">
        <v>0.3</v>
      </c>
      <c r="BS48" t="str">
        <f t="shared" si="11"/>
        <v>MaleMaori24</v>
      </c>
      <c r="BT48" t="s">
        <v>20</v>
      </c>
      <c r="BU48" t="s">
        <v>18</v>
      </c>
      <c r="BV48">
        <v>24</v>
      </c>
      <c r="BW48">
        <v>53</v>
      </c>
      <c r="BX48">
        <v>17.275660875517499</v>
      </c>
      <c r="BY48">
        <v>4.7</v>
      </c>
      <c r="CA48" t="str">
        <f t="shared" si="8"/>
        <v>MaleAsian195</v>
      </c>
      <c r="CB48" t="s">
        <v>20</v>
      </c>
      <c r="CC48" t="s">
        <v>78</v>
      </c>
      <c r="CD48">
        <v>19</v>
      </c>
      <c r="CE48">
        <v>5</v>
      </c>
      <c r="CF48">
        <v>16</v>
      </c>
      <c r="CG48">
        <v>5.2654922940706799</v>
      </c>
      <c r="CH48">
        <v>2.6</v>
      </c>
      <c r="CJ48" t="str">
        <f t="shared" si="9"/>
        <v>AllSexAsian24Jumping from a high place</v>
      </c>
      <c r="CK48" t="s">
        <v>17</v>
      </c>
      <c r="CL48" t="s">
        <v>78</v>
      </c>
      <c r="CM48" t="s">
        <v>44</v>
      </c>
      <c r="CN48">
        <v>24</v>
      </c>
      <c r="CO48">
        <v>4</v>
      </c>
      <c r="CP48">
        <v>41</v>
      </c>
      <c r="CQ48">
        <v>9.8000000000000007</v>
      </c>
      <c r="CT48" t="str">
        <f t="shared" si="10"/>
        <v>2006AllSexAllEth9</v>
      </c>
      <c r="CU48">
        <v>2006</v>
      </c>
      <c r="CV48" t="s">
        <v>17</v>
      </c>
      <c r="CW48" t="s">
        <v>27</v>
      </c>
      <c r="CX48">
        <v>9</v>
      </c>
      <c r="CY48">
        <v>24</v>
      </c>
    </row>
    <row r="49" spans="1:103">
      <c r="A49" t="str">
        <f t="shared" si="0"/>
        <v>1999AllSexNon-Maori19</v>
      </c>
      <c r="B49">
        <v>1999</v>
      </c>
      <c r="C49" t="s">
        <v>17</v>
      </c>
      <c r="D49" t="s">
        <v>19</v>
      </c>
      <c r="E49">
        <v>19</v>
      </c>
      <c r="F49">
        <v>437</v>
      </c>
      <c r="G49">
        <v>12.8048336121334</v>
      </c>
      <c r="H49">
        <v>1.2</v>
      </c>
      <c r="J49" s="340" t="str">
        <f t="shared" si="1"/>
        <v>2010AllSexAllEth191</v>
      </c>
      <c r="K49">
        <v>2010</v>
      </c>
      <c r="L49" t="s">
        <v>17</v>
      </c>
      <c r="M49" t="s">
        <v>27</v>
      </c>
      <c r="N49">
        <v>19</v>
      </c>
      <c r="O49">
        <v>1</v>
      </c>
      <c r="P49">
        <v>90</v>
      </c>
      <c r="Q49">
        <v>10.1349018099747</v>
      </c>
      <c r="R49">
        <v>2.1</v>
      </c>
      <c r="T49" s="340" t="str">
        <f t="shared" si="4"/>
        <v>1996AllSexMaori23Poisoning by solids and liquids</v>
      </c>
      <c r="U49">
        <v>1996</v>
      </c>
      <c r="V49" t="s">
        <v>17</v>
      </c>
      <c r="W49" t="s">
        <v>18</v>
      </c>
      <c r="X49">
        <v>23</v>
      </c>
      <c r="Y49" t="s">
        <v>47</v>
      </c>
      <c r="Z49">
        <v>5</v>
      </c>
      <c r="AA49">
        <v>45</v>
      </c>
      <c r="AB49">
        <v>11.1</v>
      </c>
      <c r="AD49" s="340" t="str">
        <f t="shared" si="5"/>
        <v>20072011AllSexAllEth19Counties Manukau</v>
      </c>
      <c r="AE49" t="s">
        <v>17</v>
      </c>
      <c r="AF49" t="s">
        <v>27</v>
      </c>
      <c r="AG49">
        <v>19</v>
      </c>
      <c r="AH49">
        <v>4</v>
      </c>
      <c r="AI49" t="s">
        <v>57</v>
      </c>
      <c r="AJ49">
        <v>252</v>
      </c>
      <c r="AK49">
        <v>10.7870978064373</v>
      </c>
      <c r="AL49">
        <v>1.8</v>
      </c>
      <c r="AM49" t="s">
        <v>82</v>
      </c>
      <c r="AN49">
        <v>20072011</v>
      </c>
      <c r="AY49" t="str">
        <f t="shared" si="2"/>
        <v>2004MaleUrban24</v>
      </c>
      <c r="AZ49">
        <v>2004</v>
      </c>
      <c r="BA49" t="s">
        <v>20</v>
      </c>
      <c r="BB49" t="s">
        <v>97</v>
      </c>
      <c r="BC49">
        <v>24</v>
      </c>
      <c r="BD49">
        <v>64</v>
      </c>
      <c r="BE49">
        <v>16.7215342007629</v>
      </c>
      <c r="BF49">
        <v>4.0999999999999996</v>
      </c>
      <c r="BH49" t="str">
        <f t="shared" si="7"/>
        <v>2016MaleAllEth16</v>
      </c>
      <c r="BI49">
        <v>2016</v>
      </c>
      <c r="BJ49" t="s">
        <v>20</v>
      </c>
      <c r="BK49" t="s">
        <v>27</v>
      </c>
      <c r="BL49">
        <v>16</v>
      </c>
      <c r="BM49">
        <v>10</v>
      </c>
      <c r="BN49">
        <v>16.694490818030101</v>
      </c>
      <c r="BO49">
        <v>10.3</v>
      </c>
      <c r="BP49">
        <v>2070</v>
      </c>
      <c r="BQ49">
        <v>0.5</v>
      </c>
      <c r="BS49" t="str">
        <f t="shared" si="11"/>
        <v>MalePacific24</v>
      </c>
      <c r="BT49" t="s">
        <v>20</v>
      </c>
      <c r="BU49" t="s">
        <v>79</v>
      </c>
      <c r="BV49">
        <v>24</v>
      </c>
      <c r="BW49">
        <v>19</v>
      </c>
      <c r="BX49">
        <v>14.626635873749001</v>
      </c>
      <c r="BY49">
        <v>6.6</v>
      </c>
      <c r="CA49" t="str">
        <f t="shared" si="8"/>
        <v>MaleMaori191</v>
      </c>
      <c r="CB49" t="s">
        <v>20</v>
      </c>
      <c r="CC49" t="s">
        <v>18</v>
      </c>
      <c r="CD49">
        <v>19</v>
      </c>
      <c r="CE49">
        <v>1</v>
      </c>
      <c r="CF49">
        <v>10</v>
      </c>
      <c r="CG49">
        <v>7.4723161364243298</v>
      </c>
      <c r="CH49">
        <v>4.5999999999999996</v>
      </c>
      <c r="CJ49" t="str">
        <f t="shared" si="9"/>
        <v>AllSexAsian25Jumping from a high place</v>
      </c>
      <c r="CK49" t="s">
        <v>17</v>
      </c>
      <c r="CL49" t="s">
        <v>78</v>
      </c>
      <c r="CM49" t="s">
        <v>44</v>
      </c>
      <c r="CN49">
        <v>25</v>
      </c>
      <c r="CO49">
        <v>1</v>
      </c>
      <c r="CP49">
        <v>11</v>
      </c>
      <c r="CQ49">
        <v>9.1</v>
      </c>
      <c r="CT49" t="str">
        <f t="shared" si="10"/>
        <v>2006AllSexMaori9</v>
      </c>
      <c r="CU49">
        <v>2006</v>
      </c>
      <c r="CV49" t="s">
        <v>17</v>
      </c>
      <c r="CW49" t="s">
        <v>18</v>
      </c>
      <c r="CX49">
        <v>9</v>
      </c>
      <c r="CY49">
        <v>2</v>
      </c>
    </row>
    <row r="50" spans="1:103">
      <c r="A50" t="str">
        <f t="shared" si="0"/>
        <v>2000AllSexNon-Maori19</v>
      </c>
      <c r="B50">
        <v>2000</v>
      </c>
      <c r="C50" t="s">
        <v>17</v>
      </c>
      <c r="D50" t="s">
        <v>19</v>
      </c>
      <c r="E50">
        <v>19</v>
      </c>
      <c r="F50">
        <v>379</v>
      </c>
      <c r="G50">
        <v>11.1683814296716</v>
      </c>
      <c r="H50">
        <v>1.1000000000000001</v>
      </c>
      <c r="J50" s="340" t="str">
        <f t="shared" si="1"/>
        <v>2010AllSexAllEth192</v>
      </c>
      <c r="K50">
        <v>2010</v>
      </c>
      <c r="L50" t="s">
        <v>17</v>
      </c>
      <c r="M50" t="s">
        <v>27</v>
      </c>
      <c r="N50">
        <v>19</v>
      </c>
      <c r="O50">
        <v>2</v>
      </c>
      <c r="P50">
        <v>88</v>
      </c>
      <c r="Q50">
        <v>9.4076427688804802</v>
      </c>
      <c r="R50">
        <v>2</v>
      </c>
      <c r="T50" s="340" t="str">
        <f t="shared" si="4"/>
        <v>1996AllSexMaori24Poisoning by solids and liquids</v>
      </c>
      <c r="U50">
        <v>1996</v>
      </c>
      <c r="V50" t="s">
        <v>17</v>
      </c>
      <c r="W50" t="s">
        <v>18</v>
      </c>
      <c r="X50">
        <v>24</v>
      </c>
      <c r="Y50" t="s">
        <v>47</v>
      </c>
      <c r="Z50">
        <v>3</v>
      </c>
      <c r="AA50">
        <v>8</v>
      </c>
      <c r="AB50">
        <v>37.5</v>
      </c>
      <c r="AD50" s="340" t="str">
        <f t="shared" si="5"/>
        <v>20072011AllSexAllEth19Waikato</v>
      </c>
      <c r="AE50" t="s">
        <v>17</v>
      </c>
      <c r="AF50" t="s">
        <v>27</v>
      </c>
      <c r="AG50">
        <v>19</v>
      </c>
      <c r="AH50">
        <v>5</v>
      </c>
      <c r="AI50" t="s">
        <v>58</v>
      </c>
      <c r="AJ50">
        <v>208</v>
      </c>
      <c r="AK50">
        <v>11.314197205265399</v>
      </c>
      <c r="AL50">
        <v>2</v>
      </c>
      <c r="AM50" t="s">
        <v>82</v>
      </c>
      <c r="AN50">
        <v>20072011</v>
      </c>
      <c r="AY50" t="str">
        <f t="shared" si="2"/>
        <v>2004MaleRural25</v>
      </c>
      <c r="AZ50">
        <v>2004</v>
      </c>
      <c r="BA50" t="s">
        <v>20</v>
      </c>
      <c r="BB50" t="s">
        <v>96</v>
      </c>
      <c r="BC50">
        <v>25</v>
      </c>
      <c r="BD50">
        <v>4</v>
      </c>
      <c r="BE50">
        <v>13.5089496791624</v>
      </c>
      <c r="BF50">
        <v>13.2</v>
      </c>
      <c r="BH50" t="str">
        <f t="shared" si="7"/>
        <v>2016MaleAllEth17</v>
      </c>
      <c r="BI50">
        <v>2016</v>
      </c>
      <c r="BJ50" t="s">
        <v>20</v>
      </c>
      <c r="BK50" t="s">
        <v>27</v>
      </c>
      <c r="BL50">
        <v>17</v>
      </c>
      <c r="BM50">
        <v>8</v>
      </c>
      <c r="BN50">
        <v>21.2145319543888</v>
      </c>
      <c r="BO50">
        <v>14.7</v>
      </c>
      <c r="BP50">
        <v>2460</v>
      </c>
      <c r="BQ50">
        <v>0.3</v>
      </c>
      <c r="BS50" t="str">
        <f t="shared" si="11"/>
        <v>MaleAsian24</v>
      </c>
      <c r="BT50" t="s">
        <v>20</v>
      </c>
      <c r="BU50" t="s">
        <v>78</v>
      </c>
      <c r="BV50">
        <v>24</v>
      </c>
      <c r="BW50">
        <v>23</v>
      </c>
      <c r="BX50">
        <v>8.4481175390266294</v>
      </c>
      <c r="BY50">
        <v>3.5</v>
      </c>
      <c r="CA50" t="str">
        <f t="shared" si="8"/>
        <v>MaleMaori192</v>
      </c>
      <c r="CB50" t="s">
        <v>20</v>
      </c>
      <c r="CC50" t="s">
        <v>18</v>
      </c>
      <c r="CD50">
        <v>19</v>
      </c>
      <c r="CE50">
        <v>2</v>
      </c>
      <c r="CF50">
        <v>31</v>
      </c>
      <c r="CG50">
        <v>16.435091898225199</v>
      </c>
      <c r="CH50">
        <v>5.8</v>
      </c>
      <c r="CJ50" t="str">
        <f t="shared" si="9"/>
        <v>AllSexAsian22Other</v>
      </c>
      <c r="CK50" t="s">
        <v>17</v>
      </c>
      <c r="CL50" t="s">
        <v>78</v>
      </c>
      <c r="CM50" t="s">
        <v>45</v>
      </c>
      <c r="CN50">
        <v>22</v>
      </c>
      <c r="CO50">
        <v>1</v>
      </c>
      <c r="CP50">
        <v>29</v>
      </c>
      <c r="CQ50">
        <v>3.4</v>
      </c>
      <c r="CT50" t="str">
        <f t="shared" si="10"/>
        <v>2006AllSexNon-Maori9</v>
      </c>
      <c r="CU50">
        <v>2006</v>
      </c>
      <c r="CV50" t="s">
        <v>17</v>
      </c>
      <c r="CW50" t="s">
        <v>19</v>
      </c>
      <c r="CX50">
        <v>9</v>
      </c>
      <c r="CY50">
        <v>22</v>
      </c>
    </row>
    <row r="51" spans="1:103">
      <c r="A51" t="str">
        <f t="shared" si="0"/>
        <v>2001AllSexNon-Maori19</v>
      </c>
      <c r="B51">
        <v>2001</v>
      </c>
      <c r="C51" t="s">
        <v>17</v>
      </c>
      <c r="D51" t="s">
        <v>19</v>
      </c>
      <c r="E51">
        <v>19</v>
      </c>
      <c r="F51">
        <v>429</v>
      </c>
      <c r="G51">
        <v>12.3764768268776</v>
      </c>
      <c r="H51">
        <v>1.2</v>
      </c>
      <c r="J51" s="340" t="str">
        <f t="shared" si="1"/>
        <v>2010AllSexAllEth193</v>
      </c>
      <c r="K51">
        <v>2010</v>
      </c>
      <c r="L51" t="s">
        <v>17</v>
      </c>
      <c r="M51" t="s">
        <v>27</v>
      </c>
      <c r="N51">
        <v>19</v>
      </c>
      <c r="O51">
        <v>3</v>
      </c>
      <c r="P51">
        <v>98</v>
      </c>
      <c r="Q51">
        <v>10.834254585669999</v>
      </c>
      <c r="R51">
        <v>2.1</v>
      </c>
      <c r="T51" s="340" t="str">
        <f t="shared" si="4"/>
        <v>1996AllSexMaori23Sharp object</v>
      </c>
      <c r="U51">
        <v>1996</v>
      </c>
      <c r="V51" t="s">
        <v>17</v>
      </c>
      <c r="W51" t="s">
        <v>18</v>
      </c>
      <c r="X51">
        <v>23</v>
      </c>
      <c r="Y51" t="s">
        <v>48</v>
      </c>
      <c r="Z51">
        <v>2</v>
      </c>
      <c r="AA51">
        <v>45</v>
      </c>
      <c r="AB51">
        <v>4.4000000000000004</v>
      </c>
      <c r="AD51" s="340" t="str">
        <f t="shared" si="5"/>
        <v>20072011AllSexAllEth19Lakes</v>
      </c>
      <c r="AE51" t="s">
        <v>17</v>
      </c>
      <c r="AF51" t="s">
        <v>27</v>
      </c>
      <c r="AG51">
        <v>19</v>
      </c>
      <c r="AH51">
        <v>6</v>
      </c>
      <c r="AI51" t="s">
        <v>59</v>
      </c>
      <c r="AJ51">
        <v>81</v>
      </c>
      <c r="AK51">
        <v>16.031793788004599</v>
      </c>
      <c r="AL51">
        <v>4.5999999999999996</v>
      </c>
      <c r="AM51" t="s">
        <v>82</v>
      </c>
      <c r="AN51">
        <v>20072011</v>
      </c>
      <c r="AY51" t="str">
        <f t="shared" si="2"/>
        <v>2004MaleUrban25</v>
      </c>
      <c r="AZ51">
        <v>2004</v>
      </c>
      <c r="BA51" t="s">
        <v>20</v>
      </c>
      <c r="BB51" t="s">
        <v>97</v>
      </c>
      <c r="BC51">
        <v>25</v>
      </c>
      <c r="BD51">
        <v>39</v>
      </c>
      <c r="BE51">
        <v>21.113035946297099</v>
      </c>
      <c r="BF51">
        <v>6.6</v>
      </c>
      <c r="BH51" t="str">
        <f t="shared" si="7"/>
        <v>2016MaleAllEth18</v>
      </c>
      <c r="BI51">
        <v>2016</v>
      </c>
      <c r="BJ51" t="s">
        <v>20</v>
      </c>
      <c r="BK51" t="s">
        <v>27</v>
      </c>
      <c r="BL51">
        <v>18</v>
      </c>
      <c r="BM51">
        <v>10</v>
      </c>
      <c r="BN51">
        <v>31.948881789137399</v>
      </c>
      <c r="BO51">
        <v>19.8</v>
      </c>
      <c r="BP51">
        <v>4577</v>
      </c>
      <c r="BQ51">
        <v>0.2</v>
      </c>
      <c r="BS51" t="str">
        <f t="shared" si="11"/>
        <v>MaleOther24</v>
      </c>
      <c r="BT51" t="s">
        <v>20</v>
      </c>
      <c r="BU51" t="s">
        <v>45</v>
      </c>
      <c r="BV51">
        <v>24</v>
      </c>
      <c r="BW51">
        <v>512</v>
      </c>
      <c r="BX51">
        <v>24.6378903806362</v>
      </c>
      <c r="BY51">
        <v>2.1</v>
      </c>
      <c r="CA51" t="str">
        <f t="shared" si="8"/>
        <v>MaleMaori193</v>
      </c>
      <c r="CB51" t="s">
        <v>20</v>
      </c>
      <c r="CC51" t="s">
        <v>18</v>
      </c>
      <c r="CD51">
        <v>19</v>
      </c>
      <c r="CE51">
        <v>3</v>
      </c>
      <c r="CF51">
        <v>59</v>
      </c>
      <c r="CG51">
        <v>21.965153278700601</v>
      </c>
      <c r="CH51">
        <v>5.6</v>
      </c>
      <c r="CJ51" t="str">
        <f t="shared" si="9"/>
        <v>AllSexAsian23Other</v>
      </c>
      <c r="CK51" t="s">
        <v>17</v>
      </c>
      <c r="CL51" t="s">
        <v>78</v>
      </c>
      <c r="CM51" t="s">
        <v>45</v>
      </c>
      <c r="CN51">
        <v>23</v>
      </c>
      <c r="CO51">
        <v>2</v>
      </c>
      <c r="CP51">
        <v>46</v>
      </c>
      <c r="CQ51">
        <v>4.3</v>
      </c>
      <c r="CT51" t="str">
        <f t="shared" si="10"/>
        <v>2006FemaleAllEth9</v>
      </c>
      <c r="CU51">
        <v>2006</v>
      </c>
      <c r="CV51" t="s">
        <v>8</v>
      </c>
      <c r="CW51" t="s">
        <v>27</v>
      </c>
      <c r="CX51">
        <v>9</v>
      </c>
      <c r="CY51">
        <v>11</v>
      </c>
    </row>
    <row r="52" spans="1:103">
      <c r="A52" t="str">
        <f t="shared" si="0"/>
        <v>2002AllSexNon-Maori19</v>
      </c>
      <c r="B52">
        <v>2002</v>
      </c>
      <c r="C52" t="s">
        <v>17</v>
      </c>
      <c r="D52" t="s">
        <v>19</v>
      </c>
      <c r="E52">
        <v>19</v>
      </c>
      <c r="F52">
        <v>390</v>
      </c>
      <c r="G52">
        <v>10.9882846931341</v>
      </c>
      <c r="H52">
        <v>1.1000000000000001</v>
      </c>
      <c r="J52" s="340" t="str">
        <f t="shared" si="1"/>
        <v>2010AllSexAllEth194</v>
      </c>
      <c r="K52">
        <v>2010</v>
      </c>
      <c r="L52" t="s">
        <v>17</v>
      </c>
      <c r="M52" t="s">
        <v>27</v>
      </c>
      <c r="N52">
        <v>19</v>
      </c>
      <c r="O52">
        <v>4</v>
      </c>
      <c r="P52">
        <v>115</v>
      </c>
      <c r="Q52">
        <v>12.4646116325319</v>
      </c>
      <c r="R52">
        <v>2.2999999999999998</v>
      </c>
      <c r="T52" s="340" t="str">
        <f t="shared" si="4"/>
        <v>1996AllSexMaori24Sharp object</v>
      </c>
      <c r="U52">
        <v>1996</v>
      </c>
      <c r="V52" t="s">
        <v>17</v>
      </c>
      <c r="W52" t="s">
        <v>18</v>
      </c>
      <c r="X52">
        <v>24</v>
      </c>
      <c r="Y52" t="s">
        <v>48</v>
      </c>
      <c r="Z52">
        <v>1</v>
      </c>
      <c r="AA52">
        <v>8</v>
      </c>
      <c r="AB52">
        <v>12.5</v>
      </c>
      <c r="AD52" s="340" t="str">
        <f t="shared" si="5"/>
        <v>20072011AllSexAllEth19Bay of Plenty</v>
      </c>
      <c r="AE52" t="s">
        <v>17</v>
      </c>
      <c r="AF52" t="s">
        <v>27</v>
      </c>
      <c r="AG52">
        <v>19</v>
      </c>
      <c r="AH52">
        <v>7</v>
      </c>
      <c r="AI52" t="s">
        <v>60</v>
      </c>
      <c r="AJ52">
        <v>144</v>
      </c>
      <c r="AK52">
        <v>14.6993731867334</v>
      </c>
      <c r="AL52">
        <v>3.2</v>
      </c>
      <c r="AM52" t="s">
        <v>82</v>
      </c>
      <c r="AN52">
        <v>20072011</v>
      </c>
      <c r="AY52" t="str">
        <f t="shared" si="2"/>
        <v>2005AllSexRural22</v>
      </c>
      <c r="AZ52">
        <v>2005</v>
      </c>
      <c r="BA52" t="s">
        <v>17</v>
      </c>
      <c r="BB52" t="s">
        <v>96</v>
      </c>
      <c r="BC52">
        <v>22</v>
      </c>
      <c r="BD52">
        <v>13</v>
      </c>
      <c r="BE52">
        <v>21.544580709313902</v>
      </c>
      <c r="BF52">
        <v>11.7</v>
      </c>
      <c r="BH52" t="str">
        <f t="shared" si="7"/>
        <v>2016AllSexMaori3</v>
      </c>
      <c r="BI52">
        <v>2016</v>
      </c>
      <c r="BJ52" t="s">
        <v>17</v>
      </c>
      <c r="BK52" t="s">
        <v>18</v>
      </c>
      <c r="BL52">
        <v>3</v>
      </c>
      <c r="BM52">
        <v>4</v>
      </c>
      <c r="BN52">
        <v>5.6140350877192997</v>
      </c>
      <c r="BO52">
        <v>5.5</v>
      </c>
      <c r="BP52">
        <v>10</v>
      </c>
      <c r="BQ52">
        <v>40</v>
      </c>
      <c r="BS52" t="str">
        <f t="shared" si="11"/>
        <v>AllSexMaori25</v>
      </c>
      <c r="BT52" t="s">
        <v>17</v>
      </c>
      <c r="BU52" t="s">
        <v>18</v>
      </c>
      <c r="BV52">
        <v>25</v>
      </c>
      <c r="BW52">
        <v>4</v>
      </c>
      <c r="BX52">
        <v>2.0684662322887601</v>
      </c>
      <c r="BY52">
        <v>2</v>
      </c>
      <c r="CA52" t="str">
        <f t="shared" si="8"/>
        <v>MaleMaori194</v>
      </c>
      <c r="CB52" t="s">
        <v>20</v>
      </c>
      <c r="CC52" t="s">
        <v>18</v>
      </c>
      <c r="CD52">
        <v>19</v>
      </c>
      <c r="CE52">
        <v>4</v>
      </c>
      <c r="CF52">
        <v>107</v>
      </c>
      <c r="CG52">
        <v>28.2328642844972</v>
      </c>
      <c r="CH52">
        <v>5.3</v>
      </c>
      <c r="CJ52" t="str">
        <f t="shared" si="9"/>
        <v>AllSexAsian24Other</v>
      </c>
      <c r="CK52" t="s">
        <v>17</v>
      </c>
      <c r="CL52" t="s">
        <v>78</v>
      </c>
      <c r="CM52" t="s">
        <v>45</v>
      </c>
      <c r="CN52">
        <v>24</v>
      </c>
      <c r="CO52">
        <v>3</v>
      </c>
      <c r="CP52">
        <v>41</v>
      </c>
      <c r="CQ52">
        <v>7.3</v>
      </c>
      <c r="CT52" t="str">
        <f t="shared" si="10"/>
        <v>2006FemaleMaori9</v>
      </c>
      <c r="CU52">
        <v>2006</v>
      </c>
      <c r="CV52" t="s">
        <v>8</v>
      </c>
      <c r="CW52" t="s">
        <v>18</v>
      </c>
      <c r="CX52">
        <v>9</v>
      </c>
      <c r="CY52">
        <v>2</v>
      </c>
    </row>
    <row r="53" spans="1:103">
      <c r="A53" t="str">
        <f t="shared" si="0"/>
        <v>2003AllSexNon-Maori19</v>
      </c>
      <c r="B53">
        <v>2003</v>
      </c>
      <c r="C53" t="s">
        <v>17</v>
      </c>
      <c r="D53" t="s">
        <v>19</v>
      </c>
      <c r="E53">
        <v>19</v>
      </c>
      <c r="F53">
        <v>435</v>
      </c>
      <c r="G53">
        <v>11.6548370610064</v>
      </c>
      <c r="H53">
        <v>1.1000000000000001</v>
      </c>
      <c r="J53" s="340" t="str">
        <f t="shared" si="1"/>
        <v>2010AllSexAllEth195</v>
      </c>
      <c r="K53">
        <v>2010</v>
      </c>
      <c r="L53" t="s">
        <v>17</v>
      </c>
      <c r="M53" t="s">
        <v>27</v>
      </c>
      <c r="N53">
        <v>19</v>
      </c>
      <c r="O53">
        <v>5</v>
      </c>
      <c r="P53">
        <v>125</v>
      </c>
      <c r="Q53">
        <v>14.8468642902606</v>
      </c>
      <c r="R53">
        <v>2.6</v>
      </c>
      <c r="T53" s="340" t="str">
        <f t="shared" si="4"/>
        <v>1996AllSexNon-Maori22Firearms and explosives</v>
      </c>
      <c r="U53">
        <v>1996</v>
      </c>
      <c r="V53" t="s">
        <v>17</v>
      </c>
      <c r="W53" t="s">
        <v>19</v>
      </c>
      <c r="X53">
        <v>22</v>
      </c>
      <c r="Y53" t="s">
        <v>42</v>
      </c>
      <c r="Z53">
        <v>8</v>
      </c>
      <c r="AA53">
        <v>104</v>
      </c>
      <c r="AB53">
        <v>7.7</v>
      </c>
      <c r="AD53" s="340" t="str">
        <f t="shared" si="5"/>
        <v>20072011AllSexAllEth19Tairawhiti</v>
      </c>
      <c r="AE53" t="s">
        <v>17</v>
      </c>
      <c r="AF53" t="s">
        <v>27</v>
      </c>
      <c r="AG53">
        <v>19</v>
      </c>
      <c r="AH53">
        <v>8</v>
      </c>
      <c r="AI53" t="s">
        <v>61</v>
      </c>
      <c r="AJ53">
        <v>40</v>
      </c>
      <c r="AK53">
        <v>19.1130391061421</v>
      </c>
      <c r="AL53">
        <v>7.8</v>
      </c>
      <c r="AM53" t="s">
        <v>82</v>
      </c>
      <c r="AN53">
        <v>20072011</v>
      </c>
      <c r="AY53" t="str">
        <f t="shared" si="2"/>
        <v>2005AllSexUrban22</v>
      </c>
      <c r="AZ53">
        <v>2005</v>
      </c>
      <c r="BA53" t="s">
        <v>17</v>
      </c>
      <c r="BB53" t="s">
        <v>97</v>
      </c>
      <c r="BC53">
        <v>22</v>
      </c>
      <c r="BD53">
        <v>93</v>
      </c>
      <c r="BE53">
        <v>17.413773733288402</v>
      </c>
      <c r="BF53">
        <v>3.5</v>
      </c>
      <c r="BH53" t="str">
        <f t="shared" si="7"/>
        <v>2016AllSexMaori4</v>
      </c>
      <c r="BI53">
        <v>2016</v>
      </c>
      <c r="BJ53" t="s">
        <v>17</v>
      </c>
      <c r="BK53" t="s">
        <v>18</v>
      </c>
      <c r="BL53">
        <v>4</v>
      </c>
      <c r="BM53">
        <v>23</v>
      </c>
      <c r="BN53">
        <v>32.444632529270699</v>
      </c>
      <c r="BO53">
        <v>13.3</v>
      </c>
      <c r="BP53">
        <v>54</v>
      </c>
      <c r="BQ53">
        <v>42.6</v>
      </c>
      <c r="BS53" t="str">
        <f t="shared" si="11"/>
        <v>AllSexPacific25</v>
      </c>
      <c r="BT53" t="s">
        <v>17</v>
      </c>
      <c r="BU53" t="s">
        <v>79</v>
      </c>
      <c r="BV53">
        <v>25</v>
      </c>
      <c r="BW53">
        <v>4</v>
      </c>
      <c r="BX53">
        <v>4.7602046888016201</v>
      </c>
      <c r="BY53">
        <v>4.7</v>
      </c>
      <c r="CA53" t="str">
        <f t="shared" si="8"/>
        <v>MaleMaori195</v>
      </c>
      <c r="CB53" t="s">
        <v>20</v>
      </c>
      <c r="CC53" t="s">
        <v>18</v>
      </c>
      <c r="CD53">
        <v>19</v>
      </c>
      <c r="CE53">
        <v>5</v>
      </c>
      <c r="CF53">
        <v>177</v>
      </c>
      <c r="CG53">
        <v>31.142558650723601</v>
      </c>
      <c r="CH53">
        <v>4.5999999999999996</v>
      </c>
      <c r="CJ53" t="str">
        <f t="shared" si="9"/>
        <v>AllSexAsian25Other</v>
      </c>
      <c r="CK53" t="s">
        <v>17</v>
      </c>
      <c r="CL53" t="s">
        <v>78</v>
      </c>
      <c r="CM53" t="s">
        <v>45</v>
      </c>
      <c r="CN53">
        <v>25</v>
      </c>
      <c r="CO53">
        <v>1</v>
      </c>
      <c r="CP53">
        <v>11</v>
      </c>
      <c r="CQ53">
        <v>9.1</v>
      </c>
      <c r="CT53" t="str">
        <f t="shared" si="10"/>
        <v>2006FemaleNon-Maori9</v>
      </c>
      <c r="CU53">
        <v>2006</v>
      </c>
      <c r="CV53" t="s">
        <v>8</v>
      </c>
      <c r="CW53" t="s">
        <v>19</v>
      </c>
      <c r="CX53">
        <v>9</v>
      </c>
      <c r="CY53">
        <v>9</v>
      </c>
    </row>
    <row r="54" spans="1:103">
      <c r="A54" t="str">
        <f t="shared" si="0"/>
        <v>2004AllSexNon-Maori19</v>
      </c>
      <c r="B54">
        <v>2004</v>
      </c>
      <c r="C54" t="s">
        <v>17</v>
      </c>
      <c r="D54" t="s">
        <v>19</v>
      </c>
      <c r="E54">
        <v>19</v>
      </c>
      <c r="F54">
        <v>383</v>
      </c>
      <c r="G54">
        <v>10.3253251579566</v>
      </c>
      <c r="H54">
        <v>1</v>
      </c>
      <c r="J54" s="340" t="str">
        <f t="shared" si="1"/>
        <v>2011AllSexAllEth191</v>
      </c>
      <c r="K54">
        <v>2011</v>
      </c>
      <c r="L54" t="s">
        <v>17</v>
      </c>
      <c r="M54" t="s">
        <v>27</v>
      </c>
      <c r="N54">
        <v>19</v>
      </c>
      <c r="O54">
        <v>1</v>
      </c>
      <c r="P54">
        <v>75</v>
      </c>
      <c r="Q54">
        <v>8.0826555842724197</v>
      </c>
      <c r="R54">
        <v>1.8</v>
      </c>
      <c r="T54" s="340" t="str">
        <f t="shared" si="4"/>
        <v>1996AllSexNon-Maori23Firearms and explosives</v>
      </c>
      <c r="U54">
        <v>1996</v>
      </c>
      <c r="V54" t="s">
        <v>17</v>
      </c>
      <c r="W54" t="s">
        <v>19</v>
      </c>
      <c r="X54">
        <v>23</v>
      </c>
      <c r="Y54" t="s">
        <v>42</v>
      </c>
      <c r="Z54">
        <v>17</v>
      </c>
      <c r="AA54">
        <v>177</v>
      </c>
      <c r="AB54">
        <v>9.6</v>
      </c>
      <c r="AD54" s="340" t="str">
        <f t="shared" si="5"/>
        <v>20072011AllSexAllEth19Hawke's Bay</v>
      </c>
      <c r="AE54" t="s">
        <v>17</v>
      </c>
      <c r="AF54" t="s">
        <v>27</v>
      </c>
      <c r="AG54">
        <v>19</v>
      </c>
      <c r="AH54">
        <v>9</v>
      </c>
      <c r="AI54" t="s">
        <v>62</v>
      </c>
      <c r="AJ54">
        <v>101</v>
      </c>
      <c r="AK54">
        <v>13.6106879713618</v>
      </c>
      <c r="AL54">
        <v>3.5</v>
      </c>
      <c r="AM54" t="s">
        <v>82</v>
      </c>
      <c r="AN54">
        <v>20072011</v>
      </c>
      <c r="AY54" t="str">
        <f t="shared" si="2"/>
        <v>2005AllSexRural23</v>
      </c>
      <c r="AZ54">
        <v>2005</v>
      </c>
      <c r="BA54" t="s">
        <v>17</v>
      </c>
      <c r="BB54" t="s">
        <v>96</v>
      </c>
      <c r="BC54">
        <v>23</v>
      </c>
      <c r="BD54">
        <v>38</v>
      </c>
      <c r="BE54">
        <v>24.380854613114298</v>
      </c>
      <c r="BF54">
        <v>7.8</v>
      </c>
      <c r="BH54" t="str">
        <f t="shared" si="7"/>
        <v>2016AllSexMaori5</v>
      </c>
      <c r="BI54">
        <v>2016</v>
      </c>
      <c r="BJ54" t="s">
        <v>17</v>
      </c>
      <c r="BK54" t="s">
        <v>18</v>
      </c>
      <c r="BL54">
        <v>5</v>
      </c>
      <c r="BM54">
        <v>22</v>
      </c>
      <c r="BN54">
        <v>34.799114204365701</v>
      </c>
      <c r="BO54">
        <v>14.5</v>
      </c>
      <c r="BP54">
        <v>50</v>
      </c>
      <c r="BQ54">
        <v>44</v>
      </c>
      <c r="BS54" t="str">
        <f t="shared" si="11"/>
        <v>AllSexAsian25</v>
      </c>
      <c r="BT54" t="s">
        <v>17</v>
      </c>
      <c r="BU54" t="s">
        <v>78</v>
      </c>
      <c r="BV54">
        <v>25</v>
      </c>
      <c r="BW54">
        <v>11</v>
      </c>
      <c r="BX54">
        <v>6.0356652949245504</v>
      </c>
      <c r="BY54">
        <v>3.6</v>
      </c>
      <c r="CA54" t="str">
        <f t="shared" si="8"/>
        <v>MaleOther191</v>
      </c>
      <c r="CB54" t="s">
        <v>20</v>
      </c>
      <c r="CC54" t="s">
        <v>45</v>
      </c>
      <c r="CD54">
        <v>19</v>
      </c>
      <c r="CE54">
        <v>1</v>
      </c>
      <c r="CF54">
        <v>236</v>
      </c>
      <c r="CG54">
        <v>11.7190318881552</v>
      </c>
      <c r="CH54">
        <v>1.5</v>
      </c>
      <c r="CJ54" t="str">
        <f t="shared" si="9"/>
        <v>AllSexAsian22Poisoning by gases and vapours</v>
      </c>
      <c r="CK54" t="s">
        <v>17</v>
      </c>
      <c r="CL54" t="s">
        <v>78</v>
      </c>
      <c r="CM54" t="s">
        <v>46</v>
      </c>
      <c r="CN54">
        <v>22</v>
      </c>
      <c r="CO54">
        <v>1</v>
      </c>
      <c r="CP54">
        <v>29</v>
      </c>
      <c r="CQ54">
        <v>3.4</v>
      </c>
      <c r="CT54" t="str">
        <f t="shared" si="10"/>
        <v>2006MaleAllEth9</v>
      </c>
      <c r="CU54">
        <v>2006</v>
      </c>
      <c r="CV54" t="s">
        <v>20</v>
      </c>
      <c r="CW54" t="s">
        <v>27</v>
      </c>
      <c r="CX54">
        <v>9</v>
      </c>
      <c r="CY54">
        <v>13</v>
      </c>
    </row>
    <row r="55" spans="1:103">
      <c r="A55" t="str">
        <f t="shared" si="0"/>
        <v>2005AllSexNon-Maori19</v>
      </c>
      <c r="B55">
        <v>2005</v>
      </c>
      <c r="C55" t="s">
        <v>17</v>
      </c>
      <c r="D55" t="s">
        <v>19</v>
      </c>
      <c r="E55">
        <v>19</v>
      </c>
      <c r="F55">
        <v>410</v>
      </c>
      <c r="G55">
        <v>10.916375074971301</v>
      </c>
      <c r="H55">
        <v>1.1000000000000001</v>
      </c>
      <c r="J55" s="340" t="str">
        <f t="shared" si="1"/>
        <v>2011AllSexAllEth192</v>
      </c>
      <c r="K55">
        <v>2011</v>
      </c>
      <c r="L55" t="s">
        <v>17</v>
      </c>
      <c r="M55" t="s">
        <v>27</v>
      </c>
      <c r="N55">
        <v>19</v>
      </c>
      <c r="O55">
        <v>2</v>
      </c>
      <c r="P55">
        <v>76</v>
      </c>
      <c r="Q55">
        <v>8.6197586162676494</v>
      </c>
      <c r="R55">
        <v>1.9</v>
      </c>
      <c r="T55" s="340" t="str">
        <f t="shared" si="4"/>
        <v>1996AllSexNon-Maori24Firearms and explosives</v>
      </c>
      <c r="U55">
        <v>1996</v>
      </c>
      <c r="V55" t="s">
        <v>17</v>
      </c>
      <c r="W55" t="s">
        <v>19</v>
      </c>
      <c r="X55">
        <v>24</v>
      </c>
      <c r="Y55" t="s">
        <v>42</v>
      </c>
      <c r="Z55">
        <v>9</v>
      </c>
      <c r="AA55">
        <v>94</v>
      </c>
      <c r="AB55">
        <v>9.6</v>
      </c>
      <c r="AD55" s="340" t="str">
        <f>AN55&amp;AE55&amp;AF55&amp;AG55&amp;AI55</f>
        <v>20072011AllSexAllEth19Taranaki</v>
      </c>
      <c r="AE55" t="s">
        <v>17</v>
      </c>
      <c r="AF55" t="s">
        <v>27</v>
      </c>
      <c r="AG55">
        <v>19</v>
      </c>
      <c r="AH55">
        <v>10</v>
      </c>
      <c r="AI55" t="s">
        <v>63</v>
      </c>
      <c r="AJ55">
        <v>73</v>
      </c>
      <c r="AK55">
        <v>13.233729893468899</v>
      </c>
      <c r="AL55">
        <v>4</v>
      </c>
      <c r="AM55" t="s">
        <v>82</v>
      </c>
      <c r="AN55">
        <v>20072011</v>
      </c>
      <c r="AY55" t="str">
        <f t="shared" si="2"/>
        <v>2005AllSexUrban23</v>
      </c>
      <c r="AZ55">
        <v>2005</v>
      </c>
      <c r="BA55" t="s">
        <v>17</v>
      </c>
      <c r="BB55" t="s">
        <v>97</v>
      </c>
      <c r="BC55">
        <v>23</v>
      </c>
      <c r="BD55">
        <v>175</v>
      </c>
      <c r="BE55">
        <v>17.067675772678101</v>
      </c>
      <c r="BF55">
        <v>2.5</v>
      </c>
      <c r="BH55" t="str">
        <f t="shared" si="7"/>
        <v>2016AllSexMaori6</v>
      </c>
      <c r="BI55">
        <v>2016</v>
      </c>
      <c r="BJ55" t="s">
        <v>17</v>
      </c>
      <c r="BK55" t="s">
        <v>18</v>
      </c>
      <c r="BL55">
        <v>6</v>
      </c>
      <c r="BM55">
        <v>25</v>
      </c>
      <c r="BN55">
        <v>48.581422464049801</v>
      </c>
      <c r="BO55">
        <v>19</v>
      </c>
      <c r="BP55">
        <v>55</v>
      </c>
      <c r="BQ55">
        <v>45.5</v>
      </c>
      <c r="BS55" t="str">
        <f t="shared" si="11"/>
        <v>AllSexOther25</v>
      </c>
      <c r="BT55" t="s">
        <v>17</v>
      </c>
      <c r="BU55" t="s">
        <v>45</v>
      </c>
      <c r="BV55">
        <v>25</v>
      </c>
      <c r="BW55">
        <v>282</v>
      </c>
      <c r="BX55">
        <v>10.161393191866599</v>
      </c>
      <c r="BY55">
        <v>1.2</v>
      </c>
      <c r="CA55" t="str">
        <f t="shared" si="8"/>
        <v>MaleOther192</v>
      </c>
      <c r="CB55" t="s">
        <v>20</v>
      </c>
      <c r="CC55" t="s">
        <v>45</v>
      </c>
      <c r="CD55">
        <v>19</v>
      </c>
      <c r="CE55">
        <v>2</v>
      </c>
      <c r="CF55">
        <v>247</v>
      </c>
      <c r="CG55">
        <v>13.2266426983148</v>
      </c>
      <c r="CH55">
        <v>1.6</v>
      </c>
      <c r="CJ55" t="str">
        <f t="shared" si="9"/>
        <v>AllSexAsian23Poisoning by gases and vapours</v>
      </c>
      <c r="CK55" t="s">
        <v>17</v>
      </c>
      <c r="CL55" t="s">
        <v>78</v>
      </c>
      <c r="CM55" t="s">
        <v>46</v>
      </c>
      <c r="CN55">
        <v>23</v>
      </c>
      <c r="CO55">
        <v>4</v>
      </c>
      <c r="CP55">
        <v>46</v>
      </c>
      <c r="CQ55">
        <v>8.6999999999999993</v>
      </c>
      <c r="CT55" t="str">
        <f t="shared" si="10"/>
        <v>2006MaleNon-Maori9</v>
      </c>
      <c r="CU55">
        <v>2006</v>
      </c>
      <c r="CV55" t="s">
        <v>20</v>
      </c>
      <c r="CW55" t="s">
        <v>19</v>
      </c>
      <c r="CX55">
        <v>9</v>
      </c>
      <c r="CY55">
        <v>13</v>
      </c>
    </row>
    <row r="56" spans="1:103">
      <c r="A56" t="str">
        <f t="shared" si="0"/>
        <v>2006AllSexNon-Maori19</v>
      </c>
      <c r="B56">
        <v>2006</v>
      </c>
      <c r="C56" t="s">
        <v>17</v>
      </c>
      <c r="D56" t="s">
        <v>19</v>
      </c>
      <c r="E56">
        <v>19</v>
      </c>
      <c r="F56">
        <v>416</v>
      </c>
      <c r="G56">
        <v>10.9315740531038</v>
      </c>
      <c r="H56">
        <v>1.1000000000000001</v>
      </c>
      <c r="J56" s="340" t="str">
        <f t="shared" si="1"/>
        <v>2011AllSexAllEth193</v>
      </c>
      <c r="K56">
        <v>2011</v>
      </c>
      <c r="L56" t="s">
        <v>17</v>
      </c>
      <c r="M56" t="s">
        <v>27</v>
      </c>
      <c r="N56">
        <v>19</v>
      </c>
      <c r="O56">
        <v>3</v>
      </c>
      <c r="P56">
        <v>104</v>
      </c>
      <c r="Q56">
        <v>11.2842380302409</v>
      </c>
      <c r="R56">
        <v>2.2000000000000002</v>
      </c>
      <c r="T56" s="340" t="str">
        <f t="shared" si="4"/>
        <v>1996AllSexNon-Maori25Firearms and explosives</v>
      </c>
      <c r="U56">
        <v>1996</v>
      </c>
      <c r="V56" t="s">
        <v>17</v>
      </c>
      <c r="W56" t="s">
        <v>19</v>
      </c>
      <c r="X56">
        <v>25</v>
      </c>
      <c r="Y56" t="s">
        <v>42</v>
      </c>
      <c r="Z56">
        <v>9</v>
      </c>
      <c r="AA56">
        <v>65</v>
      </c>
      <c r="AB56">
        <v>13.8</v>
      </c>
      <c r="AD56" s="340" t="str">
        <f t="shared" si="5"/>
        <v>20072011AllSexAllEth19MidCentral</v>
      </c>
      <c r="AE56" t="s">
        <v>17</v>
      </c>
      <c r="AF56" t="s">
        <v>27</v>
      </c>
      <c r="AG56">
        <v>19</v>
      </c>
      <c r="AH56">
        <v>11</v>
      </c>
      <c r="AI56" t="s">
        <v>64</v>
      </c>
      <c r="AJ56">
        <v>128</v>
      </c>
      <c r="AK56">
        <v>15.2085624797958</v>
      </c>
      <c r="AL56">
        <v>3.5</v>
      </c>
      <c r="AM56" t="s">
        <v>84</v>
      </c>
      <c r="AN56">
        <v>20072011</v>
      </c>
      <c r="AY56" t="str">
        <f t="shared" si="2"/>
        <v>2005AllSexRural24</v>
      </c>
      <c r="AZ56">
        <v>2005</v>
      </c>
      <c r="BA56" t="s">
        <v>17</v>
      </c>
      <c r="BB56" t="s">
        <v>96</v>
      </c>
      <c r="BC56">
        <v>24</v>
      </c>
      <c r="BD56">
        <v>22</v>
      </c>
      <c r="BE56">
        <v>13.389325056296</v>
      </c>
      <c r="BF56">
        <v>5.6</v>
      </c>
      <c r="BH56" t="str">
        <f t="shared" si="7"/>
        <v>2016AllSexMaori7</v>
      </c>
      <c r="BI56">
        <v>2016</v>
      </c>
      <c r="BJ56" t="s">
        <v>17</v>
      </c>
      <c r="BK56" t="s">
        <v>18</v>
      </c>
      <c r="BL56">
        <v>7</v>
      </c>
      <c r="BM56">
        <v>17</v>
      </c>
      <c r="BN56">
        <v>41.687101520353103</v>
      </c>
      <c r="BO56">
        <v>19.8</v>
      </c>
      <c r="BP56">
        <v>68</v>
      </c>
      <c r="BQ56">
        <v>25</v>
      </c>
      <c r="BS56" t="str">
        <f t="shared" si="11"/>
        <v>FemaleMaori25</v>
      </c>
      <c r="BT56" t="s">
        <v>8</v>
      </c>
      <c r="BU56" t="s">
        <v>18</v>
      </c>
      <c r="BV56">
        <v>25</v>
      </c>
      <c r="BW56">
        <v>0</v>
      </c>
      <c r="BX56">
        <v>0</v>
      </c>
      <c r="CA56" t="str">
        <f t="shared" si="8"/>
        <v>MaleOther193</v>
      </c>
      <c r="CB56" t="s">
        <v>20</v>
      </c>
      <c r="CC56" t="s">
        <v>45</v>
      </c>
      <c r="CD56">
        <v>19</v>
      </c>
      <c r="CE56">
        <v>3</v>
      </c>
      <c r="CF56">
        <v>284</v>
      </c>
      <c r="CG56">
        <v>16.252376956915199</v>
      </c>
      <c r="CH56">
        <v>1.9</v>
      </c>
      <c r="CJ56" t="str">
        <f t="shared" si="9"/>
        <v>AllSexAsian24Poisoning by gases and vapours</v>
      </c>
      <c r="CK56" t="s">
        <v>17</v>
      </c>
      <c r="CL56" t="s">
        <v>78</v>
      </c>
      <c r="CM56" t="s">
        <v>46</v>
      </c>
      <c r="CN56">
        <v>24</v>
      </c>
      <c r="CO56">
        <v>1</v>
      </c>
      <c r="CP56">
        <v>41</v>
      </c>
      <c r="CQ56">
        <v>2.4</v>
      </c>
      <c r="CT56" t="str">
        <f t="shared" si="10"/>
        <v>2007AllSexAllEth9</v>
      </c>
      <c r="CU56">
        <v>2007</v>
      </c>
      <c r="CV56" t="s">
        <v>17</v>
      </c>
      <c r="CW56" t="s">
        <v>27</v>
      </c>
      <c r="CX56">
        <v>9</v>
      </c>
      <c r="CY56">
        <v>22</v>
      </c>
    </row>
    <row r="57" spans="1:103">
      <c r="A57" t="str">
        <f t="shared" si="0"/>
        <v>2007AllSexNon-Maori19</v>
      </c>
      <c r="B57">
        <v>2007</v>
      </c>
      <c r="C57" t="s">
        <v>17</v>
      </c>
      <c r="D57" t="s">
        <v>19</v>
      </c>
      <c r="E57">
        <v>19</v>
      </c>
      <c r="F57">
        <v>404</v>
      </c>
      <c r="G57">
        <v>10.318814507971201</v>
      </c>
      <c r="H57">
        <v>1</v>
      </c>
      <c r="J57" s="340" t="str">
        <f t="shared" si="1"/>
        <v>2011AllSexAllEth194</v>
      </c>
      <c r="K57">
        <v>2011</v>
      </c>
      <c r="L57" t="s">
        <v>17</v>
      </c>
      <c r="M57" t="s">
        <v>27</v>
      </c>
      <c r="N57">
        <v>19</v>
      </c>
      <c r="O57">
        <v>4</v>
      </c>
      <c r="P57">
        <v>89</v>
      </c>
      <c r="Q57">
        <v>10.0472677723016</v>
      </c>
      <c r="R57">
        <v>2.1</v>
      </c>
      <c r="T57" s="340" t="str">
        <f t="shared" si="4"/>
        <v>1996AllSexNon-Maori21Hanging, strangulation and suffocation</v>
      </c>
      <c r="U57">
        <v>1996</v>
      </c>
      <c r="V57" t="s">
        <v>17</v>
      </c>
      <c r="W57" t="s">
        <v>19</v>
      </c>
      <c r="X57">
        <v>21</v>
      </c>
      <c r="Y57" t="s">
        <v>43</v>
      </c>
      <c r="Z57">
        <v>3</v>
      </c>
      <c r="AA57">
        <v>3</v>
      </c>
      <c r="AB57">
        <v>100</v>
      </c>
      <c r="AD57" s="340" t="str">
        <f t="shared" si="5"/>
        <v>20072011AllSexAllEth19Whanganui</v>
      </c>
      <c r="AE57" t="s">
        <v>17</v>
      </c>
      <c r="AF57" t="s">
        <v>27</v>
      </c>
      <c r="AG57">
        <v>19</v>
      </c>
      <c r="AH57">
        <v>12</v>
      </c>
      <c r="AI57" t="s">
        <v>65</v>
      </c>
      <c r="AJ57">
        <v>53</v>
      </c>
      <c r="AK57">
        <v>17.797694821786401</v>
      </c>
      <c r="AL57">
        <v>6.3</v>
      </c>
      <c r="AM57" t="s">
        <v>82</v>
      </c>
      <c r="AN57">
        <v>20072011</v>
      </c>
      <c r="AY57" t="str">
        <f t="shared" si="2"/>
        <v>2005AllSexUrban24</v>
      </c>
      <c r="AZ57">
        <v>2005</v>
      </c>
      <c r="BA57" t="s">
        <v>17</v>
      </c>
      <c r="BB57" t="s">
        <v>97</v>
      </c>
      <c r="BC57">
        <v>24</v>
      </c>
      <c r="BD57">
        <v>112</v>
      </c>
      <c r="BE57">
        <v>13.886478042006599</v>
      </c>
      <c r="BF57">
        <v>2.6</v>
      </c>
      <c r="BH57" t="str">
        <f t="shared" si="7"/>
        <v>2016AllSexMaori8</v>
      </c>
      <c r="BI57">
        <v>2016</v>
      </c>
      <c r="BJ57" t="s">
        <v>17</v>
      </c>
      <c r="BK57" t="s">
        <v>18</v>
      </c>
      <c r="BL57">
        <v>8</v>
      </c>
      <c r="BM57">
        <v>13</v>
      </c>
      <c r="BN57">
        <v>33.341882533983103</v>
      </c>
      <c r="BO57">
        <v>18.100000000000001</v>
      </c>
      <c r="BP57">
        <v>57</v>
      </c>
      <c r="BQ57">
        <v>22.8</v>
      </c>
      <c r="BS57" t="str">
        <f t="shared" si="11"/>
        <v>FemalePacific25</v>
      </c>
      <c r="BT57" t="s">
        <v>8</v>
      </c>
      <c r="BU57" t="s">
        <v>79</v>
      </c>
      <c r="BV57">
        <v>25</v>
      </c>
      <c r="BW57">
        <v>1</v>
      </c>
      <c r="BX57">
        <v>2.1682567215958399</v>
      </c>
      <c r="BY57">
        <v>4.2</v>
      </c>
      <c r="CA57" t="str">
        <f t="shared" si="8"/>
        <v>MaleOther194</v>
      </c>
      <c r="CB57" t="s">
        <v>20</v>
      </c>
      <c r="CC57" t="s">
        <v>45</v>
      </c>
      <c r="CD57">
        <v>19</v>
      </c>
      <c r="CE57">
        <v>4</v>
      </c>
      <c r="CF57">
        <v>323</v>
      </c>
      <c r="CG57">
        <v>22.284025459411101</v>
      </c>
      <c r="CH57">
        <v>2.4</v>
      </c>
      <c r="CJ57" t="str">
        <f t="shared" si="9"/>
        <v>AllSexAsian22Poisoning by solids and liquids</v>
      </c>
      <c r="CK57" t="s">
        <v>17</v>
      </c>
      <c r="CL57" t="s">
        <v>78</v>
      </c>
      <c r="CM57" t="s">
        <v>47</v>
      </c>
      <c r="CN57">
        <v>22</v>
      </c>
      <c r="CO57">
        <v>1</v>
      </c>
      <c r="CP57">
        <v>29</v>
      </c>
      <c r="CQ57">
        <v>3.4</v>
      </c>
      <c r="CT57" t="str">
        <f t="shared" si="10"/>
        <v>2007AllSexMaori9</v>
      </c>
      <c r="CU57">
        <v>2007</v>
      </c>
      <c r="CV57" t="s">
        <v>17</v>
      </c>
      <c r="CW57" t="s">
        <v>18</v>
      </c>
      <c r="CX57">
        <v>9</v>
      </c>
      <c r="CY57">
        <v>1</v>
      </c>
    </row>
    <row r="58" spans="1:103">
      <c r="A58" t="str">
        <f t="shared" si="0"/>
        <v>2008AllSexNon-Maori19</v>
      </c>
      <c r="B58">
        <v>2008</v>
      </c>
      <c r="C58" t="s">
        <v>17</v>
      </c>
      <c r="D58" t="s">
        <v>19</v>
      </c>
      <c r="E58">
        <v>19</v>
      </c>
      <c r="F58">
        <v>431</v>
      </c>
      <c r="G58">
        <v>11.1639267014209</v>
      </c>
      <c r="H58">
        <v>1.1000000000000001</v>
      </c>
      <c r="J58" s="340" t="str">
        <f t="shared" si="1"/>
        <v>2011AllSexAllEth195</v>
      </c>
      <c r="K58">
        <v>2011</v>
      </c>
      <c r="L58" t="s">
        <v>17</v>
      </c>
      <c r="M58" t="s">
        <v>27</v>
      </c>
      <c r="N58">
        <v>19</v>
      </c>
      <c r="O58">
        <v>5</v>
      </c>
      <c r="P58">
        <v>137</v>
      </c>
      <c r="Q58">
        <v>16.064547267627098</v>
      </c>
      <c r="R58">
        <v>2.7</v>
      </c>
      <c r="T58" s="340" t="str">
        <f t="shared" si="4"/>
        <v>1996AllSexNon-Maori22Hanging, strangulation and suffocation</v>
      </c>
      <c r="U58">
        <v>1996</v>
      </c>
      <c r="V58" t="s">
        <v>17</v>
      </c>
      <c r="W58" t="s">
        <v>19</v>
      </c>
      <c r="X58">
        <v>22</v>
      </c>
      <c r="Y58" t="s">
        <v>43</v>
      </c>
      <c r="Z58">
        <v>54</v>
      </c>
      <c r="AA58">
        <v>104</v>
      </c>
      <c r="AB58">
        <v>51.9</v>
      </c>
      <c r="AD58" s="340" t="str">
        <f t="shared" si="5"/>
        <v>20072011AllSexAllEth19Capital &amp; Coast</v>
      </c>
      <c r="AE58" t="s">
        <v>17</v>
      </c>
      <c r="AF58" t="s">
        <v>27</v>
      </c>
      <c r="AG58">
        <v>19</v>
      </c>
      <c r="AH58">
        <v>13</v>
      </c>
      <c r="AI58" t="s">
        <v>66</v>
      </c>
      <c r="AJ58">
        <v>117</v>
      </c>
      <c r="AK58">
        <v>7.6577935994092199</v>
      </c>
      <c r="AL58">
        <v>1.8</v>
      </c>
      <c r="AM58" t="s">
        <v>83</v>
      </c>
      <c r="AN58">
        <v>20072011</v>
      </c>
      <c r="AY58" t="str">
        <f t="shared" si="2"/>
        <v>2005AllSexRural25</v>
      </c>
      <c r="AZ58">
        <v>2005</v>
      </c>
      <c r="BA58" t="s">
        <v>17</v>
      </c>
      <c r="BB58" t="s">
        <v>96</v>
      </c>
      <c r="BC58">
        <v>25</v>
      </c>
      <c r="BD58">
        <v>7</v>
      </c>
      <c r="BE58">
        <v>12.173913043478301</v>
      </c>
      <c r="BF58">
        <v>9</v>
      </c>
      <c r="BH58" t="str">
        <f t="shared" si="7"/>
        <v>2016AllSexMaori9</v>
      </c>
      <c r="BI58">
        <v>2016</v>
      </c>
      <c r="BJ58" t="s">
        <v>17</v>
      </c>
      <c r="BK58" t="s">
        <v>18</v>
      </c>
      <c r="BL58">
        <v>9</v>
      </c>
      <c r="BM58">
        <v>4</v>
      </c>
      <c r="BN58">
        <v>9.6571704490584196</v>
      </c>
      <c r="BO58">
        <v>9.5</v>
      </c>
      <c r="BP58">
        <v>97</v>
      </c>
      <c r="BQ58">
        <v>4.0999999999999996</v>
      </c>
      <c r="BS58" t="str">
        <f t="shared" si="11"/>
        <v>FemaleAsian25</v>
      </c>
      <c r="BT58" t="s">
        <v>8</v>
      </c>
      <c r="BU58" t="s">
        <v>78</v>
      </c>
      <c r="BV58">
        <v>25</v>
      </c>
      <c r="BW58">
        <v>5</v>
      </c>
      <c r="BX58">
        <v>5.2328623757195203</v>
      </c>
      <c r="BY58">
        <v>4.5999999999999996</v>
      </c>
      <c r="CA58" t="str">
        <f t="shared" si="8"/>
        <v>MaleOther195</v>
      </c>
      <c r="CB58" t="s">
        <v>20</v>
      </c>
      <c r="CC58" t="s">
        <v>45</v>
      </c>
      <c r="CD58">
        <v>19</v>
      </c>
      <c r="CE58">
        <v>5</v>
      </c>
      <c r="CF58">
        <v>246</v>
      </c>
      <c r="CG58">
        <v>26.2177667064989</v>
      </c>
      <c r="CH58">
        <v>3.3</v>
      </c>
      <c r="CJ58" t="str">
        <f t="shared" si="9"/>
        <v>AllSexAsian23Poisoning by solids and liquids</v>
      </c>
      <c r="CK58" t="s">
        <v>17</v>
      </c>
      <c r="CL58" t="s">
        <v>78</v>
      </c>
      <c r="CM58" t="s">
        <v>47</v>
      </c>
      <c r="CN58">
        <v>23</v>
      </c>
      <c r="CO58">
        <v>1</v>
      </c>
      <c r="CP58">
        <v>46</v>
      </c>
      <c r="CQ58">
        <v>2.2000000000000002</v>
      </c>
      <c r="CT58" t="str">
        <f t="shared" si="10"/>
        <v>2007AllSexNon-Maori9</v>
      </c>
      <c r="CU58">
        <v>2007</v>
      </c>
      <c r="CV58" t="s">
        <v>17</v>
      </c>
      <c r="CW58" t="s">
        <v>19</v>
      </c>
      <c r="CX58">
        <v>9</v>
      </c>
      <c r="CY58">
        <v>21</v>
      </c>
    </row>
    <row r="59" spans="1:103">
      <c r="A59" t="str">
        <f t="shared" si="0"/>
        <v>2009AllSexNon-Maori19</v>
      </c>
      <c r="B59">
        <v>2009</v>
      </c>
      <c r="C59" t="s">
        <v>17</v>
      </c>
      <c r="D59" t="s">
        <v>19</v>
      </c>
      <c r="E59">
        <v>19</v>
      </c>
      <c r="F59">
        <v>429</v>
      </c>
      <c r="G59">
        <v>10.9175102802797</v>
      </c>
      <c r="H59">
        <v>1</v>
      </c>
      <c r="J59" s="340" t="str">
        <f t="shared" si="1"/>
        <v>2012AllSexAllEth191</v>
      </c>
      <c r="K59">
        <v>2012</v>
      </c>
      <c r="L59" t="s">
        <v>17</v>
      </c>
      <c r="M59" t="s">
        <v>27</v>
      </c>
      <c r="N59">
        <v>19</v>
      </c>
      <c r="O59">
        <v>1</v>
      </c>
      <c r="P59">
        <v>52</v>
      </c>
      <c r="Q59">
        <v>5.8150688207643197</v>
      </c>
      <c r="R59">
        <v>1.6</v>
      </c>
      <c r="T59" s="340" t="str">
        <f t="shared" si="4"/>
        <v>1996AllSexNon-Maori23Hanging, strangulation and suffocation</v>
      </c>
      <c r="U59">
        <v>1996</v>
      </c>
      <c r="V59" t="s">
        <v>17</v>
      </c>
      <c r="W59" t="s">
        <v>19</v>
      </c>
      <c r="X59">
        <v>23</v>
      </c>
      <c r="Y59" t="s">
        <v>43</v>
      </c>
      <c r="Z59">
        <v>61</v>
      </c>
      <c r="AA59">
        <v>177</v>
      </c>
      <c r="AB59">
        <v>34.5</v>
      </c>
      <c r="AD59" s="340" t="str">
        <f t="shared" si="5"/>
        <v>20072011AllSexAllEth19Hutt Valley</v>
      </c>
      <c r="AE59" t="s">
        <v>17</v>
      </c>
      <c r="AF59" t="s">
        <v>27</v>
      </c>
      <c r="AG59">
        <v>19</v>
      </c>
      <c r="AH59">
        <v>14</v>
      </c>
      <c r="AI59" t="s">
        <v>67</v>
      </c>
      <c r="AJ59">
        <v>79</v>
      </c>
      <c r="AK59">
        <v>10.5206153534902</v>
      </c>
      <c r="AL59">
        <v>3</v>
      </c>
      <c r="AM59" t="s">
        <v>82</v>
      </c>
      <c r="AN59">
        <v>20072011</v>
      </c>
      <c r="AY59" t="str">
        <f t="shared" si="2"/>
        <v>2005AllSexUrban25</v>
      </c>
      <c r="AZ59">
        <v>2005</v>
      </c>
      <c r="BA59" t="s">
        <v>17</v>
      </c>
      <c r="BB59" t="s">
        <v>97</v>
      </c>
      <c r="BC59">
        <v>25</v>
      </c>
      <c r="BD59">
        <v>41</v>
      </c>
      <c r="BE59">
        <v>9.3438774812552694</v>
      </c>
      <c r="BF59">
        <v>2.9</v>
      </c>
      <c r="BH59" t="str">
        <f t="shared" si="7"/>
        <v>2016AllSexMaori10</v>
      </c>
      <c r="BI59">
        <v>2016</v>
      </c>
      <c r="BJ59" t="s">
        <v>17</v>
      </c>
      <c r="BK59" t="s">
        <v>18</v>
      </c>
      <c r="BL59">
        <v>10</v>
      </c>
      <c r="BM59">
        <v>12</v>
      </c>
      <c r="BN59">
        <v>29.347028613352901</v>
      </c>
      <c r="BO59">
        <v>16.600000000000001</v>
      </c>
      <c r="BP59">
        <v>157</v>
      </c>
      <c r="BQ59">
        <v>7.6</v>
      </c>
      <c r="BS59" t="str">
        <f t="shared" si="11"/>
        <v>FemaleOther25</v>
      </c>
      <c r="BT59" t="s">
        <v>8</v>
      </c>
      <c r="BU59" t="s">
        <v>45</v>
      </c>
      <c r="BV59">
        <v>25</v>
      </c>
      <c r="BW59">
        <v>55</v>
      </c>
      <c r="BX59">
        <v>3.6902102077923802</v>
      </c>
      <c r="BY59">
        <v>1</v>
      </c>
      <c r="CA59" t="str">
        <f t="shared" si="8"/>
        <v>MalePacific191</v>
      </c>
      <c r="CB59" t="s">
        <v>20</v>
      </c>
      <c r="CC59" t="s">
        <v>79</v>
      </c>
      <c r="CD59">
        <v>19</v>
      </c>
      <c r="CE59">
        <v>1</v>
      </c>
      <c r="CF59">
        <v>3</v>
      </c>
      <c r="CG59">
        <v>7.8714130320162496</v>
      </c>
      <c r="CH59">
        <v>8.9</v>
      </c>
      <c r="CJ59" t="str">
        <f t="shared" si="9"/>
        <v>AllSexAsian24Poisoning by solids and liquids</v>
      </c>
      <c r="CK59" t="s">
        <v>17</v>
      </c>
      <c r="CL59" t="s">
        <v>78</v>
      </c>
      <c r="CM59" t="s">
        <v>47</v>
      </c>
      <c r="CN59">
        <v>24</v>
      </c>
      <c r="CO59">
        <v>7</v>
      </c>
      <c r="CP59">
        <v>41</v>
      </c>
      <c r="CQ59">
        <v>17.100000000000001</v>
      </c>
      <c r="CT59" t="str">
        <f t="shared" si="10"/>
        <v>2007FemaleAllEth9</v>
      </c>
      <c r="CU59">
        <v>2007</v>
      </c>
      <c r="CV59" t="s">
        <v>8</v>
      </c>
      <c r="CW59" t="s">
        <v>27</v>
      </c>
      <c r="CX59">
        <v>9</v>
      </c>
      <c r="CY59">
        <v>5</v>
      </c>
    </row>
    <row r="60" spans="1:103">
      <c r="A60" t="str">
        <f t="shared" si="0"/>
        <v>2010AllSexNon-Maori19</v>
      </c>
      <c r="B60">
        <v>2010</v>
      </c>
      <c r="C60" t="s">
        <v>17</v>
      </c>
      <c r="D60" t="s">
        <v>19</v>
      </c>
      <c r="E60">
        <v>19</v>
      </c>
      <c r="F60">
        <v>432</v>
      </c>
      <c r="G60">
        <v>10.8724229875909</v>
      </c>
      <c r="H60">
        <v>1</v>
      </c>
      <c r="J60" s="340" t="str">
        <f t="shared" si="1"/>
        <v>2012AllSexAllEth192</v>
      </c>
      <c r="K60">
        <v>2012</v>
      </c>
      <c r="L60" t="s">
        <v>17</v>
      </c>
      <c r="M60" t="s">
        <v>27</v>
      </c>
      <c r="N60">
        <v>19</v>
      </c>
      <c r="O60">
        <v>2</v>
      </c>
      <c r="P60">
        <v>87</v>
      </c>
      <c r="Q60">
        <v>9.2460799535926093</v>
      </c>
      <c r="R60">
        <v>1.9</v>
      </c>
      <c r="T60" s="340" t="str">
        <f t="shared" si="4"/>
        <v>1996AllSexNon-Maori24Hanging, strangulation and suffocation</v>
      </c>
      <c r="U60">
        <v>1996</v>
      </c>
      <c r="V60" t="s">
        <v>17</v>
      </c>
      <c r="W60" t="s">
        <v>19</v>
      </c>
      <c r="X60">
        <v>24</v>
      </c>
      <c r="Y60" t="s">
        <v>43</v>
      </c>
      <c r="Z60">
        <v>28</v>
      </c>
      <c r="AA60">
        <v>94</v>
      </c>
      <c r="AB60">
        <v>29.8</v>
      </c>
      <c r="AD60" s="340" t="str">
        <f t="shared" si="5"/>
        <v>20072011AllSexAllEth19Wairarapa</v>
      </c>
      <c r="AE60" t="s">
        <v>17</v>
      </c>
      <c r="AF60" t="s">
        <v>27</v>
      </c>
      <c r="AG60">
        <v>19</v>
      </c>
      <c r="AH60">
        <v>15</v>
      </c>
      <c r="AI60" t="s">
        <v>68</v>
      </c>
      <c r="AJ60">
        <v>29</v>
      </c>
      <c r="AK60">
        <v>17.778195647383601</v>
      </c>
      <c r="AL60">
        <v>8.5</v>
      </c>
      <c r="AM60" t="s">
        <v>82</v>
      </c>
      <c r="AN60">
        <v>20072011</v>
      </c>
      <c r="AY60" t="str">
        <f t="shared" si="2"/>
        <v>2005FemaleRural22</v>
      </c>
      <c r="AZ60">
        <v>2005</v>
      </c>
      <c r="BA60" t="s">
        <v>8</v>
      </c>
      <c r="BB60" t="s">
        <v>96</v>
      </c>
      <c r="BC60">
        <v>22</v>
      </c>
      <c r="BD60">
        <v>3</v>
      </c>
      <c r="BE60">
        <v>10.861694424330199</v>
      </c>
      <c r="BF60">
        <v>12.3</v>
      </c>
      <c r="BH60" t="str">
        <f t="shared" si="7"/>
        <v>2016AllSexMaori11</v>
      </c>
      <c r="BI60">
        <v>2016</v>
      </c>
      <c r="BJ60" t="s">
        <v>17</v>
      </c>
      <c r="BK60" t="s">
        <v>18</v>
      </c>
      <c r="BL60">
        <v>11</v>
      </c>
      <c r="BM60">
        <v>6</v>
      </c>
      <c r="BN60">
        <v>15.604681404421299</v>
      </c>
      <c r="BO60">
        <v>12.5</v>
      </c>
      <c r="BP60">
        <v>232</v>
      </c>
      <c r="BQ60">
        <v>2.6</v>
      </c>
      <c r="BS60" t="str">
        <f t="shared" si="11"/>
        <v>MaleMaori25</v>
      </c>
      <c r="BT60" t="s">
        <v>20</v>
      </c>
      <c r="BU60" t="s">
        <v>18</v>
      </c>
      <c r="BV60">
        <v>25</v>
      </c>
      <c r="BW60">
        <v>4</v>
      </c>
      <c r="BX60">
        <v>4.5594437478627601</v>
      </c>
      <c r="BY60">
        <v>4.5</v>
      </c>
      <c r="CA60" t="str">
        <f t="shared" si="8"/>
        <v>MalePacific192</v>
      </c>
      <c r="CB60" t="s">
        <v>20</v>
      </c>
      <c r="CC60" t="s">
        <v>79</v>
      </c>
      <c r="CD60">
        <v>19</v>
      </c>
      <c r="CE60">
        <v>2</v>
      </c>
      <c r="CF60">
        <v>7</v>
      </c>
      <c r="CG60">
        <v>12.287670670947399</v>
      </c>
      <c r="CH60">
        <v>9.1</v>
      </c>
      <c r="CJ60" t="str">
        <f t="shared" si="9"/>
        <v>AllSexAsian23Sharp object</v>
      </c>
      <c r="CK60" t="s">
        <v>17</v>
      </c>
      <c r="CL60" t="s">
        <v>78</v>
      </c>
      <c r="CM60" t="s">
        <v>48</v>
      </c>
      <c r="CN60">
        <v>23</v>
      </c>
      <c r="CO60">
        <v>1</v>
      </c>
      <c r="CP60">
        <v>46</v>
      </c>
      <c r="CQ60">
        <v>2.2000000000000002</v>
      </c>
      <c r="CT60" t="str">
        <f t="shared" si="10"/>
        <v>2007FemaleNon-Maori9</v>
      </c>
      <c r="CU60">
        <v>2007</v>
      </c>
      <c r="CV60" t="s">
        <v>8</v>
      </c>
      <c r="CW60" t="s">
        <v>19</v>
      </c>
      <c r="CX60">
        <v>9</v>
      </c>
      <c r="CY60">
        <v>5</v>
      </c>
    </row>
    <row r="61" spans="1:103">
      <c r="A61" t="str">
        <f t="shared" si="0"/>
        <v>2011AllSexNon-Maori19</v>
      </c>
      <c r="B61">
        <v>2011</v>
      </c>
      <c r="C61" t="s">
        <v>17</v>
      </c>
      <c r="D61" t="s">
        <v>19</v>
      </c>
      <c r="E61">
        <v>19</v>
      </c>
      <c r="F61">
        <v>382</v>
      </c>
      <c r="G61">
        <v>9.6392127320325294</v>
      </c>
      <c r="H61">
        <v>1</v>
      </c>
      <c r="J61" s="340" t="str">
        <f t="shared" si="1"/>
        <v>2012AllSexAllEth193</v>
      </c>
      <c r="K61">
        <v>2012</v>
      </c>
      <c r="L61" t="s">
        <v>17</v>
      </c>
      <c r="M61" t="s">
        <v>27</v>
      </c>
      <c r="N61">
        <v>19</v>
      </c>
      <c r="O61">
        <v>3</v>
      </c>
      <c r="P61">
        <v>117</v>
      </c>
      <c r="Q61">
        <v>13.046970507755301</v>
      </c>
      <c r="R61">
        <v>2.4</v>
      </c>
      <c r="T61" s="340" t="str">
        <f t="shared" si="4"/>
        <v>1996AllSexNon-Maori25Hanging, strangulation and suffocation</v>
      </c>
      <c r="U61">
        <v>1996</v>
      </c>
      <c r="V61" t="s">
        <v>17</v>
      </c>
      <c r="W61" t="s">
        <v>19</v>
      </c>
      <c r="X61">
        <v>25</v>
      </c>
      <c r="Y61" t="s">
        <v>43</v>
      </c>
      <c r="Z61">
        <v>18</v>
      </c>
      <c r="AA61">
        <v>65</v>
      </c>
      <c r="AB61">
        <v>27.7</v>
      </c>
      <c r="AD61" s="340" t="str">
        <f t="shared" si="5"/>
        <v>20072011AllSexAllEth19Nelson Marlborough</v>
      </c>
      <c r="AE61" t="s">
        <v>17</v>
      </c>
      <c r="AF61" t="s">
        <v>27</v>
      </c>
      <c r="AG61">
        <v>19</v>
      </c>
      <c r="AH61">
        <v>16</v>
      </c>
      <c r="AI61" t="s">
        <v>69</v>
      </c>
      <c r="AJ61">
        <v>84</v>
      </c>
      <c r="AK61">
        <v>11.877292280001701</v>
      </c>
      <c r="AL61">
        <v>3.3</v>
      </c>
      <c r="AM61" t="s">
        <v>82</v>
      </c>
      <c r="AN61">
        <v>20072011</v>
      </c>
      <c r="AY61" t="str">
        <f t="shared" si="2"/>
        <v>2005FemaleUrban22</v>
      </c>
      <c r="AZ61">
        <v>2005</v>
      </c>
      <c r="BA61" t="s">
        <v>8</v>
      </c>
      <c r="BB61" t="s">
        <v>97</v>
      </c>
      <c r="BC61">
        <v>22</v>
      </c>
      <c r="BD61">
        <v>20</v>
      </c>
      <c r="BE61">
        <v>7.5052536775743004</v>
      </c>
      <c r="BF61">
        <v>3.3</v>
      </c>
      <c r="BH61" t="str">
        <f t="shared" si="7"/>
        <v>2016AllSexMaori12</v>
      </c>
      <c r="BI61">
        <v>2016</v>
      </c>
      <c r="BJ61" t="s">
        <v>17</v>
      </c>
      <c r="BK61" t="s">
        <v>18</v>
      </c>
      <c r="BL61">
        <v>12</v>
      </c>
      <c r="BM61">
        <v>4</v>
      </c>
      <c r="BN61">
        <v>12.1654501216545</v>
      </c>
      <c r="BO61">
        <v>11.9</v>
      </c>
      <c r="BP61">
        <v>322</v>
      </c>
      <c r="BQ61">
        <v>1.2</v>
      </c>
      <c r="BS61" t="str">
        <f t="shared" si="11"/>
        <v>MalePacific25</v>
      </c>
      <c r="BT61" t="s">
        <v>20</v>
      </c>
      <c r="BU61" t="s">
        <v>79</v>
      </c>
      <c r="BV61">
        <v>25</v>
      </c>
      <c r="BW61">
        <v>3</v>
      </c>
      <c r="BX61">
        <v>7.9113924050632898</v>
      </c>
      <c r="BY61">
        <v>9</v>
      </c>
      <c r="CA61" t="str">
        <f t="shared" si="8"/>
        <v>MalePacific193</v>
      </c>
      <c r="CB61" t="s">
        <v>20</v>
      </c>
      <c r="CC61" t="s">
        <v>79</v>
      </c>
      <c r="CD61">
        <v>19</v>
      </c>
      <c r="CE61">
        <v>3</v>
      </c>
      <c r="CF61">
        <v>9</v>
      </c>
      <c r="CG61">
        <v>10.8460356225275</v>
      </c>
      <c r="CH61">
        <v>7.1</v>
      </c>
      <c r="CJ61" t="str">
        <f t="shared" si="9"/>
        <v>AllSexAsian25Sharp object</v>
      </c>
      <c r="CK61" t="s">
        <v>17</v>
      </c>
      <c r="CL61" t="s">
        <v>78</v>
      </c>
      <c r="CM61" t="s">
        <v>48</v>
      </c>
      <c r="CN61">
        <v>25</v>
      </c>
      <c r="CO61">
        <v>1</v>
      </c>
      <c r="CP61">
        <v>11</v>
      </c>
      <c r="CQ61">
        <v>9.1</v>
      </c>
      <c r="CT61" t="str">
        <f t="shared" si="10"/>
        <v>2007MaleAllEth9</v>
      </c>
      <c r="CU61">
        <v>2007</v>
      </c>
      <c r="CV61" t="s">
        <v>20</v>
      </c>
      <c r="CW61" t="s">
        <v>27</v>
      </c>
      <c r="CX61">
        <v>9</v>
      </c>
      <c r="CY61">
        <v>17</v>
      </c>
    </row>
    <row r="62" spans="1:103">
      <c r="A62" t="str">
        <f t="shared" si="0"/>
        <v>2012AllSexNon-Maori19</v>
      </c>
      <c r="B62">
        <v>2012</v>
      </c>
      <c r="C62" t="s">
        <v>17</v>
      </c>
      <c r="D62" t="s">
        <v>19</v>
      </c>
      <c r="E62">
        <v>19</v>
      </c>
      <c r="F62">
        <v>431</v>
      </c>
      <c r="G62">
        <v>10.8700975052411</v>
      </c>
      <c r="H62">
        <v>1</v>
      </c>
      <c r="J62" s="340" t="str">
        <f t="shared" si="1"/>
        <v>2012AllSexAllEth194</v>
      </c>
      <c r="K62">
        <v>2012</v>
      </c>
      <c r="L62" t="s">
        <v>17</v>
      </c>
      <c r="M62" t="s">
        <v>27</v>
      </c>
      <c r="N62">
        <v>19</v>
      </c>
      <c r="O62">
        <v>4</v>
      </c>
      <c r="P62">
        <v>136</v>
      </c>
      <c r="Q62">
        <v>15.5604979085784</v>
      </c>
      <c r="R62">
        <v>2.6</v>
      </c>
      <c r="T62" s="340" t="str">
        <f t="shared" si="4"/>
        <v>1996AllSexNon-Maori22Jumping from a high place</v>
      </c>
      <c r="U62">
        <v>1996</v>
      </c>
      <c r="V62" t="s">
        <v>17</v>
      </c>
      <c r="W62" t="s">
        <v>19</v>
      </c>
      <c r="X62">
        <v>22</v>
      </c>
      <c r="Y62" t="s">
        <v>44</v>
      </c>
      <c r="Z62">
        <v>3</v>
      </c>
      <c r="AA62">
        <v>104</v>
      </c>
      <c r="AB62">
        <v>2.9</v>
      </c>
      <c r="AD62" s="340" t="str">
        <f t="shared" si="5"/>
        <v>20072011AllSexAllEth19West Coast</v>
      </c>
      <c r="AE62" t="s">
        <v>17</v>
      </c>
      <c r="AF62" t="s">
        <v>27</v>
      </c>
      <c r="AG62">
        <v>19</v>
      </c>
      <c r="AH62">
        <v>17</v>
      </c>
      <c r="AI62" t="s">
        <v>70</v>
      </c>
      <c r="AJ62">
        <v>25</v>
      </c>
      <c r="AK62">
        <v>13.580538154701401</v>
      </c>
      <c r="AL62">
        <v>7</v>
      </c>
      <c r="AM62" t="s">
        <v>82</v>
      </c>
      <c r="AN62">
        <v>20072011</v>
      </c>
      <c r="AY62" t="str">
        <f t="shared" si="2"/>
        <v>2005FemaleRural23</v>
      </c>
      <c r="AZ62">
        <v>2005</v>
      </c>
      <c r="BA62" t="s">
        <v>8</v>
      </c>
      <c r="BB62" t="s">
        <v>96</v>
      </c>
      <c r="BC62">
        <v>23</v>
      </c>
      <c r="BD62">
        <v>9</v>
      </c>
      <c r="BE62">
        <v>11.3407258064516</v>
      </c>
      <c r="BF62">
        <v>7.4</v>
      </c>
      <c r="BH62" t="str">
        <f t="shared" si="7"/>
        <v>2016AllSexMaori13</v>
      </c>
      <c r="BI62">
        <v>2016</v>
      </c>
      <c r="BJ62" t="s">
        <v>17</v>
      </c>
      <c r="BK62" t="s">
        <v>18</v>
      </c>
      <c r="BL62">
        <v>13</v>
      </c>
      <c r="BM62">
        <v>2</v>
      </c>
      <c r="BN62">
        <v>8.1201786439301706</v>
      </c>
      <c r="BO62">
        <v>11.3</v>
      </c>
      <c r="BP62">
        <v>352</v>
      </c>
      <c r="BQ62">
        <v>0.6</v>
      </c>
      <c r="BS62" t="str">
        <f t="shared" si="11"/>
        <v>MaleAsian25</v>
      </c>
      <c r="BT62" t="s">
        <v>20</v>
      </c>
      <c r="BU62" t="s">
        <v>78</v>
      </c>
      <c r="BV62">
        <v>25</v>
      </c>
      <c r="BW62">
        <v>6</v>
      </c>
      <c r="BX62">
        <v>6.9204152249134996</v>
      </c>
      <c r="BY62">
        <v>5.5</v>
      </c>
      <c r="CA62" t="str">
        <f t="shared" si="8"/>
        <v>MalePacific194</v>
      </c>
      <c r="CB62" t="s">
        <v>20</v>
      </c>
      <c r="CC62" t="s">
        <v>79</v>
      </c>
      <c r="CD62">
        <v>19</v>
      </c>
      <c r="CE62">
        <v>4</v>
      </c>
      <c r="CF62">
        <v>19</v>
      </c>
      <c r="CG62">
        <v>12.982098066383299</v>
      </c>
      <c r="CH62">
        <v>5.8</v>
      </c>
      <c r="CJ62" t="str">
        <f t="shared" si="9"/>
        <v>AllSexAsian23Submersion (drowning)</v>
      </c>
      <c r="CK62" t="s">
        <v>17</v>
      </c>
      <c r="CL62" t="s">
        <v>78</v>
      </c>
      <c r="CM62" t="s">
        <v>49</v>
      </c>
      <c r="CN62">
        <v>23</v>
      </c>
      <c r="CO62">
        <v>1</v>
      </c>
      <c r="CP62">
        <v>46</v>
      </c>
      <c r="CQ62">
        <v>2.2000000000000002</v>
      </c>
      <c r="CT62" t="str">
        <f t="shared" si="10"/>
        <v>2007MaleMaori9</v>
      </c>
      <c r="CU62">
        <v>2007</v>
      </c>
      <c r="CV62" t="s">
        <v>20</v>
      </c>
      <c r="CW62" t="s">
        <v>18</v>
      </c>
      <c r="CX62">
        <v>9</v>
      </c>
      <c r="CY62">
        <v>1</v>
      </c>
    </row>
    <row r="63" spans="1:103">
      <c r="A63" t="str">
        <f t="shared" si="0"/>
        <v>2013AllSexNon-Maori19</v>
      </c>
      <c r="B63">
        <v>2013</v>
      </c>
      <c r="C63" t="s">
        <v>17</v>
      </c>
      <c r="D63" t="s">
        <v>19</v>
      </c>
      <c r="E63">
        <v>19</v>
      </c>
      <c r="F63">
        <v>409</v>
      </c>
      <c r="G63">
        <v>9.7148957708980408</v>
      </c>
      <c r="H63">
        <v>0.9</v>
      </c>
      <c r="J63" s="340" t="str">
        <f t="shared" si="1"/>
        <v>2012AllSexAllEth195</v>
      </c>
      <c r="K63">
        <v>2012</v>
      </c>
      <c r="L63" t="s">
        <v>17</v>
      </c>
      <c r="M63" t="s">
        <v>27</v>
      </c>
      <c r="N63">
        <v>19</v>
      </c>
      <c r="O63">
        <v>5</v>
      </c>
      <c r="P63">
        <v>136</v>
      </c>
      <c r="Q63">
        <v>15.5911311839955</v>
      </c>
      <c r="R63">
        <v>2.6</v>
      </c>
      <c r="T63" s="340" t="str">
        <f t="shared" si="4"/>
        <v>1996AllSexNon-Maori23Jumping from a high place</v>
      </c>
      <c r="U63">
        <v>1996</v>
      </c>
      <c r="V63" t="s">
        <v>17</v>
      </c>
      <c r="W63" t="s">
        <v>19</v>
      </c>
      <c r="X63">
        <v>23</v>
      </c>
      <c r="Y63" t="s">
        <v>44</v>
      </c>
      <c r="Z63">
        <v>6</v>
      </c>
      <c r="AA63">
        <v>177</v>
      </c>
      <c r="AB63">
        <v>3.4</v>
      </c>
      <c r="AD63" s="340" t="str">
        <f t="shared" si="5"/>
        <v>20072011AllSexAllEth19Canterbury</v>
      </c>
      <c r="AE63" t="s">
        <v>17</v>
      </c>
      <c r="AF63" t="s">
        <v>27</v>
      </c>
      <c r="AG63">
        <v>19</v>
      </c>
      <c r="AH63">
        <v>18</v>
      </c>
      <c r="AI63" t="s">
        <v>71</v>
      </c>
      <c r="AJ63">
        <v>315</v>
      </c>
      <c r="AK63">
        <v>11.8236021725622</v>
      </c>
      <c r="AL63">
        <v>1.7</v>
      </c>
      <c r="AM63" t="s">
        <v>82</v>
      </c>
      <c r="AN63">
        <v>20072011</v>
      </c>
      <c r="AY63" t="str">
        <f t="shared" si="2"/>
        <v>2005FemaleUrban23</v>
      </c>
      <c r="AZ63">
        <v>2005</v>
      </c>
      <c r="BA63" t="s">
        <v>8</v>
      </c>
      <c r="BB63" t="s">
        <v>97</v>
      </c>
      <c r="BC63">
        <v>23</v>
      </c>
      <c r="BD63">
        <v>47</v>
      </c>
      <c r="BE63">
        <v>8.8166879267652103</v>
      </c>
      <c r="BF63">
        <v>2.5</v>
      </c>
      <c r="BH63" t="str">
        <f t="shared" si="7"/>
        <v>2016AllSexMaori14</v>
      </c>
      <c r="BI63">
        <v>2016</v>
      </c>
      <c r="BJ63" t="s">
        <v>17</v>
      </c>
      <c r="BK63" t="s">
        <v>18</v>
      </c>
      <c r="BL63">
        <v>14</v>
      </c>
      <c r="BM63">
        <v>1</v>
      </c>
      <c r="BN63">
        <v>5.5463117027176896</v>
      </c>
      <c r="BO63">
        <v>10.9</v>
      </c>
      <c r="BP63">
        <v>400</v>
      </c>
      <c r="BQ63">
        <v>0.2</v>
      </c>
      <c r="BS63" t="str">
        <f t="shared" si="11"/>
        <v>MaleOther25</v>
      </c>
      <c r="BT63" t="s">
        <v>20</v>
      </c>
      <c r="BU63" t="s">
        <v>45</v>
      </c>
      <c r="BV63">
        <v>25</v>
      </c>
      <c r="BW63">
        <v>227</v>
      </c>
      <c r="BX63">
        <v>17.6682570692487</v>
      </c>
      <c r="BY63">
        <v>2.2999999999999998</v>
      </c>
      <c r="CA63" t="str">
        <f t="shared" si="8"/>
        <v>MalePacific195</v>
      </c>
      <c r="CB63" t="s">
        <v>20</v>
      </c>
      <c r="CC63" t="s">
        <v>79</v>
      </c>
      <c r="CD63">
        <v>19</v>
      </c>
      <c r="CE63">
        <v>5</v>
      </c>
      <c r="CF63">
        <v>48</v>
      </c>
      <c r="CG63">
        <v>12.4468705123349</v>
      </c>
      <c r="CH63">
        <v>3.5</v>
      </c>
      <c r="CJ63" t="str">
        <f t="shared" si="9"/>
        <v>AllSexAsian24Submersion (drowning)</v>
      </c>
      <c r="CK63" t="s">
        <v>17</v>
      </c>
      <c r="CL63" t="s">
        <v>78</v>
      </c>
      <c r="CM63" t="s">
        <v>49</v>
      </c>
      <c r="CN63">
        <v>24</v>
      </c>
      <c r="CO63">
        <v>1</v>
      </c>
      <c r="CP63">
        <v>41</v>
      </c>
      <c r="CQ63">
        <v>2.4</v>
      </c>
      <c r="CT63" t="str">
        <f t="shared" si="10"/>
        <v>2007MaleNon-Maori9</v>
      </c>
      <c r="CU63">
        <v>2007</v>
      </c>
      <c r="CV63" t="s">
        <v>20</v>
      </c>
      <c r="CW63" t="s">
        <v>19</v>
      </c>
      <c r="CX63">
        <v>9</v>
      </c>
      <c r="CY63">
        <v>16</v>
      </c>
    </row>
    <row r="64" spans="1:103">
      <c r="A64" t="str">
        <f t="shared" si="0"/>
        <v>2014AllSexNon-Maori19</v>
      </c>
      <c r="B64">
        <v>2014</v>
      </c>
      <c r="C64" t="s">
        <v>17</v>
      </c>
      <c r="D64" t="s">
        <v>19</v>
      </c>
      <c r="E64">
        <v>19</v>
      </c>
      <c r="F64">
        <v>417</v>
      </c>
      <c r="G64">
        <v>9.8906686786863496</v>
      </c>
      <c r="H64">
        <v>0.9</v>
      </c>
      <c r="J64" s="340" t="str">
        <f t="shared" si="1"/>
        <v>2013AllSexAllEth191</v>
      </c>
      <c r="K64">
        <v>2013</v>
      </c>
      <c r="L64" t="s">
        <v>17</v>
      </c>
      <c r="M64" t="s">
        <v>27</v>
      </c>
      <c r="N64">
        <v>19</v>
      </c>
      <c r="O64">
        <v>1</v>
      </c>
      <c r="P64">
        <v>72</v>
      </c>
      <c r="Q64">
        <v>6.73253886110823</v>
      </c>
      <c r="R64">
        <v>1.6</v>
      </c>
      <c r="T64" s="340" t="str">
        <f t="shared" si="4"/>
        <v>1996AllSexNon-Maori24Jumping from a high place</v>
      </c>
      <c r="U64">
        <v>1996</v>
      </c>
      <c r="V64" t="s">
        <v>17</v>
      </c>
      <c r="W64" t="s">
        <v>19</v>
      </c>
      <c r="X64">
        <v>24</v>
      </c>
      <c r="Y64" t="s">
        <v>44</v>
      </c>
      <c r="Z64">
        <v>1</v>
      </c>
      <c r="AA64">
        <v>94</v>
      </c>
      <c r="AB64">
        <v>1.1000000000000001</v>
      </c>
      <c r="AD64" s="340" t="str">
        <f t="shared" si="5"/>
        <v>20072011AllSexAllEth19South Canterbury</v>
      </c>
      <c r="AE64" t="s">
        <v>17</v>
      </c>
      <c r="AF64" t="s">
        <v>27</v>
      </c>
      <c r="AG64">
        <v>19</v>
      </c>
      <c r="AH64">
        <v>19</v>
      </c>
      <c r="AI64" t="s">
        <v>72</v>
      </c>
      <c r="AJ64">
        <v>46</v>
      </c>
      <c r="AK64">
        <v>19.444313182105699</v>
      </c>
      <c r="AL64">
        <v>7.4</v>
      </c>
      <c r="AM64" t="s">
        <v>84</v>
      </c>
      <c r="AN64">
        <v>20072011</v>
      </c>
      <c r="AY64" t="str">
        <f t="shared" si="2"/>
        <v>2005FemaleRural24</v>
      </c>
      <c r="AZ64">
        <v>2005</v>
      </c>
      <c r="BA64" t="s">
        <v>8</v>
      </c>
      <c r="BB64" t="s">
        <v>96</v>
      </c>
      <c r="BC64">
        <v>24</v>
      </c>
      <c r="BD64">
        <v>4</v>
      </c>
      <c r="BE64">
        <v>5.0716368708000497</v>
      </c>
      <c r="BF64">
        <v>5</v>
      </c>
      <c r="BH64" t="str">
        <f t="shared" si="7"/>
        <v>2016AllSexMaori16</v>
      </c>
      <c r="BI64">
        <v>2016</v>
      </c>
      <c r="BJ64" t="s">
        <v>17</v>
      </c>
      <c r="BK64" t="s">
        <v>18</v>
      </c>
      <c r="BL64">
        <v>16</v>
      </c>
      <c r="BM64">
        <v>1</v>
      </c>
      <c r="BN64">
        <v>13.3511348464619</v>
      </c>
      <c r="BO64">
        <v>26.2</v>
      </c>
      <c r="BP64">
        <v>430</v>
      </c>
      <c r="BQ64">
        <v>0.2</v>
      </c>
      <c r="CA64" t="str">
        <f t="shared" si="8"/>
        <v>AllSexAsian211</v>
      </c>
      <c r="CB64" t="s">
        <v>17</v>
      </c>
      <c r="CC64" t="s">
        <v>78</v>
      </c>
      <c r="CD64">
        <v>21</v>
      </c>
      <c r="CE64">
        <v>1</v>
      </c>
      <c r="CF64">
        <v>1</v>
      </c>
      <c r="CG64">
        <v>1.05607154503865</v>
      </c>
      <c r="CH64">
        <v>2.1</v>
      </c>
      <c r="CJ64" t="str">
        <f t="shared" si="9"/>
        <v>AllSexAsian25Submersion (drowning)</v>
      </c>
      <c r="CK64" t="s">
        <v>17</v>
      </c>
      <c r="CL64" t="s">
        <v>78</v>
      </c>
      <c r="CM64" t="s">
        <v>49</v>
      </c>
      <c r="CN64">
        <v>25</v>
      </c>
      <c r="CO64">
        <v>1</v>
      </c>
      <c r="CP64">
        <v>11</v>
      </c>
      <c r="CQ64">
        <v>9.1</v>
      </c>
      <c r="CT64" t="str">
        <f t="shared" si="10"/>
        <v>2008AllSexAllEth9</v>
      </c>
      <c r="CU64">
        <v>2008</v>
      </c>
      <c r="CV64" t="s">
        <v>17</v>
      </c>
      <c r="CW64" t="s">
        <v>27</v>
      </c>
      <c r="CX64">
        <v>9</v>
      </c>
      <c r="CY64">
        <v>25</v>
      </c>
    </row>
    <row r="65" spans="1:103">
      <c r="A65" t="str">
        <f t="shared" si="0"/>
        <v>2015AllSexNon-Maori19</v>
      </c>
      <c r="B65">
        <v>2015</v>
      </c>
      <c r="C65" t="s">
        <v>17</v>
      </c>
      <c r="D65" t="s">
        <v>19</v>
      </c>
      <c r="E65">
        <v>19</v>
      </c>
      <c r="F65">
        <v>412</v>
      </c>
      <c r="G65">
        <v>9.6400921606719798</v>
      </c>
      <c r="H65">
        <v>0.9</v>
      </c>
      <c r="J65" s="340" t="str">
        <f t="shared" si="1"/>
        <v>2013AllSexAllEth192</v>
      </c>
      <c r="K65">
        <v>2013</v>
      </c>
      <c r="L65" t="s">
        <v>17</v>
      </c>
      <c r="M65" t="s">
        <v>27</v>
      </c>
      <c r="N65">
        <v>19</v>
      </c>
      <c r="O65">
        <v>2</v>
      </c>
      <c r="P65">
        <v>83</v>
      </c>
      <c r="Q65">
        <v>8.3528893937719104</v>
      </c>
      <c r="R65">
        <v>1.8</v>
      </c>
      <c r="T65" s="340" t="str">
        <f t="shared" si="4"/>
        <v>1996AllSexNon-Maori25Jumping from a high place</v>
      </c>
      <c r="U65">
        <v>1996</v>
      </c>
      <c r="V65" t="s">
        <v>17</v>
      </c>
      <c r="W65" t="s">
        <v>19</v>
      </c>
      <c r="X65">
        <v>25</v>
      </c>
      <c r="Y65" t="s">
        <v>44</v>
      </c>
      <c r="Z65">
        <v>1</v>
      </c>
      <c r="AA65">
        <v>65</v>
      </c>
      <c r="AB65">
        <v>1.5</v>
      </c>
      <c r="AD65" s="340" t="str">
        <f t="shared" si="5"/>
        <v>20072011AllSexAllEth19Southern</v>
      </c>
      <c r="AE65" t="s">
        <v>17</v>
      </c>
      <c r="AF65" t="s">
        <v>27</v>
      </c>
      <c r="AG65">
        <v>19</v>
      </c>
      <c r="AH65">
        <v>20</v>
      </c>
      <c r="AI65" t="s">
        <v>73</v>
      </c>
      <c r="AJ65">
        <v>206</v>
      </c>
      <c r="AK65">
        <v>13.551547359040899</v>
      </c>
      <c r="AL65">
        <v>2.4</v>
      </c>
      <c r="AM65" t="s">
        <v>82</v>
      </c>
      <c r="AN65">
        <v>20072011</v>
      </c>
      <c r="AY65" t="str">
        <f t="shared" si="2"/>
        <v>2005FemaleUrban24</v>
      </c>
      <c r="AZ65">
        <v>2005</v>
      </c>
      <c r="BA65" t="s">
        <v>8</v>
      </c>
      <c r="BB65" t="s">
        <v>97</v>
      </c>
      <c r="BC65">
        <v>24</v>
      </c>
      <c r="BD65">
        <v>27</v>
      </c>
      <c r="BE65">
        <v>6.5293093441671504</v>
      </c>
      <c r="BF65">
        <v>2.5</v>
      </c>
      <c r="BH65" t="str">
        <f t="shared" si="7"/>
        <v>2016AllSexMaori18</v>
      </c>
      <c r="BI65">
        <v>2016</v>
      </c>
      <c r="BJ65" t="s">
        <v>17</v>
      </c>
      <c r="BK65" t="s">
        <v>18</v>
      </c>
      <c r="BL65">
        <v>18</v>
      </c>
      <c r="BM65">
        <v>1</v>
      </c>
      <c r="BN65">
        <v>43.2900432900433</v>
      </c>
      <c r="BO65">
        <v>84.8</v>
      </c>
      <c r="BP65">
        <v>333</v>
      </c>
      <c r="BQ65">
        <v>0.3</v>
      </c>
      <c r="CA65" t="str">
        <f t="shared" si="8"/>
        <v>AllSexAsian212</v>
      </c>
      <c r="CB65" t="s">
        <v>17</v>
      </c>
      <c r="CC65" t="s">
        <v>78</v>
      </c>
      <c r="CD65">
        <v>21</v>
      </c>
      <c r="CE65">
        <v>2</v>
      </c>
      <c r="CF65">
        <v>0</v>
      </c>
      <c r="CG65">
        <v>0</v>
      </c>
      <c r="CJ65" t="str">
        <f t="shared" si="9"/>
        <v>AllSexMaori21Firearms and explosives</v>
      </c>
      <c r="CK65" t="s">
        <v>17</v>
      </c>
      <c r="CL65" t="s">
        <v>18</v>
      </c>
      <c r="CM65" t="s">
        <v>42</v>
      </c>
      <c r="CN65">
        <v>21</v>
      </c>
      <c r="CO65">
        <v>2</v>
      </c>
      <c r="CP65">
        <v>19</v>
      </c>
      <c r="CQ65">
        <v>10.5</v>
      </c>
      <c r="CT65" t="str">
        <f t="shared" si="10"/>
        <v>2008AllSexMaori9</v>
      </c>
      <c r="CU65">
        <v>2008</v>
      </c>
      <c r="CV65" t="s">
        <v>17</v>
      </c>
      <c r="CW65" t="s">
        <v>18</v>
      </c>
      <c r="CX65">
        <v>9</v>
      </c>
      <c r="CY65">
        <v>1</v>
      </c>
    </row>
    <row r="66" spans="1:103">
      <c r="A66" t="str">
        <f t="shared" si="0"/>
        <v>2016AllSexNon-Maori19</v>
      </c>
      <c r="B66">
        <v>2016</v>
      </c>
      <c r="C66" t="s">
        <v>17</v>
      </c>
      <c r="D66" t="s">
        <v>19</v>
      </c>
      <c r="E66">
        <v>19</v>
      </c>
      <c r="F66">
        <v>419</v>
      </c>
      <c r="G66">
        <v>9.5499137559285696</v>
      </c>
      <c r="H66">
        <v>0.9</v>
      </c>
      <c r="J66" s="340" t="str">
        <f t="shared" si="1"/>
        <v>2013AllSexAllEth193</v>
      </c>
      <c r="K66">
        <v>2013</v>
      </c>
      <c r="L66" t="s">
        <v>17</v>
      </c>
      <c r="M66" t="s">
        <v>27</v>
      </c>
      <c r="N66">
        <v>19</v>
      </c>
      <c r="O66">
        <v>3</v>
      </c>
      <c r="P66">
        <v>97</v>
      </c>
      <c r="Q66">
        <v>9.8841200333031196</v>
      </c>
      <c r="R66">
        <v>2</v>
      </c>
      <c r="T66" s="340" t="str">
        <f t="shared" si="4"/>
        <v>1996AllSexNon-Maori22Other</v>
      </c>
      <c r="U66">
        <v>1996</v>
      </c>
      <c r="V66" t="s">
        <v>17</v>
      </c>
      <c r="W66" t="s">
        <v>19</v>
      </c>
      <c r="X66">
        <v>22</v>
      </c>
      <c r="Y66" t="s">
        <v>45</v>
      </c>
      <c r="Z66">
        <v>3</v>
      </c>
      <c r="AA66">
        <v>104</v>
      </c>
      <c r="AB66">
        <v>2.9</v>
      </c>
      <c r="AD66" s="340" t="str">
        <f t="shared" si="5"/>
        <v>20072011AllSexAllEth19Unknown</v>
      </c>
      <c r="AE66" t="s">
        <v>17</v>
      </c>
      <c r="AF66" t="s">
        <v>27</v>
      </c>
      <c r="AG66">
        <v>19</v>
      </c>
      <c r="AH66">
        <v>98</v>
      </c>
      <c r="AI66" t="s">
        <v>75</v>
      </c>
      <c r="AJ66">
        <v>15</v>
      </c>
      <c r="AK66">
        <v>0</v>
      </c>
      <c r="AL66">
        <v>0</v>
      </c>
      <c r="AM66" t="s">
        <v>83</v>
      </c>
      <c r="AN66">
        <v>20072011</v>
      </c>
      <c r="AY66" t="str">
        <f t="shared" si="2"/>
        <v>2005FemaleRural25</v>
      </c>
      <c r="AZ66">
        <v>2005</v>
      </c>
      <c r="BA66" t="s">
        <v>8</v>
      </c>
      <c r="BB66" t="s">
        <v>96</v>
      </c>
      <c r="BC66">
        <v>25</v>
      </c>
      <c r="BD66">
        <v>0</v>
      </c>
      <c r="BE66">
        <v>0</v>
      </c>
      <c r="BH66" t="str">
        <f t="shared" si="7"/>
        <v>2016AllSexNon-Maori3</v>
      </c>
      <c r="BI66">
        <v>2016</v>
      </c>
      <c r="BJ66" t="s">
        <v>17</v>
      </c>
      <c r="BK66" t="s">
        <v>19</v>
      </c>
      <c r="BL66">
        <v>3</v>
      </c>
      <c r="BM66">
        <v>4</v>
      </c>
      <c r="BN66">
        <v>1.7926769148030299</v>
      </c>
      <c r="BO66">
        <v>1.8</v>
      </c>
      <c r="BP66">
        <v>26</v>
      </c>
      <c r="BQ66">
        <v>15.4</v>
      </c>
      <c r="CA66" t="str">
        <f t="shared" si="8"/>
        <v>AllSexAsian213</v>
      </c>
      <c r="CB66" t="s">
        <v>17</v>
      </c>
      <c r="CC66" t="s">
        <v>78</v>
      </c>
      <c r="CD66">
        <v>21</v>
      </c>
      <c r="CE66">
        <v>3</v>
      </c>
      <c r="CF66">
        <v>0</v>
      </c>
      <c r="CG66">
        <v>0</v>
      </c>
      <c r="CJ66" t="str">
        <f t="shared" si="9"/>
        <v>AllSexMaori22Firearms and explosives</v>
      </c>
      <c r="CK66" t="s">
        <v>17</v>
      </c>
      <c r="CL66" t="s">
        <v>18</v>
      </c>
      <c r="CM66" t="s">
        <v>42</v>
      </c>
      <c r="CN66">
        <v>22</v>
      </c>
      <c r="CO66">
        <v>5</v>
      </c>
      <c r="CP66">
        <v>225</v>
      </c>
      <c r="CQ66">
        <v>2.2000000000000002</v>
      </c>
      <c r="CT66" t="str">
        <f t="shared" si="10"/>
        <v>2008AllSexNon-Maori9</v>
      </c>
      <c r="CU66">
        <v>2008</v>
      </c>
      <c r="CV66" t="s">
        <v>17</v>
      </c>
      <c r="CW66" t="s">
        <v>19</v>
      </c>
      <c r="CX66">
        <v>9</v>
      </c>
      <c r="CY66">
        <v>24</v>
      </c>
    </row>
    <row r="67" spans="1:103">
      <c r="A67" t="str">
        <f t="shared" si="0"/>
        <v>1996FemaleAllEth19</v>
      </c>
      <c r="B67">
        <v>1996</v>
      </c>
      <c r="C67" t="s">
        <v>8</v>
      </c>
      <c r="D67" t="s">
        <v>27</v>
      </c>
      <c r="E67">
        <v>19</v>
      </c>
      <c r="F67">
        <v>111</v>
      </c>
      <c r="G67">
        <v>5.8886653384406102</v>
      </c>
      <c r="H67">
        <v>1.1000000000000001</v>
      </c>
      <c r="J67" s="340" t="str">
        <f t="shared" si="1"/>
        <v>2013AllSexAllEth194</v>
      </c>
      <c r="K67">
        <v>2013</v>
      </c>
      <c r="L67" t="s">
        <v>17</v>
      </c>
      <c r="M67" t="s">
        <v>27</v>
      </c>
      <c r="N67">
        <v>19</v>
      </c>
      <c r="O67">
        <v>4</v>
      </c>
      <c r="P67">
        <v>99</v>
      </c>
      <c r="Q67">
        <v>11.2169143637633</v>
      </c>
      <c r="R67">
        <v>2.2000000000000002</v>
      </c>
      <c r="T67" s="340" t="str">
        <f t="shared" si="4"/>
        <v>1996AllSexNon-Maori23Other</v>
      </c>
      <c r="U67">
        <v>1996</v>
      </c>
      <c r="V67" t="s">
        <v>17</v>
      </c>
      <c r="W67" t="s">
        <v>19</v>
      </c>
      <c r="X67">
        <v>23</v>
      </c>
      <c r="Y67" t="s">
        <v>45</v>
      </c>
      <c r="Z67">
        <v>5</v>
      </c>
      <c r="AA67">
        <v>177</v>
      </c>
      <c r="AB67">
        <v>2.8</v>
      </c>
      <c r="AD67" s="340" t="str">
        <f t="shared" si="5"/>
        <v>20072011AllSexAllEth22Auckland</v>
      </c>
      <c r="AE67" t="s">
        <v>17</v>
      </c>
      <c r="AF67" t="s">
        <v>27</v>
      </c>
      <c r="AG67">
        <v>22</v>
      </c>
      <c r="AH67">
        <v>3</v>
      </c>
      <c r="AI67" t="s">
        <v>56</v>
      </c>
      <c r="AJ67">
        <v>48</v>
      </c>
      <c r="AK67">
        <v>13.481252633057199</v>
      </c>
      <c r="AL67">
        <v>5</v>
      </c>
      <c r="AM67" t="s">
        <v>83</v>
      </c>
      <c r="AN67">
        <v>20072011</v>
      </c>
      <c r="AY67" t="str">
        <f t="shared" si="2"/>
        <v>2005FemaleUrban25</v>
      </c>
      <c r="AZ67">
        <v>2005</v>
      </c>
      <c r="BA67" t="s">
        <v>8</v>
      </c>
      <c r="BB67" t="s">
        <v>97</v>
      </c>
      <c r="BC67">
        <v>25</v>
      </c>
      <c r="BD67">
        <v>16</v>
      </c>
      <c r="BE67">
        <v>6.4373365520016099</v>
      </c>
      <c r="BF67">
        <v>3.2</v>
      </c>
      <c r="BH67" t="str">
        <f t="shared" si="7"/>
        <v>2016AllSexNon-Maori4</v>
      </c>
      <c r="BI67">
        <v>2016</v>
      </c>
      <c r="BJ67" t="s">
        <v>17</v>
      </c>
      <c r="BK67" t="s">
        <v>19</v>
      </c>
      <c r="BL67">
        <v>4</v>
      </c>
      <c r="BM67">
        <v>21</v>
      </c>
      <c r="BN67">
        <v>8.48382014301297</v>
      </c>
      <c r="BO67">
        <v>3.6</v>
      </c>
      <c r="BP67">
        <v>93</v>
      </c>
      <c r="BQ67">
        <v>22.6</v>
      </c>
      <c r="CA67" t="str">
        <f t="shared" si="8"/>
        <v>AllSexAsian214</v>
      </c>
      <c r="CB67" t="s">
        <v>17</v>
      </c>
      <c r="CC67" t="s">
        <v>78</v>
      </c>
      <c r="CD67">
        <v>21</v>
      </c>
      <c r="CE67">
        <v>4</v>
      </c>
      <c r="CF67">
        <v>0</v>
      </c>
      <c r="CG67">
        <v>0</v>
      </c>
      <c r="CJ67" t="str">
        <f t="shared" si="9"/>
        <v>AllSexMaori23Firearms and explosives</v>
      </c>
      <c r="CK67" t="s">
        <v>17</v>
      </c>
      <c r="CL67" t="s">
        <v>18</v>
      </c>
      <c r="CM67" t="s">
        <v>42</v>
      </c>
      <c r="CN67">
        <v>23</v>
      </c>
      <c r="CO67">
        <v>3</v>
      </c>
      <c r="CP67">
        <v>247</v>
      </c>
      <c r="CQ67">
        <v>1.2</v>
      </c>
      <c r="CT67" t="str">
        <f t="shared" si="10"/>
        <v>2008FemaleAllEth9</v>
      </c>
      <c r="CU67">
        <v>2008</v>
      </c>
      <c r="CV67" t="s">
        <v>8</v>
      </c>
      <c r="CW67" t="s">
        <v>27</v>
      </c>
      <c r="CX67">
        <v>9</v>
      </c>
      <c r="CY67">
        <v>9</v>
      </c>
    </row>
    <row r="68" spans="1:103">
      <c r="A68" t="str">
        <f t="shared" ref="A68:A131" si="12">B68&amp;C68&amp;D68&amp;E68</f>
        <v>1997FemaleAllEth19</v>
      </c>
      <c r="B68">
        <v>1997</v>
      </c>
      <c r="C68" t="s">
        <v>8</v>
      </c>
      <c r="D68" t="s">
        <v>27</v>
      </c>
      <c r="E68">
        <v>19</v>
      </c>
      <c r="F68">
        <v>121</v>
      </c>
      <c r="G68">
        <v>6.2967087648044799</v>
      </c>
      <c r="H68">
        <v>1.1000000000000001</v>
      </c>
      <c r="J68" s="340" t="str">
        <f t="shared" ref="J68:J131" si="13">K68&amp;L68&amp;M68&amp;N68&amp;O68</f>
        <v>2013AllSexAllEth195</v>
      </c>
      <c r="K68">
        <v>2013</v>
      </c>
      <c r="L68" t="s">
        <v>17</v>
      </c>
      <c r="M68" t="s">
        <v>27</v>
      </c>
      <c r="N68">
        <v>19</v>
      </c>
      <c r="O68">
        <v>5</v>
      </c>
      <c r="P68">
        <v>134</v>
      </c>
      <c r="Q68">
        <v>15.6036784873721</v>
      </c>
      <c r="R68">
        <v>2.6</v>
      </c>
      <c r="T68" s="340" t="str">
        <f t="shared" si="4"/>
        <v>1996AllSexNon-Maori24Other</v>
      </c>
      <c r="U68">
        <v>1996</v>
      </c>
      <c r="V68" t="s">
        <v>17</v>
      </c>
      <c r="W68" t="s">
        <v>19</v>
      </c>
      <c r="X68">
        <v>24</v>
      </c>
      <c r="Y68" t="s">
        <v>45</v>
      </c>
      <c r="Z68">
        <v>2</v>
      </c>
      <c r="AA68">
        <v>94</v>
      </c>
      <c r="AB68">
        <v>2.1</v>
      </c>
      <c r="AD68" s="340" t="str">
        <f t="shared" si="5"/>
        <v>20072011AllSexAllEth22Bay of Plenty</v>
      </c>
      <c r="AE68" t="s">
        <v>17</v>
      </c>
      <c r="AF68" t="s">
        <v>27</v>
      </c>
      <c r="AG68">
        <v>22</v>
      </c>
      <c r="AH68">
        <v>7</v>
      </c>
      <c r="AI68" t="s">
        <v>60</v>
      </c>
      <c r="AJ68">
        <v>36</v>
      </c>
      <c r="AK68">
        <v>28.952871159723301</v>
      </c>
      <c r="AL68">
        <v>12.4</v>
      </c>
      <c r="AM68" t="s">
        <v>82</v>
      </c>
      <c r="AN68">
        <v>20072011</v>
      </c>
      <c r="AY68" t="str">
        <f t="shared" ref="AY68:AY131" si="14">AZ68&amp;BA68&amp;BB68&amp;BC68</f>
        <v>2005MaleRural22</v>
      </c>
      <c r="AZ68">
        <v>2005</v>
      </c>
      <c r="BA68" t="s">
        <v>20</v>
      </c>
      <c r="BB68" t="s">
        <v>96</v>
      </c>
      <c r="BC68">
        <v>22</v>
      </c>
      <c r="BD68">
        <v>10</v>
      </c>
      <c r="BE68">
        <v>30.571690614491001</v>
      </c>
      <c r="BF68">
        <v>18.899999999999999</v>
      </c>
      <c r="BH68" t="str">
        <f t="shared" si="7"/>
        <v>2016AllSexNon-Maori5</v>
      </c>
      <c r="BI68">
        <v>2016</v>
      </c>
      <c r="BJ68" t="s">
        <v>17</v>
      </c>
      <c r="BK68" t="s">
        <v>19</v>
      </c>
      <c r="BL68">
        <v>5</v>
      </c>
      <c r="BM68">
        <v>46</v>
      </c>
      <c r="BN68">
        <v>16.060891728640801</v>
      </c>
      <c r="BO68">
        <v>4.5999999999999996</v>
      </c>
      <c r="BP68">
        <v>142</v>
      </c>
      <c r="BQ68">
        <v>32.4</v>
      </c>
      <c r="CA68" t="str">
        <f t="shared" si="8"/>
        <v>AllSexAsian215</v>
      </c>
      <c r="CB68" t="s">
        <v>17</v>
      </c>
      <c r="CC68" t="s">
        <v>78</v>
      </c>
      <c r="CD68">
        <v>21</v>
      </c>
      <c r="CE68">
        <v>5</v>
      </c>
      <c r="CF68">
        <v>0</v>
      </c>
      <c r="CG68">
        <v>0</v>
      </c>
      <c r="CJ68" t="str">
        <f t="shared" si="9"/>
        <v>AllSexMaori24Firearms and explosives</v>
      </c>
      <c r="CK68" t="s">
        <v>17</v>
      </c>
      <c r="CL68" t="s">
        <v>18</v>
      </c>
      <c r="CM68" t="s">
        <v>42</v>
      </c>
      <c r="CN68">
        <v>24</v>
      </c>
      <c r="CO68">
        <v>2</v>
      </c>
      <c r="CP68">
        <v>73</v>
      </c>
      <c r="CQ68">
        <v>2.7</v>
      </c>
      <c r="CT68" t="str">
        <f t="shared" si="10"/>
        <v>2008FemaleMaori9</v>
      </c>
      <c r="CU68">
        <v>2008</v>
      </c>
      <c r="CV68" t="s">
        <v>8</v>
      </c>
      <c r="CW68" t="s">
        <v>18</v>
      </c>
      <c r="CX68">
        <v>9</v>
      </c>
      <c r="CY68">
        <v>1</v>
      </c>
    </row>
    <row r="69" spans="1:103">
      <c r="A69" t="str">
        <f t="shared" si="12"/>
        <v>1998FemaleAllEth19</v>
      </c>
      <c r="B69">
        <v>1998</v>
      </c>
      <c r="C69" t="s">
        <v>8</v>
      </c>
      <c r="D69" t="s">
        <v>27</v>
      </c>
      <c r="E69">
        <v>19</v>
      </c>
      <c r="F69">
        <v>133</v>
      </c>
      <c r="G69">
        <v>6.7999900162587199</v>
      </c>
      <c r="H69">
        <v>1.2</v>
      </c>
      <c r="J69" s="340" t="str">
        <f t="shared" si="13"/>
        <v>2014AllSexAllEth191</v>
      </c>
      <c r="K69">
        <v>2014</v>
      </c>
      <c r="L69" t="s">
        <v>17</v>
      </c>
      <c r="M69" t="s">
        <v>27</v>
      </c>
      <c r="N69">
        <v>19</v>
      </c>
      <c r="O69">
        <v>1</v>
      </c>
      <c r="P69">
        <v>63</v>
      </c>
      <c r="Q69">
        <v>6.6139183761554001</v>
      </c>
      <c r="R69">
        <v>1.6</v>
      </c>
      <c r="T69" s="340" t="str">
        <f t="shared" ref="T69:T132" si="15">U69&amp;V69&amp;W69&amp;X69&amp;Y69</f>
        <v>1996AllSexNon-Maori25Other</v>
      </c>
      <c r="U69">
        <v>1996</v>
      </c>
      <c r="V69" t="s">
        <v>17</v>
      </c>
      <c r="W69" t="s">
        <v>19</v>
      </c>
      <c r="X69">
        <v>25</v>
      </c>
      <c r="Y69" t="s">
        <v>45</v>
      </c>
      <c r="Z69">
        <v>5</v>
      </c>
      <c r="AA69">
        <v>65</v>
      </c>
      <c r="AB69">
        <v>7.7</v>
      </c>
      <c r="AD69" s="340" t="str">
        <f t="shared" ref="AD69:AD128" si="16">AN69&amp;AE69&amp;AF69&amp;AG69&amp;AI69</f>
        <v>20072011AllSexAllEth22Canterbury</v>
      </c>
      <c r="AE69" t="s">
        <v>17</v>
      </c>
      <c r="AF69" t="s">
        <v>27</v>
      </c>
      <c r="AG69">
        <v>22</v>
      </c>
      <c r="AH69">
        <v>18</v>
      </c>
      <c r="AI69" t="s">
        <v>71</v>
      </c>
      <c r="AJ69">
        <v>60</v>
      </c>
      <c r="AK69">
        <v>16.9434090138936</v>
      </c>
      <c r="AL69">
        <v>5.6</v>
      </c>
      <c r="AM69" t="s">
        <v>82</v>
      </c>
      <c r="AN69">
        <v>20072011</v>
      </c>
      <c r="AY69" t="str">
        <f t="shared" si="14"/>
        <v>2005MaleUrban22</v>
      </c>
      <c r="AZ69">
        <v>2005</v>
      </c>
      <c r="BA69" t="s">
        <v>20</v>
      </c>
      <c r="BB69" t="s">
        <v>97</v>
      </c>
      <c r="BC69">
        <v>22</v>
      </c>
      <c r="BD69">
        <v>73</v>
      </c>
      <c r="BE69">
        <v>27.2825802593714</v>
      </c>
      <c r="BF69">
        <v>6.3</v>
      </c>
      <c r="BH69" t="str">
        <f t="shared" ref="BH69:BH132" si="17">BI69&amp;BJ69&amp;BK69&amp;BL69</f>
        <v>2016AllSexNon-Maori6</v>
      </c>
      <c r="BI69">
        <v>2016</v>
      </c>
      <c r="BJ69" t="s">
        <v>17</v>
      </c>
      <c r="BK69" t="s">
        <v>19</v>
      </c>
      <c r="BL69">
        <v>6</v>
      </c>
      <c r="BM69">
        <v>43</v>
      </c>
      <c r="BN69">
        <v>14.9487224057014</v>
      </c>
      <c r="BO69">
        <v>4.5</v>
      </c>
      <c r="BP69">
        <v>121</v>
      </c>
      <c r="BQ69">
        <v>35.5</v>
      </c>
      <c r="CA69" t="str">
        <f t="shared" ref="CA69:CA132" si="18">CB69&amp;CC69&amp;CD69&amp;CE69</f>
        <v>AllSexMaori211</v>
      </c>
      <c r="CB69" t="s">
        <v>17</v>
      </c>
      <c r="CC69" t="s">
        <v>18</v>
      </c>
      <c r="CD69">
        <v>21</v>
      </c>
      <c r="CE69">
        <v>1</v>
      </c>
      <c r="CF69">
        <v>0</v>
      </c>
      <c r="CG69">
        <v>0</v>
      </c>
      <c r="CJ69" t="str">
        <f t="shared" ref="CJ69:CJ132" si="19">CK69&amp;CL69&amp;CN69&amp;CM69</f>
        <v>AllSexMaori21Hanging, strangulation and suffocation</v>
      </c>
      <c r="CK69" t="s">
        <v>17</v>
      </c>
      <c r="CL69" t="s">
        <v>18</v>
      </c>
      <c r="CM69" t="s">
        <v>43</v>
      </c>
      <c r="CN69">
        <v>21</v>
      </c>
      <c r="CO69">
        <v>17</v>
      </c>
      <c r="CP69">
        <v>19</v>
      </c>
      <c r="CQ69">
        <v>89.5</v>
      </c>
      <c r="CT69" t="str">
        <f t="shared" ref="CT69:CT128" si="20">CU69&amp;CV69&amp;CW69&amp;CX69</f>
        <v>2008FemaleNon-Maori9</v>
      </c>
      <c r="CU69">
        <v>2008</v>
      </c>
      <c r="CV69" t="s">
        <v>8</v>
      </c>
      <c r="CW69" t="s">
        <v>19</v>
      </c>
      <c r="CX69">
        <v>9</v>
      </c>
      <c r="CY69">
        <v>8</v>
      </c>
    </row>
    <row r="70" spans="1:103">
      <c r="A70" t="str">
        <f t="shared" si="12"/>
        <v>1999FemaleAllEth19</v>
      </c>
      <c r="B70">
        <v>1999</v>
      </c>
      <c r="C70" t="s">
        <v>8</v>
      </c>
      <c r="D70" t="s">
        <v>27</v>
      </c>
      <c r="E70">
        <v>19</v>
      </c>
      <c r="F70">
        <v>132</v>
      </c>
      <c r="G70">
        <v>6.7167156494892</v>
      </c>
      <c r="H70">
        <v>1.1000000000000001</v>
      </c>
      <c r="J70" s="340" t="str">
        <f t="shared" si="13"/>
        <v>2014AllSexAllEth192</v>
      </c>
      <c r="K70">
        <v>2014</v>
      </c>
      <c r="L70" t="s">
        <v>17</v>
      </c>
      <c r="M70" t="s">
        <v>27</v>
      </c>
      <c r="N70">
        <v>19</v>
      </c>
      <c r="O70">
        <v>2</v>
      </c>
      <c r="P70">
        <v>72</v>
      </c>
      <c r="Q70">
        <v>7.53145948142501</v>
      </c>
      <c r="R70">
        <v>1.7</v>
      </c>
      <c r="T70" s="340" t="str">
        <f t="shared" si="15"/>
        <v>1996AllSexNon-Maori22Poisoning by gases and vapours</v>
      </c>
      <c r="U70">
        <v>1996</v>
      </c>
      <c r="V70" t="s">
        <v>17</v>
      </c>
      <c r="W70" t="s">
        <v>19</v>
      </c>
      <c r="X70">
        <v>22</v>
      </c>
      <c r="Y70" t="s">
        <v>46</v>
      </c>
      <c r="Z70">
        <v>24</v>
      </c>
      <c r="AA70">
        <v>104</v>
      </c>
      <c r="AB70">
        <v>23.1</v>
      </c>
      <c r="AD70" s="340" t="str">
        <f t="shared" si="16"/>
        <v>20072011AllSexAllEth22Capital &amp; Coast</v>
      </c>
      <c r="AE70" t="s">
        <v>17</v>
      </c>
      <c r="AF70" t="s">
        <v>27</v>
      </c>
      <c r="AG70">
        <v>22</v>
      </c>
      <c r="AH70">
        <v>13</v>
      </c>
      <c r="AI70" t="s">
        <v>66</v>
      </c>
      <c r="AJ70">
        <v>26</v>
      </c>
      <c r="AK70">
        <v>11.686969029532101</v>
      </c>
      <c r="AL70">
        <v>5.9</v>
      </c>
      <c r="AM70" t="s">
        <v>83</v>
      </c>
      <c r="AN70">
        <v>20072011</v>
      </c>
      <c r="AY70" t="str">
        <f t="shared" si="14"/>
        <v>2005MaleRural23</v>
      </c>
      <c r="AZ70">
        <v>2005</v>
      </c>
      <c r="BA70" t="s">
        <v>20</v>
      </c>
      <c r="BB70" t="s">
        <v>96</v>
      </c>
      <c r="BC70">
        <v>23</v>
      </c>
      <c r="BD70">
        <v>29</v>
      </c>
      <c r="BE70">
        <v>37.933289731850898</v>
      </c>
      <c r="BF70">
        <v>13.8</v>
      </c>
      <c r="BH70" t="str">
        <f t="shared" si="17"/>
        <v>2016AllSexNon-Maori7</v>
      </c>
      <c r="BI70">
        <v>2016</v>
      </c>
      <c r="BJ70" t="s">
        <v>17</v>
      </c>
      <c r="BK70" t="s">
        <v>19</v>
      </c>
      <c r="BL70">
        <v>7</v>
      </c>
      <c r="BM70">
        <v>31</v>
      </c>
      <c r="BN70">
        <v>11.979287425612499</v>
      </c>
      <c r="BO70">
        <v>4.2</v>
      </c>
      <c r="BP70">
        <v>114</v>
      </c>
      <c r="BQ70">
        <v>27.2</v>
      </c>
      <c r="CA70" t="str">
        <f t="shared" si="18"/>
        <v>AllSexMaori212</v>
      </c>
      <c r="CB70" t="s">
        <v>17</v>
      </c>
      <c r="CC70" t="s">
        <v>18</v>
      </c>
      <c r="CD70">
        <v>21</v>
      </c>
      <c r="CE70">
        <v>2</v>
      </c>
      <c r="CF70">
        <v>1</v>
      </c>
      <c r="CG70">
        <v>0.74281398300667201</v>
      </c>
      <c r="CH70">
        <v>1.5</v>
      </c>
      <c r="CJ70" t="str">
        <f t="shared" si="19"/>
        <v>AllSexMaori22Hanging, strangulation and suffocation</v>
      </c>
      <c r="CK70" t="s">
        <v>17</v>
      </c>
      <c r="CL70" t="s">
        <v>18</v>
      </c>
      <c r="CM70" t="s">
        <v>43</v>
      </c>
      <c r="CN70">
        <v>22</v>
      </c>
      <c r="CO70">
        <v>204</v>
      </c>
      <c r="CP70">
        <v>225</v>
      </c>
      <c r="CQ70">
        <v>90.7</v>
      </c>
      <c r="CT70" t="str">
        <f t="shared" si="20"/>
        <v>2008MaleAllEth9</v>
      </c>
      <c r="CU70">
        <v>2008</v>
      </c>
      <c r="CV70" t="s">
        <v>20</v>
      </c>
      <c r="CW70" t="s">
        <v>27</v>
      </c>
      <c r="CX70">
        <v>9</v>
      </c>
      <c r="CY70">
        <v>16</v>
      </c>
    </row>
    <row r="71" spans="1:103">
      <c r="A71" t="str">
        <f t="shared" si="12"/>
        <v>2000FemaleAllEth19</v>
      </c>
      <c r="B71">
        <v>2000</v>
      </c>
      <c r="C71" t="s">
        <v>8</v>
      </c>
      <c r="D71" t="s">
        <v>27</v>
      </c>
      <c r="E71">
        <v>19</v>
      </c>
      <c r="F71">
        <v>83</v>
      </c>
      <c r="G71">
        <v>4.1665204234231998</v>
      </c>
      <c r="H71">
        <v>0.9</v>
      </c>
      <c r="J71" s="340" t="str">
        <f t="shared" si="13"/>
        <v>2014AllSexAllEth193</v>
      </c>
      <c r="K71">
        <v>2014</v>
      </c>
      <c r="L71" t="s">
        <v>17</v>
      </c>
      <c r="M71" t="s">
        <v>27</v>
      </c>
      <c r="N71">
        <v>19</v>
      </c>
      <c r="O71">
        <v>3</v>
      </c>
      <c r="P71">
        <v>94</v>
      </c>
      <c r="Q71">
        <v>10.115508598999501</v>
      </c>
      <c r="R71">
        <v>2</v>
      </c>
      <c r="T71" s="340" t="str">
        <f t="shared" si="15"/>
        <v>1996AllSexNon-Maori23Poisoning by gases and vapours</v>
      </c>
      <c r="U71">
        <v>1996</v>
      </c>
      <c r="V71" t="s">
        <v>17</v>
      </c>
      <c r="W71" t="s">
        <v>19</v>
      </c>
      <c r="X71">
        <v>23</v>
      </c>
      <c r="Y71" t="s">
        <v>46</v>
      </c>
      <c r="Z71">
        <v>73</v>
      </c>
      <c r="AA71">
        <v>177</v>
      </c>
      <c r="AB71">
        <v>41.2</v>
      </c>
      <c r="AD71" s="340" t="str">
        <f t="shared" si="16"/>
        <v>20072011AllSexAllEth22Counties Manukau</v>
      </c>
      <c r="AE71" t="s">
        <v>17</v>
      </c>
      <c r="AF71" t="s">
        <v>27</v>
      </c>
      <c r="AG71">
        <v>22</v>
      </c>
      <c r="AH71">
        <v>4</v>
      </c>
      <c r="AI71" t="s">
        <v>57</v>
      </c>
      <c r="AJ71">
        <v>76</v>
      </c>
      <c r="AK71">
        <v>20.974196219125201</v>
      </c>
      <c r="AL71">
        <v>6.2</v>
      </c>
      <c r="AM71" t="s">
        <v>82</v>
      </c>
      <c r="AN71">
        <v>20072011</v>
      </c>
      <c r="AY71" t="str">
        <f t="shared" si="14"/>
        <v>2005MaleUrban23</v>
      </c>
      <c r="AZ71">
        <v>2005</v>
      </c>
      <c r="BA71" t="s">
        <v>20</v>
      </c>
      <c r="BB71" t="s">
        <v>97</v>
      </c>
      <c r="BC71">
        <v>23</v>
      </c>
      <c r="BD71">
        <v>128</v>
      </c>
      <c r="BE71">
        <v>26.002518994027501</v>
      </c>
      <c r="BF71">
        <v>4.5</v>
      </c>
      <c r="BH71" t="str">
        <f t="shared" si="17"/>
        <v>2016AllSexNon-Maori8</v>
      </c>
      <c r="BI71">
        <v>2016</v>
      </c>
      <c r="BJ71" t="s">
        <v>17</v>
      </c>
      <c r="BK71" t="s">
        <v>19</v>
      </c>
      <c r="BL71">
        <v>8</v>
      </c>
      <c r="BM71">
        <v>19</v>
      </c>
      <c r="BN71">
        <v>7.9084287200832497</v>
      </c>
      <c r="BO71">
        <v>3.6</v>
      </c>
      <c r="BP71">
        <v>162</v>
      </c>
      <c r="BQ71">
        <v>11.7</v>
      </c>
      <c r="CA71" t="str">
        <f t="shared" si="18"/>
        <v>AllSexMaori213</v>
      </c>
      <c r="CB71" t="s">
        <v>17</v>
      </c>
      <c r="CC71" t="s">
        <v>18</v>
      </c>
      <c r="CD71">
        <v>21</v>
      </c>
      <c r="CE71">
        <v>3</v>
      </c>
      <c r="CF71">
        <v>3</v>
      </c>
      <c r="CG71">
        <v>1.5862602223603901</v>
      </c>
      <c r="CH71">
        <v>1.8</v>
      </c>
      <c r="CJ71" t="str">
        <f t="shared" si="19"/>
        <v>AllSexMaori23Hanging, strangulation and suffocation</v>
      </c>
      <c r="CK71" t="s">
        <v>17</v>
      </c>
      <c r="CL71" t="s">
        <v>18</v>
      </c>
      <c r="CM71" t="s">
        <v>43</v>
      </c>
      <c r="CN71">
        <v>23</v>
      </c>
      <c r="CO71">
        <v>209</v>
      </c>
      <c r="CP71">
        <v>247</v>
      </c>
      <c r="CQ71">
        <v>84.6</v>
      </c>
      <c r="CT71" t="str">
        <f t="shared" si="20"/>
        <v>2008MaleNon-Maori9</v>
      </c>
      <c r="CU71">
        <v>2008</v>
      </c>
      <c r="CV71" t="s">
        <v>20</v>
      </c>
      <c r="CW71" t="s">
        <v>19</v>
      </c>
      <c r="CX71">
        <v>9</v>
      </c>
      <c r="CY71">
        <v>16</v>
      </c>
    </row>
    <row r="72" spans="1:103">
      <c r="A72" t="str">
        <f t="shared" si="12"/>
        <v>2001FemaleAllEth19</v>
      </c>
      <c r="B72">
        <v>2001</v>
      </c>
      <c r="C72" t="s">
        <v>8</v>
      </c>
      <c r="D72" t="s">
        <v>27</v>
      </c>
      <c r="E72">
        <v>19</v>
      </c>
      <c r="F72">
        <v>118</v>
      </c>
      <c r="G72">
        <v>5.8286706673737303</v>
      </c>
      <c r="H72">
        <v>1.1000000000000001</v>
      </c>
      <c r="J72" s="340" t="str">
        <f t="shared" si="13"/>
        <v>2014AllSexAllEth194</v>
      </c>
      <c r="K72">
        <v>2014</v>
      </c>
      <c r="L72" t="s">
        <v>17</v>
      </c>
      <c r="M72" t="s">
        <v>27</v>
      </c>
      <c r="N72">
        <v>19</v>
      </c>
      <c r="O72">
        <v>4</v>
      </c>
      <c r="P72">
        <v>120</v>
      </c>
      <c r="Q72">
        <v>12.681549789960799</v>
      </c>
      <c r="R72">
        <v>2.2999999999999998</v>
      </c>
      <c r="T72" s="340" t="str">
        <f t="shared" si="15"/>
        <v>1996AllSexNon-Maori24Poisoning by gases and vapours</v>
      </c>
      <c r="U72">
        <v>1996</v>
      </c>
      <c r="V72" t="s">
        <v>17</v>
      </c>
      <c r="W72" t="s">
        <v>19</v>
      </c>
      <c r="X72">
        <v>24</v>
      </c>
      <c r="Y72" t="s">
        <v>46</v>
      </c>
      <c r="Z72">
        <v>37</v>
      </c>
      <c r="AA72">
        <v>94</v>
      </c>
      <c r="AB72">
        <v>39.4</v>
      </c>
      <c r="AD72" s="340" t="str">
        <f t="shared" si="16"/>
        <v>20072011AllSexAllEth22Hawke's Bay</v>
      </c>
      <c r="AE72" t="s">
        <v>17</v>
      </c>
      <c r="AF72" t="s">
        <v>27</v>
      </c>
      <c r="AG72">
        <v>22</v>
      </c>
      <c r="AH72">
        <v>9</v>
      </c>
      <c r="AI72" t="s">
        <v>62</v>
      </c>
      <c r="AJ72">
        <v>24</v>
      </c>
      <c r="AK72">
        <v>24.842148845875201</v>
      </c>
      <c r="AL72">
        <v>13.1</v>
      </c>
      <c r="AM72" t="s">
        <v>82</v>
      </c>
      <c r="AN72">
        <v>20072011</v>
      </c>
      <c r="AY72" t="str">
        <f t="shared" si="14"/>
        <v>2005MaleRural24</v>
      </c>
      <c r="AZ72">
        <v>2005</v>
      </c>
      <c r="BA72" t="s">
        <v>20</v>
      </c>
      <c r="BB72" t="s">
        <v>96</v>
      </c>
      <c r="BC72">
        <v>24</v>
      </c>
      <c r="BD72">
        <v>18</v>
      </c>
      <c r="BE72">
        <v>21.0674157303371</v>
      </c>
      <c r="BF72">
        <v>9.6999999999999993</v>
      </c>
      <c r="BH72" t="str">
        <f t="shared" si="17"/>
        <v>2016AllSexNon-Maori9</v>
      </c>
      <c r="BI72">
        <v>2016</v>
      </c>
      <c r="BJ72" t="s">
        <v>17</v>
      </c>
      <c r="BK72" t="s">
        <v>19</v>
      </c>
      <c r="BL72">
        <v>9</v>
      </c>
      <c r="BM72">
        <v>48</v>
      </c>
      <c r="BN72">
        <v>18.448766238757798</v>
      </c>
      <c r="BO72">
        <v>5.2</v>
      </c>
      <c r="BP72">
        <v>272</v>
      </c>
      <c r="BQ72">
        <v>17.600000000000001</v>
      </c>
      <c r="CA72" t="str">
        <f t="shared" si="18"/>
        <v>AllSexMaori214</v>
      </c>
      <c r="CB72" t="s">
        <v>17</v>
      </c>
      <c r="CC72" t="s">
        <v>18</v>
      </c>
      <c r="CD72">
        <v>21</v>
      </c>
      <c r="CE72">
        <v>4</v>
      </c>
      <c r="CF72">
        <v>5</v>
      </c>
      <c r="CG72">
        <v>1.8961646442523801</v>
      </c>
      <c r="CH72">
        <v>1.7</v>
      </c>
      <c r="CJ72" t="str">
        <f t="shared" si="19"/>
        <v>AllSexMaori24Hanging, strangulation and suffocation</v>
      </c>
      <c r="CK72" t="s">
        <v>17</v>
      </c>
      <c r="CL72" t="s">
        <v>18</v>
      </c>
      <c r="CM72" t="s">
        <v>43</v>
      </c>
      <c r="CN72">
        <v>24</v>
      </c>
      <c r="CO72">
        <v>52</v>
      </c>
      <c r="CP72">
        <v>73</v>
      </c>
      <c r="CQ72">
        <v>71.2</v>
      </c>
      <c r="CT72" t="str">
        <f t="shared" si="20"/>
        <v>2009AllSexAllEth9</v>
      </c>
      <c r="CU72">
        <v>2009</v>
      </c>
      <c r="CV72" t="s">
        <v>17</v>
      </c>
      <c r="CW72" t="s">
        <v>27</v>
      </c>
      <c r="CX72">
        <v>9</v>
      </c>
      <c r="CY72">
        <v>5</v>
      </c>
    </row>
    <row r="73" spans="1:103">
      <c r="A73" t="str">
        <f t="shared" si="12"/>
        <v>2002FemaleAllEth19</v>
      </c>
      <c r="B73">
        <v>2002</v>
      </c>
      <c r="C73" t="s">
        <v>8</v>
      </c>
      <c r="D73" t="s">
        <v>27</v>
      </c>
      <c r="E73">
        <v>19</v>
      </c>
      <c r="F73">
        <v>114</v>
      </c>
      <c r="G73">
        <v>5.6012768971608997</v>
      </c>
      <c r="H73">
        <v>1</v>
      </c>
      <c r="J73" s="340" t="str">
        <f t="shared" si="13"/>
        <v>2014AllSexAllEth195</v>
      </c>
      <c r="K73">
        <v>2014</v>
      </c>
      <c r="L73" t="s">
        <v>17</v>
      </c>
      <c r="M73" t="s">
        <v>27</v>
      </c>
      <c r="N73">
        <v>19</v>
      </c>
      <c r="O73">
        <v>5</v>
      </c>
      <c r="P73">
        <v>142</v>
      </c>
      <c r="Q73">
        <v>16.0320135548914</v>
      </c>
      <c r="R73">
        <v>2.6</v>
      </c>
      <c r="T73" s="340" t="str">
        <f t="shared" si="15"/>
        <v>1996AllSexNon-Maori25Poisoning by gases and vapours</v>
      </c>
      <c r="U73">
        <v>1996</v>
      </c>
      <c r="V73" t="s">
        <v>17</v>
      </c>
      <c r="W73" t="s">
        <v>19</v>
      </c>
      <c r="X73">
        <v>25</v>
      </c>
      <c r="Y73" t="s">
        <v>46</v>
      </c>
      <c r="Z73">
        <v>13</v>
      </c>
      <c r="AA73">
        <v>65</v>
      </c>
      <c r="AB73">
        <v>20</v>
      </c>
      <c r="AD73" s="340" t="str">
        <f t="shared" si="16"/>
        <v>20072011AllSexAllEth22Hutt Valley</v>
      </c>
      <c r="AE73" t="s">
        <v>17</v>
      </c>
      <c r="AF73" t="s">
        <v>27</v>
      </c>
      <c r="AG73">
        <v>22</v>
      </c>
      <c r="AH73">
        <v>14</v>
      </c>
      <c r="AI73" t="s">
        <v>67</v>
      </c>
      <c r="AJ73">
        <v>15</v>
      </c>
      <c r="AK73">
        <v>15.547263681592</v>
      </c>
      <c r="AL73">
        <v>10.3</v>
      </c>
      <c r="AM73" t="s">
        <v>82</v>
      </c>
      <c r="AN73">
        <v>20072011</v>
      </c>
      <c r="AY73" t="str">
        <f t="shared" si="14"/>
        <v>2005MaleUrban24</v>
      </c>
      <c r="AZ73">
        <v>2005</v>
      </c>
      <c r="BA73" t="s">
        <v>20</v>
      </c>
      <c r="BB73" t="s">
        <v>97</v>
      </c>
      <c r="BC73">
        <v>24</v>
      </c>
      <c r="BD73">
        <v>85</v>
      </c>
      <c r="BE73">
        <v>21.626847823321398</v>
      </c>
      <c r="BF73">
        <v>4.5999999999999996</v>
      </c>
      <c r="BH73" t="str">
        <f t="shared" si="17"/>
        <v>2016AllSexNon-Maori10</v>
      </c>
      <c r="BI73">
        <v>2016</v>
      </c>
      <c r="BJ73" t="s">
        <v>17</v>
      </c>
      <c r="BK73" t="s">
        <v>19</v>
      </c>
      <c r="BL73">
        <v>10</v>
      </c>
      <c r="BM73">
        <v>36</v>
      </c>
      <c r="BN73">
        <v>12.979053250171299</v>
      </c>
      <c r="BO73">
        <v>4.2</v>
      </c>
      <c r="BP73">
        <v>468</v>
      </c>
      <c r="BQ73">
        <v>7.7</v>
      </c>
      <c r="CA73" t="str">
        <f t="shared" si="18"/>
        <v>AllSexMaori215</v>
      </c>
      <c r="CB73" t="s">
        <v>17</v>
      </c>
      <c r="CC73" t="s">
        <v>18</v>
      </c>
      <c r="CD73">
        <v>21</v>
      </c>
      <c r="CE73">
        <v>5</v>
      </c>
      <c r="CF73">
        <v>9</v>
      </c>
      <c r="CG73">
        <v>1.82815218512114</v>
      </c>
      <c r="CH73">
        <v>1.2</v>
      </c>
      <c r="CJ73" t="str">
        <f t="shared" si="19"/>
        <v>AllSexMaori25Hanging, strangulation and suffocation</v>
      </c>
      <c r="CK73" t="s">
        <v>17</v>
      </c>
      <c r="CL73" t="s">
        <v>18</v>
      </c>
      <c r="CM73" t="s">
        <v>43</v>
      </c>
      <c r="CN73">
        <v>25</v>
      </c>
      <c r="CO73">
        <v>4</v>
      </c>
      <c r="CP73">
        <v>4</v>
      </c>
      <c r="CQ73">
        <v>100</v>
      </c>
      <c r="CT73" t="str">
        <f t="shared" si="20"/>
        <v>2009AllSexNon-Maori9</v>
      </c>
      <c r="CU73">
        <v>2009</v>
      </c>
      <c r="CV73" t="s">
        <v>17</v>
      </c>
      <c r="CW73" t="s">
        <v>19</v>
      </c>
      <c r="CX73">
        <v>9</v>
      </c>
      <c r="CY73">
        <v>5</v>
      </c>
    </row>
    <row r="74" spans="1:103">
      <c r="A74" t="str">
        <f t="shared" si="12"/>
        <v>2003FemaleAllEth19</v>
      </c>
      <c r="B74">
        <v>2003</v>
      </c>
      <c r="C74" t="s">
        <v>8</v>
      </c>
      <c r="D74" t="s">
        <v>27</v>
      </c>
      <c r="E74">
        <v>19</v>
      </c>
      <c r="F74">
        <v>142</v>
      </c>
      <c r="G74">
        <v>6.6355676799870498</v>
      </c>
      <c r="H74">
        <v>1.1000000000000001</v>
      </c>
      <c r="J74" s="340" t="str">
        <f t="shared" si="13"/>
        <v>2015AllSexAllEth191</v>
      </c>
      <c r="K74">
        <v>2015</v>
      </c>
      <c r="L74" t="s">
        <v>17</v>
      </c>
      <c r="M74" t="s">
        <v>27</v>
      </c>
      <c r="N74">
        <v>19</v>
      </c>
      <c r="O74">
        <v>1</v>
      </c>
      <c r="P74">
        <v>81</v>
      </c>
      <c r="Q74">
        <v>8.0896312487476205</v>
      </c>
      <c r="R74">
        <v>1.8</v>
      </c>
      <c r="T74" s="340" t="str">
        <f t="shared" si="15"/>
        <v>1996AllSexNon-Maori22Poisoning by solids and liquids</v>
      </c>
      <c r="U74">
        <v>1996</v>
      </c>
      <c r="V74" t="s">
        <v>17</v>
      </c>
      <c r="W74" t="s">
        <v>19</v>
      </c>
      <c r="X74">
        <v>22</v>
      </c>
      <c r="Y74" t="s">
        <v>47</v>
      </c>
      <c r="Z74">
        <v>12</v>
      </c>
      <c r="AA74">
        <v>104</v>
      </c>
      <c r="AB74">
        <v>11.5</v>
      </c>
      <c r="AD74" s="340" t="str">
        <f t="shared" si="16"/>
        <v>20072011AllSexAllEth22Lakes</v>
      </c>
      <c r="AE74" t="s">
        <v>17</v>
      </c>
      <c r="AF74" t="s">
        <v>27</v>
      </c>
      <c r="AG74">
        <v>22</v>
      </c>
      <c r="AH74">
        <v>6</v>
      </c>
      <c r="AI74" t="s">
        <v>59</v>
      </c>
      <c r="AJ74">
        <v>15</v>
      </c>
      <c r="AK74">
        <v>22.5022502250225</v>
      </c>
      <c r="AL74">
        <v>15</v>
      </c>
      <c r="AM74" t="s">
        <v>82</v>
      </c>
      <c r="AN74">
        <v>20072011</v>
      </c>
      <c r="AY74" t="str">
        <f t="shared" si="14"/>
        <v>2005MaleRural25</v>
      </c>
      <c r="AZ74">
        <v>2005</v>
      </c>
      <c r="BA74" t="s">
        <v>20</v>
      </c>
      <c r="BB74" t="s">
        <v>96</v>
      </c>
      <c r="BC74">
        <v>25</v>
      </c>
      <c r="BD74">
        <v>7</v>
      </c>
      <c r="BE74">
        <v>22.913256955810098</v>
      </c>
      <c r="BF74">
        <v>17</v>
      </c>
      <c r="BH74" t="str">
        <f t="shared" si="17"/>
        <v>2016AllSexNon-Maori11</v>
      </c>
      <c r="BI74">
        <v>2016</v>
      </c>
      <c r="BJ74" t="s">
        <v>17</v>
      </c>
      <c r="BK74" t="s">
        <v>19</v>
      </c>
      <c r="BL74">
        <v>11</v>
      </c>
      <c r="BM74">
        <v>42</v>
      </c>
      <c r="BN74">
        <v>15.072671810515001</v>
      </c>
      <c r="BO74">
        <v>4.5999999999999996</v>
      </c>
      <c r="BP74">
        <v>714</v>
      </c>
      <c r="BQ74">
        <v>5.9</v>
      </c>
      <c r="CA74" t="str">
        <f t="shared" si="18"/>
        <v>AllSexOther211</v>
      </c>
      <c r="CB74" t="s">
        <v>17</v>
      </c>
      <c r="CC74" t="s">
        <v>45</v>
      </c>
      <c r="CD74">
        <v>21</v>
      </c>
      <c r="CE74">
        <v>1</v>
      </c>
      <c r="CF74">
        <v>2</v>
      </c>
      <c r="CG74">
        <v>0.28667671355823598</v>
      </c>
      <c r="CH74">
        <v>0.4</v>
      </c>
      <c r="CJ74" t="str">
        <f t="shared" si="19"/>
        <v>AllSexMaori22Jumping from a high place</v>
      </c>
      <c r="CK74" t="s">
        <v>17</v>
      </c>
      <c r="CL74" t="s">
        <v>18</v>
      </c>
      <c r="CM74" t="s">
        <v>44</v>
      </c>
      <c r="CN74">
        <v>22</v>
      </c>
      <c r="CO74">
        <v>4</v>
      </c>
      <c r="CP74">
        <v>225</v>
      </c>
      <c r="CQ74">
        <v>1.8</v>
      </c>
      <c r="CT74" t="str">
        <f t="shared" si="20"/>
        <v>2009FemaleAllEth9</v>
      </c>
      <c r="CU74">
        <v>2009</v>
      </c>
      <c r="CV74" t="s">
        <v>8</v>
      </c>
      <c r="CW74" t="s">
        <v>27</v>
      </c>
      <c r="CX74">
        <v>9</v>
      </c>
      <c r="CY74">
        <v>2</v>
      </c>
    </row>
    <row r="75" spans="1:103">
      <c r="A75" t="str">
        <f t="shared" si="12"/>
        <v>2004FemaleAllEth19</v>
      </c>
      <c r="B75">
        <v>2004</v>
      </c>
      <c r="C75" t="s">
        <v>8</v>
      </c>
      <c r="D75" t="s">
        <v>27</v>
      </c>
      <c r="E75">
        <v>19</v>
      </c>
      <c r="F75">
        <v>112</v>
      </c>
      <c r="G75">
        <v>5.3216551470799702</v>
      </c>
      <c r="H75">
        <v>1</v>
      </c>
      <c r="J75" s="340" t="str">
        <f t="shared" si="13"/>
        <v>2015AllSexAllEth192</v>
      </c>
      <c r="K75">
        <v>2015</v>
      </c>
      <c r="L75" t="s">
        <v>17</v>
      </c>
      <c r="M75" t="s">
        <v>27</v>
      </c>
      <c r="N75">
        <v>19</v>
      </c>
      <c r="O75">
        <v>2</v>
      </c>
      <c r="P75">
        <v>94</v>
      </c>
      <c r="Q75">
        <v>9.2412333875110004</v>
      </c>
      <c r="R75">
        <v>1.9</v>
      </c>
      <c r="T75" s="340" t="str">
        <f t="shared" si="15"/>
        <v>1996AllSexNon-Maori23Poisoning by solids and liquids</v>
      </c>
      <c r="U75">
        <v>1996</v>
      </c>
      <c r="V75" t="s">
        <v>17</v>
      </c>
      <c r="W75" t="s">
        <v>19</v>
      </c>
      <c r="X75">
        <v>23</v>
      </c>
      <c r="Y75" t="s">
        <v>47</v>
      </c>
      <c r="Z75">
        <v>13</v>
      </c>
      <c r="AA75">
        <v>177</v>
      </c>
      <c r="AB75">
        <v>7.3</v>
      </c>
      <c r="AD75" s="340" t="str">
        <f t="shared" si="16"/>
        <v>20072011AllSexAllEth22MidCentral</v>
      </c>
      <c r="AE75" t="s">
        <v>17</v>
      </c>
      <c r="AF75" t="s">
        <v>27</v>
      </c>
      <c r="AG75">
        <v>22</v>
      </c>
      <c r="AH75">
        <v>11</v>
      </c>
      <c r="AI75" t="s">
        <v>64</v>
      </c>
      <c r="AJ75">
        <v>29</v>
      </c>
      <c r="AK75">
        <v>23.164789519929698</v>
      </c>
      <c r="AL75">
        <v>11.1</v>
      </c>
      <c r="AM75" t="s">
        <v>82</v>
      </c>
      <c r="AN75">
        <v>20072011</v>
      </c>
      <c r="AY75" t="str">
        <f t="shared" si="14"/>
        <v>2005MaleUrban25</v>
      </c>
      <c r="AZ75">
        <v>2005</v>
      </c>
      <c r="BA75" t="s">
        <v>20</v>
      </c>
      <c r="BB75" t="s">
        <v>97</v>
      </c>
      <c r="BC75">
        <v>25</v>
      </c>
      <c r="BD75">
        <v>25</v>
      </c>
      <c r="BE75">
        <v>13.1426769004311</v>
      </c>
      <c r="BF75">
        <v>5.2</v>
      </c>
      <c r="BH75" t="str">
        <f t="shared" si="17"/>
        <v>2016AllSexNon-Maori12</v>
      </c>
      <c r="BI75">
        <v>2016</v>
      </c>
      <c r="BJ75" t="s">
        <v>17</v>
      </c>
      <c r="BK75" t="s">
        <v>19</v>
      </c>
      <c r="BL75">
        <v>12</v>
      </c>
      <c r="BM75">
        <v>44</v>
      </c>
      <c r="BN75">
        <v>16.724314873237301</v>
      </c>
      <c r="BO75">
        <v>4.9000000000000004</v>
      </c>
      <c r="BP75">
        <v>950</v>
      </c>
      <c r="BQ75">
        <v>4.5999999999999996</v>
      </c>
      <c r="CA75" t="str">
        <f t="shared" si="18"/>
        <v>AllSexOther212</v>
      </c>
      <c r="CB75" t="s">
        <v>17</v>
      </c>
      <c r="CC75" t="s">
        <v>45</v>
      </c>
      <c r="CD75">
        <v>21</v>
      </c>
      <c r="CE75">
        <v>2</v>
      </c>
      <c r="CF75">
        <v>2</v>
      </c>
      <c r="CG75">
        <v>0.34397518360002199</v>
      </c>
      <c r="CH75">
        <v>0.5</v>
      </c>
      <c r="CJ75" t="str">
        <f t="shared" si="19"/>
        <v>AllSexMaori23Jumping from a high place</v>
      </c>
      <c r="CK75" t="s">
        <v>17</v>
      </c>
      <c r="CL75" t="s">
        <v>18</v>
      </c>
      <c r="CM75" t="s">
        <v>44</v>
      </c>
      <c r="CN75">
        <v>23</v>
      </c>
      <c r="CO75">
        <v>3</v>
      </c>
      <c r="CP75">
        <v>247</v>
      </c>
      <c r="CQ75">
        <v>1.2</v>
      </c>
      <c r="CT75" t="str">
        <f t="shared" si="20"/>
        <v>2009FemaleNon-Maori9</v>
      </c>
      <c r="CU75">
        <v>2009</v>
      </c>
      <c r="CV75" t="s">
        <v>8</v>
      </c>
      <c r="CW75" t="s">
        <v>19</v>
      </c>
      <c r="CX75">
        <v>9</v>
      </c>
      <c r="CY75">
        <v>2</v>
      </c>
    </row>
    <row r="76" spans="1:103">
      <c r="A76" t="str">
        <f t="shared" si="12"/>
        <v>2005FemaleAllEth19</v>
      </c>
      <c r="B76">
        <v>2005</v>
      </c>
      <c r="C76" t="s">
        <v>8</v>
      </c>
      <c r="D76" t="s">
        <v>27</v>
      </c>
      <c r="E76">
        <v>19</v>
      </c>
      <c r="F76">
        <v>132</v>
      </c>
      <c r="G76">
        <v>5.9861646575977696</v>
      </c>
      <c r="H76">
        <v>1</v>
      </c>
      <c r="J76" s="340" t="str">
        <f t="shared" si="13"/>
        <v>2015AllSexAllEth193</v>
      </c>
      <c r="K76">
        <v>2015</v>
      </c>
      <c r="L76" t="s">
        <v>17</v>
      </c>
      <c r="M76" t="s">
        <v>27</v>
      </c>
      <c r="N76">
        <v>19</v>
      </c>
      <c r="O76">
        <v>3</v>
      </c>
      <c r="P76">
        <v>91</v>
      </c>
      <c r="Q76">
        <v>9.4029098009381809</v>
      </c>
      <c r="R76">
        <v>1.9</v>
      </c>
      <c r="T76" s="340" t="str">
        <f t="shared" si="15"/>
        <v>1996AllSexNon-Maori24Poisoning by solids and liquids</v>
      </c>
      <c r="U76">
        <v>1996</v>
      </c>
      <c r="V76" t="s">
        <v>17</v>
      </c>
      <c r="W76" t="s">
        <v>19</v>
      </c>
      <c r="X76">
        <v>24</v>
      </c>
      <c r="Y76" t="s">
        <v>47</v>
      </c>
      <c r="Z76">
        <v>9</v>
      </c>
      <c r="AA76">
        <v>94</v>
      </c>
      <c r="AB76">
        <v>9.6</v>
      </c>
      <c r="AD76" s="340" t="str">
        <f t="shared" si="16"/>
        <v>20072011AllSexAllEth22Nelson Marlborough</v>
      </c>
      <c r="AE76" t="s">
        <v>17</v>
      </c>
      <c r="AF76" t="s">
        <v>27</v>
      </c>
      <c r="AG76">
        <v>22</v>
      </c>
      <c r="AH76">
        <v>16</v>
      </c>
      <c r="AI76" t="s">
        <v>69</v>
      </c>
      <c r="AJ76">
        <v>14</v>
      </c>
      <c r="AK76">
        <v>18.346219368365901</v>
      </c>
      <c r="AL76">
        <v>12.6</v>
      </c>
      <c r="AM76" t="s">
        <v>82</v>
      </c>
      <c r="AN76">
        <v>20072011</v>
      </c>
      <c r="AY76" t="str">
        <f t="shared" si="14"/>
        <v>2006AllSexRural22</v>
      </c>
      <c r="AZ76">
        <v>2006</v>
      </c>
      <c r="BA76" t="s">
        <v>17</v>
      </c>
      <c r="BB76" t="s">
        <v>96</v>
      </c>
      <c r="BC76">
        <v>22</v>
      </c>
      <c r="BD76">
        <v>20</v>
      </c>
      <c r="BE76">
        <v>31.3185092389602</v>
      </c>
      <c r="BF76">
        <v>13.7</v>
      </c>
      <c r="BH76" t="str">
        <f t="shared" si="17"/>
        <v>2016AllSexNon-Maori13</v>
      </c>
      <c r="BI76">
        <v>2016</v>
      </c>
      <c r="BJ76" t="s">
        <v>17</v>
      </c>
      <c r="BK76" t="s">
        <v>19</v>
      </c>
      <c r="BL76">
        <v>13</v>
      </c>
      <c r="BM76">
        <v>25</v>
      </c>
      <c r="BN76">
        <v>10.7489895949781</v>
      </c>
      <c r="BO76">
        <v>4.2</v>
      </c>
      <c r="BP76">
        <v>1323</v>
      </c>
      <c r="BQ76">
        <v>1.9</v>
      </c>
      <c r="CA76" t="str">
        <f t="shared" si="18"/>
        <v>AllSexOther213</v>
      </c>
      <c r="CB76" t="s">
        <v>17</v>
      </c>
      <c r="CC76" t="s">
        <v>45</v>
      </c>
      <c r="CD76">
        <v>21</v>
      </c>
      <c r="CE76">
        <v>3</v>
      </c>
      <c r="CF76">
        <v>2</v>
      </c>
      <c r="CG76">
        <v>0.40070243163744801</v>
      </c>
      <c r="CH76">
        <v>0.6</v>
      </c>
      <c r="CJ76" t="str">
        <f t="shared" si="19"/>
        <v>AllSexMaori24Jumping from a high place</v>
      </c>
      <c r="CK76" t="s">
        <v>17</v>
      </c>
      <c r="CL76" t="s">
        <v>18</v>
      </c>
      <c r="CM76" t="s">
        <v>44</v>
      </c>
      <c r="CN76">
        <v>24</v>
      </c>
      <c r="CO76">
        <v>1</v>
      </c>
      <c r="CP76">
        <v>73</v>
      </c>
      <c r="CQ76">
        <v>1.4</v>
      </c>
      <c r="CT76" t="str">
        <f t="shared" si="20"/>
        <v>2009MaleAllEth9</v>
      </c>
      <c r="CU76">
        <v>2009</v>
      </c>
      <c r="CV76" t="s">
        <v>20</v>
      </c>
      <c r="CW76" t="s">
        <v>27</v>
      </c>
      <c r="CX76">
        <v>9</v>
      </c>
      <c r="CY76">
        <v>3</v>
      </c>
    </row>
    <row r="77" spans="1:103">
      <c r="A77" t="str">
        <f t="shared" si="12"/>
        <v>2006FemaleAllEth19</v>
      </c>
      <c r="B77">
        <v>2006</v>
      </c>
      <c r="C77" t="s">
        <v>8</v>
      </c>
      <c r="D77" t="s">
        <v>27</v>
      </c>
      <c r="E77">
        <v>19</v>
      </c>
      <c r="F77">
        <v>137</v>
      </c>
      <c r="G77">
        <v>6.2050827070238999</v>
      </c>
      <c r="H77">
        <v>1</v>
      </c>
      <c r="J77" s="340" t="str">
        <f t="shared" si="13"/>
        <v>2015AllSexAllEth194</v>
      </c>
      <c r="K77">
        <v>2015</v>
      </c>
      <c r="L77" t="s">
        <v>17</v>
      </c>
      <c r="M77" t="s">
        <v>27</v>
      </c>
      <c r="N77">
        <v>19</v>
      </c>
      <c r="O77">
        <v>4</v>
      </c>
      <c r="P77">
        <v>119</v>
      </c>
      <c r="Q77">
        <v>12.7057478317943</v>
      </c>
      <c r="R77">
        <v>2.2999999999999998</v>
      </c>
      <c r="T77" s="340" t="str">
        <f t="shared" si="15"/>
        <v>1996AllSexNon-Maori25Poisoning by solids and liquids</v>
      </c>
      <c r="U77">
        <v>1996</v>
      </c>
      <c r="V77" t="s">
        <v>17</v>
      </c>
      <c r="W77" t="s">
        <v>19</v>
      </c>
      <c r="X77">
        <v>25</v>
      </c>
      <c r="Y77" t="s">
        <v>47</v>
      </c>
      <c r="Z77">
        <v>14</v>
      </c>
      <c r="AA77">
        <v>65</v>
      </c>
      <c r="AB77">
        <v>21.5</v>
      </c>
      <c r="AD77" s="340" t="str">
        <f t="shared" si="16"/>
        <v>20072011AllSexAllEth22Northland</v>
      </c>
      <c r="AE77" t="s">
        <v>17</v>
      </c>
      <c r="AF77" t="s">
        <v>27</v>
      </c>
      <c r="AG77">
        <v>22</v>
      </c>
      <c r="AH77">
        <v>1</v>
      </c>
      <c r="AI77" t="s">
        <v>54</v>
      </c>
      <c r="AJ77">
        <v>19</v>
      </c>
      <c r="AK77">
        <v>19.760790431617298</v>
      </c>
      <c r="AL77">
        <v>11.7</v>
      </c>
      <c r="AM77" t="s">
        <v>82</v>
      </c>
      <c r="AN77">
        <v>20072011</v>
      </c>
      <c r="AY77" t="str">
        <f t="shared" si="14"/>
        <v>2006AllSexUrban22</v>
      </c>
      <c r="AZ77">
        <v>2006</v>
      </c>
      <c r="BA77" t="s">
        <v>17</v>
      </c>
      <c r="BB77" t="s">
        <v>97</v>
      </c>
      <c r="BC77">
        <v>22</v>
      </c>
      <c r="BD77">
        <v>96</v>
      </c>
      <c r="BE77">
        <v>17.7514792899408</v>
      </c>
      <c r="BF77">
        <v>3.6</v>
      </c>
      <c r="BH77" t="str">
        <f t="shared" si="17"/>
        <v>2016AllSexNon-Maori14</v>
      </c>
      <c r="BI77">
        <v>2016</v>
      </c>
      <c r="BJ77" t="s">
        <v>17</v>
      </c>
      <c r="BK77" t="s">
        <v>19</v>
      </c>
      <c r="BL77">
        <v>14</v>
      </c>
      <c r="BM77">
        <v>20</v>
      </c>
      <c r="BN77">
        <v>9.3049223038987598</v>
      </c>
      <c r="BO77">
        <v>4.0999999999999996</v>
      </c>
      <c r="BP77">
        <v>2029</v>
      </c>
      <c r="BQ77">
        <v>1</v>
      </c>
      <c r="CA77" t="str">
        <f t="shared" si="18"/>
        <v>AllSexOther214</v>
      </c>
      <c r="CB77" t="s">
        <v>17</v>
      </c>
      <c r="CC77" t="s">
        <v>45</v>
      </c>
      <c r="CD77">
        <v>21</v>
      </c>
      <c r="CE77">
        <v>4</v>
      </c>
      <c r="CF77">
        <v>1</v>
      </c>
      <c r="CG77">
        <v>0.25337491402363699</v>
      </c>
      <c r="CH77">
        <v>0.5</v>
      </c>
      <c r="CJ77" t="str">
        <f t="shared" si="19"/>
        <v>AllSexMaori22Other</v>
      </c>
      <c r="CK77" t="s">
        <v>17</v>
      </c>
      <c r="CL77" t="s">
        <v>18</v>
      </c>
      <c r="CM77" t="s">
        <v>45</v>
      </c>
      <c r="CN77">
        <v>22</v>
      </c>
      <c r="CO77">
        <v>4</v>
      </c>
      <c r="CP77">
        <v>225</v>
      </c>
      <c r="CQ77">
        <v>1.8</v>
      </c>
      <c r="CT77" t="str">
        <f t="shared" si="20"/>
        <v>2009MaleNon-Maori9</v>
      </c>
      <c r="CU77">
        <v>2009</v>
      </c>
      <c r="CV77" t="s">
        <v>20</v>
      </c>
      <c r="CW77" t="s">
        <v>19</v>
      </c>
      <c r="CX77">
        <v>9</v>
      </c>
      <c r="CY77">
        <v>3</v>
      </c>
    </row>
    <row r="78" spans="1:103">
      <c r="A78" t="str">
        <f t="shared" si="12"/>
        <v>2007FemaleAllEth19</v>
      </c>
      <c r="B78">
        <v>2007</v>
      </c>
      <c r="C78" t="s">
        <v>8</v>
      </c>
      <c r="D78" t="s">
        <v>27</v>
      </c>
      <c r="E78">
        <v>19</v>
      </c>
      <c r="F78">
        <v>120</v>
      </c>
      <c r="G78">
        <v>5.16144825407138</v>
      </c>
      <c r="H78">
        <v>0.9</v>
      </c>
      <c r="J78" s="340" t="str">
        <f t="shared" si="13"/>
        <v>2015AllSexAllEth195</v>
      </c>
      <c r="K78">
        <v>2015</v>
      </c>
      <c r="L78" t="s">
        <v>17</v>
      </c>
      <c r="M78" t="s">
        <v>27</v>
      </c>
      <c r="N78">
        <v>19</v>
      </c>
      <c r="O78">
        <v>5</v>
      </c>
      <c r="P78">
        <v>138</v>
      </c>
      <c r="Q78">
        <v>15.3504235304689</v>
      </c>
      <c r="R78">
        <v>2.6</v>
      </c>
      <c r="T78" s="340" t="str">
        <f t="shared" si="15"/>
        <v>1996AllSexNon-Maori23Sharp object</v>
      </c>
      <c r="U78">
        <v>1996</v>
      </c>
      <c r="V78" t="s">
        <v>17</v>
      </c>
      <c r="W78" t="s">
        <v>19</v>
      </c>
      <c r="X78">
        <v>23</v>
      </c>
      <c r="Y78" t="s">
        <v>48</v>
      </c>
      <c r="Z78">
        <v>1</v>
      </c>
      <c r="AA78">
        <v>177</v>
      </c>
      <c r="AB78">
        <v>0.6</v>
      </c>
      <c r="AD78" s="340" t="str">
        <f t="shared" si="16"/>
        <v>20072011AllSexAllEth22South Canterbury</v>
      </c>
      <c r="AE78" t="s">
        <v>17</v>
      </c>
      <c r="AF78" t="s">
        <v>27</v>
      </c>
      <c r="AG78">
        <v>22</v>
      </c>
      <c r="AH78">
        <v>19</v>
      </c>
      <c r="AI78" t="s">
        <v>72</v>
      </c>
      <c r="AJ78">
        <v>16</v>
      </c>
      <c r="AK78">
        <v>51.380860629415501</v>
      </c>
      <c r="AL78">
        <v>33.1</v>
      </c>
      <c r="AM78" t="s">
        <v>82</v>
      </c>
      <c r="AN78">
        <v>20072011</v>
      </c>
      <c r="AY78" t="str">
        <f t="shared" si="14"/>
        <v>2006AllSexRural23</v>
      </c>
      <c r="AZ78">
        <v>2006</v>
      </c>
      <c r="BA78" t="s">
        <v>17</v>
      </c>
      <c r="BB78" t="s">
        <v>96</v>
      </c>
      <c r="BC78">
        <v>23</v>
      </c>
      <c r="BD78">
        <v>30</v>
      </c>
      <c r="BE78">
        <v>19.5337934626905</v>
      </c>
      <c r="BF78">
        <v>7</v>
      </c>
      <c r="BH78" t="str">
        <f t="shared" si="17"/>
        <v>2016AllSexNon-Maori15</v>
      </c>
      <c r="BI78">
        <v>2016</v>
      </c>
      <c r="BJ78" t="s">
        <v>17</v>
      </c>
      <c r="BK78" t="s">
        <v>19</v>
      </c>
      <c r="BL78">
        <v>15</v>
      </c>
      <c r="BM78">
        <v>9</v>
      </c>
      <c r="BN78">
        <v>5.65255621153121</v>
      </c>
      <c r="BO78">
        <v>3.7</v>
      </c>
      <c r="BP78">
        <v>2642</v>
      </c>
      <c r="BQ78">
        <v>0.3</v>
      </c>
      <c r="CA78" t="str">
        <f t="shared" si="18"/>
        <v>AllSexOther215</v>
      </c>
      <c r="CB78" t="s">
        <v>17</v>
      </c>
      <c r="CC78" t="s">
        <v>45</v>
      </c>
      <c r="CD78">
        <v>21</v>
      </c>
      <c r="CE78">
        <v>5</v>
      </c>
      <c r="CF78">
        <v>2</v>
      </c>
      <c r="CG78">
        <v>0.814234582363633</v>
      </c>
      <c r="CH78">
        <v>1.1000000000000001</v>
      </c>
      <c r="CJ78" t="str">
        <f t="shared" si="19"/>
        <v>AllSexMaori23Other</v>
      </c>
      <c r="CK78" t="s">
        <v>17</v>
      </c>
      <c r="CL78" t="s">
        <v>18</v>
      </c>
      <c r="CM78" t="s">
        <v>45</v>
      </c>
      <c r="CN78">
        <v>23</v>
      </c>
      <c r="CO78">
        <v>7</v>
      </c>
      <c r="CP78">
        <v>247</v>
      </c>
      <c r="CQ78">
        <v>2.8</v>
      </c>
      <c r="CT78" t="str">
        <f t="shared" si="20"/>
        <v>2010AllSexAllEth9</v>
      </c>
      <c r="CU78">
        <v>2010</v>
      </c>
      <c r="CV78" t="s">
        <v>17</v>
      </c>
      <c r="CW78" t="s">
        <v>27</v>
      </c>
      <c r="CX78">
        <v>9</v>
      </c>
      <c r="CY78">
        <v>18</v>
      </c>
    </row>
    <row r="79" spans="1:103">
      <c r="A79" t="str">
        <f t="shared" si="12"/>
        <v>2008FemaleAllEth19</v>
      </c>
      <c r="B79">
        <v>2008</v>
      </c>
      <c r="C79" t="s">
        <v>8</v>
      </c>
      <c r="D79" t="s">
        <v>27</v>
      </c>
      <c r="E79">
        <v>19</v>
      </c>
      <c r="F79">
        <v>139</v>
      </c>
      <c r="G79">
        <v>6.26512973729122</v>
      </c>
      <c r="H79">
        <v>1</v>
      </c>
      <c r="J79" s="340" t="str">
        <f t="shared" si="13"/>
        <v>2016AllSexAllEth191</v>
      </c>
      <c r="K79">
        <v>2016</v>
      </c>
      <c r="L79" t="s">
        <v>17</v>
      </c>
      <c r="M79" t="s">
        <v>27</v>
      </c>
      <c r="N79">
        <v>19</v>
      </c>
      <c r="O79">
        <v>1</v>
      </c>
      <c r="P79">
        <v>72</v>
      </c>
      <c r="Q79">
        <v>6.9981720419792799</v>
      </c>
      <c r="R79">
        <v>1.6</v>
      </c>
      <c r="T79" s="340" t="str">
        <f t="shared" si="15"/>
        <v>1996AllSexNon-Maori24Sharp object</v>
      </c>
      <c r="U79">
        <v>1996</v>
      </c>
      <c r="V79" t="s">
        <v>17</v>
      </c>
      <c r="W79" t="s">
        <v>19</v>
      </c>
      <c r="X79">
        <v>24</v>
      </c>
      <c r="Y79" t="s">
        <v>48</v>
      </c>
      <c r="Z79">
        <v>3</v>
      </c>
      <c r="AA79">
        <v>94</v>
      </c>
      <c r="AB79">
        <v>3.2</v>
      </c>
      <c r="AD79" s="340" t="str">
        <f t="shared" si="16"/>
        <v>20072011AllSexAllEth22Southern</v>
      </c>
      <c r="AE79" t="s">
        <v>17</v>
      </c>
      <c r="AF79" t="s">
        <v>27</v>
      </c>
      <c r="AG79">
        <v>22</v>
      </c>
      <c r="AH79">
        <v>20</v>
      </c>
      <c r="AI79" t="s">
        <v>73</v>
      </c>
      <c r="AJ79">
        <v>51</v>
      </c>
      <c r="AK79">
        <v>21.741910730272402</v>
      </c>
      <c r="AL79">
        <v>7.8</v>
      </c>
      <c r="AM79" t="s">
        <v>82</v>
      </c>
      <c r="AN79">
        <v>20072011</v>
      </c>
      <c r="AY79" t="str">
        <f t="shared" si="14"/>
        <v>2006AllSexUrban23</v>
      </c>
      <c r="AZ79">
        <v>2006</v>
      </c>
      <c r="BA79" t="s">
        <v>17</v>
      </c>
      <c r="BB79" t="s">
        <v>97</v>
      </c>
      <c r="BC79">
        <v>23</v>
      </c>
      <c r="BD79">
        <v>175</v>
      </c>
      <c r="BE79">
        <v>17.029972752043602</v>
      </c>
      <c r="BF79">
        <v>2.5</v>
      </c>
      <c r="BH79" t="str">
        <f t="shared" si="17"/>
        <v>2016AllSexNon-Maori16</v>
      </c>
      <c r="BI79">
        <v>2016</v>
      </c>
      <c r="BJ79" t="s">
        <v>17</v>
      </c>
      <c r="BK79" t="s">
        <v>19</v>
      </c>
      <c r="BL79">
        <v>16</v>
      </c>
      <c r="BM79">
        <v>11</v>
      </c>
      <c r="BN79">
        <v>9.1218177294966392</v>
      </c>
      <c r="BO79">
        <v>5.4</v>
      </c>
      <c r="BP79">
        <v>3332</v>
      </c>
      <c r="BQ79">
        <v>0.3</v>
      </c>
      <c r="CA79" t="str">
        <f t="shared" si="18"/>
        <v>AllSexPacific211</v>
      </c>
      <c r="CB79" t="s">
        <v>17</v>
      </c>
      <c r="CC79" t="s">
        <v>79</v>
      </c>
      <c r="CD79">
        <v>21</v>
      </c>
      <c r="CE79">
        <v>1</v>
      </c>
      <c r="CF79">
        <v>0</v>
      </c>
      <c r="CG79">
        <v>0</v>
      </c>
      <c r="CJ79" t="str">
        <f t="shared" si="19"/>
        <v>AllSexMaori24Other</v>
      </c>
      <c r="CK79" t="s">
        <v>17</v>
      </c>
      <c r="CL79" t="s">
        <v>18</v>
      </c>
      <c r="CM79" t="s">
        <v>45</v>
      </c>
      <c r="CN79">
        <v>24</v>
      </c>
      <c r="CO79">
        <v>3</v>
      </c>
      <c r="CP79">
        <v>73</v>
      </c>
      <c r="CQ79">
        <v>4.0999999999999996</v>
      </c>
      <c r="CT79" t="str">
        <f t="shared" si="20"/>
        <v>2010AllSexMaori9</v>
      </c>
      <c r="CU79">
        <v>2010</v>
      </c>
      <c r="CV79" t="s">
        <v>17</v>
      </c>
      <c r="CW79" t="s">
        <v>18</v>
      </c>
      <c r="CX79">
        <v>9</v>
      </c>
      <c r="CY79">
        <v>2</v>
      </c>
    </row>
    <row r="80" spans="1:103">
      <c r="A80" t="str">
        <f t="shared" si="12"/>
        <v>2009FemaleAllEth19</v>
      </c>
      <c r="B80">
        <v>2009</v>
      </c>
      <c r="C80" t="s">
        <v>8</v>
      </c>
      <c r="D80" t="s">
        <v>27</v>
      </c>
      <c r="E80">
        <v>19</v>
      </c>
      <c r="F80">
        <v>118</v>
      </c>
      <c r="G80">
        <v>5.08858477285475</v>
      </c>
      <c r="H80">
        <v>0.9</v>
      </c>
      <c r="J80" s="340" t="str">
        <f t="shared" si="13"/>
        <v>2016AllSexAllEth192</v>
      </c>
      <c r="K80">
        <v>2016</v>
      </c>
      <c r="L80" t="s">
        <v>17</v>
      </c>
      <c r="M80" t="s">
        <v>27</v>
      </c>
      <c r="N80">
        <v>19</v>
      </c>
      <c r="O80">
        <v>2</v>
      </c>
      <c r="P80">
        <v>71</v>
      </c>
      <c r="Q80">
        <v>6.81785683314083</v>
      </c>
      <c r="R80">
        <v>1.6</v>
      </c>
      <c r="T80" s="340" t="str">
        <f t="shared" si="15"/>
        <v>1996AllSexNon-Maori23Submersion (drowning)</v>
      </c>
      <c r="U80">
        <v>1996</v>
      </c>
      <c r="V80" t="s">
        <v>17</v>
      </c>
      <c r="W80" t="s">
        <v>19</v>
      </c>
      <c r="X80">
        <v>23</v>
      </c>
      <c r="Y80" t="s">
        <v>49</v>
      </c>
      <c r="Z80">
        <v>1</v>
      </c>
      <c r="AA80">
        <v>177</v>
      </c>
      <c r="AB80">
        <v>0.6</v>
      </c>
      <c r="AD80" s="340" t="str">
        <f t="shared" si="16"/>
        <v>20072011AllSexAllEth22Tairawhiti</v>
      </c>
      <c r="AE80" t="s">
        <v>17</v>
      </c>
      <c r="AF80" t="s">
        <v>27</v>
      </c>
      <c r="AG80">
        <v>22</v>
      </c>
      <c r="AH80">
        <v>8</v>
      </c>
      <c r="AI80" t="s">
        <v>61</v>
      </c>
      <c r="AJ80">
        <v>15</v>
      </c>
      <c r="AK80">
        <v>47.199496538703599</v>
      </c>
      <c r="AL80">
        <v>31.4</v>
      </c>
      <c r="AM80" t="s">
        <v>82</v>
      </c>
      <c r="AN80">
        <v>20072011</v>
      </c>
      <c r="AY80" t="str">
        <f t="shared" si="14"/>
        <v>2006AllSexRural24</v>
      </c>
      <c r="AZ80">
        <v>2006</v>
      </c>
      <c r="BA80" t="s">
        <v>17</v>
      </c>
      <c r="BB80" t="s">
        <v>96</v>
      </c>
      <c r="BC80">
        <v>24</v>
      </c>
      <c r="BD80">
        <v>25</v>
      </c>
      <c r="BE80">
        <v>14.8271158294289</v>
      </c>
      <c r="BF80">
        <v>5.8</v>
      </c>
      <c r="BH80" t="str">
        <f t="shared" si="17"/>
        <v>2016AllSexNon-Maori17</v>
      </c>
      <c r="BI80">
        <v>2016</v>
      </c>
      <c r="BJ80" t="s">
        <v>17</v>
      </c>
      <c r="BK80" t="s">
        <v>19</v>
      </c>
      <c r="BL80">
        <v>17</v>
      </c>
      <c r="BM80">
        <v>9</v>
      </c>
      <c r="BN80">
        <v>11.2177489717063</v>
      </c>
      <c r="BO80">
        <v>7.3</v>
      </c>
      <c r="BP80">
        <v>4515</v>
      </c>
      <c r="BQ80">
        <v>0.2</v>
      </c>
      <c r="CA80" t="str">
        <f t="shared" si="18"/>
        <v>AllSexPacific212</v>
      </c>
      <c r="CB80" t="s">
        <v>17</v>
      </c>
      <c r="CC80" t="s">
        <v>79</v>
      </c>
      <c r="CD80">
        <v>21</v>
      </c>
      <c r="CE80">
        <v>2</v>
      </c>
      <c r="CF80">
        <v>1</v>
      </c>
      <c r="CG80">
        <v>3.25042431424911</v>
      </c>
      <c r="CH80">
        <v>6.4</v>
      </c>
      <c r="CJ80" t="str">
        <f t="shared" si="19"/>
        <v>AllSexMaori22Poisoning by gases and vapours</v>
      </c>
      <c r="CK80" t="s">
        <v>17</v>
      </c>
      <c r="CL80" t="s">
        <v>18</v>
      </c>
      <c r="CM80" t="s">
        <v>46</v>
      </c>
      <c r="CN80">
        <v>22</v>
      </c>
      <c r="CO80">
        <v>4</v>
      </c>
      <c r="CP80">
        <v>225</v>
      </c>
      <c r="CQ80">
        <v>1.8</v>
      </c>
      <c r="CT80" t="str">
        <f t="shared" si="20"/>
        <v>2010AllSexNon-Maori9</v>
      </c>
      <c r="CU80">
        <v>2010</v>
      </c>
      <c r="CV80" t="s">
        <v>17</v>
      </c>
      <c r="CW80" t="s">
        <v>19</v>
      </c>
      <c r="CX80">
        <v>9</v>
      </c>
      <c r="CY80">
        <v>16</v>
      </c>
    </row>
    <row r="81" spans="1:103">
      <c r="A81" t="str">
        <f t="shared" si="12"/>
        <v>2010FemaleAllEth19</v>
      </c>
      <c r="B81">
        <v>2010</v>
      </c>
      <c r="C81" t="s">
        <v>8</v>
      </c>
      <c r="D81" t="s">
        <v>27</v>
      </c>
      <c r="E81">
        <v>19</v>
      </c>
      <c r="F81">
        <v>147</v>
      </c>
      <c r="G81">
        <v>6.5442717734968303</v>
      </c>
      <c r="H81">
        <v>1.1000000000000001</v>
      </c>
      <c r="J81" s="340" t="str">
        <f t="shared" si="13"/>
        <v>2016AllSexAllEth193</v>
      </c>
      <c r="K81">
        <v>2016</v>
      </c>
      <c r="L81" t="s">
        <v>17</v>
      </c>
      <c r="M81" t="s">
        <v>27</v>
      </c>
      <c r="N81">
        <v>19</v>
      </c>
      <c r="O81">
        <v>3</v>
      </c>
      <c r="P81">
        <v>107</v>
      </c>
      <c r="Q81">
        <v>10.4222070455105</v>
      </c>
      <c r="R81">
        <v>2</v>
      </c>
      <c r="T81" s="340" t="str">
        <f t="shared" si="15"/>
        <v>1996AllSexNon-Maori24Submersion (drowning)</v>
      </c>
      <c r="U81">
        <v>1996</v>
      </c>
      <c r="V81" t="s">
        <v>17</v>
      </c>
      <c r="W81" t="s">
        <v>19</v>
      </c>
      <c r="X81">
        <v>24</v>
      </c>
      <c r="Y81" t="s">
        <v>49</v>
      </c>
      <c r="Z81">
        <v>5</v>
      </c>
      <c r="AA81">
        <v>94</v>
      </c>
      <c r="AB81">
        <v>5.3</v>
      </c>
      <c r="AD81" s="340" t="str">
        <f t="shared" si="16"/>
        <v>20072011AllSexAllEth22Taranaki</v>
      </c>
      <c r="AE81" t="s">
        <v>17</v>
      </c>
      <c r="AF81" t="s">
        <v>27</v>
      </c>
      <c r="AG81">
        <v>22</v>
      </c>
      <c r="AH81">
        <v>10</v>
      </c>
      <c r="AI81" t="s">
        <v>63</v>
      </c>
      <c r="AJ81">
        <v>12</v>
      </c>
      <c r="AK81">
        <v>17.103762827822099</v>
      </c>
      <c r="AL81">
        <v>12.7</v>
      </c>
      <c r="AM81" t="s">
        <v>82</v>
      </c>
      <c r="AN81">
        <v>20072011</v>
      </c>
      <c r="AY81" t="str">
        <f t="shared" si="14"/>
        <v>2006AllSexUrban24</v>
      </c>
      <c r="AZ81">
        <v>2006</v>
      </c>
      <c r="BA81" t="s">
        <v>17</v>
      </c>
      <c r="BB81" t="s">
        <v>97</v>
      </c>
      <c r="BC81">
        <v>24</v>
      </c>
      <c r="BD81">
        <v>115</v>
      </c>
      <c r="BE81">
        <v>13.8659464412747</v>
      </c>
      <c r="BF81">
        <v>2.5</v>
      </c>
      <c r="BH81" t="str">
        <f t="shared" si="17"/>
        <v>2016AllSexNon-Maori18</v>
      </c>
      <c r="BI81">
        <v>2016</v>
      </c>
      <c r="BJ81" t="s">
        <v>17</v>
      </c>
      <c r="BK81" t="s">
        <v>19</v>
      </c>
      <c r="BL81">
        <v>18</v>
      </c>
      <c r="BM81">
        <v>11</v>
      </c>
      <c r="BN81">
        <v>13.666293949559</v>
      </c>
      <c r="BO81">
        <v>8.1</v>
      </c>
      <c r="BP81">
        <v>11232</v>
      </c>
      <c r="BQ81">
        <v>0.1</v>
      </c>
      <c r="CA81" t="str">
        <f t="shared" si="18"/>
        <v>AllSexPacific213</v>
      </c>
      <c r="CB81" t="s">
        <v>17</v>
      </c>
      <c r="CC81" t="s">
        <v>79</v>
      </c>
      <c r="CD81">
        <v>21</v>
      </c>
      <c r="CE81">
        <v>3</v>
      </c>
      <c r="CF81">
        <v>1</v>
      </c>
      <c r="CG81">
        <v>2.1562097602647001</v>
      </c>
      <c r="CH81">
        <v>4.2</v>
      </c>
      <c r="CJ81" t="str">
        <f t="shared" si="19"/>
        <v>AllSexMaori23Poisoning by gases and vapours</v>
      </c>
      <c r="CK81" t="s">
        <v>17</v>
      </c>
      <c r="CL81" t="s">
        <v>18</v>
      </c>
      <c r="CM81" t="s">
        <v>46</v>
      </c>
      <c r="CN81">
        <v>23</v>
      </c>
      <c r="CO81">
        <v>9</v>
      </c>
      <c r="CP81">
        <v>247</v>
      </c>
      <c r="CQ81">
        <v>3.6</v>
      </c>
      <c r="CT81" t="str">
        <f t="shared" si="20"/>
        <v>2010FemaleAllEth9</v>
      </c>
      <c r="CU81">
        <v>2010</v>
      </c>
      <c r="CV81" t="s">
        <v>8</v>
      </c>
      <c r="CW81" t="s">
        <v>27</v>
      </c>
      <c r="CX81">
        <v>9</v>
      </c>
      <c r="CY81">
        <v>2</v>
      </c>
    </row>
    <row r="82" spans="1:103">
      <c r="A82" t="str">
        <f t="shared" si="12"/>
        <v>2011FemaleAllEth19</v>
      </c>
      <c r="B82">
        <v>2011</v>
      </c>
      <c r="C82" t="s">
        <v>8</v>
      </c>
      <c r="D82" t="s">
        <v>27</v>
      </c>
      <c r="E82">
        <v>19</v>
      </c>
      <c r="F82">
        <v>118</v>
      </c>
      <c r="G82">
        <v>5.2036444183005299</v>
      </c>
      <c r="H82">
        <v>0.9</v>
      </c>
      <c r="J82" s="340" t="str">
        <f t="shared" si="13"/>
        <v>2016AllSexAllEth194</v>
      </c>
      <c r="K82">
        <v>2016</v>
      </c>
      <c r="L82" t="s">
        <v>17</v>
      </c>
      <c r="M82" t="s">
        <v>27</v>
      </c>
      <c r="N82">
        <v>19</v>
      </c>
      <c r="O82">
        <v>4</v>
      </c>
      <c r="P82">
        <v>155</v>
      </c>
      <c r="Q82">
        <v>16.4348489088026</v>
      </c>
      <c r="R82">
        <v>2.6</v>
      </c>
      <c r="T82" s="340" t="str">
        <f t="shared" si="15"/>
        <v>1996AllSexNon-Maori25Submersion (drowning)</v>
      </c>
      <c r="U82">
        <v>1996</v>
      </c>
      <c r="V82" t="s">
        <v>17</v>
      </c>
      <c r="W82" t="s">
        <v>19</v>
      </c>
      <c r="X82">
        <v>25</v>
      </c>
      <c r="Y82" t="s">
        <v>49</v>
      </c>
      <c r="Z82">
        <v>5</v>
      </c>
      <c r="AA82">
        <v>65</v>
      </c>
      <c r="AB82">
        <v>7.7</v>
      </c>
      <c r="AD82" s="340" t="str">
        <f t="shared" si="16"/>
        <v>20072011AllSexAllEth22Waikato</v>
      </c>
      <c r="AE82" t="s">
        <v>17</v>
      </c>
      <c r="AF82" t="s">
        <v>27</v>
      </c>
      <c r="AG82">
        <v>22</v>
      </c>
      <c r="AH82">
        <v>5</v>
      </c>
      <c r="AI82" t="s">
        <v>58</v>
      </c>
      <c r="AJ82">
        <v>47</v>
      </c>
      <c r="AK82">
        <v>17.744553932117601</v>
      </c>
      <c r="AL82">
        <v>6.7</v>
      </c>
      <c r="AM82" t="s">
        <v>82</v>
      </c>
      <c r="AN82">
        <v>20072011</v>
      </c>
      <c r="AY82" t="str">
        <f t="shared" si="14"/>
        <v>2006AllSexRural25</v>
      </c>
      <c r="AZ82">
        <v>2006</v>
      </c>
      <c r="BA82" t="s">
        <v>17</v>
      </c>
      <c r="BB82" t="s">
        <v>96</v>
      </c>
      <c r="BC82">
        <v>25</v>
      </c>
      <c r="BD82">
        <v>7</v>
      </c>
      <c r="BE82">
        <v>11.758777087182899</v>
      </c>
      <c r="BF82">
        <v>8.6999999999999993</v>
      </c>
      <c r="BH82" t="str">
        <f t="shared" si="17"/>
        <v>2016FemaleMaori3</v>
      </c>
      <c r="BI82">
        <v>2016</v>
      </c>
      <c r="BJ82" t="s">
        <v>8</v>
      </c>
      <c r="BK82" t="s">
        <v>18</v>
      </c>
      <c r="BL82">
        <v>3</v>
      </c>
      <c r="BM82">
        <v>2</v>
      </c>
      <c r="BN82">
        <v>5.7487783845932698</v>
      </c>
      <c r="BO82">
        <v>8</v>
      </c>
      <c r="BP82">
        <v>5</v>
      </c>
      <c r="BQ82">
        <v>40</v>
      </c>
      <c r="CA82" t="str">
        <f t="shared" si="18"/>
        <v>AllSexPacific214</v>
      </c>
      <c r="CB82" t="s">
        <v>17</v>
      </c>
      <c r="CC82" t="s">
        <v>79</v>
      </c>
      <c r="CD82">
        <v>21</v>
      </c>
      <c r="CE82">
        <v>4</v>
      </c>
      <c r="CF82">
        <v>0</v>
      </c>
      <c r="CG82">
        <v>0</v>
      </c>
      <c r="CJ82" t="str">
        <f t="shared" si="19"/>
        <v>AllSexMaori24Poisoning by gases and vapours</v>
      </c>
      <c r="CK82" t="s">
        <v>17</v>
      </c>
      <c r="CL82" t="s">
        <v>18</v>
      </c>
      <c r="CM82" t="s">
        <v>46</v>
      </c>
      <c r="CN82">
        <v>24</v>
      </c>
      <c r="CO82">
        <v>3</v>
      </c>
      <c r="CP82">
        <v>73</v>
      </c>
      <c r="CQ82">
        <v>4.0999999999999996</v>
      </c>
      <c r="CT82" t="str">
        <f t="shared" si="20"/>
        <v>2010FemaleNon-Maori9</v>
      </c>
      <c r="CU82">
        <v>2010</v>
      </c>
      <c r="CV82" t="s">
        <v>8</v>
      </c>
      <c r="CW82" t="s">
        <v>19</v>
      </c>
      <c r="CX82">
        <v>9</v>
      </c>
      <c r="CY82">
        <v>2</v>
      </c>
    </row>
    <row r="83" spans="1:103">
      <c r="A83" t="str">
        <f t="shared" si="12"/>
        <v>2012FemaleAllEth19</v>
      </c>
      <c r="B83">
        <v>2012</v>
      </c>
      <c r="C83" t="s">
        <v>8</v>
      </c>
      <c r="D83" t="s">
        <v>27</v>
      </c>
      <c r="E83">
        <v>19</v>
      </c>
      <c r="F83">
        <v>145</v>
      </c>
      <c r="G83">
        <v>6.37288192291782</v>
      </c>
      <c r="H83">
        <v>1</v>
      </c>
      <c r="J83" s="340" t="str">
        <f t="shared" si="13"/>
        <v>2016AllSexAllEth195</v>
      </c>
      <c r="K83">
        <v>2016</v>
      </c>
      <c r="L83" t="s">
        <v>17</v>
      </c>
      <c r="M83" t="s">
        <v>27</v>
      </c>
      <c r="N83">
        <v>19</v>
      </c>
      <c r="O83">
        <v>5</v>
      </c>
      <c r="P83">
        <v>147</v>
      </c>
      <c r="Q83">
        <v>16.0742810429599</v>
      </c>
      <c r="R83">
        <v>2.6</v>
      </c>
      <c r="T83" s="340" t="str">
        <f t="shared" si="15"/>
        <v>1996FemaleAllEth23Firearms and explosives</v>
      </c>
      <c r="U83">
        <v>1996</v>
      </c>
      <c r="V83" t="s">
        <v>8</v>
      </c>
      <c r="W83" t="s">
        <v>27</v>
      </c>
      <c r="X83">
        <v>23</v>
      </c>
      <c r="Y83" t="s">
        <v>42</v>
      </c>
      <c r="Z83">
        <v>1</v>
      </c>
      <c r="AA83">
        <v>34</v>
      </c>
      <c r="AB83">
        <v>2.9</v>
      </c>
      <c r="AD83" s="340" t="str">
        <f t="shared" si="16"/>
        <v>20072011AllSexAllEth22Wairarapa</v>
      </c>
      <c r="AE83" t="s">
        <v>17</v>
      </c>
      <c r="AF83" t="s">
        <v>27</v>
      </c>
      <c r="AG83">
        <v>22</v>
      </c>
      <c r="AH83">
        <v>15</v>
      </c>
      <c r="AI83" t="s">
        <v>68</v>
      </c>
      <c r="AJ83">
        <v>8</v>
      </c>
      <c r="AK83">
        <v>35.164835164835203</v>
      </c>
      <c r="AL83">
        <v>32</v>
      </c>
      <c r="AM83" t="s">
        <v>82</v>
      </c>
      <c r="AN83">
        <v>20072011</v>
      </c>
      <c r="AY83" t="str">
        <f t="shared" si="14"/>
        <v>2006AllSexUrban25</v>
      </c>
      <c r="AZ83">
        <v>2006</v>
      </c>
      <c r="BA83" t="s">
        <v>17</v>
      </c>
      <c r="BB83" t="s">
        <v>97</v>
      </c>
      <c r="BC83">
        <v>25</v>
      </c>
      <c r="BD83">
        <v>44</v>
      </c>
      <c r="BE83">
        <v>9.7360210652092096</v>
      </c>
      <c r="BF83">
        <v>2.9</v>
      </c>
      <c r="BH83" t="str">
        <f t="shared" si="17"/>
        <v>2016FemaleMaori4</v>
      </c>
      <c r="BI83">
        <v>2016</v>
      </c>
      <c r="BJ83" t="s">
        <v>8</v>
      </c>
      <c r="BK83" t="s">
        <v>18</v>
      </c>
      <c r="BL83">
        <v>4</v>
      </c>
      <c r="BM83">
        <v>6</v>
      </c>
      <c r="BN83">
        <v>17.401392111368899</v>
      </c>
      <c r="BO83">
        <v>13.9</v>
      </c>
      <c r="BP83">
        <v>22</v>
      </c>
      <c r="BQ83">
        <v>27.3</v>
      </c>
      <c r="CA83" t="str">
        <f t="shared" si="18"/>
        <v>AllSexPacific215</v>
      </c>
      <c r="CB83" t="s">
        <v>17</v>
      </c>
      <c r="CC83" t="s">
        <v>79</v>
      </c>
      <c r="CD83">
        <v>21</v>
      </c>
      <c r="CE83">
        <v>5</v>
      </c>
      <c r="CF83">
        <v>5</v>
      </c>
      <c r="CG83">
        <v>1.95276862034406</v>
      </c>
      <c r="CH83">
        <v>1.7</v>
      </c>
      <c r="CJ83" t="str">
        <f t="shared" si="19"/>
        <v>AllSexMaori22Poisoning by solids and liquids</v>
      </c>
      <c r="CK83" t="s">
        <v>17</v>
      </c>
      <c r="CL83" t="s">
        <v>18</v>
      </c>
      <c r="CM83" t="s">
        <v>47</v>
      </c>
      <c r="CN83">
        <v>22</v>
      </c>
      <c r="CO83">
        <v>3</v>
      </c>
      <c r="CP83">
        <v>225</v>
      </c>
      <c r="CQ83">
        <v>1.3</v>
      </c>
      <c r="CT83" t="str">
        <f t="shared" si="20"/>
        <v>2010MaleAllEth9</v>
      </c>
      <c r="CU83">
        <v>2010</v>
      </c>
      <c r="CV83" t="s">
        <v>20</v>
      </c>
      <c r="CW83" t="s">
        <v>27</v>
      </c>
      <c r="CX83">
        <v>9</v>
      </c>
      <c r="CY83">
        <v>16</v>
      </c>
    </row>
    <row r="84" spans="1:103">
      <c r="A84" t="str">
        <f t="shared" si="12"/>
        <v>2013FemaleAllEth19</v>
      </c>
      <c r="B84">
        <v>2013</v>
      </c>
      <c r="C84" t="s">
        <v>8</v>
      </c>
      <c r="D84" t="s">
        <v>27</v>
      </c>
      <c r="E84">
        <v>19</v>
      </c>
      <c r="F84">
        <v>148</v>
      </c>
      <c r="G84">
        <v>6.4674511523826501</v>
      </c>
      <c r="H84">
        <v>1</v>
      </c>
      <c r="J84" s="340" t="str">
        <f t="shared" si="13"/>
        <v>2001AllSexMaori191</v>
      </c>
      <c r="K84">
        <v>2001</v>
      </c>
      <c r="L84" t="s">
        <v>17</v>
      </c>
      <c r="M84" t="s">
        <v>18</v>
      </c>
      <c r="N84">
        <v>19</v>
      </c>
      <c r="O84">
        <v>1</v>
      </c>
      <c r="P84">
        <v>2</v>
      </c>
      <c r="Q84">
        <v>4.6999067589525501</v>
      </c>
      <c r="R84">
        <v>6.5</v>
      </c>
      <c r="T84" s="340" t="str">
        <f t="shared" si="15"/>
        <v>1996FemaleAllEth21Hanging, strangulation and suffocation</v>
      </c>
      <c r="U84">
        <v>1996</v>
      </c>
      <c r="V84" t="s">
        <v>8</v>
      </c>
      <c r="W84" t="s">
        <v>27</v>
      </c>
      <c r="X84">
        <v>21</v>
      </c>
      <c r="Y84" t="s">
        <v>43</v>
      </c>
      <c r="Z84">
        <v>3</v>
      </c>
      <c r="AA84">
        <v>4</v>
      </c>
      <c r="AB84">
        <v>75</v>
      </c>
      <c r="AD84" s="340" t="str">
        <f t="shared" si="16"/>
        <v>20072011AllSexAllEth22Waitemata</v>
      </c>
      <c r="AE84" t="s">
        <v>17</v>
      </c>
      <c r="AF84" t="s">
        <v>27</v>
      </c>
      <c r="AG84">
        <v>22</v>
      </c>
      <c r="AH84">
        <v>2</v>
      </c>
      <c r="AI84" t="s">
        <v>55</v>
      </c>
      <c r="AJ84">
        <v>49</v>
      </c>
      <c r="AK84">
        <v>13.3405935202831</v>
      </c>
      <c r="AL84">
        <v>4.9000000000000004</v>
      </c>
      <c r="AM84" t="s">
        <v>83</v>
      </c>
      <c r="AN84">
        <v>20072011</v>
      </c>
      <c r="AY84" t="str">
        <f t="shared" si="14"/>
        <v>2006FemaleRural22</v>
      </c>
      <c r="AZ84">
        <v>2006</v>
      </c>
      <c r="BA84" t="s">
        <v>8</v>
      </c>
      <c r="BB84" t="s">
        <v>96</v>
      </c>
      <c r="BC84">
        <v>22</v>
      </c>
      <c r="BD84">
        <v>3</v>
      </c>
      <c r="BE84">
        <v>10.211027910143001</v>
      </c>
      <c r="BF84">
        <v>11.6</v>
      </c>
      <c r="BH84" t="str">
        <f t="shared" si="17"/>
        <v>2016FemaleMaori5</v>
      </c>
      <c r="BI84">
        <v>2016</v>
      </c>
      <c r="BJ84" t="s">
        <v>8</v>
      </c>
      <c r="BK84" t="s">
        <v>18</v>
      </c>
      <c r="BL84">
        <v>5</v>
      </c>
      <c r="BM84">
        <v>5</v>
      </c>
      <c r="BN84">
        <v>15.95914458985</v>
      </c>
      <c r="BO84">
        <v>14</v>
      </c>
      <c r="BP84">
        <v>18</v>
      </c>
      <c r="BQ84">
        <v>27.8</v>
      </c>
      <c r="CA84" t="str">
        <f t="shared" si="18"/>
        <v>AllSexAsian221</v>
      </c>
      <c r="CB84" t="s">
        <v>17</v>
      </c>
      <c r="CC84" t="s">
        <v>78</v>
      </c>
      <c r="CD84">
        <v>22</v>
      </c>
      <c r="CE84">
        <v>1</v>
      </c>
      <c r="CF84">
        <v>6</v>
      </c>
      <c r="CG84">
        <v>8.1494192722968606</v>
      </c>
      <c r="CH84">
        <v>6.5</v>
      </c>
      <c r="CJ84" t="str">
        <f t="shared" si="19"/>
        <v>AllSexMaori23Poisoning by solids and liquids</v>
      </c>
      <c r="CK84" t="s">
        <v>17</v>
      </c>
      <c r="CL84" t="s">
        <v>18</v>
      </c>
      <c r="CM84" t="s">
        <v>47</v>
      </c>
      <c r="CN84">
        <v>23</v>
      </c>
      <c r="CO84">
        <v>13</v>
      </c>
      <c r="CP84">
        <v>247</v>
      </c>
      <c r="CQ84">
        <v>5.3</v>
      </c>
      <c r="CT84" t="str">
        <f t="shared" si="20"/>
        <v>2010MaleMaori9</v>
      </c>
      <c r="CU84">
        <v>2010</v>
      </c>
      <c r="CV84" t="s">
        <v>20</v>
      </c>
      <c r="CW84" t="s">
        <v>18</v>
      </c>
      <c r="CX84">
        <v>9</v>
      </c>
      <c r="CY84">
        <v>2</v>
      </c>
    </row>
    <row r="85" spans="1:103">
      <c r="A85" t="str">
        <f t="shared" si="12"/>
        <v>2014FemaleAllEth19</v>
      </c>
      <c r="B85">
        <v>2014</v>
      </c>
      <c r="C85" t="s">
        <v>8</v>
      </c>
      <c r="D85" t="s">
        <v>27</v>
      </c>
      <c r="E85">
        <v>19</v>
      </c>
      <c r="F85">
        <v>131</v>
      </c>
      <c r="G85">
        <v>5.4860225639845002</v>
      </c>
      <c r="H85">
        <v>0.9</v>
      </c>
      <c r="J85" s="340" t="str">
        <f t="shared" si="13"/>
        <v>2001AllSexMaori192</v>
      </c>
      <c r="K85">
        <v>2001</v>
      </c>
      <c r="L85" t="s">
        <v>17</v>
      </c>
      <c r="M85" t="s">
        <v>18</v>
      </c>
      <c r="N85">
        <v>19</v>
      </c>
      <c r="O85">
        <v>2</v>
      </c>
      <c r="P85">
        <v>7</v>
      </c>
      <c r="Q85">
        <v>12.0123317825753</v>
      </c>
      <c r="R85">
        <v>8.9</v>
      </c>
      <c r="T85" s="340" t="str">
        <f t="shared" si="15"/>
        <v>1996FemaleAllEth22Hanging, strangulation and suffocation</v>
      </c>
      <c r="U85">
        <v>1996</v>
      </c>
      <c r="V85" t="s">
        <v>8</v>
      </c>
      <c r="W85" t="s">
        <v>27</v>
      </c>
      <c r="X85">
        <v>22</v>
      </c>
      <c r="Y85" t="s">
        <v>43</v>
      </c>
      <c r="Z85">
        <v>17</v>
      </c>
      <c r="AA85">
        <v>38</v>
      </c>
      <c r="AB85">
        <v>44.7</v>
      </c>
      <c r="AD85" s="340" t="str">
        <f t="shared" si="16"/>
        <v>20072011AllSexAllEth22West Coast</v>
      </c>
      <c r="AE85" t="s">
        <v>17</v>
      </c>
      <c r="AF85" t="s">
        <v>27</v>
      </c>
      <c r="AG85">
        <v>22</v>
      </c>
      <c r="AH85">
        <v>17</v>
      </c>
      <c r="AI85" t="s">
        <v>70</v>
      </c>
      <c r="AJ85">
        <v>0</v>
      </c>
      <c r="AK85">
        <v>0</v>
      </c>
      <c r="AN85">
        <v>20072011</v>
      </c>
      <c r="AY85" t="str">
        <f t="shared" si="14"/>
        <v>2006FemaleUrban22</v>
      </c>
      <c r="AZ85">
        <v>2006</v>
      </c>
      <c r="BA85" t="s">
        <v>8</v>
      </c>
      <c r="BB85" t="s">
        <v>97</v>
      </c>
      <c r="BC85">
        <v>22</v>
      </c>
      <c r="BD85">
        <v>21</v>
      </c>
      <c r="BE85">
        <v>7.7757618395230903</v>
      </c>
      <c r="BF85">
        <v>3.3</v>
      </c>
      <c r="BH85" t="str">
        <f t="shared" si="17"/>
        <v>2016FemaleMaori6</v>
      </c>
      <c r="BI85">
        <v>2016</v>
      </c>
      <c r="BJ85" t="s">
        <v>8</v>
      </c>
      <c r="BK85" t="s">
        <v>18</v>
      </c>
      <c r="BL85">
        <v>6</v>
      </c>
      <c r="BM85">
        <v>8</v>
      </c>
      <c r="BN85">
        <v>29.229082937522801</v>
      </c>
      <c r="BO85">
        <v>20.3</v>
      </c>
      <c r="BP85">
        <v>14</v>
      </c>
      <c r="BQ85">
        <v>57.1</v>
      </c>
      <c r="CA85" t="str">
        <f t="shared" si="18"/>
        <v>AllSexAsian222</v>
      </c>
      <c r="CB85" t="s">
        <v>17</v>
      </c>
      <c r="CC85" t="s">
        <v>78</v>
      </c>
      <c r="CD85">
        <v>22</v>
      </c>
      <c r="CE85">
        <v>2</v>
      </c>
      <c r="CF85">
        <v>4</v>
      </c>
      <c r="CG85">
        <v>4.2547310403709799</v>
      </c>
      <c r="CH85">
        <v>4.2</v>
      </c>
      <c r="CJ85" t="str">
        <f t="shared" si="19"/>
        <v>AllSexMaori24Poisoning by solids and liquids</v>
      </c>
      <c r="CK85" t="s">
        <v>17</v>
      </c>
      <c r="CL85" t="s">
        <v>18</v>
      </c>
      <c r="CM85" t="s">
        <v>47</v>
      </c>
      <c r="CN85">
        <v>24</v>
      </c>
      <c r="CO85">
        <v>9</v>
      </c>
      <c r="CP85">
        <v>73</v>
      </c>
      <c r="CQ85">
        <v>12.3</v>
      </c>
      <c r="CT85" t="str">
        <f t="shared" si="20"/>
        <v>2010MaleNon-Maori9</v>
      </c>
      <c r="CU85">
        <v>2010</v>
      </c>
      <c r="CV85" t="s">
        <v>20</v>
      </c>
      <c r="CW85" t="s">
        <v>19</v>
      </c>
      <c r="CX85">
        <v>9</v>
      </c>
      <c r="CY85">
        <v>14</v>
      </c>
    </row>
    <row r="86" spans="1:103">
      <c r="A86" t="str">
        <f t="shared" si="12"/>
        <v>2015FemaleAllEth19</v>
      </c>
      <c r="B86">
        <v>2015</v>
      </c>
      <c r="C86" t="s">
        <v>8</v>
      </c>
      <c r="D86" t="s">
        <v>27</v>
      </c>
      <c r="E86">
        <v>19</v>
      </c>
      <c r="F86">
        <v>144</v>
      </c>
      <c r="G86">
        <v>6.0611481326862204</v>
      </c>
      <c r="H86">
        <v>1</v>
      </c>
      <c r="J86" s="340" t="str">
        <f t="shared" si="13"/>
        <v>2001AllSexMaori193</v>
      </c>
      <c r="K86">
        <v>2001</v>
      </c>
      <c r="L86" t="s">
        <v>17</v>
      </c>
      <c r="M86" t="s">
        <v>18</v>
      </c>
      <c r="N86">
        <v>19</v>
      </c>
      <c r="O86">
        <v>3</v>
      </c>
      <c r="P86">
        <v>12</v>
      </c>
      <c r="Q86">
        <v>12.1770978150498</v>
      </c>
      <c r="R86">
        <v>6.9</v>
      </c>
      <c r="T86" s="340" t="str">
        <f t="shared" si="15"/>
        <v>1996FemaleAllEth23Hanging, strangulation and suffocation</v>
      </c>
      <c r="U86">
        <v>1996</v>
      </c>
      <c r="V86" t="s">
        <v>8</v>
      </c>
      <c r="W86" t="s">
        <v>27</v>
      </c>
      <c r="X86">
        <v>23</v>
      </c>
      <c r="Y86" t="s">
        <v>43</v>
      </c>
      <c r="Z86">
        <v>11</v>
      </c>
      <c r="AA86">
        <v>34</v>
      </c>
      <c r="AB86">
        <v>32.4</v>
      </c>
      <c r="AD86" s="340" t="str">
        <f t="shared" si="16"/>
        <v>20072011AllSexAllEth22Whanganui</v>
      </c>
      <c r="AE86" t="s">
        <v>17</v>
      </c>
      <c r="AF86" t="s">
        <v>27</v>
      </c>
      <c r="AG86">
        <v>22</v>
      </c>
      <c r="AH86">
        <v>12</v>
      </c>
      <c r="AI86" t="s">
        <v>65</v>
      </c>
      <c r="AJ86">
        <v>12</v>
      </c>
      <c r="AK86">
        <v>29.4045577064445</v>
      </c>
      <c r="AL86">
        <v>21.9</v>
      </c>
      <c r="AM86" t="s">
        <v>82</v>
      </c>
      <c r="AN86">
        <v>20072011</v>
      </c>
      <c r="AY86" t="str">
        <f t="shared" si="14"/>
        <v>2006FemaleRural23</v>
      </c>
      <c r="AZ86">
        <v>2006</v>
      </c>
      <c r="BA86" t="s">
        <v>8</v>
      </c>
      <c r="BB86" t="s">
        <v>96</v>
      </c>
      <c r="BC86">
        <v>23</v>
      </c>
      <c r="BD86">
        <v>4</v>
      </c>
      <c r="BE86">
        <v>5.0961905975283504</v>
      </c>
      <c r="BF86">
        <v>5</v>
      </c>
      <c r="BH86" t="str">
        <f t="shared" si="17"/>
        <v>2016FemaleMaori7</v>
      </c>
      <c r="BI86">
        <v>2016</v>
      </c>
      <c r="BJ86" t="s">
        <v>8</v>
      </c>
      <c r="BK86" t="s">
        <v>18</v>
      </c>
      <c r="BL86">
        <v>7</v>
      </c>
      <c r="BM86">
        <v>4</v>
      </c>
      <c r="BN86">
        <v>18.042399639151999</v>
      </c>
      <c r="BO86">
        <v>17.7</v>
      </c>
      <c r="BP86">
        <v>24</v>
      </c>
      <c r="BQ86">
        <v>16.7</v>
      </c>
      <c r="CA86" t="str">
        <f t="shared" si="18"/>
        <v>AllSexAsian223</v>
      </c>
      <c r="CB86" t="s">
        <v>17</v>
      </c>
      <c r="CC86" t="s">
        <v>78</v>
      </c>
      <c r="CD86">
        <v>22</v>
      </c>
      <c r="CE86">
        <v>3</v>
      </c>
      <c r="CF86">
        <v>3</v>
      </c>
      <c r="CG86">
        <v>3.11172723926108</v>
      </c>
      <c r="CH86">
        <v>3.5</v>
      </c>
      <c r="CJ86" t="str">
        <f t="shared" si="19"/>
        <v>AllSexMaori23Sharp object</v>
      </c>
      <c r="CK86" t="s">
        <v>17</v>
      </c>
      <c r="CL86" t="s">
        <v>18</v>
      </c>
      <c r="CM86" t="s">
        <v>48</v>
      </c>
      <c r="CN86">
        <v>23</v>
      </c>
      <c r="CO86">
        <v>3</v>
      </c>
      <c r="CP86">
        <v>247</v>
      </c>
      <c r="CQ86">
        <v>1.2</v>
      </c>
      <c r="CT86" t="str">
        <f t="shared" si="20"/>
        <v>2011AllSexAllEth9</v>
      </c>
      <c r="CU86">
        <v>2011</v>
      </c>
      <c r="CV86" t="s">
        <v>17</v>
      </c>
      <c r="CW86" t="s">
        <v>27</v>
      </c>
      <c r="CX86">
        <v>9</v>
      </c>
      <c r="CY86">
        <v>14</v>
      </c>
    </row>
    <row r="87" spans="1:103">
      <c r="A87" t="str">
        <f t="shared" si="12"/>
        <v>2016FemaleAllEth19</v>
      </c>
      <c r="B87">
        <v>2016</v>
      </c>
      <c r="C87" t="s">
        <v>8</v>
      </c>
      <c r="D87" t="s">
        <v>27</v>
      </c>
      <c r="E87">
        <v>19</v>
      </c>
      <c r="F87">
        <v>142</v>
      </c>
      <c r="G87">
        <v>5.8550315461954598</v>
      </c>
      <c r="H87">
        <v>1</v>
      </c>
      <c r="J87" s="340" t="str">
        <f t="shared" si="13"/>
        <v>2001AllSexMaori194</v>
      </c>
      <c r="K87">
        <v>2001</v>
      </c>
      <c r="L87" t="s">
        <v>17</v>
      </c>
      <c r="M87" t="s">
        <v>18</v>
      </c>
      <c r="N87">
        <v>19</v>
      </c>
      <c r="O87">
        <v>4</v>
      </c>
      <c r="P87">
        <v>15</v>
      </c>
      <c r="Q87">
        <v>10.5345119497534</v>
      </c>
      <c r="R87">
        <v>5.3</v>
      </c>
      <c r="T87" s="340" t="str">
        <f t="shared" si="15"/>
        <v>1996FemaleAllEth24Hanging, strangulation and suffocation</v>
      </c>
      <c r="U87">
        <v>1996</v>
      </c>
      <c r="V87" t="s">
        <v>8</v>
      </c>
      <c r="W87" t="s">
        <v>27</v>
      </c>
      <c r="X87">
        <v>24</v>
      </c>
      <c r="Y87" t="s">
        <v>43</v>
      </c>
      <c r="Z87">
        <v>5</v>
      </c>
      <c r="AA87">
        <v>22</v>
      </c>
      <c r="AB87">
        <v>22.7</v>
      </c>
      <c r="AD87" s="340" t="str">
        <f t="shared" si="16"/>
        <v>20072011AllSexAllEth22Unknown</v>
      </c>
      <c r="AE87" t="s">
        <v>17</v>
      </c>
      <c r="AF87" t="s">
        <v>27</v>
      </c>
      <c r="AG87">
        <v>22</v>
      </c>
      <c r="AH87">
        <v>98</v>
      </c>
      <c r="AI87" t="s">
        <v>75</v>
      </c>
      <c r="AJ87">
        <v>1</v>
      </c>
      <c r="AK87">
        <v>0</v>
      </c>
      <c r="AL87">
        <v>0</v>
      </c>
      <c r="AM87" t="s">
        <v>83</v>
      </c>
      <c r="AN87">
        <v>20072011</v>
      </c>
      <c r="AY87" t="str">
        <f t="shared" si="14"/>
        <v>2006FemaleUrban23</v>
      </c>
      <c r="AZ87">
        <v>2006</v>
      </c>
      <c r="BA87" t="s">
        <v>8</v>
      </c>
      <c r="BB87" t="s">
        <v>97</v>
      </c>
      <c r="BC87">
        <v>23</v>
      </c>
      <c r="BD87">
        <v>55</v>
      </c>
      <c r="BE87">
        <v>10.28671891073</v>
      </c>
      <c r="BF87">
        <v>2.7</v>
      </c>
      <c r="BH87" t="str">
        <f t="shared" si="17"/>
        <v>2016FemaleMaori8</v>
      </c>
      <c r="BI87">
        <v>2016</v>
      </c>
      <c r="BJ87" t="s">
        <v>8</v>
      </c>
      <c r="BK87" t="s">
        <v>18</v>
      </c>
      <c r="BL87">
        <v>8</v>
      </c>
      <c r="BM87">
        <v>3</v>
      </c>
      <c r="BN87">
        <v>14.164305949008501</v>
      </c>
      <c r="BO87">
        <v>16</v>
      </c>
      <c r="BP87">
        <v>26</v>
      </c>
      <c r="BQ87">
        <v>11.5</v>
      </c>
      <c r="CA87" t="str">
        <f t="shared" si="18"/>
        <v>AllSexAsian224</v>
      </c>
      <c r="CB87" t="s">
        <v>17</v>
      </c>
      <c r="CC87" t="s">
        <v>78</v>
      </c>
      <c r="CD87">
        <v>22</v>
      </c>
      <c r="CE87">
        <v>4</v>
      </c>
      <c r="CF87">
        <v>8</v>
      </c>
      <c r="CG87">
        <v>7.2775957265192002</v>
      </c>
      <c r="CH87">
        <v>5</v>
      </c>
      <c r="CJ87" t="str">
        <f t="shared" si="19"/>
        <v>AllSexMaori24Sharp object</v>
      </c>
      <c r="CK87" t="s">
        <v>17</v>
      </c>
      <c r="CL87" t="s">
        <v>18</v>
      </c>
      <c r="CM87" t="s">
        <v>48</v>
      </c>
      <c r="CN87">
        <v>24</v>
      </c>
      <c r="CO87">
        <v>1</v>
      </c>
      <c r="CP87">
        <v>73</v>
      </c>
      <c r="CQ87">
        <v>1.4</v>
      </c>
      <c r="CT87" t="str">
        <f t="shared" si="20"/>
        <v>2011AllSexMaori9</v>
      </c>
      <c r="CU87">
        <v>2011</v>
      </c>
      <c r="CV87" t="s">
        <v>17</v>
      </c>
      <c r="CW87" t="s">
        <v>18</v>
      </c>
      <c r="CX87">
        <v>9</v>
      </c>
      <c r="CY87">
        <v>1</v>
      </c>
    </row>
    <row r="88" spans="1:103">
      <c r="A88" t="str">
        <f t="shared" si="12"/>
        <v>1996FemaleMaori19</v>
      </c>
      <c r="B88">
        <v>1996</v>
      </c>
      <c r="C88" t="s">
        <v>8</v>
      </c>
      <c r="D88" t="s">
        <v>18</v>
      </c>
      <c r="E88">
        <v>19</v>
      </c>
      <c r="F88">
        <v>24</v>
      </c>
      <c r="G88">
        <v>9.0066061781584406</v>
      </c>
      <c r="H88">
        <v>3.6</v>
      </c>
      <c r="J88" s="340" t="str">
        <f t="shared" si="13"/>
        <v>2001AllSexMaori195</v>
      </c>
      <c r="K88">
        <v>2001</v>
      </c>
      <c r="L88" t="s">
        <v>17</v>
      </c>
      <c r="M88" t="s">
        <v>18</v>
      </c>
      <c r="N88">
        <v>19</v>
      </c>
      <c r="O88">
        <v>5</v>
      </c>
      <c r="P88">
        <v>36</v>
      </c>
      <c r="Q88">
        <v>16.231713177000401</v>
      </c>
      <c r="R88">
        <v>5.3</v>
      </c>
      <c r="T88" s="340" t="str">
        <f t="shared" si="15"/>
        <v>1996FemaleAllEth25Hanging, strangulation and suffocation</v>
      </c>
      <c r="U88">
        <v>1996</v>
      </c>
      <c r="V88" t="s">
        <v>8</v>
      </c>
      <c r="W88" t="s">
        <v>27</v>
      </c>
      <c r="X88">
        <v>25</v>
      </c>
      <c r="Y88" t="s">
        <v>43</v>
      </c>
      <c r="Z88">
        <v>4</v>
      </c>
      <c r="AA88">
        <v>13</v>
      </c>
      <c r="AB88">
        <v>30.8</v>
      </c>
      <c r="AD88" s="340" t="str">
        <f t="shared" si="16"/>
        <v>20022006AllSexAllEth19Northland</v>
      </c>
      <c r="AE88" t="s">
        <v>17</v>
      </c>
      <c r="AF88" t="s">
        <v>27</v>
      </c>
      <c r="AG88">
        <v>19</v>
      </c>
      <c r="AH88">
        <v>1</v>
      </c>
      <c r="AI88" t="s">
        <v>54</v>
      </c>
      <c r="AJ88">
        <v>110</v>
      </c>
      <c r="AK88">
        <v>16.496005783447</v>
      </c>
      <c r="AL88">
        <v>4.0999999999999996</v>
      </c>
      <c r="AM88" t="s">
        <v>84</v>
      </c>
      <c r="AN88">
        <v>20022006</v>
      </c>
      <c r="AY88" t="str">
        <f t="shared" si="14"/>
        <v>2006FemaleRural24</v>
      </c>
      <c r="AZ88">
        <v>2006</v>
      </c>
      <c r="BA88" t="s">
        <v>8</v>
      </c>
      <c r="BB88" t="s">
        <v>96</v>
      </c>
      <c r="BC88">
        <v>24</v>
      </c>
      <c r="BD88">
        <v>4</v>
      </c>
      <c r="BE88">
        <v>4.9230769230769198</v>
      </c>
      <c r="BF88">
        <v>4.8</v>
      </c>
      <c r="BH88" t="str">
        <f t="shared" si="17"/>
        <v>2016FemaleMaori10</v>
      </c>
      <c r="BI88">
        <v>2016</v>
      </c>
      <c r="BJ88" t="s">
        <v>8</v>
      </c>
      <c r="BK88" t="s">
        <v>18</v>
      </c>
      <c r="BL88">
        <v>10</v>
      </c>
      <c r="BM88">
        <v>5</v>
      </c>
      <c r="BN88">
        <v>22.8728270814273</v>
      </c>
      <c r="BO88">
        <v>20</v>
      </c>
      <c r="BP88">
        <v>65</v>
      </c>
      <c r="BQ88">
        <v>7.7</v>
      </c>
      <c r="CA88" t="str">
        <f t="shared" si="18"/>
        <v>AllSexAsian225</v>
      </c>
      <c r="CB88" t="s">
        <v>17</v>
      </c>
      <c r="CC88" t="s">
        <v>78</v>
      </c>
      <c r="CD88">
        <v>22</v>
      </c>
      <c r="CE88">
        <v>5</v>
      </c>
      <c r="CF88">
        <v>8</v>
      </c>
      <c r="CG88">
        <v>7.6151092068747701</v>
      </c>
      <c r="CH88">
        <v>5.3</v>
      </c>
      <c r="CJ88" t="str">
        <f t="shared" si="19"/>
        <v>AllSexMaori22Submersion (drowning)</v>
      </c>
      <c r="CK88" t="s">
        <v>17</v>
      </c>
      <c r="CL88" t="s">
        <v>18</v>
      </c>
      <c r="CM88" t="s">
        <v>49</v>
      </c>
      <c r="CN88">
        <v>22</v>
      </c>
      <c r="CO88">
        <v>1</v>
      </c>
      <c r="CP88">
        <v>225</v>
      </c>
      <c r="CQ88">
        <v>0.4</v>
      </c>
      <c r="CT88" t="str">
        <f t="shared" si="20"/>
        <v>2011AllSexNon-Maori9</v>
      </c>
      <c r="CU88">
        <v>2011</v>
      </c>
      <c r="CV88" t="s">
        <v>17</v>
      </c>
      <c r="CW88" t="s">
        <v>19</v>
      </c>
      <c r="CX88">
        <v>9</v>
      </c>
      <c r="CY88">
        <v>13</v>
      </c>
    </row>
    <row r="89" spans="1:103">
      <c r="A89" t="str">
        <f t="shared" si="12"/>
        <v>1997FemaleMaori19</v>
      </c>
      <c r="B89">
        <v>1997</v>
      </c>
      <c r="C89" t="s">
        <v>8</v>
      </c>
      <c r="D89" t="s">
        <v>18</v>
      </c>
      <c r="E89">
        <v>19</v>
      </c>
      <c r="F89">
        <v>26</v>
      </c>
      <c r="G89">
        <v>9.7792096693832598</v>
      </c>
      <c r="H89">
        <v>3.8</v>
      </c>
      <c r="J89" s="340" t="str">
        <f t="shared" si="13"/>
        <v>2002AllSexMaori191</v>
      </c>
      <c r="K89">
        <v>2002</v>
      </c>
      <c r="L89" t="s">
        <v>17</v>
      </c>
      <c r="M89" t="s">
        <v>18</v>
      </c>
      <c r="N89">
        <v>19</v>
      </c>
      <c r="O89">
        <v>1</v>
      </c>
      <c r="P89">
        <v>5</v>
      </c>
      <c r="Q89">
        <v>9.7884771271020607</v>
      </c>
      <c r="R89">
        <v>8.6</v>
      </c>
      <c r="T89" s="340" t="str">
        <f t="shared" si="15"/>
        <v>1996FemaleAllEth22Jumping from a high place</v>
      </c>
      <c r="U89">
        <v>1996</v>
      </c>
      <c r="V89" t="s">
        <v>8</v>
      </c>
      <c r="W89" t="s">
        <v>27</v>
      </c>
      <c r="X89">
        <v>22</v>
      </c>
      <c r="Y89" t="s">
        <v>44</v>
      </c>
      <c r="Z89">
        <v>1</v>
      </c>
      <c r="AA89">
        <v>38</v>
      </c>
      <c r="AB89">
        <v>2.6</v>
      </c>
      <c r="AD89" s="340" t="str">
        <f t="shared" si="16"/>
        <v>20022006AllSexAllEth19Waitemata</v>
      </c>
      <c r="AE89" t="s">
        <v>17</v>
      </c>
      <c r="AF89" t="s">
        <v>27</v>
      </c>
      <c r="AG89">
        <v>19</v>
      </c>
      <c r="AH89">
        <v>2</v>
      </c>
      <c r="AI89" t="s">
        <v>55</v>
      </c>
      <c r="AJ89">
        <v>247</v>
      </c>
      <c r="AK89">
        <v>9.8492578574199197</v>
      </c>
      <c r="AL89">
        <v>1.6</v>
      </c>
      <c r="AM89" t="s">
        <v>83</v>
      </c>
      <c r="AN89">
        <v>20022006</v>
      </c>
      <c r="AY89" t="str">
        <f t="shared" si="14"/>
        <v>2006FemaleUrban24</v>
      </c>
      <c r="AZ89">
        <v>2006</v>
      </c>
      <c r="BA89" t="s">
        <v>8</v>
      </c>
      <c r="BB89" t="s">
        <v>97</v>
      </c>
      <c r="BC89">
        <v>24</v>
      </c>
      <c r="BD89">
        <v>27</v>
      </c>
      <c r="BE89">
        <v>6.3378793925025203</v>
      </c>
      <c r="BF89">
        <v>2.4</v>
      </c>
      <c r="BH89" t="str">
        <f t="shared" si="17"/>
        <v>2016FemaleMaori11</v>
      </c>
      <c r="BI89">
        <v>2016</v>
      </c>
      <c r="BJ89" t="s">
        <v>8</v>
      </c>
      <c r="BK89" t="s">
        <v>18</v>
      </c>
      <c r="BL89">
        <v>11</v>
      </c>
      <c r="BM89">
        <v>1</v>
      </c>
      <c r="BN89">
        <v>4.9188391539596701</v>
      </c>
      <c r="BO89">
        <v>9.6</v>
      </c>
      <c r="BP89">
        <v>95</v>
      </c>
      <c r="BQ89">
        <v>1.1000000000000001</v>
      </c>
      <c r="CA89" t="str">
        <f t="shared" si="18"/>
        <v>AllSexMaori221</v>
      </c>
      <c r="CB89" t="s">
        <v>17</v>
      </c>
      <c r="CC89" t="s">
        <v>18</v>
      </c>
      <c r="CD89">
        <v>22</v>
      </c>
      <c r="CE89">
        <v>1</v>
      </c>
      <c r="CF89">
        <v>8</v>
      </c>
      <c r="CG89">
        <v>14.426011855323599</v>
      </c>
      <c r="CH89">
        <v>10</v>
      </c>
      <c r="CJ89" t="str">
        <f t="shared" si="19"/>
        <v>AllSexMaori24Submersion (drowning)</v>
      </c>
      <c r="CK89" t="s">
        <v>17</v>
      </c>
      <c r="CL89" t="s">
        <v>18</v>
      </c>
      <c r="CM89" t="s">
        <v>49</v>
      </c>
      <c r="CN89">
        <v>24</v>
      </c>
      <c r="CO89">
        <v>2</v>
      </c>
      <c r="CP89">
        <v>73</v>
      </c>
      <c r="CQ89">
        <v>2.7</v>
      </c>
      <c r="CT89" t="str">
        <f t="shared" si="20"/>
        <v>2011FemaleAllEth9</v>
      </c>
      <c r="CU89">
        <v>2011</v>
      </c>
      <c r="CV89" t="s">
        <v>8</v>
      </c>
      <c r="CW89" t="s">
        <v>27</v>
      </c>
      <c r="CX89">
        <v>9</v>
      </c>
      <c r="CY89">
        <v>1</v>
      </c>
    </row>
    <row r="90" spans="1:103">
      <c r="A90" t="str">
        <f t="shared" si="12"/>
        <v>1998FemaleMaori19</v>
      </c>
      <c r="B90">
        <v>1998</v>
      </c>
      <c r="C90" t="s">
        <v>8</v>
      </c>
      <c r="D90" t="s">
        <v>18</v>
      </c>
      <c r="E90">
        <v>19</v>
      </c>
      <c r="F90">
        <v>25</v>
      </c>
      <c r="G90">
        <v>8.5337610468083493</v>
      </c>
      <c r="H90">
        <v>3.3</v>
      </c>
      <c r="J90" s="340" t="str">
        <f t="shared" si="13"/>
        <v>2002AllSexMaori192</v>
      </c>
      <c r="K90">
        <v>2002</v>
      </c>
      <c r="L90" t="s">
        <v>17</v>
      </c>
      <c r="M90" t="s">
        <v>18</v>
      </c>
      <c r="N90">
        <v>19</v>
      </c>
      <c r="O90">
        <v>2</v>
      </c>
      <c r="P90">
        <v>8</v>
      </c>
      <c r="Q90">
        <v>12.7744898539309</v>
      </c>
      <c r="R90">
        <v>8.9</v>
      </c>
      <c r="T90" s="340" t="str">
        <f t="shared" si="15"/>
        <v>1996FemaleAllEth22Other</v>
      </c>
      <c r="U90">
        <v>1996</v>
      </c>
      <c r="V90" t="s">
        <v>8</v>
      </c>
      <c r="W90" t="s">
        <v>27</v>
      </c>
      <c r="X90">
        <v>22</v>
      </c>
      <c r="Y90" t="s">
        <v>45</v>
      </c>
      <c r="Z90">
        <v>1</v>
      </c>
      <c r="AA90">
        <v>38</v>
      </c>
      <c r="AB90">
        <v>2.6</v>
      </c>
      <c r="AD90" s="340" t="str">
        <f t="shared" si="16"/>
        <v>20022006AllSexAllEth19Auckland</v>
      </c>
      <c r="AE90" t="s">
        <v>17</v>
      </c>
      <c r="AF90" t="s">
        <v>27</v>
      </c>
      <c r="AG90">
        <v>19</v>
      </c>
      <c r="AH90">
        <v>3</v>
      </c>
      <c r="AI90" t="s">
        <v>56</v>
      </c>
      <c r="AJ90">
        <v>212</v>
      </c>
      <c r="AK90">
        <v>9.1618225337574</v>
      </c>
      <c r="AL90">
        <v>1.6</v>
      </c>
      <c r="AM90" t="s">
        <v>83</v>
      </c>
      <c r="AN90">
        <v>20022006</v>
      </c>
      <c r="AY90" t="str">
        <f t="shared" si="14"/>
        <v>2006FemaleRural25</v>
      </c>
      <c r="AZ90">
        <v>2006</v>
      </c>
      <c r="BA90" t="s">
        <v>8</v>
      </c>
      <c r="BB90" t="s">
        <v>96</v>
      </c>
      <c r="BC90">
        <v>25</v>
      </c>
      <c r="BD90">
        <v>1</v>
      </c>
      <c r="BE90">
        <v>3.6036036036036001</v>
      </c>
      <c r="BF90">
        <v>7.1</v>
      </c>
      <c r="BH90" t="str">
        <f t="shared" si="17"/>
        <v>2016FemaleMaori12</v>
      </c>
      <c r="BI90">
        <v>2016</v>
      </c>
      <c r="BJ90" t="s">
        <v>8</v>
      </c>
      <c r="BK90" t="s">
        <v>18</v>
      </c>
      <c r="BL90">
        <v>12</v>
      </c>
      <c r="BM90">
        <v>2</v>
      </c>
      <c r="BN90">
        <v>11.3700966458215</v>
      </c>
      <c r="BO90">
        <v>15.8</v>
      </c>
      <c r="BP90">
        <v>142</v>
      </c>
      <c r="BQ90">
        <v>1.4</v>
      </c>
      <c r="CA90" t="str">
        <f t="shared" si="18"/>
        <v>AllSexMaori222</v>
      </c>
      <c r="CB90" t="s">
        <v>17</v>
      </c>
      <c r="CC90" t="s">
        <v>18</v>
      </c>
      <c r="CD90">
        <v>22</v>
      </c>
      <c r="CE90">
        <v>2</v>
      </c>
      <c r="CF90">
        <v>16</v>
      </c>
      <c r="CG90">
        <v>21.657381559021601</v>
      </c>
      <c r="CH90">
        <v>10.6</v>
      </c>
      <c r="CJ90" t="str">
        <f t="shared" si="19"/>
        <v>AllSexOther21Firearms and explosives</v>
      </c>
      <c r="CK90" t="s">
        <v>17</v>
      </c>
      <c r="CL90" t="s">
        <v>45</v>
      </c>
      <c r="CM90" t="s">
        <v>42</v>
      </c>
      <c r="CN90">
        <v>21</v>
      </c>
      <c r="CO90">
        <v>1</v>
      </c>
      <c r="CP90">
        <v>9</v>
      </c>
      <c r="CQ90">
        <v>11.1</v>
      </c>
      <c r="CT90" t="str">
        <f t="shared" si="20"/>
        <v>2011FemaleMaori9</v>
      </c>
      <c r="CU90">
        <v>2011</v>
      </c>
      <c r="CV90" t="s">
        <v>8</v>
      </c>
      <c r="CW90" t="s">
        <v>18</v>
      </c>
      <c r="CX90">
        <v>9</v>
      </c>
      <c r="CY90">
        <v>1</v>
      </c>
    </row>
    <row r="91" spans="1:103">
      <c r="A91" t="str">
        <f t="shared" si="12"/>
        <v>1999FemaleMaori19</v>
      </c>
      <c r="B91">
        <v>1999</v>
      </c>
      <c r="C91" t="s">
        <v>8</v>
      </c>
      <c r="D91" t="s">
        <v>18</v>
      </c>
      <c r="E91">
        <v>19</v>
      </c>
      <c r="F91">
        <v>20</v>
      </c>
      <c r="G91">
        <v>6.5325578987774104</v>
      </c>
      <c r="H91">
        <v>2.9</v>
      </c>
      <c r="J91" s="340" t="str">
        <f t="shared" si="13"/>
        <v>2002AllSexMaori193</v>
      </c>
      <c r="K91">
        <v>2002</v>
      </c>
      <c r="L91" t="s">
        <v>17</v>
      </c>
      <c r="M91" t="s">
        <v>18</v>
      </c>
      <c r="N91">
        <v>19</v>
      </c>
      <c r="O91">
        <v>3</v>
      </c>
      <c r="P91">
        <v>6</v>
      </c>
      <c r="Q91">
        <v>6.1704202861856903</v>
      </c>
      <c r="R91">
        <v>4.9000000000000004</v>
      </c>
      <c r="T91" s="340" t="str">
        <f t="shared" si="15"/>
        <v>1996FemaleAllEth23Other</v>
      </c>
      <c r="U91">
        <v>1996</v>
      </c>
      <c r="V91" t="s">
        <v>8</v>
      </c>
      <c r="W91" t="s">
        <v>27</v>
      </c>
      <c r="X91">
        <v>23</v>
      </c>
      <c r="Y91" t="s">
        <v>45</v>
      </c>
      <c r="Z91">
        <v>2</v>
      </c>
      <c r="AA91">
        <v>34</v>
      </c>
      <c r="AB91">
        <v>5.9</v>
      </c>
      <c r="AD91" s="340" t="str">
        <f t="shared" si="16"/>
        <v>20022006AllSexAllEth19Counties Manukau</v>
      </c>
      <c r="AE91" t="s">
        <v>17</v>
      </c>
      <c r="AF91" t="s">
        <v>27</v>
      </c>
      <c r="AG91">
        <v>19</v>
      </c>
      <c r="AH91">
        <v>4</v>
      </c>
      <c r="AI91" t="s">
        <v>57</v>
      </c>
      <c r="AJ91">
        <v>256</v>
      </c>
      <c r="AK91">
        <v>12.1437737587279</v>
      </c>
      <c r="AL91">
        <v>2</v>
      </c>
      <c r="AM91" t="s">
        <v>82</v>
      </c>
      <c r="AN91">
        <v>20022006</v>
      </c>
      <c r="AY91" t="str">
        <f t="shared" si="14"/>
        <v>2006FemaleUrban25</v>
      </c>
      <c r="AZ91">
        <v>2006</v>
      </c>
      <c r="BA91" t="s">
        <v>8</v>
      </c>
      <c r="BB91" t="s">
        <v>97</v>
      </c>
      <c r="BC91">
        <v>25</v>
      </c>
      <c r="BD91">
        <v>17</v>
      </c>
      <c r="BE91">
        <v>6.6695437247440097</v>
      </c>
      <c r="BF91">
        <v>3.2</v>
      </c>
      <c r="BH91" t="str">
        <f t="shared" si="17"/>
        <v>2016FemaleMaori13</v>
      </c>
      <c r="BI91">
        <v>2016</v>
      </c>
      <c r="BJ91" t="s">
        <v>8</v>
      </c>
      <c r="BK91" t="s">
        <v>18</v>
      </c>
      <c r="BL91">
        <v>13</v>
      </c>
      <c r="BM91">
        <v>1</v>
      </c>
      <c r="BN91">
        <v>7.59301442672741</v>
      </c>
      <c r="BO91">
        <v>14.9</v>
      </c>
      <c r="BP91">
        <v>150</v>
      </c>
      <c r="BQ91">
        <v>0.7</v>
      </c>
      <c r="CA91" t="str">
        <f t="shared" si="18"/>
        <v>AllSexMaori223</v>
      </c>
      <c r="CB91" t="s">
        <v>17</v>
      </c>
      <c r="CC91" t="s">
        <v>18</v>
      </c>
      <c r="CD91">
        <v>22</v>
      </c>
      <c r="CE91">
        <v>3</v>
      </c>
      <c r="CF91">
        <v>29</v>
      </c>
      <c r="CG91">
        <v>27.009699667107299</v>
      </c>
      <c r="CH91">
        <v>9.8000000000000007</v>
      </c>
      <c r="CJ91" t="str">
        <f t="shared" si="19"/>
        <v>AllSexOther22Firearms and explosives</v>
      </c>
      <c r="CK91" t="s">
        <v>17</v>
      </c>
      <c r="CL91" t="s">
        <v>45</v>
      </c>
      <c r="CM91" t="s">
        <v>42</v>
      </c>
      <c r="CN91">
        <v>22</v>
      </c>
      <c r="CO91">
        <v>17</v>
      </c>
      <c r="CP91">
        <v>267</v>
      </c>
      <c r="CQ91">
        <v>6.4</v>
      </c>
      <c r="CT91" t="str">
        <f t="shared" si="20"/>
        <v>2011MaleAllEth9</v>
      </c>
      <c r="CU91">
        <v>2011</v>
      </c>
      <c r="CV91" t="s">
        <v>20</v>
      </c>
      <c r="CW91" t="s">
        <v>27</v>
      </c>
      <c r="CX91">
        <v>9</v>
      </c>
      <c r="CY91">
        <v>13</v>
      </c>
    </row>
    <row r="92" spans="1:103">
      <c r="A92" t="str">
        <f t="shared" si="12"/>
        <v>2000FemaleMaori19</v>
      </c>
      <c r="B92">
        <v>2000</v>
      </c>
      <c r="C92" t="s">
        <v>8</v>
      </c>
      <c r="D92" t="s">
        <v>18</v>
      </c>
      <c r="E92">
        <v>19</v>
      </c>
      <c r="F92">
        <v>11</v>
      </c>
      <c r="G92">
        <v>3.9576666859530998</v>
      </c>
      <c r="H92">
        <v>2.2999999999999998</v>
      </c>
      <c r="J92" s="340" t="str">
        <f t="shared" si="13"/>
        <v>2002AllSexMaori194</v>
      </c>
      <c r="K92">
        <v>2002</v>
      </c>
      <c r="L92" t="s">
        <v>17</v>
      </c>
      <c r="M92" t="s">
        <v>18</v>
      </c>
      <c r="N92">
        <v>19</v>
      </c>
      <c r="O92">
        <v>4</v>
      </c>
      <c r="P92">
        <v>20</v>
      </c>
      <c r="Q92">
        <v>15.8620261258244</v>
      </c>
      <c r="R92">
        <v>7</v>
      </c>
      <c r="T92" s="340" t="str">
        <f t="shared" si="15"/>
        <v>1996FemaleAllEth25Other</v>
      </c>
      <c r="U92">
        <v>1996</v>
      </c>
      <c r="V92" t="s">
        <v>8</v>
      </c>
      <c r="W92" t="s">
        <v>27</v>
      </c>
      <c r="X92">
        <v>25</v>
      </c>
      <c r="Y92" t="s">
        <v>45</v>
      </c>
      <c r="Z92">
        <v>1</v>
      </c>
      <c r="AA92">
        <v>13</v>
      </c>
      <c r="AB92">
        <v>7.7</v>
      </c>
      <c r="AD92" s="340" t="str">
        <f t="shared" si="16"/>
        <v>20022006AllSexAllEth19Waikato</v>
      </c>
      <c r="AE92" t="s">
        <v>17</v>
      </c>
      <c r="AF92" t="s">
        <v>27</v>
      </c>
      <c r="AG92">
        <v>19</v>
      </c>
      <c r="AH92">
        <v>5</v>
      </c>
      <c r="AI92" t="s">
        <v>58</v>
      </c>
      <c r="AJ92">
        <v>198</v>
      </c>
      <c r="AK92">
        <v>11.6394002420619</v>
      </c>
      <c r="AL92">
        <v>2.1</v>
      </c>
      <c r="AM92" t="s">
        <v>82</v>
      </c>
      <c r="AN92">
        <v>20022006</v>
      </c>
      <c r="AY92" t="str">
        <f t="shared" si="14"/>
        <v>2006MaleRural22</v>
      </c>
      <c r="AZ92">
        <v>2006</v>
      </c>
      <c r="BA92" t="s">
        <v>20</v>
      </c>
      <c r="BB92" t="s">
        <v>96</v>
      </c>
      <c r="BC92">
        <v>22</v>
      </c>
      <c r="BD92">
        <v>17</v>
      </c>
      <c r="BE92">
        <v>49.303944315545202</v>
      </c>
      <c r="BF92">
        <v>23.4</v>
      </c>
      <c r="BH92" t="str">
        <f t="shared" si="17"/>
        <v>2016FemaleNon-Maori3</v>
      </c>
      <c r="BI92">
        <v>2016</v>
      </c>
      <c r="BJ92" t="s">
        <v>8</v>
      </c>
      <c r="BK92" t="s">
        <v>19</v>
      </c>
      <c r="BL92">
        <v>3</v>
      </c>
      <c r="BM92">
        <v>1</v>
      </c>
      <c r="BN92">
        <v>0.91751536838241998</v>
      </c>
      <c r="BO92">
        <v>1.8</v>
      </c>
      <c r="BP92">
        <v>9</v>
      </c>
      <c r="BQ92">
        <v>11.1</v>
      </c>
      <c r="CA92" t="str">
        <f t="shared" si="18"/>
        <v>AllSexMaori224</v>
      </c>
      <c r="CB92" t="s">
        <v>17</v>
      </c>
      <c r="CC92" t="s">
        <v>18</v>
      </c>
      <c r="CD92">
        <v>22</v>
      </c>
      <c r="CE92">
        <v>4</v>
      </c>
      <c r="CF92">
        <v>67</v>
      </c>
      <c r="CG92">
        <v>43.206253543069401</v>
      </c>
      <c r="CH92">
        <v>10.3</v>
      </c>
      <c r="CJ92" t="str">
        <f t="shared" si="19"/>
        <v>AllSexOther23Firearms and explosives</v>
      </c>
      <c r="CK92" t="s">
        <v>17</v>
      </c>
      <c r="CL92" t="s">
        <v>45</v>
      </c>
      <c r="CM92" t="s">
        <v>42</v>
      </c>
      <c r="CN92">
        <v>23</v>
      </c>
      <c r="CO92">
        <v>41</v>
      </c>
      <c r="CP92">
        <v>583</v>
      </c>
      <c r="CQ92">
        <v>7</v>
      </c>
      <c r="CT92" t="str">
        <f t="shared" si="20"/>
        <v>2011MaleNon-Maori9</v>
      </c>
      <c r="CU92">
        <v>2011</v>
      </c>
      <c r="CV92" t="s">
        <v>20</v>
      </c>
      <c r="CW92" t="s">
        <v>19</v>
      </c>
      <c r="CX92">
        <v>9</v>
      </c>
      <c r="CY92">
        <v>13</v>
      </c>
    </row>
    <row r="93" spans="1:103">
      <c r="A93" t="str">
        <f t="shared" si="12"/>
        <v>2001FemaleMaori19</v>
      </c>
      <c r="B93">
        <v>2001</v>
      </c>
      <c r="C93" t="s">
        <v>8</v>
      </c>
      <c r="D93" t="s">
        <v>18</v>
      </c>
      <c r="E93">
        <v>19</v>
      </c>
      <c r="F93">
        <v>21</v>
      </c>
      <c r="G93">
        <v>6.6998382352426704</v>
      </c>
      <c r="H93">
        <v>2.9</v>
      </c>
      <c r="J93" s="340" t="str">
        <f t="shared" si="13"/>
        <v>2002AllSexMaori195</v>
      </c>
      <c r="K93">
        <v>2002</v>
      </c>
      <c r="L93" t="s">
        <v>17</v>
      </c>
      <c r="M93" t="s">
        <v>18</v>
      </c>
      <c r="N93">
        <v>19</v>
      </c>
      <c r="O93">
        <v>5</v>
      </c>
      <c r="P93">
        <v>32</v>
      </c>
      <c r="Q93">
        <v>13.3517217412717</v>
      </c>
      <c r="R93">
        <v>4.5999999999999996</v>
      </c>
      <c r="T93" s="340" t="str">
        <f t="shared" si="15"/>
        <v>1996FemaleAllEth22Poisoning by gases and vapours</v>
      </c>
      <c r="U93">
        <v>1996</v>
      </c>
      <c r="V93" t="s">
        <v>8</v>
      </c>
      <c r="W93" t="s">
        <v>27</v>
      </c>
      <c r="X93">
        <v>22</v>
      </c>
      <c r="Y93" t="s">
        <v>46</v>
      </c>
      <c r="Z93">
        <v>11</v>
      </c>
      <c r="AA93">
        <v>38</v>
      </c>
      <c r="AB93">
        <v>28.9</v>
      </c>
      <c r="AD93" s="340" t="str">
        <f t="shared" si="16"/>
        <v>20022006AllSexAllEth19Lakes</v>
      </c>
      <c r="AE93" t="s">
        <v>17</v>
      </c>
      <c r="AF93" t="s">
        <v>27</v>
      </c>
      <c r="AG93">
        <v>19</v>
      </c>
      <c r="AH93">
        <v>6</v>
      </c>
      <c r="AI93" t="s">
        <v>59</v>
      </c>
      <c r="AJ93">
        <v>67</v>
      </c>
      <c r="AK93">
        <v>13.8676347044899</v>
      </c>
      <c r="AL93">
        <v>4.4000000000000004</v>
      </c>
      <c r="AM93" t="s">
        <v>82</v>
      </c>
      <c r="AN93">
        <v>20022006</v>
      </c>
      <c r="AY93" t="str">
        <f t="shared" si="14"/>
        <v>2006MaleUrban22</v>
      </c>
      <c r="AZ93">
        <v>2006</v>
      </c>
      <c r="BA93" t="s">
        <v>20</v>
      </c>
      <c r="BB93" t="s">
        <v>97</v>
      </c>
      <c r="BC93">
        <v>22</v>
      </c>
      <c r="BD93">
        <v>75</v>
      </c>
      <c r="BE93">
        <v>27.703900709219901</v>
      </c>
      <c r="BF93">
        <v>6.3</v>
      </c>
      <c r="BH93" t="str">
        <f t="shared" si="17"/>
        <v>2016FemaleNon-Maori4</v>
      </c>
      <c r="BI93">
        <v>2016</v>
      </c>
      <c r="BJ93" t="s">
        <v>8</v>
      </c>
      <c r="BK93" t="s">
        <v>19</v>
      </c>
      <c r="BL93">
        <v>4</v>
      </c>
      <c r="BM93">
        <v>4</v>
      </c>
      <c r="BN93">
        <v>3.33000333000333</v>
      </c>
      <c r="BO93">
        <v>3.3</v>
      </c>
      <c r="BP93">
        <v>26</v>
      </c>
      <c r="BQ93">
        <v>15.4</v>
      </c>
      <c r="CA93" t="str">
        <f t="shared" si="18"/>
        <v>AllSexMaori225</v>
      </c>
      <c r="CB93" t="s">
        <v>17</v>
      </c>
      <c r="CC93" t="s">
        <v>18</v>
      </c>
      <c r="CD93">
        <v>22</v>
      </c>
      <c r="CE93">
        <v>5</v>
      </c>
      <c r="CF93">
        <v>103</v>
      </c>
      <c r="CG93">
        <v>38.624251125796</v>
      </c>
      <c r="CH93">
        <v>7.5</v>
      </c>
      <c r="CJ93" t="str">
        <f t="shared" si="19"/>
        <v>AllSexOther24Firearms and explosives</v>
      </c>
      <c r="CK93" t="s">
        <v>17</v>
      </c>
      <c r="CL93" t="s">
        <v>45</v>
      </c>
      <c r="CM93" t="s">
        <v>42</v>
      </c>
      <c r="CN93">
        <v>24</v>
      </c>
      <c r="CO93">
        <v>84</v>
      </c>
      <c r="CP93">
        <v>700</v>
      </c>
      <c r="CQ93">
        <v>12</v>
      </c>
      <c r="CT93" t="str">
        <f t="shared" si="20"/>
        <v>2012AllSexAllEth9</v>
      </c>
      <c r="CU93">
        <v>2012</v>
      </c>
      <c r="CV93" t="s">
        <v>17</v>
      </c>
      <c r="CW93" t="s">
        <v>27</v>
      </c>
      <c r="CX93">
        <v>9</v>
      </c>
      <c r="CY93">
        <v>21</v>
      </c>
    </row>
    <row r="94" spans="1:103">
      <c r="A94" t="str">
        <f t="shared" si="12"/>
        <v>2002FemaleMaori19</v>
      </c>
      <c r="B94">
        <v>2002</v>
      </c>
      <c r="C94" t="s">
        <v>8</v>
      </c>
      <c r="D94" t="s">
        <v>18</v>
      </c>
      <c r="E94">
        <v>19</v>
      </c>
      <c r="F94">
        <v>20</v>
      </c>
      <c r="G94">
        <v>6.4896231886298903</v>
      </c>
      <c r="H94">
        <v>2.8</v>
      </c>
      <c r="J94" s="340" t="str">
        <f t="shared" si="13"/>
        <v>2003AllSexMaori191</v>
      </c>
      <c r="K94">
        <v>2003</v>
      </c>
      <c r="L94" t="s">
        <v>17</v>
      </c>
      <c r="M94" t="s">
        <v>18</v>
      </c>
      <c r="N94">
        <v>19</v>
      </c>
      <c r="O94">
        <v>1</v>
      </c>
      <c r="P94">
        <v>4</v>
      </c>
      <c r="Q94">
        <v>10.949409453941101</v>
      </c>
      <c r="R94">
        <v>10.7</v>
      </c>
      <c r="T94" s="340" t="str">
        <f t="shared" si="15"/>
        <v>1996FemaleAllEth23Poisoning by gases and vapours</v>
      </c>
      <c r="U94">
        <v>1996</v>
      </c>
      <c r="V94" t="s">
        <v>8</v>
      </c>
      <c r="W94" t="s">
        <v>27</v>
      </c>
      <c r="X94">
        <v>23</v>
      </c>
      <c r="Y94" t="s">
        <v>46</v>
      </c>
      <c r="Z94">
        <v>11</v>
      </c>
      <c r="AA94">
        <v>34</v>
      </c>
      <c r="AB94">
        <v>32.4</v>
      </c>
      <c r="AD94" s="340" t="str">
        <f t="shared" si="16"/>
        <v>20022006AllSexAllEth19Bay of Plenty</v>
      </c>
      <c r="AE94" t="s">
        <v>17</v>
      </c>
      <c r="AF94" t="s">
        <v>27</v>
      </c>
      <c r="AG94">
        <v>19</v>
      </c>
      <c r="AH94">
        <v>7</v>
      </c>
      <c r="AI94" t="s">
        <v>60</v>
      </c>
      <c r="AJ94">
        <v>149</v>
      </c>
      <c r="AK94">
        <v>15.181305642395399</v>
      </c>
      <c r="AL94">
        <v>3.2</v>
      </c>
      <c r="AM94" t="s">
        <v>82</v>
      </c>
      <c r="AN94">
        <v>20022006</v>
      </c>
      <c r="AY94" t="str">
        <f t="shared" si="14"/>
        <v>2006MaleRural23</v>
      </c>
      <c r="AZ94">
        <v>2006</v>
      </c>
      <c r="BA94" t="s">
        <v>20</v>
      </c>
      <c r="BB94" t="s">
        <v>96</v>
      </c>
      <c r="BC94">
        <v>23</v>
      </c>
      <c r="BD94">
        <v>26</v>
      </c>
      <c r="BE94">
        <v>34.625116526834503</v>
      </c>
      <c r="BF94">
        <v>13.3</v>
      </c>
      <c r="BH94" t="str">
        <f t="shared" si="17"/>
        <v>2016FemaleNon-Maori5</v>
      </c>
      <c r="BI94">
        <v>2016</v>
      </c>
      <c r="BJ94" t="s">
        <v>8</v>
      </c>
      <c r="BK94" t="s">
        <v>19</v>
      </c>
      <c r="BL94">
        <v>5</v>
      </c>
      <c r="BM94">
        <v>11</v>
      </c>
      <c r="BN94">
        <v>8.0953782749484802</v>
      </c>
      <c r="BO94">
        <v>4.8</v>
      </c>
      <c r="BP94">
        <v>36</v>
      </c>
      <c r="BQ94">
        <v>30.6</v>
      </c>
      <c r="CA94" t="str">
        <f t="shared" si="18"/>
        <v>AllSexOther221</v>
      </c>
      <c r="CB94" t="s">
        <v>17</v>
      </c>
      <c r="CC94" t="s">
        <v>45</v>
      </c>
      <c r="CD94">
        <v>22</v>
      </c>
      <c r="CE94">
        <v>1</v>
      </c>
      <c r="CF94">
        <v>49</v>
      </c>
      <c r="CG94">
        <v>11.5536975694195</v>
      </c>
      <c r="CH94">
        <v>3.2</v>
      </c>
      <c r="CJ94" t="str">
        <f t="shared" si="19"/>
        <v>AllSexOther25Firearms and explosives</v>
      </c>
      <c r="CK94" t="s">
        <v>17</v>
      </c>
      <c r="CL94" t="s">
        <v>45</v>
      </c>
      <c r="CM94" t="s">
        <v>42</v>
      </c>
      <c r="CN94">
        <v>25</v>
      </c>
      <c r="CO94">
        <v>55</v>
      </c>
      <c r="CP94">
        <v>282</v>
      </c>
      <c r="CQ94">
        <v>19.5</v>
      </c>
      <c r="CT94" t="str">
        <f t="shared" si="20"/>
        <v>2012AllSexMaori9</v>
      </c>
      <c r="CU94">
        <v>2012</v>
      </c>
      <c r="CV94" t="s">
        <v>17</v>
      </c>
      <c r="CW94" t="s">
        <v>18</v>
      </c>
      <c r="CX94">
        <v>9</v>
      </c>
      <c r="CY94">
        <v>3</v>
      </c>
    </row>
    <row r="95" spans="1:103">
      <c r="A95" t="str">
        <f t="shared" si="12"/>
        <v>2003FemaleMaori19</v>
      </c>
      <c r="B95">
        <v>2003</v>
      </c>
      <c r="C95" t="s">
        <v>8</v>
      </c>
      <c r="D95" t="s">
        <v>18</v>
      </c>
      <c r="E95">
        <v>19</v>
      </c>
      <c r="F95">
        <v>20</v>
      </c>
      <c r="G95">
        <v>6.4102244752664204</v>
      </c>
      <c r="H95">
        <v>2.8</v>
      </c>
      <c r="J95" s="340" t="str">
        <f t="shared" si="13"/>
        <v>2003AllSexMaori192</v>
      </c>
      <c r="K95">
        <v>2003</v>
      </c>
      <c r="L95" t="s">
        <v>17</v>
      </c>
      <c r="M95" t="s">
        <v>18</v>
      </c>
      <c r="N95">
        <v>19</v>
      </c>
      <c r="O95">
        <v>2</v>
      </c>
      <c r="P95">
        <v>5</v>
      </c>
      <c r="Q95">
        <v>7.6087568273072401</v>
      </c>
      <c r="R95">
        <v>6.7</v>
      </c>
      <c r="T95" s="340" t="str">
        <f t="shared" si="15"/>
        <v>1996FemaleAllEth24Poisoning by gases and vapours</v>
      </c>
      <c r="U95">
        <v>1996</v>
      </c>
      <c r="V95" t="s">
        <v>8</v>
      </c>
      <c r="W95" t="s">
        <v>27</v>
      </c>
      <c r="X95">
        <v>24</v>
      </c>
      <c r="Y95" t="s">
        <v>46</v>
      </c>
      <c r="Z95">
        <v>7</v>
      </c>
      <c r="AA95">
        <v>22</v>
      </c>
      <c r="AB95">
        <v>31.8</v>
      </c>
      <c r="AD95" s="340" t="str">
        <f t="shared" si="16"/>
        <v>20022006AllSexAllEth19Tairawhiti</v>
      </c>
      <c r="AE95" t="s">
        <v>17</v>
      </c>
      <c r="AF95" t="s">
        <v>27</v>
      </c>
      <c r="AG95">
        <v>19</v>
      </c>
      <c r="AH95">
        <v>8</v>
      </c>
      <c r="AI95" t="s">
        <v>61</v>
      </c>
      <c r="AJ95">
        <v>39</v>
      </c>
      <c r="AK95">
        <v>17.3773084189278</v>
      </c>
      <c r="AL95">
        <v>7.2</v>
      </c>
      <c r="AM95" t="s">
        <v>82</v>
      </c>
      <c r="AN95">
        <v>20022006</v>
      </c>
      <c r="AY95" t="str">
        <f t="shared" si="14"/>
        <v>2006MaleUrban23</v>
      </c>
      <c r="AZ95">
        <v>2006</v>
      </c>
      <c r="BA95" t="s">
        <v>20</v>
      </c>
      <c r="BB95" t="s">
        <v>97</v>
      </c>
      <c r="BC95">
        <v>23</v>
      </c>
      <c r="BD95">
        <v>120</v>
      </c>
      <c r="BE95">
        <v>24.344721252941699</v>
      </c>
      <c r="BF95">
        <v>4.4000000000000004</v>
      </c>
      <c r="BH95" t="str">
        <f t="shared" si="17"/>
        <v>2016FemaleNon-Maori6</v>
      </c>
      <c r="BI95">
        <v>2016</v>
      </c>
      <c r="BJ95" t="s">
        <v>8</v>
      </c>
      <c r="BK95" t="s">
        <v>19</v>
      </c>
      <c r="BL95">
        <v>6</v>
      </c>
      <c r="BM95">
        <v>10</v>
      </c>
      <c r="BN95">
        <v>7.0681368391292096</v>
      </c>
      <c r="BO95">
        <v>4.4000000000000004</v>
      </c>
      <c r="BP95">
        <v>39</v>
      </c>
      <c r="BQ95">
        <v>25.6</v>
      </c>
      <c r="CA95" t="str">
        <f t="shared" si="18"/>
        <v>AllSexOther222</v>
      </c>
      <c r="CB95" t="s">
        <v>17</v>
      </c>
      <c r="CC95" t="s">
        <v>45</v>
      </c>
      <c r="CD95">
        <v>22</v>
      </c>
      <c r="CE95">
        <v>2</v>
      </c>
      <c r="CF95">
        <v>45</v>
      </c>
      <c r="CG95">
        <v>11.645226150717599</v>
      </c>
      <c r="CH95">
        <v>3.4</v>
      </c>
      <c r="CJ95" t="str">
        <f t="shared" si="19"/>
        <v>AllSexOther21Hanging, strangulation and suffocation</v>
      </c>
      <c r="CK95" t="s">
        <v>17</v>
      </c>
      <c r="CL95" t="s">
        <v>45</v>
      </c>
      <c r="CM95" t="s">
        <v>43</v>
      </c>
      <c r="CN95">
        <v>21</v>
      </c>
      <c r="CO95">
        <v>6</v>
      </c>
      <c r="CP95">
        <v>9</v>
      </c>
      <c r="CQ95">
        <v>66.7</v>
      </c>
      <c r="CT95" t="str">
        <f t="shared" si="20"/>
        <v>2012AllSexNon-Maori9</v>
      </c>
      <c r="CU95">
        <v>2012</v>
      </c>
      <c r="CV95" t="s">
        <v>17</v>
      </c>
      <c r="CW95" t="s">
        <v>19</v>
      </c>
      <c r="CX95">
        <v>9</v>
      </c>
      <c r="CY95">
        <v>18</v>
      </c>
    </row>
    <row r="96" spans="1:103">
      <c r="A96" t="str">
        <f t="shared" si="12"/>
        <v>2004FemaleMaori19</v>
      </c>
      <c r="B96">
        <v>2004</v>
      </c>
      <c r="C96" t="s">
        <v>8</v>
      </c>
      <c r="D96" t="s">
        <v>18</v>
      </c>
      <c r="E96">
        <v>19</v>
      </c>
      <c r="F96">
        <v>28</v>
      </c>
      <c r="G96">
        <v>8.6787187808636208</v>
      </c>
      <c r="H96">
        <v>3.2</v>
      </c>
      <c r="J96" s="340" t="str">
        <f t="shared" si="13"/>
        <v>2003AllSexMaori193</v>
      </c>
      <c r="K96">
        <v>2003</v>
      </c>
      <c r="L96" t="s">
        <v>17</v>
      </c>
      <c r="M96" t="s">
        <v>18</v>
      </c>
      <c r="N96">
        <v>19</v>
      </c>
      <c r="O96">
        <v>3</v>
      </c>
      <c r="P96">
        <v>15</v>
      </c>
      <c r="Q96">
        <v>14.936881372702301</v>
      </c>
      <c r="R96">
        <v>7.6</v>
      </c>
      <c r="T96" s="340" t="str">
        <f t="shared" si="15"/>
        <v>1996FemaleAllEth25Poisoning by gases and vapours</v>
      </c>
      <c r="U96">
        <v>1996</v>
      </c>
      <c r="V96" t="s">
        <v>8</v>
      </c>
      <c r="W96" t="s">
        <v>27</v>
      </c>
      <c r="X96">
        <v>25</v>
      </c>
      <c r="Y96" t="s">
        <v>46</v>
      </c>
      <c r="Z96">
        <v>2</v>
      </c>
      <c r="AA96">
        <v>13</v>
      </c>
      <c r="AB96">
        <v>15.4</v>
      </c>
      <c r="AD96" s="340" t="str">
        <f t="shared" si="16"/>
        <v>20022006AllSexAllEth19Hawke's Bay</v>
      </c>
      <c r="AE96" t="s">
        <v>17</v>
      </c>
      <c r="AF96" t="s">
        <v>27</v>
      </c>
      <c r="AG96">
        <v>19</v>
      </c>
      <c r="AH96">
        <v>9</v>
      </c>
      <c r="AI96" t="s">
        <v>62</v>
      </c>
      <c r="AJ96">
        <v>125</v>
      </c>
      <c r="AK96">
        <v>17.296981052109601</v>
      </c>
      <c r="AL96">
        <v>4</v>
      </c>
      <c r="AM96" t="s">
        <v>84</v>
      </c>
      <c r="AN96">
        <v>20022006</v>
      </c>
      <c r="AY96" t="str">
        <f t="shared" si="14"/>
        <v>2006MaleRural24</v>
      </c>
      <c r="AZ96">
        <v>2006</v>
      </c>
      <c r="BA96" t="s">
        <v>20</v>
      </c>
      <c r="BB96" t="s">
        <v>96</v>
      </c>
      <c r="BC96">
        <v>24</v>
      </c>
      <c r="BD96">
        <v>21</v>
      </c>
      <c r="BE96">
        <v>24.043966109457301</v>
      </c>
      <c r="BF96">
        <v>10.3</v>
      </c>
      <c r="BH96" t="str">
        <f t="shared" si="17"/>
        <v>2016FemaleNon-Maori7</v>
      </c>
      <c r="BI96">
        <v>2016</v>
      </c>
      <c r="BJ96" t="s">
        <v>8</v>
      </c>
      <c r="BK96" t="s">
        <v>19</v>
      </c>
      <c r="BL96">
        <v>7</v>
      </c>
      <c r="BM96">
        <v>7</v>
      </c>
      <c r="BN96">
        <v>5.2938062466913696</v>
      </c>
      <c r="BO96">
        <v>3.9</v>
      </c>
      <c r="BP96">
        <v>45</v>
      </c>
      <c r="BQ96">
        <v>15.6</v>
      </c>
      <c r="CA96" t="str">
        <f t="shared" si="18"/>
        <v>AllSexOther223</v>
      </c>
      <c r="CB96" t="s">
        <v>17</v>
      </c>
      <c r="CC96" t="s">
        <v>45</v>
      </c>
      <c r="CD96">
        <v>22</v>
      </c>
      <c r="CE96">
        <v>3</v>
      </c>
      <c r="CF96">
        <v>59</v>
      </c>
      <c r="CG96">
        <v>15.6610471717572</v>
      </c>
      <c r="CH96">
        <v>4</v>
      </c>
      <c r="CJ96" t="str">
        <f t="shared" si="19"/>
        <v>AllSexOther22Hanging, strangulation and suffocation</v>
      </c>
      <c r="CK96" t="s">
        <v>17</v>
      </c>
      <c r="CL96" t="s">
        <v>45</v>
      </c>
      <c r="CM96" t="s">
        <v>43</v>
      </c>
      <c r="CN96">
        <v>22</v>
      </c>
      <c r="CO96">
        <v>201</v>
      </c>
      <c r="CP96">
        <v>267</v>
      </c>
      <c r="CQ96">
        <v>75.3</v>
      </c>
      <c r="CT96" t="str">
        <f t="shared" si="20"/>
        <v>2012FemaleAllEth9</v>
      </c>
      <c r="CU96">
        <v>2012</v>
      </c>
      <c r="CV96" t="s">
        <v>8</v>
      </c>
      <c r="CW96" t="s">
        <v>27</v>
      </c>
      <c r="CX96">
        <v>9</v>
      </c>
      <c r="CY96">
        <v>8</v>
      </c>
    </row>
    <row r="97" spans="1:103">
      <c r="A97" t="str">
        <f t="shared" si="12"/>
        <v>2005FemaleMaori19</v>
      </c>
      <c r="B97">
        <v>2005</v>
      </c>
      <c r="C97" t="s">
        <v>8</v>
      </c>
      <c r="D97" t="s">
        <v>18</v>
      </c>
      <c r="E97">
        <v>19</v>
      </c>
      <c r="F97">
        <v>27</v>
      </c>
      <c r="G97">
        <v>8.7267571514896503</v>
      </c>
      <c r="H97">
        <v>3.3</v>
      </c>
      <c r="J97" s="340" t="str">
        <f t="shared" si="13"/>
        <v>2003AllSexMaori194</v>
      </c>
      <c r="K97">
        <v>2003</v>
      </c>
      <c r="L97" t="s">
        <v>17</v>
      </c>
      <c r="M97" t="s">
        <v>18</v>
      </c>
      <c r="N97">
        <v>19</v>
      </c>
      <c r="O97">
        <v>4</v>
      </c>
      <c r="P97">
        <v>19</v>
      </c>
      <c r="Q97">
        <v>13.1138969997</v>
      </c>
      <c r="R97">
        <v>5.9</v>
      </c>
      <c r="T97" s="340" t="str">
        <f t="shared" si="15"/>
        <v>1996FemaleAllEth21Poisoning by solids and liquids</v>
      </c>
      <c r="U97">
        <v>1996</v>
      </c>
      <c r="V97" t="s">
        <v>8</v>
      </c>
      <c r="W97" t="s">
        <v>27</v>
      </c>
      <c r="X97">
        <v>21</v>
      </c>
      <c r="Y97" t="s">
        <v>47</v>
      </c>
      <c r="Z97">
        <v>1</v>
      </c>
      <c r="AA97">
        <v>4</v>
      </c>
      <c r="AB97">
        <v>25</v>
      </c>
      <c r="AD97" s="340" t="str">
        <f t="shared" si="16"/>
        <v>20022006AllSexAllEth19Taranaki</v>
      </c>
      <c r="AE97" t="s">
        <v>17</v>
      </c>
      <c r="AF97" t="s">
        <v>27</v>
      </c>
      <c r="AG97">
        <v>19</v>
      </c>
      <c r="AH97">
        <v>10</v>
      </c>
      <c r="AI97" t="s">
        <v>63</v>
      </c>
      <c r="AJ97">
        <v>65</v>
      </c>
      <c r="AK97">
        <v>12.559317826408201</v>
      </c>
      <c r="AL97">
        <v>4</v>
      </c>
      <c r="AM97" t="s">
        <v>82</v>
      </c>
      <c r="AN97">
        <v>20022006</v>
      </c>
      <c r="AY97" t="str">
        <f t="shared" si="14"/>
        <v>2006MaleUrban24</v>
      </c>
      <c r="AZ97">
        <v>2006</v>
      </c>
      <c r="BA97" t="s">
        <v>20</v>
      </c>
      <c r="BB97" t="s">
        <v>97</v>
      </c>
      <c r="BC97">
        <v>24</v>
      </c>
      <c r="BD97">
        <v>88</v>
      </c>
      <c r="BE97">
        <v>21.816198527406598</v>
      </c>
      <c r="BF97">
        <v>4.5999999999999996</v>
      </c>
      <c r="BH97" t="str">
        <f t="shared" si="17"/>
        <v>2016FemaleNon-Maori8</v>
      </c>
      <c r="BI97">
        <v>2016</v>
      </c>
      <c r="BJ97" t="s">
        <v>8</v>
      </c>
      <c r="BK97" t="s">
        <v>19</v>
      </c>
      <c r="BL97">
        <v>8</v>
      </c>
      <c r="BM97">
        <v>7</v>
      </c>
      <c r="BN97">
        <v>5.6383407168747501</v>
      </c>
      <c r="BO97">
        <v>4.2</v>
      </c>
      <c r="BP97">
        <v>63</v>
      </c>
      <c r="BQ97">
        <v>11.1</v>
      </c>
      <c r="CA97" t="str">
        <f t="shared" si="18"/>
        <v>AllSexOther224</v>
      </c>
      <c r="CB97" t="s">
        <v>17</v>
      </c>
      <c r="CC97" t="s">
        <v>45</v>
      </c>
      <c r="CD97">
        <v>22</v>
      </c>
      <c r="CE97">
        <v>4</v>
      </c>
      <c r="CF97">
        <v>62</v>
      </c>
      <c r="CG97">
        <v>16.963527308351399</v>
      </c>
      <c r="CH97">
        <v>4.2</v>
      </c>
      <c r="CJ97" t="str">
        <f t="shared" si="19"/>
        <v>AllSexOther23Hanging, strangulation and suffocation</v>
      </c>
      <c r="CK97" t="s">
        <v>17</v>
      </c>
      <c r="CL97" t="s">
        <v>45</v>
      </c>
      <c r="CM97" t="s">
        <v>43</v>
      </c>
      <c r="CN97">
        <v>23</v>
      </c>
      <c r="CO97">
        <v>354</v>
      </c>
      <c r="CP97">
        <v>583</v>
      </c>
      <c r="CQ97">
        <v>60.7</v>
      </c>
      <c r="CT97" t="str">
        <f t="shared" si="20"/>
        <v>2012FemaleMaori9</v>
      </c>
      <c r="CU97">
        <v>2012</v>
      </c>
      <c r="CV97" t="s">
        <v>8</v>
      </c>
      <c r="CW97" t="s">
        <v>18</v>
      </c>
      <c r="CX97">
        <v>9</v>
      </c>
      <c r="CY97">
        <v>1</v>
      </c>
    </row>
    <row r="98" spans="1:103">
      <c r="A98" t="str">
        <f t="shared" si="12"/>
        <v>2006FemaleMaori19</v>
      </c>
      <c r="B98">
        <v>2006</v>
      </c>
      <c r="C98" t="s">
        <v>8</v>
      </c>
      <c r="D98" t="s">
        <v>18</v>
      </c>
      <c r="E98">
        <v>19</v>
      </c>
      <c r="F98">
        <v>33</v>
      </c>
      <c r="G98">
        <v>10.6723123955334</v>
      </c>
      <c r="H98">
        <v>3.6</v>
      </c>
      <c r="J98" s="340" t="str">
        <f t="shared" si="13"/>
        <v>2003AllSexMaori195</v>
      </c>
      <c r="K98">
        <v>2003</v>
      </c>
      <c r="L98" t="s">
        <v>17</v>
      </c>
      <c r="M98" t="s">
        <v>18</v>
      </c>
      <c r="N98">
        <v>19</v>
      </c>
      <c r="O98">
        <v>5</v>
      </c>
      <c r="P98">
        <v>41</v>
      </c>
      <c r="Q98">
        <v>16.4419222722365</v>
      </c>
      <c r="R98">
        <v>5</v>
      </c>
      <c r="T98" s="340" t="str">
        <f t="shared" si="15"/>
        <v>1996FemaleAllEth22Poisoning by solids and liquids</v>
      </c>
      <c r="U98">
        <v>1996</v>
      </c>
      <c r="V98" t="s">
        <v>8</v>
      </c>
      <c r="W98" t="s">
        <v>27</v>
      </c>
      <c r="X98">
        <v>22</v>
      </c>
      <c r="Y98" t="s">
        <v>47</v>
      </c>
      <c r="Z98">
        <v>8</v>
      </c>
      <c r="AA98">
        <v>38</v>
      </c>
      <c r="AB98">
        <v>21.1</v>
      </c>
      <c r="AD98" s="340" t="str">
        <f t="shared" si="16"/>
        <v>20022006AllSexAllEth19MidCentral</v>
      </c>
      <c r="AE98" t="s">
        <v>17</v>
      </c>
      <c r="AF98" t="s">
        <v>27</v>
      </c>
      <c r="AG98">
        <v>19</v>
      </c>
      <c r="AH98">
        <v>11</v>
      </c>
      <c r="AI98" t="s">
        <v>64</v>
      </c>
      <c r="AJ98">
        <v>129</v>
      </c>
      <c r="AK98">
        <v>15.559317510609</v>
      </c>
      <c r="AL98">
        <v>3.5</v>
      </c>
      <c r="AM98" t="s">
        <v>82</v>
      </c>
      <c r="AN98">
        <v>20022006</v>
      </c>
      <c r="AY98" t="str">
        <f t="shared" si="14"/>
        <v>2006MaleRural25</v>
      </c>
      <c r="AZ98">
        <v>2006</v>
      </c>
      <c r="BA98" t="s">
        <v>20</v>
      </c>
      <c r="BB98" t="s">
        <v>96</v>
      </c>
      <c r="BC98">
        <v>25</v>
      </c>
      <c r="BD98">
        <v>6</v>
      </c>
      <c r="BE98">
        <v>18.879798615481398</v>
      </c>
      <c r="BF98">
        <v>15.1</v>
      </c>
      <c r="BH98" t="str">
        <f t="shared" si="17"/>
        <v>2016FemaleNon-Maori9</v>
      </c>
      <c r="BI98">
        <v>2016</v>
      </c>
      <c r="BJ98" t="s">
        <v>8</v>
      </c>
      <c r="BK98" t="s">
        <v>19</v>
      </c>
      <c r="BL98">
        <v>9</v>
      </c>
      <c r="BM98">
        <v>18</v>
      </c>
      <c r="BN98">
        <v>13.312624805857601</v>
      </c>
      <c r="BO98">
        <v>6.2</v>
      </c>
      <c r="BP98">
        <v>119</v>
      </c>
      <c r="BQ98">
        <v>15.1</v>
      </c>
      <c r="CA98" t="str">
        <f t="shared" si="18"/>
        <v>AllSexOther225</v>
      </c>
      <c r="CB98" t="s">
        <v>17</v>
      </c>
      <c r="CC98" t="s">
        <v>45</v>
      </c>
      <c r="CD98">
        <v>22</v>
      </c>
      <c r="CE98">
        <v>5</v>
      </c>
      <c r="CF98">
        <v>46</v>
      </c>
      <c r="CG98">
        <v>18.217955300661199</v>
      </c>
      <c r="CH98">
        <v>5.3</v>
      </c>
      <c r="CJ98" t="str">
        <f t="shared" si="19"/>
        <v>AllSexOther24Hanging, strangulation and suffocation</v>
      </c>
      <c r="CK98" t="s">
        <v>17</v>
      </c>
      <c r="CL98" t="s">
        <v>45</v>
      </c>
      <c r="CM98" t="s">
        <v>43</v>
      </c>
      <c r="CN98">
        <v>24</v>
      </c>
      <c r="CO98">
        <v>302</v>
      </c>
      <c r="CP98">
        <v>700</v>
      </c>
      <c r="CQ98">
        <v>43.1</v>
      </c>
      <c r="CT98" t="str">
        <f t="shared" si="20"/>
        <v>2012FemaleNon-Maori9</v>
      </c>
      <c r="CU98">
        <v>2012</v>
      </c>
      <c r="CV98" t="s">
        <v>8</v>
      </c>
      <c r="CW98" t="s">
        <v>19</v>
      </c>
      <c r="CX98">
        <v>9</v>
      </c>
      <c r="CY98">
        <v>7</v>
      </c>
    </row>
    <row r="99" spans="1:103">
      <c r="A99" t="str">
        <f t="shared" si="12"/>
        <v>2007FemaleMaori19</v>
      </c>
      <c r="B99">
        <v>2007</v>
      </c>
      <c r="C99" t="s">
        <v>8</v>
      </c>
      <c r="D99" t="s">
        <v>18</v>
      </c>
      <c r="E99">
        <v>19</v>
      </c>
      <c r="F99">
        <v>23</v>
      </c>
      <c r="G99">
        <v>7.2545885050603403</v>
      </c>
      <c r="H99">
        <v>3</v>
      </c>
      <c r="J99" s="340" t="str">
        <f t="shared" si="13"/>
        <v>2004AllSexMaori191</v>
      </c>
      <c r="K99">
        <v>2004</v>
      </c>
      <c r="L99" t="s">
        <v>17</v>
      </c>
      <c r="M99" t="s">
        <v>18</v>
      </c>
      <c r="N99">
        <v>19</v>
      </c>
      <c r="O99">
        <v>1</v>
      </c>
      <c r="P99">
        <v>2</v>
      </c>
      <c r="Q99">
        <v>3.8213890787633198</v>
      </c>
      <c r="R99">
        <v>5.3</v>
      </c>
      <c r="T99" s="340" t="str">
        <f t="shared" si="15"/>
        <v>1996FemaleAllEth23Poisoning by solids and liquids</v>
      </c>
      <c r="U99">
        <v>1996</v>
      </c>
      <c r="V99" t="s">
        <v>8</v>
      </c>
      <c r="W99" t="s">
        <v>27</v>
      </c>
      <c r="X99">
        <v>23</v>
      </c>
      <c r="Y99" t="s">
        <v>47</v>
      </c>
      <c r="Z99">
        <v>9</v>
      </c>
      <c r="AA99">
        <v>34</v>
      </c>
      <c r="AB99">
        <v>26.5</v>
      </c>
      <c r="AD99" s="340" t="str">
        <f t="shared" si="16"/>
        <v>20022006AllSexAllEth19Whanganui</v>
      </c>
      <c r="AE99" t="s">
        <v>17</v>
      </c>
      <c r="AF99" t="s">
        <v>27</v>
      </c>
      <c r="AG99">
        <v>19</v>
      </c>
      <c r="AH99">
        <v>12</v>
      </c>
      <c r="AI99" t="s">
        <v>65</v>
      </c>
      <c r="AJ99">
        <v>50</v>
      </c>
      <c r="AK99">
        <v>15.8230642563993</v>
      </c>
      <c r="AL99">
        <v>5.8</v>
      </c>
      <c r="AM99" t="s">
        <v>82</v>
      </c>
      <c r="AN99">
        <v>20022006</v>
      </c>
      <c r="AY99" t="str">
        <f t="shared" si="14"/>
        <v>2006MaleUrban25</v>
      </c>
      <c r="AZ99">
        <v>2006</v>
      </c>
      <c r="BA99" t="s">
        <v>20</v>
      </c>
      <c r="BB99" t="s">
        <v>97</v>
      </c>
      <c r="BC99">
        <v>25</v>
      </c>
      <c r="BD99">
        <v>27</v>
      </c>
      <c r="BE99">
        <v>13.7028014616322</v>
      </c>
      <c r="BF99">
        <v>5.2</v>
      </c>
      <c r="BH99" t="str">
        <f t="shared" si="17"/>
        <v>2016FemaleNon-Maori10</v>
      </c>
      <c r="BI99">
        <v>2016</v>
      </c>
      <c r="BJ99" t="s">
        <v>8</v>
      </c>
      <c r="BK99" t="s">
        <v>19</v>
      </c>
      <c r="BL99">
        <v>10</v>
      </c>
      <c r="BM99">
        <v>12</v>
      </c>
      <c r="BN99">
        <v>8.3114004709793594</v>
      </c>
      <c r="BO99">
        <v>4.7</v>
      </c>
      <c r="BP99">
        <v>219</v>
      </c>
      <c r="BQ99">
        <v>5.5</v>
      </c>
      <c r="CA99" t="str">
        <f t="shared" si="18"/>
        <v>AllSexPacific221</v>
      </c>
      <c r="CB99" t="s">
        <v>17</v>
      </c>
      <c r="CC99" t="s">
        <v>79</v>
      </c>
      <c r="CD99">
        <v>22</v>
      </c>
      <c r="CE99">
        <v>1</v>
      </c>
      <c r="CF99">
        <v>1</v>
      </c>
      <c r="CG99">
        <v>7.6782890940015198</v>
      </c>
      <c r="CH99">
        <v>15</v>
      </c>
      <c r="CJ99" t="str">
        <f t="shared" si="19"/>
        <v>AllSexOther25Hanging, strangulation and suffocation</v>
      </c>
      <c r="CK99" t="s">
        <v>17</v>
      </c>
      <c r="CL99" t="s">
        <v>45</v>
      </c>
      <c r="CM99" t="s">
        <v>43</v>
      </c>
      <c r="CN99">
        <v>25</v>
      </c>
      <c r="CO99">
        <v>99</v>
      </c>
      <c r="CP99">
        <v>282</v>
      </c>
      <c r="CQ99">
        <v>35.1</v>
      </c>
      <c r="CT99" t="str">
        <f t="shared" si="20"/>
        <v>2012MaleAllEth9</v>
      </c>
      <c r="CU99">
        <v>2012</v>
      </c>
      <c r="CV99" t="s">
        <v>20</v>
      </c>
      <c r="CW99" t="s">
        <v>27</v>
      </c>
      <c r="CX99">
        <v>9</v>
      </c>
      <c r="CY99">
        <v>13</v>
      </c>
    </row>
    <row r="100" spans="1:103">
      <c r="A100" t="str">
        <f t="shared" si="12"/>
        <v>2008FemaleMaori19</v>
      </c>
      <c r="B100">
        <v>2008</v>
      </c>
      <c r="C100" t="s">
        <v>8</v>
      </c>
      <c r="D100" t="s">
        <v>18</v>
      </c>
      <c r="E100">
        <v>19</v>
      </c>
      <c r="F100">
        <v>31</v>
      </c>
      <c r="G100">
        <v>8.8796426541518301</v>
      </c>
      <c r="H100">
        <v>3.1</v>
      </c>
      <c r="J100" s="340" t="str">
        <f t="shared" si="13"/>
        <v>2004AllSexMaori192</v>
      </c>
      <c r="K100">
        <v>2004</v>
      </c>
      <c r="L100" t="s">
        <v>17</v>
      </c>
      <c r="M100" t="s">
        <v>18</v>
      </c>
      <c r="N100">
        <v>19</v>
      </c>
      <c r="O100">
        <v>2</v>
      </c>
      <c r="P100">
        <v>10</v>
      </c>
      <c r="Q100">
        <v>15.6240596280155</v>
      </c>
      <c r="R100">
        <v>9.6999999999999993</v>
      </c>
      <c r="T100" s="340" t="str">
        <f t="shared" si="15"/>
        <v>1996FemaleAllEth24Poisoning by solids and liquids</v>
      </c>
      <c r="U100">
        <v>1996</v>
      </c>
      <c r="V100" t="s">
        <v>8</v>
      </c>
      <c r="W100" t="s">
        <v>27</v>
      </c>
      <c r="X100">
        <v>24</v>
      </c>
      <c r="Y100" t="s">
        <v>47</v>
      </c>
      <c r="Z100">
        <v>6</v>
      </c>
      <c r="AA100">
        <v>22</v>
      </c>
      <c r="AB100">
        <v>27.3</v>
      </c>
      <c r="AD100" s="340" t="str">
        <f t="shared" si="16"/>
        <v>20022006AllSexAllEth19Capital &amp; Coast</v>
      </c>
      <c r="AE100" t="s">
        <v>17</v>
      </c>
      <c r="AF100" t="s">
        <v>27</v>
      </c>
      <c r="AG100">
        <v>19</v>
      </c>
      <c r="AH100">
        <v>13</v>
      </c>
      <c r="AI100" t="s">
        <v>66</v>
      </c>
      <c r="AJ100">
        <v>137</v>
      </c>
      <c r="AK100">
        <v>9.6115105572749897</v>
      </c>
      <c r="AL100">
        <v>2.1</v>
      </c>
      <c r="AM100" t="s">
        <v>83</v>
      </c>
      <c r="AN100">
        <v>20022006</v>
      </c>
      <c r="AY100" t="str">
        <f t="shared" si="14"/>
        <v>2007AllSexRural22</v>
      </c>
      <c r="AZ100">
        <v>2007</v>
      </c>
      <c r="BA100" t="s">
        <v>17</v>
      </c>
      <c r="BB100" t="s">
        <v>96</v>
      </c>
      <c r="BC100">
        <v>22</v>
      </c>
      <c r="BD100">
        <v>16</v>
      </c>
      <c r="BE100">
        <v>24.2792109256449</v>
      </c>
      <c r="BF100">
        <v>11.9</v>
      </c>
      <c r="BH100" t="str">
        <f t="shared" si="17"/>
        <v>2016FemaleNon-Maori11</v>
      </c>
      <c r="BI100">
        <v>2016</v>
      </c>
      <c r="BJ100" t="s">
        <v>8</v>
      </c>
      <c r="BK100" t="s">
        <v>19</v>
      </c>
      <c r="BL100">
        <v>11</v>
      </c>
      <c r="BM100">
        <v>10</v>
      </c>
      <c r="BN100">
        <v>6.9686411149825798</v>
      </c>
      <c r="BO100">
        <v>4.3</v>
      </c>
      <c r="BP100">
        <v>324</v>
      </c>
      <c r="BQ100">
        <v>3.1</v>
      </c>
      <c r="CA100" t="str">
        <f t="shared" si="18"/>
        <v>AllSexPacific222</v>
      </c>
      <c r="CB100" t="s">
        <v>17</v>
      </c>
      <c r="CC100" t="s">
        <v>79</v>
      </c>
      <c r="CD100">
        <v>22</v>
      </c>
      <c r="CE100">
        <v>2</v>
      </c>
      <c r="CF100">
        <v>0</v>
      </c>
      <c r="CG100">
        <v>0</v>
      </c>
      <c r="CJ100" t="str">
        <f t="shared" si="19"/>
        <v>AllSexOther22Jumping from a high place</v>
      </c>
      <c r="CK100" t="s">
        <v>17</v>
      </c>
      <c r="CL100" t="s">
        <v>45</v>
      </c>
      <c r="CM100" t="s">
        <v>44</v>
      </c>
      <c r="CN100">
        <v>22</v>
      </c>
      <c r="CO100">
        <v>9</v>
      </c>
      <c r="CP100">
        <v>267</v>
      </c>
      <c r="CQ100">
        <v>3.4</v>
      </c>
      <c r="CT100" t="str">
        <f t="shared" si="20"/>
        <v>2012MaleMaori9</v>
      </c>
      <c r="CU100">
        <v>2012</v>
      </c>
      <c r="CV100" t="s">
        <v>20</v>
      </c>
      <c r="CW100" t="s">
        <v>18</v>
      </c>
      <c r="CX100">
        <v>9</v>
      </c>
      <c r="CY100">
        <v>2</v>
      </c>
    </row>
    <row r="101" spans="1:103">
      <c r="A101" t="str">
        <f t="shared" si="12"/>
        <v>2009FemaleMaori19</v>
      </c>
      <c r="B101">
        <v>2009</v>
      </c>
      <c r="C101" t="s">
        <v>8</v>
      </c>
      <c r="D101" t="s">
        <v>18</v>
      </c>
      <c r="E101">
        <v>19</v>
      </c>
      <c r="F101">
        <v>25</v>
      </c>
      <c r="G101">
        <v>7.3206868063360204</v>
      </c>
      <c r="H101">
        <v>2.9</v>
      </c>
      <c r="J101" s="340" t="str">
        <f t="shared" si="13"/>
        <v>2004AllSexMaori193</v>
      </c>
      <c r="K101">
        <v>2004</v>
      </c>
      <c r="L101" t="s">
        <v>17</v>
      </c>
      <c r="M101" t="s">
        <v>18</v>
      </c>
      <c r="N101">
        <v>19</v>
      </c>
      <c r="O101">
        <v>3</v>
      </c>
      <c r="P101">
        <v>10</v>
      </c>
      <c r="Q101">
        <v>9.6242370656077494</v>
      </c>
      <c r="R101">
        <v>6</v>
      </c>
      <c r="T101" s="340" t="str">
        <f t="shared" si="15"/>
        <v>1996FemaleAllEth25Poisoning by solids and liquids</v>
      </c>
      <c r="U101">
        <v>1996</v>
      </c>
      <c r="V101" t="s">
        <v>8</v>
      </c>
      <c r="W101" t="s">
        <v>27</v>
      </c>
      <c r="X101">
        <v>25</v>
      </c>
      <c r="Y101" t="s">
        <v>47</v>
      </c>
      <c r="Z101">
        <v>5</v>
      </c>
      <c r="AA101">
        <v>13</v>
      </c>
      <c r="AB101">
        <v>38.5</v>
      </c>
      <c r="AD101" s="340" t="str">
        <f t="shared" si="16"/>
        <v>20022006AllSexAllEth19Hutt Valley</v>
      </c>
      <c r="AE101" t="s">
        <v>17</v>
      </c>
      <c r="AF101" t="s">
        <v>27</v>
      </c>
      <c r="AG101">
        <v>19</v>
      </c>
      <c r="AH101">
        <v>14</v>
      </c>
      <c r="AI101" t="s">
        <v>67</v>
      </c>
      <c r="AJ101">
        <v>65</v>
      </c>
      <c r="AK101">
        <v>9.4659497997044202</v>
      </c>
      <c r="AL101">
        <v>3</v>
      </c>
      <c r="AM101" t="s">
        <v>82</v>
      </c>
      <c r="AN101">
        <v>20022006</v>
      </c>
      <c r="AY101" t="str">
        <f t="shared" si="14"/>
        <v>2007AllSexUrban22</v>
      </c>
      <c r="AZ101">
        <v>2007</v>
      </c>
      <c r="BA101" t="s">
        <v>17</v>
      </c>
      <c r="BB101" t="s">
        <v>97</v>
      </c>
      <c r="BC101">
        <v>22</v>
      </c>
      <c r="BD101">
        <v>77</v>
      </c>
      <c r="BE101">
        <v>14.2724745134384</v>
      </c>
      <c r="BF101">
        <v>3.2</v>
      </c>
      <c r="BH101" t="str">
        <f t="shared" si="17"/>
        <v>2016FemaleNon-Maori12</v>
      </c>
      <c r="BI101">
        <v>2016</v>
      </c>
      <c r="BJ101" t="s">
        <v>8</v>
      </c>
      <c r="BK101" t="s">
        <v>19</v>
      </c>
      <c r="BL101">
        <v>12</v>
      </c>
      <c r="BM101">
        <v>10</v>
      </c>
      <c r="BN101">
        <v>7.4002812106860096</v>
      </c>
      <c r="BO101">
        <v>4.5999999999999996</v>
      </c>
      <c r="BP101">
        <v>391</v>
      </c>
      <c r="BQ101">
        <v>2.6</v>
      </c>
      <c r="CA101" t="str">
        <f t="shared" si="18"/>
        <v>AllSexPacific223</v>
      </c>
      <c r="CB101" t="s">
        <v>17</v>
      </c>
      <c r="CC101" t="s">
        <v>79</v>
      </c>
      <c r="CD101">
        <v>22</v>
      </c>
      <c r="CE101">
        <v>3</v>
      </c>
      <c r="CF101">
        <v>3</v>
      </c>
      <c r="CG101">
        <v>10.0186313867188</v>
      </c>
      <c r="CH101">
        <v>11.3</v>
      </c>
      <c r="CJ101" t="str">
        <f t="shared" si="19"/>
        <v>AllSexOther23Jumping from a high place</v>
      </c>
      <c r="CK101" t="s">
        <v>17</v>
      </c>
      <c r="CL101" t="s">
        <v>45</v>
      </c>
      <c r="CM101" t="s">
        <v>44</v>
      </c>
      <c r="CN101">
        <v>23</v>
      </c>
      <c r="CO101">
        <v>23</v>
      </c>
      <c r="CP101">
        <v>583</v>
      </c>
      <c r="CQ101">
        <v>3.9</v>
      </c>
      <c r="CT101" t="str">
        <f t="shared" si="20"/>
        <v>2012MaleNon-Maori9</v>
      </c>
      <c r="CU101">
        <v>2012</v>
      </c>
      <c r="CV101" t="s">
        <v>20</v>
      </c>
      <c r="CW101" t="s">
        <v>19</v>
      </c>
      <c r="CX101">
        <v>9</v>
      </c>
      <c r="CY101">
        <v>11</v>
      </c>
    </row>
    <row r="102" spans="1:103">
      <c r="A102" t="str">
        <f t="shared" si="12"/>
        <v>2010FemaleMaori19</v>
      </c>
      <c r="B102">
        <v>2010</v>
      </c>
      <c r="C102" t="s">
        <v>8</v>
      </c>
      <c r="D102" t="s">
        <v>18</v>
      </c>
      <c r="E102">
        <v>19</v>
      </c>
      <c r="F102">
        <v>30</v>
      </c>
      <c r="G102">
        <v>8.74468389486562</v>
      </c>
      <c r="H102">
        <v>3.1</v>
      </c>
      <c r="J102" s="340" t="str">
        <f t="shared" si="13"/>
        <v>2004AllSexMaori194</v>
      </c>
      <c r="K102">
        <v>2004</v>
      </c>
      <c r="L102" t="s">
        <v>17</v>
      </c>
      <c r="M102" t="s">
        <v>18</v>
      </c>
      <c r="N102">
        <v>19</v>
      </c>
      <c r="O102">
        <v>4</v>
      </c>
      <c r="P102">
        <v>30</v>
      </c>
      <c r="Q102">
        <v>21.626805575247701</v>
      </c>
      <c r="R102">
        <v>7.7</v>
      </c>
      <c r="T102" s="340" t="str">
        <f t="shared" si="15"/>
        <v>1996FemaleAllEth24Sharp object</v>
      </c>
      <c r="U102">
        <v>1996</v>
      </c>
      <c r="V102" t="s">
        <v>8</v>
      </c>
      <c r="W102" t="s">
        <v>27</v>
      </c>
      <c r="X102">
        <v>24</v>
      </c>
      <c r="Y102" t="s">
        <v>48</v>
      </c>
      <c r="Z102">
        <v>2</v>
      </c>
      <c r="AA102">
        <v>22</v>
      </c>
      <c r="AB102">
        <v>9.1</v>
      </c>
      <c r="AD102" s="340" t="str">
        <f t="shared" si="16"/>
        <v>20022006AllSexAllEth19Wairarapa</v>
      </c>
      <c r="AE102" t="s">
        <v>17</v>
      </c>
      <c r="AF102" t="s">
        <v>27</v>
      </c>
      <c r="AG102">
        <v>19</v>
      </c>
      <c r="AH102">
        <v>15</v>
      </c>
      <c r="AI102" t="s">
        <v>68</v>
      </c>
      <c r="AJ102">
        <v>35</v>
      </c>
      <c r="AK102">
        <v>19.298230478884101</v>
      </c>
      <c r="AL102">
        <v>8.4</v>
      </c>
      <c r="AM102" t="s">
        <v>82</v>
      </c>
      <c r="AN102">
        <v>20022006</v>
      </c>
      <c r="AY102" t="str">
        <f t="shared" si="14"/>
        <v>2007AllSexRural23</v>
      </c>
      <c r="AZ102">
        <v>2007</v>
      </c>
      <c r="BA102" t="s">
        <v>17</v>
      </c>
      <c r="BB102" t="s">
        <v>96</v>
      </c>
      <c r="BC102">
        <v>23</v>
      </c>
      <c r="BD102">
        <v>30</v>
      </c>
      <c r="BE102">
        <v>19.822915290075301</v>
      </c>
      <c r="BF102">
        <v>7.1</v>
      </c>
      <c r="BH102" t="str">
        <f t="shared" si="17"/>
        <v>2016FemaleNon-Maori13</v>
      </c>
      <c r="BI102">
        <v>2016</v>
      </c>
      <c r="BJ102" t="s">
        <v>8</v>
      </c>
      <c r="BK102" t="s">
        <v>19</v>
      </c>
      <c r="BL102">
        <v>13</v>
      </c>
      <c r="BM102">
        <v>3</v>
      </c>
      <c r="BN102">
        <v>2.5153014169531298</v>
      </c>
      <c r="BO102">
        <v>2.8</v>
      </c>
      <c r="BP102">
        <v>524</v>
      </c>
      <c r="BQ102">
        <v>0.6</v>
      </c>
      <c r="CA102" t="str">
        <f t="shared" si="18"/>
        <v>AllSexPacific224</v>
      </c>
      <c r="CB102" t="s">
        <v>17</v>
      </c>
      <c r="CC102" t="s">
        <v>79</v>
      </c>
      <c r="CD102">
        <v>22</v>
      </c>
      <c r="CE102">
        <v>4</v>
      </c>
      <c r="CF102">
        <v>13</v>
      </c>
      <c r="CG102">
        <v>22.967281201470399</v>
      </c>
      <c r="CH102">
        <v>12.5</v>
      </c>
      <c r="CJ102" t="str">
        <f t="shared" si="19"/>
        <v>AllSexOther24Jumping from a high place</v>
      </c>
      <c r="CK102" t="s">
        <v>17</v>
      </c>
      <c r="CL102" t="s">
        <v>45</v>
      </c>
      <c r="CM102" t="s">
        <v>44</v>
      </c>
      <c r="CN102">
        <v>24</v>
      </c>
      <c r="CO102">
        <v>23</v>
      </c>
      <c r="CP102">
        <v>700</v>
      </c>
      <c r="CQ102">
        <v>3.3</v>
      </c>
      <c r="CT102" t="str">
        <f t="shared" si="20"/>
        <v>2013AllSexAllEth9</v>
      </c>
      <c r="CU102">
        <v>2013</v>
      </c>
      <c r="CV102" t="s">
        <v>17</v>
      </c>
      <c r="CW102" t="s">
        <v>27</v>
      </c>
      <c r="CX102">
        <v>9</v>
      </c>
      <c r="CY102">
        <v>28</v>
      </c>
    </row>
    <row r="103" spans="1:103">
      <c r="A103" t="str">
        <f t="shared" si="12"/>
        <v>2011FemaleMaori19</v>
      </c>
      <c r="B103">
        <v>2011</v>
      </c>
      <c r="C103" t="s">
        <v>8</v>
      </c>
      <c r="D103" t="s">
        <v>18</v>
      </c>
      <c r="E103">
        <v>19</v>
      </c>
      <c r="F103">
        <v>32</v>
      </c>
      <c r="G103">
        <v>9.3323745071337907</v>
      </c>
      <c r="H103">
        <v>3.2</v>
      </c>
      <c r="J103" s="340" t="str">
        <f t="shared" si="13"/>
        <v>2004AllSexMaori195</v>
      </c>
      <c r="K103">
        <v>2004</v>
      </c>
      <c r="L103" t="s">
        <v>17</v>
      </c>
      <c r="M103" t="s">
        <v>18</v>
      </c>
      <c r="N103">
        <v>19</v>
      </c>
      <c r="O103">
        <v>5</v>
      </c>
      <c r="P103">
        <v>57</v>
      </c>
      <c r="Q103">
        <v>23.929632154016701</v>
      </c>
      <c r="R103">
        <v>6.2</v>
      </c>
      <c r="T103" s="340" t="str">
        <f t="shared" si="15"/>
        <v>1996FemaleAllEth24Submersion (drowning)</v>
      </c>
      <c r="U103">
        <v>1996</v>
      </c>
      <c r="V103" t="s">
        <v>8</v>
      </c>
      <c r="W103" t="s">
        <v>27</v>
      </c>
      <c r="X103">
        <v>24</v>
      </c>
      <c r="Y103" t="s">
        <v>49</v>
      </c>
      <c r="Z103">
        <v>2</v>
      </c>
      <c r="AA103">
        <v>22</v>
      </c>
      <c r="AB103">
        <v>9.1</v>
      </c>
      <c r="AD103" s="340" t="str">
        <f t="shared" si="16"/>
        <v>20022006AllSexAllEth19Nelson Marlborough</v>
      </c>
      <c r="AE103" t="s">
        <v>17</v>
      </c>
      <c r="AF103" t="s">
        <v>27</v>
      </c>
      <c r="AG103">
        <v>19</v>
      </c>
      <c r="AH103">
        <v>16</v>
      </c>
      <c r="AI103" t="s">
        <v>69</v>
      </c>
      <c r="AJ103">
        <v>78</v>
      </c>
      <c r="AK103">
        <v>11.3490136940072</v>
      </c>
      <c r="AL103">
        <v>3.3</v>
      </c>
      <c r="AM103" t="s">
        <v>82</v>
      </c>
      <c r="AN103">
        <v>20022006</v>
      </c>
      <c r="AY103" t="str">
        <f t="shared" si="14"/>
        <v>2007AllSexUrban23</v>
      </c>
      <c r="AZ103">
        <v>2007</v>
      </c>
      <c r="BA103" t="s">
        <v>17</v>
      </c>
      <c r="BB103" t="s">
        <v>97</v>
      </c>
      <c r="BC103">
        <v>23</v>
      </c>
      <c r="BD103">
        <v>183</v>
      </c>
      <c r="BE103">
        <v>17.842169919856499</v>
      </c>
      <c r="BF103">
        <v>2.6</v>
      </c>
      <c r="BH103" t="str">
        <f t="shared" si="17"/>
        <v>2016FemaleNon-Maori14</v>
      </c>
      <c r="BI103">
        <v>2016</v>
      </c>
      <c r="BJ103" t="s">
        <v>8</v>
      </c>
      <c r="BK103" t="s">
        <v>19</v>
      </c>
      <c r="BL103">
        <v>14</v>
      </c>
      <c r="BM103">
        <v>4</v>
      </c>
      <c r="BN103">
        <v>3.6496350364963499</v>
      </c>
      <c r="BO103">
        <v>3.6</v>
      </c>
      <c r="BP103">
        <v>835</v>
      </c>
      <c r="BQ103">
        <v>0.5</v>
      </c>
      <c r="CA103" t="str">
        <f t="shared" si="18"/>
        <v>AllSexPacific225</v>
      </c>
      <c r="CB103" t="s">
        <v>17</v>
      </c>
      <c r="CC103" t="s">
        <v>79</v>
      </c>
      <c r="CD103">
        <v>22</v>
      </c>
      <c r="CE103">
        <v>5</v>
      </c>
      <c r="CF103">
        <v>29</v>
      </c>
      <c r="CG103">
        <v>18.484448381422499</v>
      </c>
      <c r="CH103">
        <v>6.7</v>
      </c>
      <c r="CJ103" t="str">
        <f t="shared" si="19"/>
        <v>AllSexOther25Jumping from a high place</v>
      </c>
      <c r="CK103" t="s">
        <v>17</v>
      </c>
      <c r="CL103" t="s">
        <v>45</v>
      </c>
      <c r="CM103" t="s">
        <v>44</v>
      </c>
      <c r="CN103">
        <v>25</v>
      </c>
      <c r="CO103">
        <v>6</v>
      </c>
      <c r="CP103">
        <v>282</v>
      </c>
      <c r="CQ103">
        <v>2.1</v>
      </c>
      <c r="CT103" t="str">
        <f t="shared" si="20"/>
        <v>2013AllSexMaori9</v>
      </c>
      <c r="CU103">
        <v>2013</v>
      </c>
      <c r="CV103" t="s">
        <v>17</v>
      </c>
      <c r="CW103" t="s">
        <v>18</v>
      </c>
      <c r="CX103">
        <v>9</v>
      </c>
      <c r="CY103">
        <v>1</v>
      </c>
    </row>
    <row r="104" spans="1:103">
      <c r="A104" t="str">
        <f t="shared" si="12"/>
        <v>2012FemaleMaori19</v>
      </c>
      <c r="B104">
        <v>2012</v>
      </c>
      <c r="C104" t="s">
        <v>8</v>
      </c>
      <c r="D104" t="s">
        <v>18</v>
      </c>
      <c r="E104">
        <v>19</v>
      </c>
      <c r="F104">
        <v>37</v>
      </c>
      <c r="G104">
        <v>10.376266848783301</v>
      </c>
      <c r="H104">
        <v>3.3</v>
      </c>
      <c r="J104" s="340" t="str">
        <f t="shared" si="13"/>
        <v>2005AllSexMaori191</v>
      </c>
      <c r="K104">
        <v>2005</v>
      </c>
      <c r="L104" t="s">
        <v>17</v>
      </c>
      <c r="M104" t="s">
        <v>18</v>
      </c>
      <c r="N104">
        <v>19</v>
      </c>
      <c r="O104">
        <v>1</v>
      </c>
      <c r="P104">
        <v>4</v>
      </c>
      <c r="Q104">
        <v>9.2788158150234192</v>
      </c>
      <c r="R104">
        <v>9.1</v>
      </c>
      <c r="T104" s="340" t="str">
        <f t="shared" si="15"/>
        <v>1996FemaleAllEth25Submersion (drowning)</v>
      </c>
      <c r="U104">
        <v>1996</v>
      </c>
      <c r="V104" t="s">
        <v>8</v>
      </c>
      <c r="W104" t="s">
        <v>27</v>
      </c>
      <c r="X104">
        <v>25</v>
      </c>
      <c r="Y104" t="s">
        <v>49</v>
      </c>
      <c r="Z104">
        <v>1</v>
      </c>
      <c r="AA104">
        <v>13</v>
      </c>
      <c r="AB104">
        <v>7.7</v>
      </c>
      <c r="AD104" s="340" t="str">
        <f t="shared" si="16"/>
        <v>20022006AllSexAllEth19West Coast</v>
      </c>
      <c r="AE104" t="s">
        <v>17</v>
      </c>
      <c r="AF104" t="s">
        <v>27</v>
      </c>
      <c r="AG104">
        <v>19</v>
      </c>
      <c r="AH104">
        <v>17</v>
      </c>
      <c r="AI104" t="s">
        <v>70</v>
      </c>
      <c r="AJ104">
        <v>22</v>
      </c>
      <c r="AK104">
        <v>13.4621995196963</v>
      </c>
      <c r="AL104">
        <v>7.4</v>
      </c>
      <c r="AM104" t="s">
        <v>82</v>
      </c>
      <c r="AN104">
        <v>20022006</v>
      </c>
      <c r="AY104" t="str">
        <f t="shared" si="14"/>
        <v>2007AllSexRural24</v>
      </c>
      <c r="AZ104">
        <v>2007</v>
      </c>
      <c r="BA104" t="s">
        <v>17</v>
      </c>
      <c r="BB104" t="s">
        <v>96</v>
      </c>
      <c r="BC104">
        <v>24</v>
      </c>
      <c r="BD104">
        <v>20</v>
      </c>
      <c r="BE104">
        <v>11.5160937410031</v>
      </c>
      <c r="BF104">
        <v>5</v>
      </c>
      <c r="BH104" t="str">
        <f t="shared" si="17"/>
        <v>2016FemaleNon-Maori15</v>
      </c>
      <c r="BI104">
        <v>2016</v>
      </c>
      <c r="BJ104" t="s">
        <v>8</v>
      </c>
      <c r="BK104" t="s">
        <v>19</v>
      </c>
      <c r="BL104">
        <v>15</v>
      </c>
      <c r="BM104">
        <v>3</v>
      </c>
      <c r="BN104">
        <v>3.6443148688046598</v>
      </c>
      <c r="BO104">
        <v>4.0999999999999996</v>
      </c>
      <c r="BP104">
        <v>1053</v>
      </c>
      <c r="BQ104">
        <v>0.3</v>
      </c>
      <c r="CA104" t="str">
        <f t="shared" si="18"/>
        <v>AllSexAsian231</v>
      </c>
      <c r="CB104" t="s">
        <v>17</v>
      </c>
      <c r="CC104" t="s">
        <v>78</v>
      </c>
      <c r="CD104">
        <v>23</v>
      </c>
      <c r="CE104">
        <v>1</v>
      </c>
      <c r="CF104">
        <v>3</v>
      </c>
      <c r="CG104">
        <v>1.91189787135961</v>
      </c>
      <c r="CH104">
        <v>2.2000000000000002</v>
      </c>
      <c r="CJ104" t="str">
        <f t="shared" si="19"/>
        <v>AllSexOther21Other</v>
      </c>
      <c r="CK104" t="s">
        <v>17</v>
      </c>
      <c r="CL104" t="s">
        <v>45</v>
      </c>
      <c r="CM104" t="s">
        <v>45</v>
      </c>
      <c r="CN104">
        <v>21</v>
      </c>
      <c r="CO104">
        <v>1</v>
      </c>
      <c r="CP104">
        <v>9</v>
      </c>
      <c r="CQ104">
        <v>11.1</v>
      </c>
      <c r="CT104" t="str">
        <f t="shared" si="20"/>
        <v>2013AllSexNon-Maori9</v>
      </c>
      <c r="CU104">
        <v>2013</v>
      </c>
      <c r="CV104" t="s">
        <v>17</v>
      </c>
      <c r="CW104" t="s">
        <v>19</v>
      </c>
      <c r="CX104">
        <v>9</v>
      </c>
      <c r="CY104">
        <v>27</v>
      </c>
    </row>
    <row r="105" spans="1:103">
      <c r="A105" t="str">
        <f t="shared" si="12"/>
        <v>2013FemaleMaori19</v>
      </c>
      <c r="B105">
        <v>2013</v>
      </c>
      <c r="C105" t="s">
        <v>8</v>
      </c>
      <c r="D105" t="s">
        <v>18</v>
      </c>
      <c r="E105">
        <v>19</v>
      </c>
      <c r="F105">
        <v>39</v>
      </c>
      <c r="G105">
        <v>11.129535195000299</v>
      </c>
      <c r="H105">
        <v>3.5</v>
      </c>
      <c r="J105" s="340" t="str">
        <f t="shared" si="13"/>
        <v>2005AllSexMaori192</v>
      </c>
      <c r="K105">
        <v>2005</v>
      </c>
      <c r="L105" t="s">
        <v>17</v>
      </c>
      <c r="M105" t="s">
        <v>18</v>
      </c>
      <c r="N105">
        <v>19</v>
      </c>
      <c r="O105">
        <v>2</v>
      </c>
      <c r="P105">
        <v>7</v>
      </c>
      <c r="Q105">
        <v>9.6156496948201706</v>
      </c>
      <c r="R105">
        <v>7.1</v>
      </c>
      <c r="T105" s="340" t="str">
        <f t="shared" si="15"/>
        <v>1996FemaleMaori23Firearms and explosives</v>
      </c>
      <c r="U105">
        <v>1996</v>
      </c>
      <c r="V105" t="s">
        <v>8</v>
      </c>
      <c r="W105" t="s">
        <v>18</v>
      </c>
      <c r="X105">
        <v>23</v>
      </c>
      <c r="Y105" t="s">
        <v>42</v>
      </c>
      <c r="Z105">
        <v>1</v>
      </c>
      <c r="AA105">
        <v>9</v>
      </c>
      <c r="AB105">
        <v>11.1</v>
      </c>
      <c r="AD105" s="340" t="str">
        <f t="shared" si="16"/>
        <v>20022006AllSexAllEth19Canterbury</v>
      </c>
      <c r="AE105" t="s">
        <v>17</v>
      </c>
      <c r="AF105" t="s">
        <v>27</v>
      </c>
      <c r="AG105">
        <v>19</v>
      </c>
      <c r="AH105">
        <v>18</v>
      </c>
      <c r="AI105" t="s">
        <v>71</v>
      </c>
      <c r="AJ105">
        <v>309</v>
      </c>
      <c r="AK105">
        <v>12.356001719906301</v>
      </c>
      <c r="AL105">
        <v>1.8</v>
      </c>
      <c r="AM105" t="s">
        <v>82</v>
      </c>
      <c r="AN105">
        <v>20022006</v>
      </c>
      <c r="AY105" t="str">
        <f t="shared" si="14"/>
        <v>2007AllSexUrban24</v>
      </c>
      <c r="AZ105">
        <v>2007</v>
      </c>
      <c r="BA105" t="s">
        <v>17</v>
      </c>
      <c r="BB105" t="s">
        <v>97</v>
      </c>
      <c r="BC105">
        <v>24</v>
      </c>
      <c r="BD105">
        <v>120</v>
      </c>
      <c r="BE105">
        <v>14.1096792399586</v>
      </c>
      <c r="BF105">
        <v>2.5</v>
      </c>
      <c r="BH105" t="str">
        <f t="shared" si="17"/>
        <v>2016FemaleNon-Maori16</v>
      </c>
      <c r="BI105">
        <v>2016</v>
      </c>
      <c r="BJ105" t="s">
        <v>8</v>
      </c>
      <c r="BK105" t="s">
        <v>19</v>
      </c>
      <c r="BL105">
        <v>16</v>
      </c>
      <c r="BM105">
        <v>2</v>
      </c>
      <c r="BN105">
        <v>3.1225604996096799</v>
      </c>
      <c r="BO105">
        <v>4.3</v>
      </c>
      <c r="BP105">
        <v>1471</v>
      </c>
      <c r="BQ105">
        <v>0.1</v>
      </c>
      <c r="CA105" t="str">
        <f t="shared" si="18"/>
        <v>AllSexAsian232</v>
      </c>
      <c r="CB105" t="s">
        <v>17</v>
      </c>
      <c r="CC105" t="s">
        <v>78</v>
      </c>
      <c r="CD105">
        <v>23</v>
      </c>
      <c r="CE105">
        <v>2</v>
      </c>
      <c r="CF105">
        <v>5</v>
      </c>
      <c r="CG105">
        <v>2.4291265325550899</v>
      </c>
      <c r="CH105">
        <v>2.1</v>
      </c>
      <c r="CJ105" t="str">
        <f t="shared" si="19"/>
        <v>AllSexOther22Other</v>
      </c>
      <c r="CK105" t="s">
        <v>17</v>
      </c>
      <c r="CL105" t="s">
        <v>45</v>
      </c>
      <c r="CM105" t="s">
        <v>45</v>
      </c>
      <c r="CN105">
        <v>22</v>
      </c>
      <c r="CO105">
        <v>10</v>
      </c>
      <c r="CP105">
        <v>267</v>
      </c>
      <c r="CQ105">
        <v>3.7</v>
      </c>
      <c r="CT105" t="str">
        <f t="shared" si="20"/>
        <v>2013FemaleAllEth9</v>
      </c>
      <c r="CU105">
        <v>2013</v>
      </c>
      <c r="CV105" t="s">
        <v>8</v>
      </c>
      <c r="CW105" t="s">
        <v>27</v>
      </c>
      <c r="CX105">
        <v>9</v>
      </c>
      <c r="CY105">
        <v>8</v>
      </c>
    </row>
    <row r="106" spans="1:103">
      <c r="A106" t="str">
        <f t="shared" si="12"/>
        <v>2014FemaleMaori19</v>
      </c>
      <c r="B106">
        <v>2014</v>
      </c>
      <c r="C106" t="s">
        <v>8</v>
      </c>
      <c r="D106" t="s">
        <v>18</v>
      </c>
      <c r="E106">
        <v>19</v>
      </c>
      <c r="F106">
        <v>27</v>
      </c>
      <c r="G106">
        <v>8.0088287466587804</v>
      </c>
      <c r="H106">
        <v>3</v>
      </c>
      <c r="J106" s="340" t="str">
        <f t="shared" si="13"/>
        <v>2005AllSexMaori193</v>
      </c>
      <c r="K106">
        <v>2005</v>
      </c>
      <c r="L106" t="s">
        <v>17</v>
      </c>
      <c r="M106" t="s">
        <v>18</v>
      </c>
      <c r="N106">
        <v>19</v>
      </c>
      <c r="O106">
        <v>3</v>
      </c>
      <c r="P106">
        <v>15</v>
      </c>
      <c r="Q106">
        <v>14.8208739002058</v>
      </c>
      <c r="R106">
        <v>7.5</v>
      </c>
      <c r="T106" s="340" t="str">
        <f t="shared" si="15"/>
        <v>1996FemaleMaori21Hanging, strangulation and suffocation</v>
      </c>
      <c r="U106">
        <v>1996</v>
      </c>
      <c r="V106" t="s">
        <v>8</v>
      </c>
      <c r="W106" t="s">
        <v>18</v>
      </c>
      <c r="X106">
        <v>21</v>
      </c>
      <c r="Y106" t="s">
        <v>43</v>
      </c>
      <c r="Z106">
        <v>2</v>
      </c>
      <c r="AA106">
        <v>3</v>
      </c>
      <c r="AB106">
        <v>66.7</v>
      </c>
      <c r="AD106" s="340" t="str">
        <f t="shared" si="16"/>
        <v>20022006AllSexAllEth19South Canterbury</v>
      </c>
      <c r="AE106" t="s">
        <v>17</v>
      </c>
      <c r="AF106" t="s">
        <v>27</v>
      </c>
      <c r="AG106">
        <v>19</v>
      </c>
      <c r="AH106">
        <v>19</v>
      </c>
      <c r="AI106" t="s">
        <v>72</v>
      </c>
      <c r="AJ106">
        <v>27</v>
      </c>
      <c r="AK106">
        <v>10.4775471470307</v>
      </c>
      <c r="AL106">
        <v>5.2</v>
      </c>
      <c r="AM106" t="s">
        <v>82</v>
      </c>
      <c r="AN106">
        <v>20022006</v>
      </c>
      <c r="AY106" t="str">
        <f t="shared" si="14"/>
        <v>2007AllSexRural25</v>
      </c>
      <c r="AZ106">
        <v>2007</v>
      </c>
      <c r="BA106" t="s">
        <v>17</v>
      </c>
      <c r="BB106" t="s">
        <v>96</v>
      </c>
      <c r="BC106">
        <v>25</v>
      </c>
      <c r="BD106">
        <v>12</v>
      </c>
      <c r="BE106">
        <v>19.132653061224499</v>
      </c>
      <c r="BF106">
        <v>10.8</v>
      </c>
      <c r="BH106" t="str">
        <f t="shared" si="17"/>
        <v>2016FemaleNon-Maori17</v>
      </c>
      <c r="BI106">
        <v>2016</v>
      </c>
      <c r="BJ106" t="s">
        <v>8</v>
      </c>
      <c r="BK106" t="s">
        <v>19</v>
      </c>
      <c r="BL106">
        <v>17</v>
      </c>
      <c r="BM106">
        <v>1</v>
      </c>
      <c r="BN106">
        <v>2.26654578422484</v>
      </c>
      <c r="BO106">
        <v>4.4000000000000004</v>
      </c>
      <c r="BP106">
        <v>2206</v>
      </c>
      <c r="BQ106">
        <v>0</v>
      </c>
      <c r="CA106" t="str">
        <f t="shared" si="18"/>
        <v>AllSexAsian233</v>
      </c>
      <c r="CB106" t="s">
        <v>17</v>
      </c>
      <c r="CC106" t="s">
        <v>78</v>
      </c>
      <c r="CD106">
        <v>23</v>
      </c>
      <c r="CE106">
        <v>3</v>
      </c>
      <c r="CF106">
        <v>13</v>
      </c>
      <c r="CG106">
        <v>5.7958486055324796</v>
      </c>
      <c r="CH106">
        <v>3.2</v>
      </c>
      <c r="CJ106" t="str">
        <f t="shared" si="19"/>
        <v>AllSexOther23Other</v>
      </c>
      <c r="CK106" t="s">
        <v>17</v>
      </c>
      <c r="CL106" t="s">
        <v>45</v>
      </c>
      <c r="CM106" t="s">
        <v>45</v>
      </c>
      <c r="CN106">
        <v>23</v>
      </c>
      <c r="CO106">
        <v>19</v>
      </c>
      <c r="CP106">
        <v>583</v>
      </c>
      <c r="CQ106">
        <v>3.3</v>
      </c>
      <c r="CT106" t="str">
        <f t="shared" si="20"/>
        <v>2013FemaleNon-Maori9</v>
      </c>
      <c r="CU106">
        <v>2013</v>
      </c>
      <c r="CV106" t="s">
        <v>8</v>
      </c>
      <c r="CW106" t="s">
        <v>19</v>
      </c>
      <c r="CX106">
        <v>9</v>
      </c>
      <c r="CY106">
        <v>8</v>
      </c>
    </row>
    <row r="107" spans="1:103">
      <c r="A107" t="str">
        <f t="shared" si="12"/>
        <v>2015FemaleMaori19</v>
      </c>
      <c r="B107">
        <v>2015</v>
      </c>
      <c r="C107" t="s">
        <v>8</v>
      </c>
      <c r="D107" t="s">
        <v>18</v>
      </c>
      <c r="E107">
        <v>19</v>
      </c>
      <c r="F107">
        <v>40</v>
      </c>
      <c r="G107">
        <v>11.215062247293901</v>
      </c>
      <c r="H107">
        <v>3.5</v>
      </c>
      <c r="J107" s="340" t="str">
        <f t="shared" si="13"/>
        <v>2005AllSexMaori194</v>
      </c>
      <c r="K107">
        <v>2005</v>
      </c>
      <c r="L107" t="s">
        <v>17</v>
      </c>
      <c r="M107" t="s">
        <v>18</v>
      </c>
      <c r="N107">
        <v>19</v>
      </c>
      <c r="O107">
        <v>4</v>
      </c>
      <c r="P107">
        <v>26</v>
      </c>
      <c r="Q107">
        <v>17.832670801693698</v>
      </c>
      <c r="R107">
        <v>6.9</v>
      </c>
      <c r="T107" s="340" t="str">
        <f t="shared" si="15"/>
        <v>1996FemaleMaori22Hanging, strangulation and suffocation</v>
      </c>
      <c r="U107">
        <v>1996</v>
      </c>
      <c r="V107" t="s">
        <v>8</v>
      </c>
      <c r="W107" t="s">
        <v>18</v>
      </c>
      <c r="X107">
        <v>22</v>
      </c>
      <c r="Y107" t="s">
        <v>43</v>
      </c>
      <c r="Z107">
        <v>7</v>
      </c>
      <c r="AA107">
        <v>9</v>
      </c>
      <c r="AB107">
        <v>77.8</v>
      </c>
      <c r="AD107" s="340" t="str">
        <f t="shared" si="16"/>
        <v>20022006AllSexAllEth19Southern</v>
      </c>
      <c r="AE107" t="s">
        <v>17</v>
      </c>
      <c r="AF107" t="s">
        <v>27</v>
      </c>
      <c r="AG107">
        <v>19</v>
      </c>
      <c r="AH107">
        <v>20</v>
      </c>
      <c r="AI107" t="s">
        <v>73</v>
      </c>
      <c r="AJ107">
        <v>194</v>
      </c>
      <c r="AK107">
        <v>13.017861402815999</v>
      </c>
      <c r="AL107">
        <v>2.4</v>
      </c>
      <c r="AM107" t="s">
        <v>82</v>
      </c>
      <c r="AN107">
        <v>20022006</v>
      </c>
      <c r="AY107" t="str">
        <f t="shared" si="14"/>
        <v>2007AllSexUrban25</v>
      </c>
      <c r="AZ107">
        <v>2007</v>
      </c>
      <c r="BA107" t="s">
        <v>17</v>
      </c>
      <c r="BB107" t="s">
        <v>97</v>
      </c>
      <c r="BC107">
        <v>25</v>
      </c>
      <c r="BD107">
        <v>38</v>
      </c>
      <c r="BE107">
        <v>8.2181708081922196</v>
      </c>
      <c r="BF107">
        <v>2.6</v>
      </c>
      <c r="BH107" t="str">
        <f t="shared" si="17"/>
        <v>2016FemaleNon-Maori18</v>
      </c>
      <c r="BI107">
        <v>2016</v>
      </c>
      <c r="BJ107" t="s">
        <v>8</v>
      </c>
      <c r="BK107" t="s">
        <v>19</v>
      </c>
      <c r="BL107">
        <v>18</v>
      </c>
      <c r="BM107">
        <v>2</v>
      </c>
      <c r="BN107">
        <v>3.9896269698783202</v>
      </c>
      <c r="BO107">
        <v>5.5</v>
      </c>
      <c r="BP107">
        <v>6779</v>
      </c>
      <c r="BQ107">
        <v>0</v>
      </c>
      <c r="CA107" t="str">
        <f t="shared" si="18"/>
        <v>AllSexAsian234</v>
      </c>
      <c r="CB107" t="s">
        <v>17</v>
      </c>
      <c r="CC107" t="s">
        <v>78</v>
      </c>
      <c r="CD107">
        <v>23</v>
      </c>
      <c r="CE107">
        <v>4</v>
      </c>
      <c r="CF107">
        <v>10</v>
      </c>
      <c r="CG107">
        <v>4.2312644346360999</v>
      </c>
      <c r="CH107">
        <v>2.6</v>
      </c>
      <c r="CJ107" t="str">
        <f t="shared" si="19"/>
        <v>AllSexOther24Other</v>
      </c>
      <c r="CK107" t="s">
        <v>17</v>
      </c>
      <c r="CL107" t="s">
        <v>45</v>
      </c>
      <c r="CM107" t="s">
        <v>45</v>
      </c>
      <c r="CN107">
        <v>24</v>
      </c>
      <c r="CO107">
        <v>34</v>
      </c>
      <c r="CP107">
        <v>700</v>
      </c>
      <c r="CQ107">
        <v>4.9000000000000004</v>
      </c>
      <c r="CT107" t="str">
        <f t="shared" si="20"/>
        <v>2013MaleAllEth9</v>
      </c>
      <c r="CU107">
        <v>2013</v>
      </c>
      <c r="CV107" t="s">
        <v>20</v>
      </c>
      <c r="CW107" t="s">
        <v>27</v>
      </c>
      <c r="CX107">
        <v>9</v>
      </c>
      <c r="CY107">
        <v>20</v>
      </c>
    </row>
    <row r="108" spans="1:103">
      <c r="A108" t="str">
        <f t="shared" si="12"/>
        <v>2016FemaleMaori19</v>
      </c>
      <c r="B108">
        <v>2016</v>
      </c>
      <c r="C108" t="s">
        <v>8</v>
      </c>
      <c r="D108" t="s">
        <v>18</v>
      </c>
      <c r="E108">
        <v>19</v>
      </c>
      <c r="F108">
        <v>37</v>
      </c>
      <c r="G108">
        <v>10.4255863001727</v>
      </c>
      <c r="H108">
        <v>3.4</v>
      </c>
      <c r="J108" s="340" t="str">
        <f t="shared" si="13"/>
        <v>2005AllSexMaori195</v>
      </c>
      <c r="K108">
        <v>2005</v>
      </c>
      <c r="L108" t="s">
        <v>17</v>
      </c>
      <c r="M108" t="s">
        <v>18</v>
      </c>
      <c r="N108">
        <v>19</v>
      </c>
      <c r="O108">
        <v>5</v>
      </c>
      <c r="P108">
        <v>48</v>
      </c>
      <c r="Q108">
        <v>20.815605396419599</v>
      </c>
      <c r="R108">
        <v>5.9</v>
      </c>
      <c r="T108" s="340" t="str">
        <f t="shared" si="15"/>
        <v>1996FemaleMaori23Hanging, strangulation and suffocation</v>
      </c>
      <c r="U108">
        <v>1996</v>
      </c>
      <c r="V108" t="s">
        <v>8</v>
      </c>
      <c r="W108" t="s">
        <v>18</v>
      </c>
      <c r="X108">
        <v>23</v>
      </c>
      <c r="Y108" t="s">
        <v>43</v>
      </c>
      <c r="Z108">
        <v>4</v>
      </c>
      <c r="AA108">
        <v>9</v>
      </c>
      <c r="AB108">
        <v>44.4</v>
      </c>
      <c r="AD108" s="340" t="str">
        <f t="shared" si="16"/>
        <v>20022006AllSexAllEth19Unknown</v>
      </c>
      <c r="AE108" t="s">
        <v>17</v>
      </c>
      <c r="AF108" t="s">
        <v>27</v>
      </c>
      <c r="AG108">
        <v>19</v>
      </c>
      <c r="AH108">
        <v>98</v>
      </c>
      <c r="AI108" t="s">
        <v>75</v>
      </c>
      <c r="AJ108">
        <v>11</v>
      </c>
      <c r="AK108">
        <v>0</v>
      </c>
      <c r="AL108">
        <v>0</v>
      </c>
      <c r="AM108" t="s">
        <v>83</v>
      </c>
      <c r="AN108">
        <v>20022006</v>
      </c>
      <c r="AY108" t="str">
        <f t="shared" si="14"/>
        <v>2007FemaleRural22</v>
      </c>
      <c r="AZ108">
        <v>2007</v>
      </c>
      <c r="BA108" t="s">
        <v>8</v>
      </c>
      <c r="BB108" t="s">
        <v>96</v>
      </c>
      <c r="BC108">
        <v>22</v>
      </c>
      <c r="BD108">
        <v>5</v>
      </c>
      <c r="BE108">
        <v>16.382699868938399</v>
      </c>
      <c r="BF108">
        <v>14.4</v>
      </c>
      <c r="BH108" t="str">
        <f t="shared" si="17"/>
        <v>2016MaleMaori3</v>
      </c>
      <c r="BI108">
        <v>2016</v>
      </c>
      <c r="BJ108" t="s">
        <v>20</v>
      </c>
      <c r="BK108" t="s">
        <v>18</v>
      </c>
      <c r="BL108">
        <v>3</v>
      </c>
      <c r="BM108">
        <v>2</v>
      </c>
      <c r="BN108">
        <v>5.4869684499314104</v>
      </c>
      <c r="BO108">
        <v>7.6</v>
      </c>
      <c r="BP108">
        <v>5</v>
      </c>
      <c r="BQ108">
        <v>40</v>
      </c>
      <c r="CA108" t="str">
        <f t="shared" si="18"/>
        <v>AllSexAsian235</v>
      </c>
      <c r="CB108" t="s">
        <v>17</v>
      </c>
      <c r="CC108" t="s">
        <v>78</v>
      </c>
      <c r="CD108">
        <v>23</v>
      </c>
      <c r="CE108">
        <v>5</v>
      </c>
      <c r="CF108">
        <v>11</v>
      </c>
      <c r="CG108">
        <v>5.9223983364585298</v>
      </c>
      <c r="CH108">
        <v>3.5</v>
      </c>
      <c r="CJ108" t="str">
        <f t="shared" si="19"/>
        <v>AllSexOther25Other</v>
      </c>
      <c r="CK108" t="s">
        <v>17</v>
      </c>
      <c r="CL108" t="s">
        <v>45</v>
      </c>
      <c r="CM108" t="s">
        <v>45</v>
      </c>
      <c r="CN108">
        <v>25</v>
      </c>
      <c r="CO108">
        <v>11</v>
      </c>
      <c r="CP108">
        <v>282</v>
      </c>
      <c r="CQ108">
        <v>3.9</v>
      </c>
      <c r="CT108" t="str">
        <f t="shared" si="20"/>
        <v>2013MaleMaori9</v>
      </c>
      <c r="CU108">
        <v>2013</v>
      </c>
      <c r="CV108" t="s">
        <v>20</v>
      </c>
      <c r="CW108" t="s">
        <v>18</v>
      </c>
      <c r="CX108">
        <v>9</v>
      </c>
      <c r="CY108">
        <v>1</v>
      </c>
    </row>
    <row r="109" spans="1:103">
      <c r="A109" t="str">
        <f t="shared" si="12"/>
        <v>1996FemaleNon-Maori19</v>
      </c>
      <c r="B109">
        <v>1996</v>
      </c>
      <c r="C109" t="s">
        <v>8</v>
      </c>
      <c r="D109" t="s">
        <v>19</v>
      </c>
      <c r="E109">
        <v>19</v>
      </c>
      <c r="F109">
        <v>87</v>
      </c>
      <c r="G109">
        <v>5.2986962640135697</v>
      </c>
      <c r="H109">
        <v>1.1000000000000001</v>
      </c>
      <c r="J109" s="340" t="str">
        <f t="shared" si="13"/>
        <v>2006AllSexMaori191</v>
      </c>
      <c r="K109">
        <v>2006</v>
      </c>
      <c r="L109" t="s">
        <v>17</v>
      </c>
      <c r="M109" t="s">
        <v>18</v>
      </c>
      <c r="N109">
        <v>19</v>
      </c>
      <c r="O109">
        <v>1</v>
      </c>
      <c r="P109">
        <v>8</v>
      </c>
      <c r="Q109">
        <v>17.005569407786499</v>
      </c>
      <c r="R109">
        <v>11.8</v>
      </c>
      <c r="T109" s="340" t="str">
        <f t="shared" si="15"/>
        <v>1996FemaleMaori24Hanging, strangulation and suffocation</v>
      </c>
      <c r="U109">
        <v>1996</v>
      </c>
      <c r="V109" t="s">
        <v>8</v>
      </c>
      <c r="W109" t="s">
        <v>18</v>
      </c>
      <c r="X109">
        <v>24</v>
      </c>
      <c r="Y109" t="s">
        <v>43</v>
      </c>
      <c r="Z109">
        <v>1</v>
      </c>
      <c r="AA109">
        <v>3</v>
      </c>
      <c r="AB109">
        <v>33.299999999999997</v>
      </c>
      <c r="AD109" s="340" t="str">
        <f t="shared" si="16"/>
        <v>20022006AllSexAllEth22Auckland</v>
      </c>
      <c r="AE109" t="s">
        <v>17</v>
      </c>
      <c r="AF109" t="s">
        <v>27</v>
      </c>
      <c r="AG109">
        <v>22</v>
      </c>
      <c r="AH109">
        <v>3</v>
      </c>
      <c r="AI109" t="s">
        <v>56</v>
      </c>
      <c r="AJ109">
        <v>42</v>
      </c>
      <c r="AK109">
        <v>12.3102174805088</v>
      </c>
      <c r="AL109">
        <v>4.9000000000000004</v>
      </c>
      <c r="AM109" t="s">
        <v>83</v>
      </c>
      <c r="AN109">
        <v>20022006</v>
      </c>
      <c r="AY109" t="str">
        <f t="shared" si="14"/>
        <v>2007FemaleUrban22</v>
      </c>
      <c r="AZ109">
        <v>2007</v>
      </c>
      <c r="BA109" t="s">
        <v>8</v>
      </c>
      <c r="BB109" t="s">
        <v>97</v>
      </c>
      <c r="BC109">
        <v>22</v>
      </c>
      <c r="BD109">
        <v>18</v>
      </c>
      <c r="BE109">
        <v>6.6671605304096602</v>
      </c>
      <c r="BF109">
        <v>3.1</v>
      </c>
      <c r="BH109" t="str">
        <f t="shared" si="17"/>
        <v>2016MaleMaori4</v>
      </c>
      <c r="BI109">
        <v>2016</v>
      </c>
      <c r="BJ109" t="s">
        <v>20</v>
      </c>
      <c r="BK109" t="s">
        <v>18</v>
      </c>
      <c r="BL109">
        <v>4</v>
      </c>
      <c r="BM109">
        <v>17</v>
      </c>
      <c r="BN109">
        <v>46.6776496430533</v>
      </c>
      <c r="BO109">
        <v>22.2</v>
      </c>
      <c r="BP109">
        <v>32</v>
      </c>
      <c r="BQ109">
        <v>53.1</v>
      </c>
      <c r="CA109" t="str">
        <f t="shared" si="18"/>
        <v>AllSexMaori231</v>
      </c>
      <c r="CB109" t="s">
        <v>17</v>
      </c>
      <c r="CC109" t="s">
        <v>18</v>
      </c>
      <c r="CD109">
        <v>23</v>
      </c>
      <c r="CE109">
        <v>1</v>
      </c>
      <c r="CF109">
        <v>9</v>
      </c>
      <c r="CG109">
        <v>11.9566713879387</v>
      </c>
      <c r="CH109">
        <v>7.8</v>
      </c>
      <c r="CJ109" t="str">
        <f t="shared" si="19"/>
        <v>AllSexOther22Poisoning by gases and vapours</v>
      </c>
      <c r="CK109" t="s">
        <v>17</v>
      </c>
      <c r="CL109" t="s">
        <v>45</v>
      </c>
      <c r="CM109" t="s">
        <v>46</v>
      </c>
      <c r="CN109">
        <v>22</v>
      </c>
      <c r="CO109">
        <v>12</v>
      </c>
      <c r="CP109">
        <v>267</v>
      </c>
      <c r="CQ109">
        <v>4.5</v>
      </c>
      <c r="CT109" t="str">
        <f t="shared" si="20"/>
        <v>2013MaleNon-Maori9</v>
      </c>
      <c r="CU109">
        <v>2013</v>
      </c>
      <c r="CV109" t="s">
        <v>20</v>
      </c>
      <c r="CW109" t="s">
        <v>19</v>
      </c>
      <c r="CX109">
        <v>9</v>
      </c>
      <c r="CY109">
        <v>19</v>
      </c>
    </row>
    <row r="110" spans="1:103">
      <c r="A110" t="str">
        <f t="shared" si="12"/>
        <v>1997FemaleNon-Maori19</v>
      </c>
      <c r="B110">
        <v>1997</v>
      </c>
      <c r="C110" t="s">
        <v>8</v>
      </c>
      <c r="D110" t="s">
        <v>19</v>
      </c>
      <c r="E110">
        <v>19</v>
      </c>
      <c r="F110">
        <v>95</v>
      </c>
      <c r="G110">
        <v>5.6892468332060497</v>
      </c>
      <c r="H110">
        <v>1.1000000000000001</v>
      </c>
      <c r="J110" s="340" t="str">
        <f t="shared" si="13"/>
        <v>2006AllSexMaori192</v>
      </c>
      <c r="K110">
        <v>2006</v>
      </c>
      <c r="L110" t="s">
        <v>17</v>
      </c>
      <c r="M110" t="s">
        <v>18</v>
      </c>
      <c r="N110">
        <v>19</v>
      </c>
      <c r="O110">
        <v>2</v>
      </c>
      <c r="P110">
        <v>7</v>
      </c>
      <c r="Q110">
        <v>10.3413491121837</v>
      </c>
      <c r="R110">
        <v>7.7</v>
      </c>
      <c r="T110" s="340" t="str">
        <f t="shared" si="15"/>
        <v>1996FemaleMaori22Poisoning by gases and vapours</v>
      </c>
      <c r="U110">
        <v>1996</v>
      </c>
      <c r="V110" t="s">
        <v>8</v>
      </c>
      <c r="W110" t="s">
        <v>18</v>
      </c>
      <c r="X110">
        <v>22</v>
      </c>
      <c r="Y110" t="s">
        <v>46</v>
      </c>
      <c r="Z110">
        <v>1</v>
      </c>
      <c r="AA110">
        <v>9</v>
      </c>
      <c r="AB110">
        <v>11.1</v>
      </c>
      <c r="AD110" s="340" t="str">
        <f t="shared" si="16"/>
        <v>20022006AllSexAllEth22Bay of Plenty</v>
      </c>
      <c r="AE110" t="s">
        <v>17</v>
      </c>
      <c r="AF110" t="s">
        <v>27</v>
      </c>
      <c r="AG110">
        <v>22</v>
      </c>
      <c r="AH110">
        <v>7</v>
      </c>
      <c r="AI110" t="s">
        <v>60</v>
      </c>
      <c r="AJ110">
        <v>19</v>
      </c>
      <c r="AK110">
        <v>16.575067608828402</v>
      </c>
      <c r="AL110">
        <v>9.8000000000000007</v>
      </c>
      <c r="AM110" t="s">
        <v>82</v>
      </c>
      <c r="AN110">
        <v>20022006</v>
      </c>
      <c r="AY110" t="str">
        <f t="shared" si="14"/>
        <v>2007FemaleRural23</v>
      </c>
      <c r="AZ110">
        <v>2007</v>
      </c>
      <c r="BA110" t="s">
        <v>8</v>
      </c>
      <c r="BB110" t="s">
        <v>96</v>
      </c>
      <c r="BC110">
        <v>23</v>
      </c>
      <c r="BD110">
        <v>4</v>
      </c>
      <c r="BE110">
        <v>5.1679586563307502</v>
      </c>
      <c r="BF110">
        <v>5.0999999999999996</v>
      </c>
      <c r="BH110" t="str">
        <f t="shared" si="17"/>
        <v>2016MaleMaori5</v>
      </c>
      <c r="BI110">
        <v>2016</v>
      </c>
      <c r="BJ110" t="s">
        <v>20</v>
      </c>
      <c r="BK110" t="s">
        <v>18</v>
      </c>
      <c r="BL110">
        <v>5</v>
      </c>
      <c r="BM110">
        <v>17</v>
      </c>
      <c r="BN110">
        <v>53.308247099404198</v>
      </c>
      <c r="BO110">
        <v>25.3</v>
      </c>
      <c r="BP110">
        <v>32</v>
      </c>
      <c r="BQ110">
        <v>53.1</v>
      </c>
      <c r="CA110" t="str">
        <f t="shared" si="18"/>
        <v>AllSexMaori232</v>
      </c>
      <c r="CB110" t="s">
        <v>17</v>
      </c>
      <c r="CC110" t="s">
        <v>18</v>
      </c>
      <c r="CD110">
        <v>23</v>
      </c>
      <c r="CE110">
        <v>2</v>
      </c>
      <c r="CF110">
        <v>23</v>
      </c>
      <c r="CG110">
        <v>21.986012527307501</v>
      </c>
      <c r="CH110">
        <v>9</v>
      </c>
      <c r="CJ110" t="str">
        <f t="shared" si="19"/>
        <v>AllSexOther23Poisoning by gases and vapours</v>
      </c>
      <c r="CK110" t="s">
        <v>17</v>
      </c>
      <c r="CL110" t="s">
        <v>45</v>
      </c>
      <c r="CM110" t="s">
        <v>46</v>
      </c>
      <c r="CN110">
        <v>23</v>
      </c>
      <c r="CO110">
        <v>67</v>
      </c>
      <c r="CP110">
        <v>583</v>
      </c>
      <c r="CQ110">
        <v>11.5</v>
      </c>
      <c r="CT110" t="str">
        <f t="shared" si="20"/>
        <v>2014AllSexAllEth9</v>
      </c>
      <c r="CU110">
        <v>2014</v>
      </c>
      <c r="CV110" t="s">
        <v>17</v>
      </c>
      <c r="CW110" t="s">
        <v>27</v>
      </c>
      <c r="CX110">
        <v>9</v>
      </c>
      <c r="CY110">
        <v>19</v>
      </c>
    </row>
    <row r="111" spans="1:103">
      <c r="A111" t="str">
        <f t="shared" si="12"/>
        <v>1998FemaleNon-Maori19</v>
      </c>
      <c r="B111">
        <v>1998</v>
      </c>
      <c r="C111" t="s">
        <v>8</v>
      </c>
      <c r="D111" t="s">
        <v>19</v>
      </c>
      <c r="E111">
        <v>19</v>
      </c>
      <c r="F111">
        <v>108</v>
      </c>
      <c r="G111">
        <v>6.1878498162513402</v>
      </c>
      <c r="H111">
        <v>1.2</v>
      </c>
      <c r="J111" s="340" t="str">
        <f t="shared" si="13"/>
        <v>2006AllSexMaori193</v>
      </c>
      <c r="K111">
        <v>2006</v>
      </c>
      <c r="L111" t="s">
        <v>17</v>
      </c>
      <c r="M111" t="s">
        <v>18</v>
      </c>
      <c r="N111">
        <v>19</v>
      </c>
      <c r="O111">
        <v>3</v>
      </c>
      <c r="P111">
        <v>13</v>
      </c>
      <c r="Q111">
        <v>14.744848230571399</v>
      </c>
      <c r="R111">
        <v>8</v>
      </c>
      <c r="T111" s="340" t="str">
        <f t="shared" si="15"/>
        <v>1996FemaleMaori21Poisoning by solids and liquids</v>
      </c>
      <c r="U111">
        <v>1996</v>
      </c>
      <c r="V111" t="s">
        <v>8</v>
      </c>
      <c r="W111" t="s">
        <v>18</v>
      </c>
      <c r="X111">
        <v>21</v>
      </c>
      <c r="Y111" t="s">
        <v>47</v>
      </c>
      <c r="Z111">
        <v>1</v>
      </c>
      <c r="AA111">
        <v>3</v>
      </c>
      <c r="AB111">
        <v>33.299999999999997</v>
      </c>
      <c r="AD111" s="340" t="str">
        <f t="shared" si="16"/>
        <v>20022006AllSexAllEth22Canterbury</v>
      </c>
      <c r="AE111" t="s">
        <v>17</v>
      </c>
      <c r="AF111" t="s">
        <v>27</v>
      </c>
      <c r="AG111">
        <v>22</v>
      </c>
      <c r="AH111">
        <v>18</v>
      </c>
      <c r="AI111" t="s">
        <v>71</v>
      </c>
      <c r="AJ111">
        <v>64</v>
      </c>
      <c r="AK111">
        <v>19.059531254653201</v>
      </c>
      <c r="AL111">
        <v>6.1</v>
      </c>
      <c r="AM111" t="s">
        <v>82</v>
      </c>
      <c r="AN111">
        <v>20022006</v>
      </c>
      <c r="AY111" t="str">
        <f t="shared" si="14"/>
        <v>2007FemaleUrban23</v>
      </c>
      <c r="AZ111">
        <v>2007</v>
      </c>
      <c r="BA111" t="s">
        <v>8</v>
      </c>
      <c r="BB111" t="s">
        <v>97</v>
      </c>
      <c r="BC111">
        <v>23</v>
      </c>
      <c r="BD111">
        <v>44</v>
      </c>
      <c r="BE111">
        <v>8.2418611621024205</v>
      </c>
      <c r="BF111">
        <v>2.4</v>
      </c>
      <c r="BH111" t="str">
        <f t="shared" si="17"/>
        <v>2016MaleMaori6</v>
      </c>
      <c r="BI111">
        <v>2016</v>
      </c>
      <c r="BJ111" t="s">
        <v>20</v>
      </c>
      <c r="BK111" t="s">
        <v>18</v>
      </c>
      <c r="BL111">
        <v>6</v>
      </c>
      <c r="BM111">
        <v>17</v>
      </c>
      <c r="BN111">
        <v>70.568700705686993</v>
      </c>
      <c r="BO111">
        <v>33.5</v>
      </c>
      <c r="BP111">
        <v>41</v>
      </c>
      <c r="BQ111">
        <v>41.5</v>
      </c>
      <c r="CA111" t="str">
        <f t="shared" si="18"/>
        <v>AllSexMaori233</v>
      </c>
      <c r="CB111" t="s">
        <v>17</v>
      </c>
      <c r="CC111" t="s">
        <v>18</v>
      </c>
      <c r="CD111">
        <v>23</v>
      </c>
      <c r="CE111">
        <v>3</v>
      </c>
      <c r="CF111">
        <v>36</v>
      </c>
      <c r="CG111">
        <v>24.709773022140499</v>
      </c>
      <c r="CH111">
        <v>8.1</v>
      </c>
      <c r="CJ111" t="str">
        <f t="shared" si="19"/>
        <v>AllSexOther24Poisoning by gases and vapours</v>
      </c>
      <c r="CK111" t="s">
        <v>17</v>
      </c>
      <c r="CL111" t="s">
        <v>45</v>
      </c>
      <c r="CM111" t="s">
        <v>46</v>
      </c>
      <c r="CN111">
        <v>24</v>
      </c>
      <c r="CO111">
        <v>93</v>
      </c>
      <c r="CP111">
        <v>700</v>
      </c>
      <c r="CQ111">
        <v>13.3</v>
      </c>
      <c r="CT111" t="str">
        <f t="shared" si="20"/>
        <v>2014AllSexMaori9</v>
      </c>
      <c r="CU111">
        <v>2014</v>
      </c>
      <c r="CV111" t="s">
        <v>17</v>
      </c>
      <c r="CW111" t="s">
        <v>18</v>
      </c>
      <c r="CX111">
        <v>9</v>
      </c>
      <c r="CY111">
        <v>3</v>
      </c>
    </row>
    <row r="112" spans="1:103">
      <c r="A112" t="str">
        <f t="shared" si="12"/>
        <v>1999FemaleNon-Maori19</v>
      </c>
      <c r="B112">
        <v>1999</v>
      </c>
      <c r="C112" t="s">
        <v>8</v>
      </c>
      <c r="D112" t="s">
        <v>19</v>
      </c>
      <c r="E112">
        <v>19</v>
      </c>
      <c r="F112">
        <v>112</v>
      </c>
      <c r="G112">
        <v>6.4624543900880198</v>
      </c>
      <c r="H112">
        <v>1.2</v>
      </c>
      <c r="J112" s="340" t="str">
        <f t="shared" si="13"/>
        <v>2006AllSexMaori194</v>
      </c>
      <c r="K112">
        <v>2006</v>
      </c>
      <c r="L112" t="s">
        <v>17</v>
      </c>
      <c r="M112" t="s">
        <v>18</v>
      </c>
      <c r="N112">
        <v>19</v>
      </c>
      <c r="O112">
        <v>4</v>
      </c>
      <c r="P112">
        <v>24</v>
      </c>
      <c r="Q112">
        <v>16.629745393731099</v>
      </c>
      <c r="R112">
        <v>6.7</v>
      </c>
      <c r="T112" s="340" t="str">
        <f t="shared" si="15"/>
        <v>1996FemaleMaori22Poisoning by solids and liquids</v>
      </c>
      <c r="U112">
        <v>1996</v>
      </c>
      <c r="V112" t="s">
        <v>8</v>
      </c>
      <c r="W112" t="s">
        <v>18</v>
      </c>
      <c r="X112">
        <v>22</v>
      </c>
      <c r="Y112" t="s">
        <v>47</v>
      </c>
      <c r="Z112">
        <v>1</v>
      </c>
      <c r="AA112">
        <v>9</v>
      </c>
      <c r="AB112">
        <v>11.1</v>
      </c>
      <c r="AD112" s="340" t="str">
        <f t="shared" si="16"/>
        <v>20022006AllSexAllEth22Capital &amp; Coast</v>
      </c>
      <c r="AE112" t="s">
        <v>17</v>
      </c>
      <c r="AF112" t="s">
        <v>27</v>
      </c>
      <c r="AG112">
        <v>22</v>
      </c>
      <c r="AH112">
        <v>13</v>
      </c>
      <c r="AI112" t="s">
        <v>66</v>
      </c>
      <c r="AJ112">
        <v>41</v>
      </c>
      <c r="AK112">
        <v>19.495958155016599</v>
      </c>
      <c r="AL112">
        <v>7.8</v>
      </c>
      <c r="AM112" t="s">
        <v>82</v>
      </c>
      <c r="AN112">
        <v>20022006</v>
      </c>
      <c r="AY112" t="str">
        <f t="shared" si="14"/>
        <v>2007FemaleRural24</v>
      </c>
      <c r="AZ112">
        <v>2007</v>
      </c>
      <c r="BA112" t="s">
        <v>8</v>
      </c>
      <c r="BB112" t="s">
        <v>96</v>
      </c>
      <c r="BC112">
        <v>24</v>
      </c>
      <c r="BD112">
        <v>6</v>
      </c>
      <c r="BE112">
        <v>7.1437075842362203</v>
      </c>
      <c r="BF112">
        <v>5.7</v>
      </c>
      <c r="BH112" t="str">
        <f t="shared" si="17"/>
        <v>2016MaleMaori7</v>
      </c>
      <c r="BI112">
        <v>2016</v>
      </c>
      <c r="BJ112" t="s">
        <v>20</v>
      </c>
      <c r="BK112" t="s">
        <v>18</v>
      </c>
      <c r="BL112">
        <v>7</v>
      </c>
      <c r="BM112">
        <v>13</v>
      </c>
      <c r="BN112">
        <v>69.854916711445497</v>
      </c>
      <c r="BO112">
        <v>38</v>
      </c>
      <c r="BP112">
        <v>44</v>
      </c>
      <c r="BQ112">
        <v>29.5</v>
      </c>
      <c r="CA112" t="str">
        <f t="shared" si="18"/>
        <v>AllSexMaori234</v>
      </c>
      <c r="CB112" t="s">
        <v>17</v>
      </c>
      <c r="CC112" t="s">
        <v>18</v>
      </c>
      <c r="CD112">
        <v>23</v>
      </c>
      <c r="CE112">
        <v>4</v>
      </c>
      <c r="CF112">
        <v>65</v>
      </c>
      <c r="CG112">
        <v>32.3081732664388</v>
      </c>
      <c r="CH112">
        <v>7.9</v>
      </c>
      <c r="CJ112" t="str">
        <f t="shared" si="19"/>
        <v>AllSexOther25Poisoning by gases and vapours</v>
      </c>
      <c r="CK112" t="s">
        <v>17</v>
      </c>
      <c r="CL112" t="s">
        <v>45</v>
      </c>
      <c r="CM112" t="s">
        <v>46</v>
      </c>
      <c r="CN112">
        <v>25</v>
      </c>
      <c r="CO112">
        <v>23</v>
      </c>
      <c r="CP112">
        <v>282</v>
      </c>
      <c r="CQ112">
        <v>8.1999999999999993</v>
      </c>
      <c r="CT112" t="str">
        <f t="shared" si="20"/>
        <v>2014AllSexNon-Maori9</v>
      </c>
      <c r="CU112">
        <v>2014</v>
      </c>
      <c r="CV112" t="s">
        <v>17</v>
      </c>
      <c r="CW112" t="s">
        <v>19</v>
      </c>
      <c r="CX112">
        <v>9</v>
      </c>
      <c r="CY112">
        <v>16</v>
      </c>
    </row>
    <row r="113" spans="1:103">
      <c r="A113" t="str">
        <f t="shared" si="12"/>
        <v>2000FemaleNon-Maori19</v>
      </c>
      <c r="B113">
        <v>2000</v>
      </c>
      <c r="C113" t="s">
        <v>8</v>
      </c>
      <c r="D113" t="s">
        <v>19</v>
      </c>
      <c r="E113">
        <v>19</v>
      </c>
      <c r="F113">
        <v>72</v>
      </c>
      <c r="G113">
        <v>4.1381655103116204</v>
      </c>
      <c r="H113">
        <v>1</v>
      </c>
      <c r="J113" s="340" t="str">
        <f t="shared" si="13"/>
        <v>2006AllSexMaori195</v>
      </c>
      <c r="K113">
        <v>2006</v>
      </c>
      <c r="L113" t="s">
        <v>17</v>
      </c>
      <c r="M113" t="s">
        <v>18</v>
      </c>
      <c r="N113">
        <v>19</v>
      </c>
      <c r="O113">
        <v>5</v>
      </c>
      <c r="P113">
        <v>54</v>
      </c>
      <c r="Q113">
        <v>21.657972259840701</v>
      </c>
      <c r="R113">
        <v>5.8</v>
      </c>
      <c r="T113" s="340" t="str">
        <f t="shared" si="15"/>
        <v>1996FemaleMaori23Poisoning by solids and liquids</v>
      </c>
      <c r="U113">
        <v>1996</v>
      </c>
      <c r="V113" t="s">
        <v>8</v>
      </c>
      <c r="W113" t="s">
        <v>18</v>
      </c>
      <c r="X113">
        <v>23</v>
      </c>
      <c r="Y113" t="s">
        <v>47</v>
      </c>
      <c r="Z113">
        <v>4</v>
      </c>
      <c r="AA113">
        <v>9</v>
      </c>
      <c r="AB113">
        <v>44.4</v>
      </c>
      <c r="AD113" s="340" t="str">
        <f t="shared" si="16"/>
        <v>20022006AllSexAllEth22Counties Manukau</v>
      </c>
      <c r="AE113" t="s">
        <v>17</v>
      </c>
      <c r="AF113" t="s">
        <v>27</v>
      </c>
      <c r="AG113">
        <v>22</v>
      </c>
      <c r="AH113">
        <v>4</v>
      </c>
      <c r="AI113" t="s">
        <v>57</v>
      </c>
      <c r="AJ113">
        <v>70</v>
      </c>
      <c r="AK113">
        <v>21.413276231263399</v>
      </c>
      <c r="AL113">
        <v>6.6</v>
      </c>
      <c r="AM113" t="s">
        <v>82</v>
      </c>
      <c r="AN113">
        <v>20022006</v>
      </c>
      <c r="AY113" t="str">
        <f t="shared" si="14"/>
        <v>2007FemaleUrban24</v>
      </c>
      <c r="AZ113">
        <v>2007</v>
      </c>
      <c r="BA113" t="s">
        <v>8</v>
      </c>
      <c r="BB113" t="s">
        <v>97</v>
      </c>
      <c r="BC113">
        <v>24</v>
      </c>
      <c r="BD113">
        <v>34</v>
      </c>
      <c r="BE113">
        <v>7.7724945135332799</v>
      </c>
      <c r="BF113">
        <v>2.6</v>
      </c>
      <c r="BH113" t="str">
        <f t="shared" si="17"/>
        <v>2016MaleMaori8</v>
      </c>
      <c r="BI113">
        <v>2016</v>
      </c>
      <c r="BJ113" t="s">
        <v>20</v>
      </c>
      <c r="BK113" t="s">
        <v>18</v>
      </c>
      <c r="BL113">
        <v>8</v>
      </c>
      <c r="BM113">
        <v>10</v>
      </c>
      <c r="BN113">
        <v>56.148231330713102</v>
      </c>
      <c r="BO113">
        <v>34.799999999999997</v>
      </c>
      <c r="BP113">
        <v>31</v>
      </c>
      <c r="BQ113">
        <v>32.299999999999997</v>
      </c>
      <c r="CA113" t="str">
        <f t="shared" si="18"/>
        <v>AllSexMaori235</v>
      </c>
      <c r="CB113" t="s">
        <v>17</v>
      </c>
      <c r="CC113" t="s">
        <v>18</v>
      </c>
      <c r="CD113">
        <v>23</v>
      </c>
      <c r="CE113">
        <v>5</v>
      </c>
      <c r="CF113">
        <v>111</v>
      </c>
      <c r="CG113">
        <v>34.0799883723734</v>
      </c>
      <c r="CH113">
        <v>6.3</v>
      </c>
      <c r="CJ113" t="str">
        <f t="shared" si="19"/>
        <v>AllSexOther21Poisoning by solids and liquids</v>
      </c>
      <c r="CK113" t="s">
        <v>17</v>
      </c>
      <c r="CL113" t="s">
        <v>45</v>
      </c>
      <c r="CM113" t="s">
        <v>47</v>
      </c>
      <c r="CN113">
        <v>21</v>
      </c>
      <c r="CO113">
        <v>1</v>
      </c>
      <c r="CP113">
        <v>9</v>
      </c>
      <c r="CQ113">
        <v>11.1</v>
      </c>
      <c r="CT113" t="str">
        <f t="shared" si="20"/>
        <v>2014FemaleAllEth9</v>
      </c>
      <c r="CU113">
        <v>2014</v>
      </c>
      <c r="CV113" t="s">
        <v>8</v>
      </c>
      <c r="CW113" t="s">
        <v>27</v>
      </c>
      <c r="CX113">
        <v>9</v>
      </c>
      <c r="CY113">
        <v>4</v>
      </c>
    </row>
    <row r="114" spans="1:103">
      <c r="A114" t="str">
        <f t="shared" si="12"/>
        <v>2001FemaleNon-Maori19</v>
      </c>
      <c r="B114">
        <v>2001</v>
      </c>
      <c r="C114" t="s">
        <v>8</v>
      </c>
      <c r="D114" t="s">
        <v>19</v>
      </c>
      <c r="E114">
        <v>19</v>
      </c>
      <c r="F114">
        <v>97</v>
      </c>
      <c r="G114">
        <v>5.3611446727339196</v>
      </c>
      <c r="H114">
        <v>1.1000000000000001</v>
      </c>
      <c r="J114" s="340" t="str">
        <f t="shared" si="13"/>
        <v>2007AllSexMaori191</v>
      </c>
      <c r="K114">
        <v>2007</v>
      </c>
      <c r="L114" t="s">
        <v>17</v>
      </c>
      <c r="M114" t="s">
        <v>18</v>
      </c>
      <c r="N114">
        <v>19</v>
      </c>
      <c r="O114">
        <v>1</v>
      </c>
      <c r="P114">
        <v>9</v>
      </c>
      <c r="Q114">
        <v>19.531752536884898</v>
      </c>
      <c r="R114">
        <v>12.8</v>
      </c>
      <c r="T114" s="340" t="str">
        <f t="shared" si="15"/>
        <v>1996FemaleMaori24Poisoning by solids and liquids</v>
      </c>
      <c r="U114">
        <v>1996</v>
      </c>
      <c r="V114" t="s">
        <v>8</v>
      </c>
      <c r="W114" t="s">
        <v>18</v>
      </c>
      <c r="X114">
        <v>24</v>
      </c>
      <c r="Y114" t="s">
        <v>47</v>
      </c>
      <c r="Z114">
        <v>1</v>
      </c>
      <c r="AA114">
        <v>3</v>
      </c>
      <c r="AB114">
        <v>33.299999999999997</v>
      </c>
      <c r="AD114" s="340" t="str">
        <f t="shared" si="16"/>
        <v>20022006AllSexAllEth22Hawke's Bay</v>
      </c>
      <c r="AE114" t="s">
        <v>17</v>
      </c>
      <c r="AF114" t="s">
        <v>27</v>
      </c>
      <c r="AG114">
        <v>22</v>
      </c>
      <c r="AH114">
        <v>9</v>
      </c>
      <c r="AI114" t="s">
        <v>62</v>
      </c>
      <c r="AJ114">
        <v>26</v>
      </c>
      <c r="AK114">
        <v>27.501586629997899</v>
      </c>
      <c r="AL114">
        <v>13.9</v>
      </c>
      <c r="AM114" t="s">
        <v>82</v>
      </c>
      <c r="AN114">
        <v>20022006</v>
      </c>
      <c r="AY114" t="str">
        <f t="shared" si="14"/>
        <v>2007FemaleRural25</v>
      </c>
      <c r="AZ114">
        <v>2007</v>
      </c>
      <c r="BA114" t="s">
        <v>8</v>
      </c>
      <c r="BB114" t="s">
        <v>96</v>
      </c>
      <c r="BC114">
        <v>25</v>
      </c>
      <c r="BD114">
        <v>0</v>
      </c>
      <c r="BE114">
        <v>0</v>
      </c>
      <c r="BH114" t="str">
        <f t="shared" si="17"/>
        <v>2016MaleMaori9</v>
      </c>
      <c r="BI114">
        <v>2016</v>
      </c>
      <c r="BJ114" t="s">
        <v>20</v>
      </c>
      <c r="BK114" t="s">
        <v>18</v>
      </c>
      <c r="BL114">
        <v>9</v>
      </c>
      <c r="BM114">
        <v>4</v>
      </c>
      <c r="BN114">
        <v>21.0748155953635</v>
      </c>
      <c r="BO114">
        <v>20.7</v>
      </c>
      <c r="BP114">
        <v>59</v>
      </c>
      <c r="BQ114">
        <v>6.8</v>
      </c>
      <c r="CA114" t="str">
        <f t="shared" si="18"/>
        <v>AllSexOther231</v>
      </c>
      <c r="CB114" t="s">
        <v>17</v>
      </c>
      <c r="CC114" t="s">
        <v>45</v>
      </c>
      <c r="CD114">
        <v>23</v>
      </c>
      <c r="CE114">
        <v>1</v>
      </c>
      <c r="CF114">
        <v>78</v>
      </c>
      <c r="CG114">
        <v>9.1573287140207604</v>
      </c>
      <c r="CH114">
        <v>2</v>
      </c>
      <c r="CJ114" t="str">
        <f t="shared" si="19"/>
        <v>AllSexOther22Poisoning by solids and liquids</v>
      </c>
      <c r="CK114" t="s">
        <v>17</v>
      </c>
      <c r="CL114" t="s">
        <v>45</v>
      </c>
      <c r="CM114" t="s">
        <v>47</v>
      </c>
      <c r="CN114">
        <v>22</v>
      </c>
      <c r="CO114">
        <v>11</v>
      </c>
      <c r="CP114">
        <v>267</v>
      </c>
      <c r="CQ114">
        <v>4.0999999999999996</v>
      </c>
      <c r="CT114" t="str">
        <f t="shared" si="20"/>
        <v>2014FemaleMaori9</v>
      </c>
      <c r="CU114">
        <v>2014</v>
      </c>
      <c r="CV114" t="s">
        <v>8</v>
      </c>
      <c r="CW114" t="s">
        <v>18</v>
      </c>
      <c r="CX114">
        <v>9</v>
      </c>
      <c r="CY114">
        <v>2</v>
      </c>
    </row>
    <row r="115" spans="1:103">
      <c r="A115" t="str">
        <f t="shared" si="12"/>
        <v>2002FemaleNon-Maori19</v>
      </c>
      <c r="B115">
        <v>2002</v>
      </c>
      <c r="C115" t="s">
        <v>8</v>
      </c>
      <c r="D115" t="s">
        <v>19</v>
      </c>
      <c r="E115">
        <v>19</v>
      </c>
      <c r="F115">
        <v>94</v>
      </c>
      <c r="G115">
        <v>5.26343516708328</v>
      </c>
      <c r="H115">
        <v>1.1000000000000001</v>
      </c>
      <c r="J115" s="340" t="str">
        <f t="shared" si="13"/>
        <v>2007AllSexMaori192</v>
      </c>
      <c r="K115">
        <v>2007</v>
      </c>
      <c r="L115" t="s">
        <v>17</v>
      </c>
      <c r="M115" t="s">
        <v>18</v>
      </c>
      <c r="N115">
        <v>19</v>
      </c>
      <c r="O115">
        <v>2</v>
      </c>
      <c r="P115">
        <v>6</v>
      </c>
      <c r="Q115">
        <v>8.1565810584055303</v>
      </c>
      <c r="R115">
        <v>6.5</v>
      </c>
      <c r="T115" s="340" t="str">
        <f t="shared" si="15"/>
        <v>1996FemaleMaori24Sharp object</v>
      </c>
      <c r="U115">
        <v>1996</v>
      </c>
      <c r="V115" t="s">
        <v>8</v>
      </c>
      <c r="W115" t="s">
        <v>18</v>
      </c>
      <c r="X115">
        <v>24</v>
      </c>
      <c r="Y115" t="s">
        <v>48</v>
      </c>
      <c r="Z115">
        <v>1</v>
      </c>
      <c r="AA115">
        <v>3</v>
      </c>
      <c r="AB115">
        <v>33.299999999999997</v>
      </c>
      <c r="AD115" s="340" t="str">
        <f t="shared" si="16"/>
        <v>20022006AllSexAllEth22Hutt Valley</v>
      </c>
      <c r="AE115" t="s">
        <v>17</v>
      </c>
      <c r="AF115" t="s">
        <v>27</v>
      </c>
      <c r="AG115">
        <v>22</v>
      </c>
      <c r="AH115">
        <v>14</v>
      </c>
      <c r="AI115" t="s">
        <v>67</v>
      </c>
      <c r="AJ115">
        <v>18</v>
      </c>
      <c r="AK115">
        <v>18.8976377952756</v>
      </c>
      <c r="AL115">
        <v>11.5</v>
      </c>
      <c r="AM115" t="s">
        <v>82</v>
      </c>
      <c r="AN115">
        <v>20022006</v>
      </c>
      <c r="AY115" t="str">
        <f t="shared" si="14"/>
        <v>2007FemaleUrban25</v>
      </c>
      <c r="AZ115">
        <v>2007</v>
      </c>
      <c r="BA115" t="s">
        <v>8</v>
      </c>
      <c r="BB115" t="s">
        <v>97</v>
      </c>
      <c r="BC115">
        <v>25</v>
      </c>
      <c r="BD115">
        <v>8</v>
      </c>
      <c r="BE115">
        <v>3.0790547301978299</v>
      </c>
      <c r="BF115">
        <v>2.1</v>
      </c>
      <c r="BH115" t="str">
        <f t="shared" si="17"/>
        <v>2016MaleMaori10</v>
      </c>
      <c r="BI115">
        <v>2016</v>
      </c>
      <c r="BJ115" t="s">
        <v>20</v>
      </c>
      <c r="BK115" t="s">
        <v>18</v>
      </c>
      <c r="BL115">
        <v>10</v>
      </c>
      <c r="BM115">
        <v>7</v>
      </c>
      <c r="BN115">
        <v>36.764705882352899</v>
      </c>
      <c r="BO115">
        <v>27.2</v>
      </c>
      <c r="BP115">
        <v>92</v>
      </c>
      <c r="BQ115">
        <v>7.6</v>
      </c>
      <c r="CA115" t="str">
        <f t="shared" si="18"/>
        <v>AllSexOther232</v>
      </c>
      <c r="CB115" t="s">
        <v>17</v>
      </c>
      <c r="CC115" t="s">
        <v>45</v>
      </c>
      <c r="CD115">
        <v>23</v>
      </c>
      <c r="CE115">
        <v>2</v>
      </c>
      <c r="CF115">
        <v>96</v>
      </c>
      <c r="CG115">
        <v>11.2032123316681</v>
      </c>
      <c r="CH115">
        <v>2.2000000000000002</v>
      </c>
      <c r="CJ115" t="str">
        <f t="shared" si="19"/>
        <v>AllSexOther23Poisoning by solids and liquids</v>
      </c>
      <c r="CK115" t="s">
        <v>17</v>
      </c>
      <c r="CL115" t="s">
        <v>45</v>
      </c>
      <c r="CM115" t="s">
        <v>47</v>
      </c>
      <c r="CN115">
        <v>23</v>
      </c>
      <c r="CO115">
        <v>61</v>
      </c>
      <c r="CP115">
        <v>583</v>
      </c>
      <c r="CQ115">
        <v>10.5</v>
      </c>
      <c r="CT115" t="str">
        <f t="shared" si="20"/>
        <v>2014FemaleNon-Maori9</v>
      </c>
      <c r="CU115">
        <v>2014</v>
      </c>
      <c r="CV115" t="s">
        <v>8</v>
      </c>
      <c r="CW115" t="s">
        <v>19</v>
      </c>
      <c r="CX115">
        <v>9</v>
      </c>
      <c r="CY115">
        <v>2</v>
      </c>
    </row>
    <row r="116" spans="1:103">
      <c r="A116" t="str">
        <f t="shared" si="12"/>
        <v>2003FemaleNon-Maori19</v>
      </c>
      <c r="B116">
        <v>2003</v>
      </c>
      <c r="C116" t="s">
        <v>8</v>
      </c>
      <c r="D116" t="s">
        <v>19</v>
      </c>
      <c r="E116">
        <v>19</v>
      </c>
      <c r="F116">
        <v>122</v>
      </c>
      <c r="G116">
        <v>6.4039999122093398</v>
      </c>
      <c r="H116">
        <v>1.1000000000000001</v>
      </c>
      <c r="J116" s="340" t="str">
        <f t="shared" si="13"/>
        <v>2007AllSexMaori193</v>
      </c>
      <c r="K116">
        <v>2007</v>
      </c>
      <c r="L116" t="s">
        <v>17</v>
      </c>
      <c r="M116" t="s">
        <v>18</v>
      </c>
      <c r="N116">
        <v>19</v>
      </c>
      <c r="O116">
        <v>3</v>
      </c>
      <c r="P116">
        <v>18</v>
      </c>
      <c r="Q116">
        <v>18.388081375555899</v>
      </c>
      <c r="R116">
        <v>8.5</v>
      </c>
      <c r="T116" s="340" t="str">
        <f t="shared" si="15"/>
        <v>1996FemaleNon-Maori21Hanging, strangulation and suffocation</v>
      </c>
      <c r="U116">
        <v>1996</v>
      </c>
      <c r="V116" t="s">
        <v>8</v>
      </c>
      <c r="W116" t="s">
        <v>19</v>
      </c>
      <c r="X116">
        <v>21</v>
      </c>
      <c r="Y116" t="s">
        <v>43</v>
      </c>
      <c r="Z116">
        <v>1</v>
      </c>
      <c r="AA116">
        <v>1</v>
      </c>
      <c r="AB116">
        <v>100</v>
      </c>
      <c r="AD116" s="340" t="str">
        <f t="shared" si="16"/>
        <v>20022006AllSexAllEth22Lakes</v>
      </c>
      <c r="AE116" t="s">
        <v>17</v>
      </c>
      <c r="AF116" t="s">
        <v>27</v>
      </c>
      <c r="AG116">
        <v>22</v>
      </c>
      <c r="AH116">
        <v>6</v>
      </c>
      <c r="AI116" t="s">
        <v>59</v>
      </c>
      <c r="AJ116">
        <v>14</v>
      </c>
      <c r="AK116">
        <v>21.087513179695701</v>
      </c>
      <c r="AL116">
        <v>14.5</v>
      </c>
      <c r="AM116" t="s">
        <v>82</v>
      </c>
      <c r="AN116">
        <v>20022006</v>
      </c>
      <c r="AY116" t="str">
        <f t="shared" si="14"/>
        <v>2007MaleRural22</v>
      </c>
      <c r="AZ116">
        <v>2007</v>
      </c>
      <c r="BA116" t="s">
        <v>20</v>
      </c>
      <c r="BB116" t="s">
        <v>96</v>
      </c>
      <c r="BC116">
        <v>22</v>
      </c>
      <c r="BD116">
        <v>11</v>
      </c>
      <c r="BE116">
        <v>31.108597285067901</v>
      </c>
      <c r="BF116">
        <v>18.399999999999999</v>
      </c>
      <c r="BH116" t="str">
        <f t="shared" si="17"/>
        <v>2016MaleMaori11</v>
      </c>
      <c r="BI116">
        <v>2016</v>
      </c>
      <c r="BJ116" t="s">
        <v>20</v>
      </c>
      <c r="BK116" t="s">
        <v>18</v>
      </c>
      <c r="BL116">
        <v>11</v>
      </c>
      <c r="BM116">
        <v>5</v>
      </c>
      <c r="BN116">
        <v>27.5938189845475</v>
      </c>
      <c r="BO116">
        <v>24.2</v>
      </c>
      <c r="BP116">
        <v>137</v>
      </c>
      <c r="BQ116">
        <v>3.6</v>
      </c>
      <c r="CA116" t="str">
        <f t="shared" si="18"/>
        <v>AllSexOther233</v>
      </c>
      <c r="CB116" t="s">
        <v>17</v>
      </c>
      <c r="CC116" t="s">
        <v>45</v>
      </c>
      <c r="CD116">
        <v>23</v>
      </c>
      <c r="CE116">
        <v>3</v>
      </c>
      <c r="CF116">
        <v>116</v>
      </c>
      <c r="CG116">
        <v>14.3628721140089</v>
      </c>
      <c r="CH116">
        <v>2.6</v>
      </c>
      <c r="CJ116" t="str">
        <f t="shared" si="19"/>
        <v>AllSexOther24Poisoning by solids and liquids</v>
      </c>
      <c r="CK116" t="s">
        <v>17</v>
      </c>
      <c r="CL116" t="s">
        <v>45</v>
      </c>
      <c r="CM116" t="s">
        <v>47</v>
      </c>
      <c r="CN116">
        <v>24</v>
      </c>
      <c r="CO116">
        <v>126</v>
      </c>
      <c r="CP116">
        <v>700</v>
      </c>
      <c r="CQ116">
        <v>18</v>
      </c>
      <c r="CT116" t="str">
        <f t="shared" si="20"/>
        <v>2014MaleAllEth9</v>
      </c>
      <c r="CU116">
        <v>2014</v>
      </c>
      <c r="CV116" t="s">
        <v>20</v>
      </c>
      <c r="CW116" t="s">
        <v>27</v>
      </c>
      <c r="CX116">
        <v>9</v>
      </c>
      <c r="CY116">
        <v>15</v>
      </c>
    </row>
    <row r="117" spans="1:103">
      <c r="A117" t="str">
        <f t="shared" si="12"/>
        <v>2004FemaleNon-Maori19</v>
      </c>
      <c r="B117">
        <v>2004</v>
      </c>
      <c r="C117" t="s">
        <v>8</v>
      </c>
      <c r="D117" t="s">
        <v>19</v>
      </c>
      <c r="E117">
        <v>19</v>
      </c>
      <c r="F117">
        <v>84</v>
      </c>
      <c r="G117">
        <v>4.5051607691466504</v>
      </c>
      <c r="H117">
        <v>1</v>
      </c>
      <c r="J117" s="340" t="str">
        <f t="shared" si="13"/>
        <v>2007AllSexMaori194</v>
      </c>
      <c r="K117">
        <v>2007</v>
      </c>
      <c r="L117" t="s">
        <v>17</v>
      </c>
      <c r="M117" t="s">
        <v>18</v>
      </c>
      <c r="N117">
        <v>19</v>
      </c>
      <c r="O117">
        <v>4</v>
      </c>
      <c r="P117">
        <v>16</v>
      </c>
      <c r="Q117">
        <v>11.358463125385599</v>
      </c>
      <c r="R117">
        <v>5.6</v>
      </c>
      <c r="T117" s="340" t="str">
        <f t="shared" si="15"/>
        <v>1996FemaleNon-Maori22Hanging, strangulation and suffocation</v>
      </c>
      <c r="U117">
        <v>1996</v>
      </c>
      <c r="V117" t="s">
        <v>8</v>
      </c>
      <c r="W117" t="s">
        <v>19</v>
      </c>
      <c r="X117">
        <v>22</v>
      </c>
      <c r="Y117" t="s">
        <v>43</v>
      </c>
      <c r="Z117">
        <v>10</v>
      </c>
      <c r="AA117">
        <v>29</v>
      </c>
      <c r="AB117">
        <v>34.5</v>
      </c>
      <c r="AD117" s="340" t="str">
        <f t="shared" si="16"/>
        <v>20022006AllSexAllEth22MidCentral</v>
      </c>
      <c r="AE117" t="s">
        <v>17</v>
      </c>
      <c r="AF117" t="s">
        <v>27</v>
      </c>
      <c r="AG117">
        <v>22</v>
      </c>
      <c r="AH117">
        <v>11</v>
      </c>
      <c r="AI117" t="s">
        <v>64</v>
      </c>
      <c r="AJ117">
        <v>22</v>
      </c>
      <c r="AK117">
        <v>17.514529098001798</v>
      </c>
      <c r="AL117">
        <v>9.6</v>
      </c>
      <c r="AM117" t="s">
        <v>82</v>
      </c>
      <c r="AN117">
        <v>20022006</v>
      </c>
      <c r="AY117" t="str">
        <f t="shared" si="14"/>
        <v>2007MaleUrban22</v>
      </c>
      <c r="AZ117">
        <v>2007</v>
      </c>
      <c r="BA117" t="s">
        <v>20</v>
      </c>
      <c r="BB117" t="s">
        <v>97</v>
      </c>
      <c r="BC117">
        <v>22</v>
      </c>
      <c r="BD117">
        <v>59</v>
      </c>
      <c r="BE117">
        <v>21.889956591103001</v>
      </c>
      <c r="BF117">
        <v>5.6</v>
      </c>
      <c r="BH117" t="str">
        <f t="shared" si="17"/>
        <v>2016MaleMaori12</v>
      </c>
      <c r="BI117">
        <v>2016</v>
      </c>
      <c r="BJ117" t="s">
        <v>20</v>
      </c>
      <c r="BK117" t="s">
        <v>18</v>
      </c>
      <c r="BL117">
        <v>12</v>
      </c>
      <c r="BM117">
        <v>2</v>
      </c>
      <c r="BN117">
        <v>13.080444735121</v>
      </c>
      <c r="BO117">
        <v>18.100000000000001</v>
      </c>
      <c r="BP117">
        <v>180</v>
      </c>
      <c r="BQ117">
        <v>1.1000000000000001</v>
      </c>
      <c r="CA117" t="str">
        <f t="shared" si="18"/>
        <v>AllSexOther234</v>
      </c>
      <c r="CB117" t="s">
        <v>17</v>
      </c>
      <c r="CC117" t="s">
        <v>45</v>
      </c>
      <c r="CD117">
        <v>23</v>
      </c>
      <c r="CE117">
        <v>4</v>
      </c>
      <c r="CF117">
        <v>144</v>
      </c>
      <c r="CG117">
        <v>21.0825923737309</v>
      </c>
      <c r="CH117">
        <v>3.4</v>
      </c>
      <c r="CJ117" t="str">
        <f t="shared" si="19"/>
        <v>AllSexOther25Poisoning by solids and liquids</v>
      </c>
      <c r="CK117" t="s">
        <v>17</v>
      </c>
      <c r="CL117" t="s">
        <v>45</v>
      </c>
      <c r="CM117" t="s">
        <v>47</v>
      </c>
      <c r="CN117">
        <v>25</v>
      </c>
      <c r="CO117">
        <v>61</v>
      </c>
      <c r="CP117">
        <v>282</v>
      </c>
      <c r="CQ117">
        <v>21.6</v>
      </c>
      <c r="CT117" t="str">
        <f t="shared" si="20"/>
        <v>2014MaleMaori9</v>
      </c>
      <c r="CU117">
        <v>2014</v>
      </c>
      <c r="CV117" t="s">
        <v>20</v>
      </c>
      <c r="CW117" t="s">
        <v>18</v>
      </c>
      <c r="CX117">
        <v>9</v>
      </c>
      <c r="CY117">
        <v>1</v>
      </c>
    </row>
    <row r="118" spans="1:103">
      <c r="A118" t="str">
        <f t="shared" si="12"/>
        <v>2005FemaleNon-Maori19</v>
      </c>
      <c r="B118">
        <v>2005</v>
      </c>
      <c r="C118" t="s">
        <v>8</v>
      </c>
      <c r="D118" t="s">
        <v>19</v>
      </c>
      <c r="E118">
        <v>19</v>
      </c>
      <c r="F118">
        <v>105</v>
      </c>
      <c r="G118">
        <v>5.2590011370533496</v>
      </c>
      <c r="H118">
        <v>1</v>
      </c>
      <c r="J118" s="340" t="str">
        <f t="shared" si="13"/>
        <v>2007AllSexMaori195</v>
      </c>
      <c r="K118">
        <v>2007</v>
      </c>
      <c r="L118" t="s">
        <v>17</v>
      </c>
      <c r="M118" t="s">
        <v>18</v>
      </c>
      <c r="N118">
        <v>19</v>
      </c>
      <c r="O118">
        <v>5</v>
      </c>
      <c r="P118">
        <v>47</v>
      </c>
      <c r="Q118">
        <v>19.169053604398101</v>
      </c>
      <c r="R118">
        <v>5.5</v>
      </c>
      <c r="T118" s="340" t="str">
        <f t="shared" si="15"/>
        <v>1996FemaleNon-Maori23Hanging, strangulation and suffocation</v>
      </c>
      <c r="U118">
        <v>1996</v>
      </c>
      <c r="V118" t="s">
        <v>8</v>
      </c>
      <c r="W118" t="s">
        <v>19</v>
      </c>
      <c r="X118">
        <v>23</v>
      </c>
      <c r="Y118" t="s">
        <v>43</v>
      </c>
      <c r="Z118">
        <v>7</v>
      </c>
      <c r="AA118">
        <v>25</v>
      </c>
      <c r="AB118">
        <v>28</v>
      </c>
      <c r="AD118" s="340" t="str">
        <f t="shared" si="16"/>
        <v>20022006AllSexAllEth22Nelson Marlborough</v>
      </c>
      <c r="AE118" t="s">
        <v>17</v>
      </c>
      <c r="AF118" t="s">
        <v>27</v>
      </c>
      <c r="AG118">
        <v>22</v>
      </c>
      <c r="AH118">
        <v>16</v>
      </c>
      <c r="AI118" t="s">
        <v>69</v>
      </c>
      <c r="AJ118">
        <v>12</v>
      </c>
      <c r="AK118">
        <v>15.862524785194999</v>
      </c>
      <c r="AL118">
        <v>11.8</v>
      </c>
      <c r="AM118" t="s">
        <v>82</v>
      </c>
      <c r="AN118">
        <v>20022006</v>
      </c>
      <c r="AY118" t="str">
        <f t="shared" si="14"/>
        <v>2007MaleRural23</v>
      </c>
      <c r="AZ118">
        <v>2007</v>
      </c>
      <c r="BA118" t="s">
        <v>20</v>
      </c>
      <c r="BB118" t="s">
        <v>96</v>
      </c>
      <c r="BC118">
        <v>23</v>
      </c>
      <c r="BD118">
        <v>26</v>
      </c>
      <c r="BE118">
        <v>35.163646199621297</v>
      </c>
      <c r="BF118">
        <v>13.5</v>
      </c>
      <c r="BH118" t="str">
        <f t="shared" si="17"/>
        <v>2016MaleMaori13</v>
      </c>
      <c r="BI118">
        <v>2016</v>
      </c>
      <c r="BJ118" t="s">
        <v>20</v>
      </c>
      <c r="BK118" t="s">
        <v>18</v>
      </c>
      <c r="BL118">
        <v>13</v>
      </c>
      <c r="BM118">
        <v>1</v>
      </c>
      <c r="BN118">
        <v>8.7260034904013999</v>
      </c>
      <c r="BO118">
        <v>17.100000000000001</v>
      </c>
      <c r="BP118">
        <v>202</v>
      </c>
      <c r="BQ118">
        <v>0.5</v>
      </c>
      <c r="CA118" t="str">
        <f t="shared" si="18"/>
        <v>AllSexOther235</v>
      </c>
      <c r="CB118" t="s">
        <v>17</v>
      </c>
      <c r="CC118" t="s">
        <v>45</v>
      </c>
      <c r="CD118">
        <v>23</v>
      </c>
      <c r="CE118">
        <v>5</v>
      </c>
      <c r="CF118">
        <v>128</v>
      </c>
      <c r="CG118">
        <v>30.479524983387801</v>
      </c>
      <c r="CH118">
        <v>5.3</v>
      </c>
      <c r="CJ118" t="str">
        <f t="shared" si="19"/>
        <v>AllSexOther22Sharp object</v>
      </c>
      <c r="CK118" t="s">
        <v>17</v>
      </c>
      <c r="CL118" t="s">
        <v>45</v>
      </c>
      <c r="CM118" t="s">
        <v>48</v>
      </c>
      <c r="CN118">
        <v>22</v>
      </c>
      <c r="CO118">
        <v>3</v>
      </c>
      <c r="CP118">
        <v>267</v>
      </c>
      <c r="CQ118">
        <v>1.1000000000000001</v>
      </c>
      <c r="CT118" t="str">
        <f t="shared" si="20"/>
        <v>2014MaleNon-Maori9</v>
      </c>
      <c r="CU118">
        <v>2014</v>
      </c>
      <c r="CV118" t="s">
        <v>20</v>
      </c>
      <c r="CW118" t="s">
        <v>19</v>
      </c>
      <c r="CX118">
        <v>9</v>
      </c>
      <c r="CY118">
        <v>14</v>
      </c>
    </row>
    <row r="119" spans="1:103">
      <c r="A119" t="str">
        <f t="shared" si="12"/>
        <v>2006FemaleNon-Maori19</v>
      </c>
      <c r="B119">
        <v>2006</v>
      </c>
      <c r="C119" t="s">
        <v>8</v>
      </c>
      <c r="D119" t="s">
        <v>19</v>
      </c>
      <c r="E119">
        <v>19</v>
      </c>
      <c r="F119">
        <v>104</v>
      </c>
      <c r="G119">
        <v>5.2009651380039701</v>
      </c>
      <c r="H119">
        <v>1</v>
      </c>
      <c r="J119" s="340" t="str">
        <f t="shared" si="13"/>
        <v>2008AllSexMaori191</v>
      </c>
      <c r="K119">
        <v>2008</v>
      </c>
      <c r="L119" t="s">
        <v>17</v>
      </c>
      <c r="M119" t="s">
        <v>18</v>
      </c>
      <c r="N119">
        <v>19</v>
      </c>
      <c r="O119">
        <v>1</v>
      </c>
      <c r="P119">
        <v>3</v>
      </c>
      <c r="Q119">
        <v>6.2774543550903399</v>
      </c>
      <c r="R119">
        <v>7.1</v>
      </c>
      <c r="T119" s="340" t="str">
        <f t="shared" si="15"/>
        <v>1996FemaleNon-Maori24Hanging, strangulation and suffocation</v>
      </c>
      <c r="U119">
        <v>1996</v>
      </c>
      <c r="V119" t="s">
        <v>8</v>
      </c>
      <c r="W119" t="s">
        <v>19</v>
      </c>
      <c r="X119">
        <v>24</v>
      </c>
      <c r="Y119" t="s">
        <v>43</v>
      </c>
      <c r="Z119">
        <v>4</v>
      </c>
      <c r="AA119">
        <v>19</v>
      </c>
      <c r="AB119">
        <v>21.1</v>
      </c>
      <c r="AD119" s="340" t="str">
        <f t="shared" si="16"/>
        <v>20022006AllSexAllEth22Northland</v>
      </c>
      <c r="AE119" t="s">
        <v>17</v>
      </c>
      <c r="AF119" t="s">
        <v>27</v>
      </c>
      <c r="AG119">
        <v>22</v>
      </c>
      <c r="AH119">
        <v>1</v>
      </c>
      <c r="AI119" t="s">
        <v>54</v>
      </c>
      <c r="AJ119">
        <v>21</v>
      </c>
      <c r="AK119">
        <v>23.771790808240901</v>
      </c>
      <c r="AL119">
        <v>13.4</v>
      </c>
      <c r="AM119" t="s">
        <v>82</v>
      </c>
      <c r="AN119">
        <v>20022006</v>
      </c>
      <c r="AY119" t="str">
        <f t="shared" si="14"/>
        <v>2007MaleUrban23</v>
      </c>
      <c r="AZ119">
        <v>2007</v>
      </c>
      <c r="BA119" t="s">
        <v>20</v>
      </c>
      <c r="BB119" t="s">
        <v>97</v>
      </c>
      <c r="BC119">
        <v>23</v>
      </c>
      <c r="BD119">
        <v>139</v>
      </c>
      <c r="BE119">
        <v>28.263521756811699</v>
      </c>
      <c r="BF119">
        <v>4.7</v>
      </c>
      <c r="BH119" t="str">
        <f t="shared" si="17"/>
        <v>2016MaleMaori14</v>
      </c>
      <c r="BI119">
        <v>2016</v>
      </c>
      <c r="BJ119" t="s">
        <v>20</v>
      </c>
      <c r="BK119" t="s">
        <v>18</v>
      </c>
      <c r="BL119">
        <v>14</v>
      </c>
      <c r="BM119">
        <v>1</v>
      </c>
      <c r="BN119">
        <v>11.8764845605701</v>
      </c>
      <c r="BO119">
        <v>23.3</v>
      </c>
      <c r="BP119">
        <v>217</v>
      </c>
      <c r="BQ119">
        <v>0.5</v>
      </c>
      <c r="CA119" t="str">
        <f t="shared" si="18"/>
        <v>AllSexPacific231</v>
      </c>
      <c r="CB119" t="s">
        <v>17</v>
      </c>
      <c r="CC119" t="s">
        <v>79</v>
      </c>
      <c r="CD119">
        <v>23</v>
      </c>
      <c r="CE119">
        <v>1</v>
      </c>
      <c r="CF119">
        <v>2</v>
      </c>
      <c r="CG119">
        <v>9.3997236638191008</v>
      </c>
      <c r="CH119">
        <v>13</v>
      </c>
      <c r="CJ119" t="str">
        <f t="shared" si="19"/>
        <v>AllSexOther23Sharp object</v>
      </c>
      <c r="CK119" t="s">
        <v>17</v>
      </c>
      <c r="CL119" t="s">
        <v>45</v>
      </c>
      <c r="CM119" t="s">
        <v>48</v>
      </c>
      <c r="CN119">
        <v>23</v>
      </c>
      <c r="CO119">
        <v>12</v>
      </c>
      <c r="CP119">
        <v>583</v>
      </c>
      <c r="CQ119">
        <v>2.1</v>
      </c>
      <c r="CT119" t="str">
        <f t="shared" si="20"/>
        <v>2015AllSexAllEth9</v>
      </c>
      <c r="CU119">
        <v>2015</v>
      </c>
      <c r="CV119" t="s">
        <v>17</v>
      </c>
      <c r="CW119" t="s">
        <v>27</v>
      </c>
      <c r="CX119">
        <v>9</v>
      </c>
      <c r="CY119">
        <v>7</v>
      </c>
    </row>
    <row r="120" spans="1:103">
      <c r="A120" t="str">
        <f t="shared" si="12"/>
        <v>2007FemaleNon-Maori19</v>
      </c>
      <c r="B120">
        <v>2007</v>
      </c>
      <c r="C120" t="s">
        <v>8</v>
      </c>
      <c r="D120" t="s">
        <v>19</v>
      </c>
      <c r="E120">
        <v>19</v>
      </c>
      <c r="F120">
        <v>97</v>
      </c>
      <c r="G120">
        <v>4.6012421251756503</v>
      </c>
      <c r="H120">
        <v>0.9</v>
      </c>
      <c r="J120" s="340" t="str">
        <f t="shared" si="13"/>
        <v>2008AllSexMaori192</v>
      </c>
      <c r="K120">
        <v>2008</v>
      </c>
      <c r="L120" t="s">
        <v>17</v>
      </c>
      <c r="M120" t="s">
        <v>18</v>
      </c>
      <c r="N120">
        <v>19</v>
      </c>
      <c r="O120">
        <v>2</v>
      </c>
      <c r="P120">
        <v>7</v>
      </c>
      <c r="Q120">
        <v>9.4013724061805295</v>
      </c>
      <c r="R120">
        <v>7</v>
      </c>
      <c r="T120" s="340" t="str">
        <f t="shared" si="15"/>
        <v>1996FemaleNon-Maori25Hanging, strangulation and suffocation</v>
      </c>
      <c r="U120">
        <v>1996</v>
      </c>
      <c r="V120" t="s">
        <v>8</v>
      </c>
      <c r="W120" t="s">
        <v>19</v>
      </c>
      <c r="X120">
        <v>25</v>
      </c>
      <c r="Y120" t="s">
        <v>43</v>
      </c>
      <c r="Z120">
        <v>4</v>
      </c>
      <c r="AA120">
        <v>13</v>
      </c>
      <c r="AB120">
        <v>30.8</v>
      </c>
      <c r="AD120" s="340" t="str">
        <f t="shared" si="16"/>
        <v>20022006AllSexAllEth22South Canterbury</v>
      </c>
      <c r="AE120" t="s">
        <v>17</v>
      </c>
      <c r="AF120" t="s">
        <v>27</v>
      </c>
      <c r="AG120">
        <v>22</v>
      </c>
      <c r="AH120">
        <v>19</v>
      </c>
      <c r="AI120" t="s">
        <v>72</v>
      </c>
      <c r="AJ120">
        <v>6</v>
      </c>
      <c r="AK120">
        <v>20.215633423180599</v>
      </c>
      <c r="AL120">
        <v>21.3</v>
      </c>
      <c r="AM120" t="s">
        <v>82</v>
      </c>
      <c r="AN120">
        <v>20022006</v>
      </c>
      <c r="AY120" t="str">
        <f t="shared" si="14"/>
        <v>2007MaleRural24</v>
      </c>
      <c r="AZ120">
        <v>2007</v>
      </c>
      <c r="BA120" t="s">
        <v>20</v>
      </c>
      <c r="BB120" t="s">
        <v>96</v>
      </c>
      <c r="BC120">
        <v>24</v>
      </c>
      <c r="BD120">
        <v>14</v>
      </c>
      <c r="BE120">
        <v>15.612802498048399</v>
      </c>
      <c r="BF120">
        <v>8.1999999999999993</v>
      </c>
      <c r="BH120" t="str">
        <f t="shared" si="17"/>
        <v>2016MaleMaori16</v>
      </c>
      <c r="BI120">
        <v>2016</v>
      </c>
      <c r="BJ120" t="s">
        <v>20</v>
      </c>
      <c r="BK120" t="s">
        <v>18</v>
      </c>
      <c r="BL120">
        <v>16</v>
      </c>
      <c r="BM120">
        <v>1</v>
      </c>
      <c r="BN120">
        <v>29.761904761904798</v>
      </c>
      <c r="BO120">
        <v>58.3</v>
      </c>
      <c r="BP120">
        <v>209</v>
      </c>
      <c r="BQ120">
        <v>0.5</v>
      </c>
      <c r="CA120" t="str">
        <f t="shared" si="18"/>
        <v>AllSexPacific232</v>
      </c>
      <c r="CB120" t="s">
        <v>17</v>
      </c>
      <c r="CC120" t="s">
        <v>79</v>
      </c>
      <c r="CD120">
        <v>23</v>
      </c>
      <c r="CE120">
        <v>2</v>
      </c>
      <c r="CF120">
        <v>5</v>
      </c>
      <c r="CG120">
        <v>15.2197531544859</v>
      </c>
      <c r="CH120">
        <v>13.3</v>
      </c>
      <c r="CJ120" t="str">
        <f t="shared" si="19"/>
        <v>AllSexOther24Sharp object</v>
      </c>
      <c r="CK120" t="s">
        <v>17</v>
      </c>
      <c r="CL120" t="s">
        <v>45</v>
      </c>
      <c r="CM120" t="s">
        <v>48</v>
      </c>
      <c r="CN120">
        <v>24</v>
      </c>
      <c r="CO120">
        <v>20</v>
      </c>
      <c r="CP120">
        <v>700</v>
      </c>
      <c r="CQ120">
        <v>2.9</v>
      </c>
      <c r="CT120" t="str">
        <f t="shared" si="20"/>
        <v>2015AllSexNon-Maori9</v>
      </c>
      <c r="CU120">
        <v>2015</v>
      </c>
      <c r="CV120" t="s">
        <v>17</v>
      </c>
      <c r="CW120" t="s">
        <v>19</v>
      </c>
      <c r="CX120">
        <v>9</v>
      </c>
      <c r="CY120">
        <v>7</v>
      </c>
    </row>
    <row r="121" spans="1:103">
      <c r="A121" t="str">
        <f t="shared" si="12"/>
        <v>2008FemaleNon-Maori19</v>
      </c>
      <c r="B121">
        <v>2008</v>
      </c>
      <c r="C121" t="s">
        <v>8</v>
      </c>
      <c r="D121" t="s">
        <v>19</v>
      </c>
      <c r="E121">
        <v>19</v>
      </c>
      <c r="F121">
        <v>108</v>
      </c>
      <c r="G121">
        <v>5.4589151940525902</v>
      </c>
      <c r="H121">
        <v>1</v>
      </c>
      <c r="J121" s="340" t="str">
        <f t="shared" si="13"/>
        <v>2008AllSexMaori193</v>
      </c>
      <c r="K121">
        <v>2008</v>
      </c>
      <c r="L121" t="s">
        <v>17</v>
      </c>
      <c r="M121" t="s">
        <v>18</v>
      </c>
      <c r="N121">
        <v>19</v>
      </c>
      <c r="O121">
        <v>3</v>
      </c>
      <c r="P121">
        <v>15</v>
      </c>
      <c r="Q121">
        <v>15.677335095772801</v>
      </c>
      <c r="R121">
        <v>7.9</v>
      </c>
      <c r="T121" s="340" t="str">
        <f t="shared" si="15"/>
        <v>1996FemaleNon-Maori22Jumping from a high place</v>
      </c>
      <c r="U121">
        <v>1996</v>
      </c>
      <c r="V121" t="s">
        <v>8</v>
      </c>
      <c r="W121" t="s">
        <v>19</v>
      </c>
      <c r="X121">
        <v>22</v>
      </c>
      <c r="Y121" t="s">
        <v>44</v>
      </c>
      <c r="Z121">
        <v>1</v>
      </c>
      <c r="AA121">
        <v>29</v>
      </c>
      <c r="AB121">
        <v>3.4</v>
      </c>
      <c r="AD121" s="340" t="str">
        <f t="shared" si="16"/>
        <v>20022006AllSexAllEth22Southern</v>
      </c>
      <c r="AE121" t="s">
        <v>17</v>
      </c>
      <c r="AF121" t="s">
        <v>27</v>
      </c>
      <c r="AG121">
        <v>22</v>
      </c>
      <c r="AH121">
        <v>20</v>
      </c>
      <c r="AI121" t="s">
        <v>73</v>
      </c>
      <c r="AJ121">
        <v>48</v>
      </c>
      <c r="AK121">
        <v>20.638060022357902</v>
      </c>
      <c r="AL121">
        <v>7.7</v>
      </c>
      <c r="AM121" t="s">
        <v>82</v>
      </c>
      <c r="AN121">
        <v>20022006</v>
      </c>
      <c r="AY121" t="str">
        <f t="shared" si="14"/>
        <v>2007MaleUrban24</v>
      </c>
      <c r="AZ121">
        <v>2007</v>
      </c>
      <c r="BA121" t="s">
        <v>20</v>
      </c>
      <c r="BB121" t="s">
        <v>97</v>
      </c>
      <c r="BC121">
        <v>24</v>
      </c>
      <c r="BD121">
        <v>86</v>
      </c>
      <c r="BE121">
        <v>20.821732077573099</v>
      </c>
      <c r="BF121">
        <v>4.4000000000000004</v>
      </c>
      <c r="BH121" t="str">
        <f t="shared" si="17"/>
        <v>2016MaleMaori18</v>
      </c>
      <c r="BI121">
        <v>2016</v>
      </c>
      <c r="BJ121" t="s">
        <v>20</v>
      </c>
      <c r="BK121" t="s">
        <v>18</v>
      </c>
      <c r="BL121">
        <v>18</v>
      </c>
      <c r="BM121">
        <v>1</v>
      </c>
      <c r="BN121">
        <v>121.951219512195</v>
      </c>
      <c r="BO121">
        <v>239</v>
      </c>
      <c r="BP121">
        <v>124</v>
      </c>
      <c r="BQ121">
        <v>0.8</v>
      </c>
      <c r="CA121" t="str">
        <f t="shared" si="18"/>
        <v>AllSexPacific233</v>
      </c>
      <c r="CB121" t="s">
        <v>17</v>
      </c>
      <c r="CC121" t="s">
        <v>79</v>
      </c>
      <c r="CD121">
        <v>23</v>
      </c>
      <c r="CE121">
        <v>3</v>
      </c>
      <c r="CF121">
        <v>5</v>
      </c>
      <c r="CG121">
        <v>10.1247782792822</v>
      </c>
      <c r="CH121">
        <v>8.9</v>
      </c>
      <c r="CJ121" t="str">
        <f t="shared" si="19"/>
        <v>AllSexOther25Sharp object</v>
      </c>
      <c r="CK121" t="s">
        <v>17</v>
      </c>
      <c r="CL121" t="s">
        <v>45</v>
      </c>
      <c r="CM121" t="s">
        <v>48</v>
      </c>
      <c r="CN121">
        <v>25</v>
      </c>
      <c r="CO121">
        <v>8</v>
      </c>
      <c r="CP121">
        <v>282</v>
      </c>
      <c r="CQ121">
        <v>2.8</v>
      </c>
      <c r="CT121" t="str">
        <f t="shared" si="20"/>
        <v>2015MaleAllEth9</v>
      </c>
      <c r="CU121">
        <v>2015</v>
      </c>
      <c r="CV121" t="s">
        <v>20</v>
      </c>
      <c r="CW121" t="s">
        <v>27</v>
      </c>
      <c r="CX121">
        <v>9</v>
      </c>
      <c r="CY121">
        <v>7</v>
      </c>
    </row>
    <row r="122" spans="1:103">
      <c r="A122" t="str">
        <f t="shared" si="12"/>
        <v>2009FemaleNon-Maori19</v>
      </c>
      <c r="B122">
        <v>2009</v>
      </c>
      <c r="C122" t="s">
        <v>8</v>
      </c>
      <c r="D122" t="s">
        <v>19</v>
      </c>
      <c r="E122">
        <v>19</v>
      </c>
      <c r="F122">
        <v>93</v>
      </c>
      <c r="G122">
        <v>4.4437437379171101</v>
      </c>
      <c r="H122">
        <v>0.9</v>
      </c>
      <c r="J122" s="340" t="str">
        <f t="shared" si="13"/>
        <v>2008AllSexMaori194</v>
      </c>
      <c r="K122">
        <v>2008</v>
      </c>
      <c r="L122" t="s">
        <v>17</v>
      </c>
      <c r="M122" t="s">
        <v>18</v>
      </c>
      <c r="N122">
        <v>19</v>
      </c>
      <c r="O122">
        <v>4</v>
      </c>
      <c r="P122">
        <v>20</v>
      </c>
      <c r="Q122">
        <v>13.3027935406478</v>
      </c>
      <c r="R122">
        <v>5.8</v>
      </c>
      <c r="T122" s="340" t="str">
        <f t="shared" si="15"/>
        <v>1996FemaleNon-Maori22Other</v>
      </c>
      <c r="U122">
        <v>1996</v>
      </c>
      <c r="V122" t="s">
        <v>8</v>
      </c>
      <c r="W122" t="s">
        <v>19</v>
      </c>
      <c r="X122">
        <v>22</v>
      </c>
      <c r="Y122" t="s">
        <v>45</v>
      </c>
      <c r="Z122">
        <v>1</v>
      </c>
      <c r="AA122">
        <v>29</v>
      </c>
      <c r="AB122">
        <v>3.4</v>
      </c>
      <c r="AD122" s="340" t="str">
        <f t="shared" si="16"/>
        <v>20022006AllSexAllEth22Tairawhiti</v>
      </c>
      <c r="AE122" t="s">
        <v>17</v>
      </c>
      <c r="AF122" t="s">
        <v>27</v>
      </c>
      <c r="AG122">
        <v>22</v>
      </c>
      <c r="AH122">
        <v>8</v>
      </c>
      <c r="AI122" t="s">
        <v>61</v>
      </c>
      <c r="AJ122">
        <v>8</v>
      </c>
      <c r="AK122">
        <v>26.359143327841799</v>
      </c>
      <c r="AL122">
        <v>24</v>
      </c>
      <c r="AM122" t="s">
        <v>82</v>
      </c>
      <c r="AN122">
        <v>20022006</v>
      </c>
      <c r="AY122" t="str">
        <f t="shared" si="14"/>
        <v>2007MaleRural25</v>
      </c>
      <c r="AZ122">
        <v>2007</v>
      </c>
      <c r="BA122" t="s">
        <v>20</v>
      </c>
      <c r="BB122" t="s">
        <v>96</v>
      </c>
      <c r="BC122">
        <v>25</v>
      </c>
      <c r="BD122">
        <v>12</v>
      </c>
      <c r="BE122">
        <v>35.810205908683997</v>
      </c>
      <c r="BF122">
        <v>20.3</v>
      </c>
      <c r="BH122" t="str">
        <f t="shared" si="17"/>
        <v>2016MaleNon-Maori3</v>
      </c>
      <c r="BI122">
        <v>2016</v>
      </c>
      <c r="BJ122" t="s">
        <v>20</v>
      </c>
      <c r="BK122" t="s">
        <v>19</v>
      </c>
      <c r="BL122">
        <v>3</v>
      </c>
      <c r="BM122">
        <v>3</v>
      </c>
      <c r="BN122">
        <v>2.6281208935610998</v>
      </c>
      <c r="BO122">
        <v>3</v>
      </c>
      <c r="BP122">
        <v>17</v>
      </c>
      <c r="BQ122">
        <v>17.600000000000001</v>
      </c>
      <c r="CA122" t="str">
        <f t="shared" si="18"/>
        <v>AllSexPacific234</v>
      </c>
      <c r="CB122" t="s">
        <v>17</v>
      </c>
      <c r="CC122" t="s">
        <v>79</v>
      </c>
      <c r="CD122">
        <v>23</v>
      </c>
      <c r="CE122">
        <v>4</v>
      </c>
      <c r="CF122">
        <v>5</v>
      </c>
      <c r="CG122">
        <v>5.9296118500594099</v>
      </c>
      <c r="CH122">
        <v>5.2</v>
      </c>
      <c r="CJ122" t="str">
        <f t="shared" si="19"/>
        <v>AllSexOther22Submersion (drowning)</v>
      </c>
      <c r="CK122" t="s">
        <v>17</v>
      </c>
      <c r="CL122" t="s">
        <v>45</v>
      </c>
      <c r="CM122" t="s">
        <v>49</v>
      </c>
      <c r="CN122">
        <v>22</v>
      </c>
      <c r="CO122">
        <v>4</v>
      </c>
      <c r="CP122">
        <v>267</v>
      </c>
      <c r="CQ122">
        <v>1.5</v>
      </c>
      <c r="CT122" t="str">
        <f t="shared" si="20"/>
        <v>2015MaleNon-Maori9</v>
      </c>
      <c r="CU122">
        <v>2015</v>
      </c>
      <c r="CV122" t="s">
        <v>20</v>
      </c>
      <c r="CW122" t="s">
        <v>19</v>
      </c>
      <c r="CX122">
        <v>9</v>
      </c>
      <c r="CY122">
        <v>7</v>
      </c>
    </row>
    <row r="123" spans="1:103">
      <c r="A123" t="str">
        <f t="shared" si="12"/>
        <v>2010FemaleNon-Maori19</v>
      </c>
      <c r="B123">
        <v>2010</v>
      </c>
      <c r="C123" t="s">
        <v>8</v>
      </c>
      <c r="D123" t="s">
        <v>19</v>
      </c>
      <c r="E123">
        <v>19</v>
      </c>
      <c r="F123">
        <v>117</v>
      </c>
      <c r="G123">
        <v>5.9134650848101904</v>
      </c>
      <c r="H123">
        <v>1.1000000000000001</v>
      </c>
      <c r="J123" s="340" t="str">
        <f t="shared" si="13"/>
        <v>2008AllSexMaori195</v>
      </c>
      <c r="K123">
        <v>2008</v>
      </c>
      <c r="L123" t="s">
        <v>17</v>
      </c>
      <c r="M123" t="s">
        <v>18</v>
      </c>
      <c r="N123">
        <v>19</v>
      </c>
      <c r="O123">
        <v>5</v>
      </c>
      <c r="P123">
        <v>41</v>
      </c>
      <c r="Q123">
        <v>16.099910181965601</v>
      </c>
      <c r="R123">
        <v>4.9000000000000004</v>
      </c>
      <c r="T123" s="340" t="str">
        <f t="shared" si="15"/>
        <v>1996FemaleNon-Maori23Other</v>
      </c>
      <c r="U123">
        <v>1996</v>
      </c>
      <c r="V123" t="s">
        <v>8</v>
      </c>
      <c r="W123" t="s">
        <v>19</v>
      </c>
      <c r="X123">
        <v>23</v>
      </c>
      <c r="Y123" t="s">
        <v>45</v>
      </c>
      <c r="Z123">
        <v>2</v>
      </c>
      <c r="AA123">
        <v>25</v>
      </c>
      <c r="AB123">
        <v>8</v>
      </c>
      <c r="AD123" s="340" t="str">
        <f t="shared" si="16"/>
        <v>20022006AllSexAllEth22Taranaki</v>
      </c>
      <c r="AE123" t="s">
        <v>17</v>
      </c>
      <c r="AF123" t="s">
        <v>27</v>
      </c>
      <c r="AG123">
        <v>22</v>
      </c>
      <c r="AH123">
        <v>10</v>
      </c>
      <c r="AI123" t="s">
        <v>63</v>
      </c>
      <c r="AJ123">
        <v>9</v>
      </c>
      <c r="AK123">
        <v>13.173302107728301</v>
      </c>
      <c r="AL123">
        <v>11.3</v>
      </c>
      <c r="AM123" t="s">
        <v>82</v>
      </c>
      <c r="AN123">
        <v>20022006</v>
      </c>
      <c r="AY123" t="str">
        <f t="shared" si="14"/>
        <v>2007MaleUrban25</v>
      </c>
      <c r="AZ123">
        <v>2007</v>
      </c>
      <c r="BA123" t="s">
        <v>20</v>
      </c>
      <c r="BB123" t="s">
        <v>97</v>
      </c>
      <c r="BC123">
        <v>25</v>
      </c>
      <c r="BD123">
        <v>30</v>
      </c>
      <c r="BE123">
        <v>14.8089643597591</v>
      </c>
      <c r="BF123">
        <v>5.3</v>
      </c>
      <c r="BH123" t="str">
        <f t="shared" si="17"/>
        <v>2016MaleNon-Maori4</v>
      </c>
      <c r="BI123">
        <v>2016</v>
      </c>
      <c r="BJ123" t="s">
        <v>20</v>
      </c>
      <c r="BK123" t="s">
        <v>19</v>
      </c>
      <c r="BL123">
        <v>4</v>
      </c>
      <c r="BM123">
        <v>17</v>
      </c>
      <c r="BN123">
        <v>13.3437990580848</v>
      </c>
      <c r="BO123">
        <v>6.3</v>
      </c>
      <c r="BP123">
        <v>67</v>
      </c>
      <c r="BQ123">
        <v>25.4</v>
      </c>
      <c r="CA123" t="str">
        <f t="shared" si="18"/>
        <v>AllSexPacific235</v>
      </c>
      <c r="CB123" t="s">
        <v>17</v>
      </c>
      <c r="CC123" t="s">
        <v>79</v>
      </c>
      <c r="CD123">
        <v>23</v>
      </c>
      <c r="CE123">
        <v>5</v>
      </c>
      <c r="CF123">
        <v>16</v>
      </c>
      <c r="CG123">
        <v>7.8604027133613696</v>
      </c>
      <c r="CH123">
        <v>3.9</v>
      </c>
      <c r="CJ123" t="str">
        <f t="shared" si="19"/>
        <v>AllSexOther23Submersion (drowning)</v>
      </c>
      <c r="CK123" t="s">
        <v>17</v>
      </c>
      <c r="CL123" t="s">
        <v>45</v>
      </c>
      <c r="CM123" t="s">
        <v>49</v>
      </c>
      <c r="CN123">
        <v>23</v>
      </c>
      <c r="CO123">
        <v>6</v>
      </c>
      <c r="CP123">
        <v>583</v>
      </c>
      <c r="CQ123">
        <v>1</v>
      </c>
      <c r="CT123" t="str">
        <f t="shared" si="20"/>
        <v>2016AllSexAllEth9</v>
      </c>
      <c r="CU123">
        <v>2016</v>
      </c>
      <c r="CV123" t="s">
        <v>17</v>
      </c>
      <c r="CW123" t="s">
        <v>27</v>
      </c>
      <c r="CX123">
        <v>9</v>
      </c>
      <c r="CY123">
        <v>2</v>
      </c>
    </row>
    <row r="124" spans="1:103">
      <c r="A124" t="str">
        <f t="shared" si="12"/>
        <v>2011FemaleNon-Maori19</v>
      </c>
      <c r="B124">
        <v>2011</v>
      </c>
      <c r="C124" t="s">
        <v>8</v>
      </c>
      <c r="D124" t="s">
        <v>19</v>
      </c>
      <c r="E124">
        <v>19</v>
      </c>
      <c r="F124">
        <v>86</v>
      </c>
      <c r="G124">
        <v>4.1499902954002099</v>
      </c>
      <c r="H124">
        <v>0.9</v>
      </c>
      <c r="J124" s="340" t="str">
        <f t="shared" si="13"/>
        <v>2009AllSexMaori191</v>
      </c>
      <c r="K124">
        <v>2009</v>
      </c>
      <c r="L124" t="s">
        <v>17</v>
      </c>
      <c r="M124" t="s">
        <v>18</v>
      </c>
      <c r="N124">
        <v>19</v>
      </c>
      <c r="O124">
        <v>1</v>
      </c>
      <c r="P124">
        <v>4</v>
      </c>
      <c r="Q124">
        <v>10.415543391410299</v>
      </c>
      <c r="R124">
        <v>10.199999999999999</v>
      </c>
      <c r="T124" s="340" t="str">
        <f t="shared" si="15"/>
        <v>1996FemaleNon-Maori25Other</v>
      </c>
      <c r="U124">
        <v>1996</v>
      </c>
      <c r="V124" t="s">
        <v>8</v>
      </c>
      <c r="W124" t="s">
        <v>19</v>
      </c>
      <c r="X124">
        <v>25</v>
      </c>
      <c r="Y124" t="s">
        <v>45</v>
      </c>
      <c r="Z124">
        <v>1</v>
      </c>
      <c r="AA124">
        <v>13</v>
      </c>
      <c r="AB124">
        <v>7.7</v>
      </c>
      <c r="AD124" s="340" t="str">
        <f t="shared" si="16"/>
        <v>20022006AllSexAllEth22Waikato</v>
      </c>
      <c r="AE124" t="s">
        <v>17</v>
      </c>
      <c r="AF124" t="s">
        <v>27</v>
      </c>
      <c r="AG124">
        <v>22</v>
      </c>
      <c r="AH124">
        <v>5</v>
      </c>
      <c r="AI124" t="s">
        <v>58</v>
      </c>
      <c r="AJ124">
        <v>44</v>
      </c>
      <c r="AK124">
        <v>17.539663557362701</v>
      </c>
      <c r="AL124">
        <v>6.8</v>
      </c>
      <c r="AM124" t="s">
        <v>82</v>
      </c>
      <c r="AN124">
        <v>20022006</v>
      </c>
      <c r="AY124" t="str">
        <f t="shared" si="14"/>
        <v>2008AllSexRural22</v>
      </c>
      <c r="AZ124">
        <v>2008</v>
      </c>
      <c r="BA124" t="s">
        <v>17</v>
      </c>
      <c r="BB124" t="s">
        <v>96</v>
      </c>
      <c r="BC124">
        <v>22</v>
      </c>
      <c r="BD124">
        <v>15</v>
      </c>
      <c r="BE124">
        <v>22.199200828770199</v>
      </c>
      <c r="BF124">
        <v>11.2</v>
      </c>
      <c r="BH124" t="str">
        <f t="shared" si="17"/>
        <v>2016MaleNon-Maori5</v>
      </c>
      <c r="BI124">
        <v>2016</v>
      </c>
      <c r="BJ124" t="s">
        <v>20</v>
      </c>
      <c r="BK124" t="s">
        <v>19</v>
      </c>
      <c r="BL124">
        <v>5</v>
      </c>
      <c r="BM124">
        <v>35</v>
      </c>
      <c r="BN124">
        <v>23.251179166943501</v>
      </c>
      <c r="BO124">
        <v>7.7</v>
      </c>
      <c r="BP124">
        <v>106</v>
      </c>
      <c r="BQ124">
        <v>33</v>
      </c>
      <c r="CA124" t="str">
        <f t="shared" si="18"/>
        <v>AllSexAsian241</v>
      </c>
      <c r="CB124" t="s">
        <v>17</v>
      </c>
      <c r="CC124" t="s">
        <v>78</v>
      </c>
      <c r="CD124">
        <v>24</v>
      </c>
      <c r="CE124">
        <v>1</v>
      </c>
      <c r="CF124">
        <v>4</v>
      </c>
      <c r="CG124">
        <v>3.1399215623639001</v>
      </c>
      <c r="CH124">
        <v>3.1</v>
      </c>
      <c r="CJ124" t="str">
        <f t="shared" si="19"/>
        <v>AllSexOther24Submersion (drowning)</v>
      </c>
      <c r="CK124" t="s">
        <v>17</v>
      </c>
      <c r="CL124" t="s">
        <v>45</v>
      </c>
      <c r="CM124" t="s">
        <v>49</v>
      </c>
      <c r="CN124">
        <v>24</v>
      </c>
      <c r="CO124">
        <v>18</v>
      </c>
      <c r="CP124">
        <v>700</v>
      </c>
      <c r="CQ124">
        <v>2.6</v>
      </c>
      <c r="CT124" t="str">
        <f t="shared" si="20"/>
        <v>2016AllSexNon-Maori9</v>
      </c>
      <c r="CU124">
        <v>2016</v>
      </c>
      <c r="CV124" t="s">
        <v>17</v>
      </c>
      <c r="CW124" t="s">
        <v>19</v>
      </c>
      <c r="CX124">
        <v>9</v>
      </c>
      <c r="CY124">
        <v>2</v>
      </c>
    </row>
    <row r="125" spans="1:103">
      <c r="A125" t="str">
        <f t="shared" si="12"/>
        <v>2012FemaleNon-Maori19</v>
      </c>
      <c r="B125">
        <v>2012</v>
      </c>
      <c r="C125" t="s">
        <v>8</v>
      </c>
      <c r="D125" t="s">
        <v>19</v>
      </c>
      <c r="E125">
        <v>19</v>
      </c>
      <c r="F125">
        <v>108</v>
      </c>
      <c r="G125">
        <v>5.1528651892542001</v>
      </c>
      <c r="H125">
        <v>1</v>
      </c>
      <c r="J125" s="340" t="str">
        <f t="shared" si="13"/>
        <v>2009AllSexMaori192</v>
      </c>
      <c r="K125">
        <v>2009</v>
      </c>
      <c r="L125" t="s">
        <v>17</v>
      </c>
      <c r="M125" t="s">
        <v>18</v>
      </c>
      <c r="N125">
        <v>19</v>
      </c>
      <c r="O125">
        <v>2</v>
      </c>
      <c r="P125">
        <v>8</v>
      </c>
      <c r="Q125">
        <v>11.764406152372301</v>
      </c>
      <c r="R125">
        <v>8.1999999999999993</v>
      </c>
      <c r="T125" s="340" t="str">
        <f t="shared" si="15"/>
        <v>1996FemaleNon-Maori22Poisoning by gases and vapours</v>
      </c>
      <c r="U125">
        <v>1996</v>
      </c>
      <c r="V125" t="s">
        <v>8</v>
      </c>
      <c r="W125" t="s">
        <v>19</v>
      </c>
      <c r="X125">
        <v>22</v>
      </c>
      <c r="Y125" t="s">
        <v>46</v>
      </c>
      <c r="Z125">
        <v>10</v>
      </c>
      <c r="AA125">
        <v>29</v>
      </c>
      <c r="AB125">
        <v>34.5</v>
      </c>
      <c r="AD125" s="340" t="str">
        <f t="shared" si="16"/>
        <v>20022006AllSexAllEth22Wairarapa</v>
      </c>
      <c r="AE125" t="s">
        <v>17</v>
      </c>
      <c r="AF125" t="s">
        <v>27</v>
      </c>
      <c r="AG125">
        <v>22</v>
      </c>
      <c r="AH125">
        <v>15</v>
      </c>
      <c r="AI125" t="s">
        <v>68</v>
      </c>
      <c r="AJ125">
        <v>5</v>
      </c>
      <c r="AK125">
        <v>22.4618149146451</v>
      </c>
      <c r="AL125">
        <v>25.9</v>
      </c>
      <c r="AM125" t="s">
        <v>82</v>
      </c>
      <c r="AN125">
        <v>20022006</v>
      </c>
      <c r="AY125" t="str">
        <f t="shared" si="14"/>
        <v>2008AllSexUrban22</v>
      </c>
      <c r="AZ125">
        <v>2008</v>
      </c>
      <c r="BA125" t="s">
        <v>17</v>
      </c>
      <c r="BB125" t="s">
        <v>97</v>
      </c>
      <c r="BC125">
        <v>22</v>
      </c>
      <c r="BD125">
        <v>104</v>
      </c>
      <c r="BE125">
        <v>19.326185122554001</v>
      </c>
      <c r="BF125">
        <v>3.7</v>
      </c>
      <c r="BH125" t="str">
        <f t="shared" si="17"/>
        <v>2016MaleNon-Maori6</v>
      </c>
      <c r="BI125">
        <v>2016</v>
      </c>
      <c r="BJ125" t="s">
        <v>20</v>
      </c>
      <c r="BK125" t="s">
        <v>19</v>
      </c>
      <c r="BL125">
        <v>6</v>
      </c>
      <c r="BM125">
        <v>33</v>
      </c>
      <c r="BN125">
        <v>22.576452076349501</v>
      </c>
      <c r="BO125">
        <v>7.7</v>
      </c>
      <c r="BP125">
        <v>82</v>
      </c>
      <c r="BQ125">
        <v>40.200000000000003</v>
      </c>
      <c r="CA125" t="str">
        <f t="shared" si="18"/>
        <v>AllSexAsian242</v>
      </c>
      <c r="CB125" t="s">
        <v>17</v>
      </c>
      <c r="CC125" t="s">
        <v>78</v>
      </c>
      <c r="CD125">
        <v>24</v>
      </c>
      <c r="CE125">
        <v>2</v>
      </c>
      <c r="CF125">
        <v>9</v>
      </c>
      <c r="CG125">
        <v>6.3748777190182704</v>
      </c>
      <c r="CH125">
        <v>4.2</v>
      </c>
      <c r="CJ125" t="str">
        <f t="shared" si="19"/>
        <v>AllSexOther25Submersion (drowning)</v>
      </c>
      <c r="CK125" t="s">
        <v>17</v>
      </c>
      <c r="CL125" t="s">
        <v>45</v>
      </c>
      <c r="CM125" t="s">
        <v>49</v>
      </c>
      <c r="CN125">
        <v>25</v>
      </c>
      <c r="CO125">
        <v>19</v>
      </c>
      <c r="CP125">
        <v>282</v>
      </c>
      <c r="CQ125">
        <v>6.7</v>
      </c>
      <c r="CT125" t="str">
        <f t="shared" si="20"/>
        <v>2016FemaleAllEth9</v>
      </c>
      <c r="CU125">
        <v>2016</v>
      </c>
      <c r="CV125" t="s">
        <v>8</v>
      </c>
      <c r="CW125" t="s">
        <v>27</v>
      </c>
      <c r="CX125">
        <v>9</v>
      </c>
      <c r="CY125">
        <v>1</v>
      </c>
    </row>
    <row r="126" spans="1:103">
      <c r="A126" t="str">
        <f t="shared" si="12"/>
        <v>2013FemaleNon-Maori19</v>
      </c>
      <c r="B126">
        <v>2013</v>
      </c>
      <c r="C126" t="s">
        <v>8</v>
      </c>
      <c r="D126" t="s">
        <v>19</v>
      </c>
      <c r="E126">
        <v>19</v>
      </c>
      <c r="F126">
        <v>109</v>
      </c>
      <c r="G126">
        <v>5.2765407142672398</v>
      </c>
      <c r="H126">
        <v>1</v>
      </c>
      <c r="J126" s="340" t="str">
        <f t="shared" si="13"/>
        <v>2009AllSexMaori193</v>
      </c>
      <c r="K126">
        <v>2009</v>
      </c>
      <c r="L126" t="s">
        <v>17</v>
      </c>
      <c r="M126" t="s">
        <v>18</v>
      </c>
      <c r="N126">
        <v>19</v>
      </c>
      <c r="O126">
        <v>3</v>
      </c>
      <c r="P126">
        <v>14</v>
      </c>
      <c r="Q126">
        <v>13.2947520863601</v>
      </c>
      <c r="R126">
        <v>7</v>
      </c>
      <c r="T126" s="340" t="str">
        <f t="shared" si="15"/>
        <v>1996FemaleNon-Maori23Poisoning by gases and vapours</v>
      </c>
      <c r="U126">
        <v>1996</v>
      </c>
      <c r="V126" t="s">
        <v>8</v>
      </c>
      <c r="W126" t="s">
        <v>19</v>
      </c>
      <c r="X126">
        <v>23</v>
      </c>
      <c r="Y126" t="s">
        <v>46</v>
      </c>
      <c r="Z126">
        <v>11</v>
      </c>
      <c r="AA126">
        <v>25</v>
      </c>
      <c r="AB126">
        <v>44</v>
      </c>
      <c r="AD126" s="340" t="str">
        <f t="shared" si="16"/>
        <v>20022006AllSexAllEth22Waitemata</v>
      </c>
      <c r="AE126" t="s">
        <v>17</v>
      </c>
      <c r="AF126" t="s">
        <v>27</v>
      </c>
      <c r="AG126">
        <v>22</v>
      </c>
      <c r="AH126">
        <v>2</v>
      </c>
      <c r="AI126" t="s">
        <v>55</v>
      </c>
      <c r="AJ126">
        <v>50</v>
      </c>
      <c r="AK126">
        <v>14.624586855421301</v>
      </c>
      <c r="AL126">
        <v>5.3</v>
      </c>
      <c r="AM126" t="s">
        <v>82</v>
      </c>
      <c r="AN126">
        <v>20022006</v>
      </c>
      <c r="AY126" t="str">
        <f t="shared" si="14"/>
        <v>2008AllSexRural23</v>
      </c>
      <c r="AZ126">
        <v>2008</v>
      </c>
      <c r="BA126" t="s">
        <v>17</v>
      </c>
      <c r="BB126" t="s">
        <v>96</v>
      </c>
      <c r="BC126">
        <v>23</v>
      </c>
      <c r="BD126">
        <v>28</v>
      </c>
      <c r="BE126">
        <v>18.736616702355501</v>
      </c>
      <c r="BF126">
        <v>6.9</v>
      </c>
      <c r="BH126" t="str">
        <f t="shared" si="17"/>
        <v>2016MaleNon-Maori7</v>
      </c>
      <c r="BI126">
        <v>2016</v>
      </c>
      <c r="BJ126" t="s">
        <v>20</v>
      </c>
      <c r="BK126" t="s">
        <v>19</v>
      </c>
      <c r="BL126">
        <v>7</v>
      </c>
      <c r="BM126">
        <v>24</v>
      </c>
      <c r="BN126">
        <v>18.964836033188501</v>
      </c>
      <c r="BO126">
        <v>7.6</v>
      </c>
      <c r="BP126">
        <v>69</v>
      </c>
      <c r="BQ126">
        <v>34.799999999999997</v>
      </c>
      <c r="CA126" t="str">
        <f t="shared" si="18"/>
        <v>AllSexAsian243</v>
      </c>
      <c r="CB126" t="s">
        <v>17</v>
      </c>
      <c r="CC126" t="s">
        <v>78</v>
      </c>
      <c r="CD126">
        <v>24</v>
      </c>
      <c r="CE126">
        <v>3</v>
      </c>
      <c r="CF126">
        <v>5</v>
      </c>
      <c r="CG126">
        <v>3.9116955975185901</v>
      </c>
      <c r="CH126">
        <v>3.4</v>
      </c>
      <c r="CJ126" t="str">
        <f t="shared" si="19"/>
        <v>AllSexPacific21Hanging, strangulation and suffocation</v>
      </c>
      <c r="CK126" t="s">
        <v>17</v>
      </c>
      <c r="CL126" t="s">
        <v>79</v>
      </c>
      <c r="CM126" t="s">
        <v>43</v>
      </c>
      <c r="CN126">
        <v>21</v>
      </c>
      <c r="CO126">
        <v>6</v>
      </c>
      <c r="CP126">
        <v>7</v>
      </c>
      <c r="CQ126">
        <v>85.7</v>
      </c>
      <c r="CT126" t="str">
        <f t="shared" si="20"/>
        <v>2016FemaleNon-Maori9</v>
      </c>
      <c r="CU126">
        <v>2016</v>
      </c>
      <c r="CV126" t="s">
        <v>8</v>
      </c>
      <c r="CW126" t="s">
        <v>19</v>
      </c>
      <c r="CX126">
        <v>9</v>
      </c>
      <c r="CY126">
        <v>1</v>
      </c>
    </row>
    <row r="127" spans="1:103">
      <c r="A127" t="str">
        <f t="shared" si="12"/>
        <v>2014FemaleNon-Maori19</v>
      </c>
      <c r="B127">
        <v>2014</v>
      </c>
      <c r="C127" t="s">
        <v>8</v>
      </c>
      <c r="D127" t="s">
        <v>19</v>
      </c>
      <c r="E127">
        <v>19</v>
      </c>
      <c r="F127">
        <v>104</v>
      </c>
      <c r="G127">
        <v>4.8294233213266304</v>
      </c>
      <c r="H127">
        <v>0.9</v>
      </c>
      <c r="J127" s="340" t="str">
        <f t="shared" si="13"/>
        <v>2009AllSexMaori194</v>
      </c>
      <c r="K127">
        <v>2009</v>
      </c>
      <c r="L127" t="s">
        <v>17</v>
      </c>
      <c r="M127" t="s">
        <v>18</v>
      </c>
      <c r="N127">
        <v>19</v>
      </c>
      <c r="O127">
        <v>4</v>
      </c>
      <c r="P127">
        <v>19</v>
      </c>
      <c r="Q127">
        <v>12.5866132128183</v>
      </c>
      <c r="R127">
        <v>5.7</v>
      </c>
      <c r="T127" s="340" t="str">
        <f t="shared" si="15"/>
        <v>1996FemaleNon-Maori24Poisoning by gases and vapours</v>
      </c>
      <c r="U127">
        <v>1996</v>
      </c>
      <c r="V127" t="s">
        <v>8</v>
      </c>
      <c r="W127" t="s">
        <v>19</v>
      </c>
      <c r="X127">
        <v>24</v>
      </c>
      <c r="Y127" t="s">
        <v>46</v>
      </c>
      <c r="Z127">
        <v>7</v>
      </c>
      <c r="AA127">
        <v>19</v>
      </c>
      <c r="AB127">
        <v>36.799999999999997</v>
      </c>
      <c r="AD127" s="340" t="str">
        <f t="shared" si="16"/>
        <v>20022006AllSexAllEth22West Coast</v>
      </c>
      <c r="AE127" t="s">
        <v>17</v>
      </c>
      <c r="AF127" t="s">
        <v>27</v>
      </c>
      <c r="AG127">
        <v>22</v>
      </c>
      <c r="AH127">
        <v>17</v>
      </c>
      <c r="AI127" t="s">
        <v>70</v>
      </c>
      <c r="AJ127">
        <v>1</v>
      </c>
      <c r="AK127">
        <v>5.7438253877082097</v>
      </c>
      <c r="AL127">
        <v>14.8</v>
      </c>
      <c r="AM127" t="s">
        <v>82</v>
      </c>
      <c r="AN127">
        <v>20022006</v>
      </c>
      <c r="AY127" t="str">
        <f t="shared" si="14"/>
        <v>2008AllSexUrban23</v>
      </c>
      <c r="AZ127">
        <v>2008</v>
      </c>
      <c r="BA127" t="s">
        <v>17</v>
      </c>
      <c r="BB127" t="s">
        <v>97</v>
      </c>
      <c r="BC127">
        <v>23</v>
      </c>
      <c r="BD127">
        <v>151</v>
      </c>
      <c r="BE127">
        <v>14.802325239435</v>
      </c>
      <c r="BF127">
        <v>2.4</v>
      </c>
      <c r="BH127" t="str">
        <f t="shared" si="17"/>
        <v>2016MaleNon-Maori8</v>
      </c>
      <c r="BI127">
        <v>2016</v>
      </c>
      <c r="BJ127" t="s">
        <v>20</v>
      </c>
      <c r="BK127" t="s">
        <v>19</v>
      </c>
      <c r="BL127">
        <v>8</v>
      </c>
      <c r="BM127">
        <v>12</v>
      </c>
      <c r="BN127">
        <v>10.3359173126615</v>
      </c>
      <c r="BO127">
        <v>5.8</v>
      </c>
      <c r="BP127">
        <v>99</v>
      </c>
      <c r="BQ127">
        <v>12.1</v>
      </c>
      <c r="CA127" t="str">
        <f t="shared" si="18"/>
        <v>AllSexAsian244</v>
      </c>
      <c r="CB127" t="s">
        <v>17</v>
      </c>
      <c r="CC127" t="s">
        <v>78</v>
      </c>
      <c r="CD127">
        <v>24</v>
      </c>
      <c r="CE127">
        <v>4</v>
      </c>
      <c r="CF127">
        <v>12</v>
      </c>
      <c r="CG127">
        <v>10.3084553683608</v>
      </c>
      <c r="CH127">
        <v>5.8</v>
      </c>
      <c r="CJ127" t="str">
        <f t="shared" si="19"/>
        <v>AllSexPacific22Hanging, strangulation and suffocation</v>
      </c>
      <c r="CK127" t="s">
        <v>17</v>
      </c>
      <c r="CL127" t="s">
        <v>79</v>
      </c>
      <c r="CM127" t="s">
        <v>43</v>
      </c>
      <c r="CN127">
        <v>22</v>
      </c>
      <c r="CO127">
        <v>47</v>
      </c>
      <c r="CP127">
        <v>50</v>
      </c>
      <c r="CQ127">
        <v>94</v>
      </c>
      <c r="CT127" t="str">
        <f t="shared" si="20"/>
        <v>2016MaleAllEth9</v>
      </c>
      <c r="CU127">
        <v>2016</v>
      </c>
      <c r="CV127" t="s">
        <v>20</v>
      </c>
      <c r="CW127" t="s">
        <v>27</v>
      </c>
      <c r="CX127">
        <v>9</v>
      </c>
      <c r="CY127">
        <v>1</v>
      </c>
    </row>
    <row r="128" spans="1:103">
      <c r="A128" t="str">
        <f t="shared" si="12"/>
        <v>2015FemaleNon-Maori19</v>
      </c>
      <c r="B128">
        <v>2015</v>
      </c>
      <c r="C128" t="s">
        <v>8</v>
      </c>
      <c r="D128" t="s">
        <v>19</v>
      </c>
      <c r="E128">
        <v>19</v>
      </c>
      <c r="F128">
        <v>104</v>
      </c>
      <c r="G128">
        <v>4.7608957245198003</v>
      </c>
      <c r="H128">
        <v>0.9</v>
      </c>
      <c r="J128" s="340" t="str">
        <f t="shared" si="13"/>
        <v>2009AllSexMaori195</v>
      </c>
      <c r="K128">
        <v>2009</v>
      </c>
      <c r="L128" t="s">
        <v>17</v>
      </c>
      <c r="M128" t="s">
        <v>18</v>
      </c>
      <c r="N128">
        <v>19</v>
      </c>
      <c r="O128">
        <v>5</v>
      </c>
      <c r="P128">
        <v>38</v>
      </c>
      <c r="Q128">
        <v>14.498638527004401</v>
      </c>
      <c r="R128">
        <v>4.5999999999999996</v>
      </c>
      <c r="T128" s="340" t="str">
        <f t="shared" si="15"/>
        <v>1996FemaleNon-Maori25Poisoning by gases and vapours</v>
      </c>
      <c r="U128">
        <v>1996</v>
      </c>
      <c r="V128" t="s">
        <v>8</v>
      </c>
      <c r="W128" t="s">
        <v>19</v>
      </c>
      <c r="X128">
        <v>25</v>
      </c>
      <c r="Y128" t="s">
        <v>46</v>
      </c>
      <c r="Z128">
        <v>2</v>
      </c>
      <c r="AA128">
        <v>13</v>
      </c>
      <c r="AB128">
        <v>15.4</v>
      </c>
      <c r="AD128" s="340" t="str">
        <f t="shared" si="16"/>
        <v>20022006AllSexAllEth22Whanganui</v>
      </c>
      <c r="AE128" t="s">
        <v>17</v>
      </c>
      <c r="AF128" t="s">
        <v>27</v>
      </c>
      <c r="AG128">
        <v>22</v>
      </c>
      <c r="AH128">
        <v>12</v>
      </c>
      <c r="AI128" t="s">
        <v>65</v>
      </c>
      <c r="AJ128">
        <v>13</v>
      </c>
      <c r="AK128">
        <v>30.945013092120899</v>
      </c>
      <c r="AL128">
        <v>22.1</v>
      </c>
      <c r="AM128" t="s">
        <v>82</v>
      </c>
      <c r="AN128">
        <v>20022006</v>
      </c>
      <c r="AY128" t="str">
        <f t="shared" si="14"/>
        <v>2008AllSexRural24</v>
      </c>
      <c r="AZ128">
        <v>2008</v>
      </c>
      <c r="BA128" t="s">
        <v>17</v>
      </c>
      <c r="BB128" t="s">
        <v>96</v>
      </c>
      <c r="BC128">
        <v>24</v>
      </c>
      <c r="BD128">
        <v>33</v>
      </c>
      <c r="BE128">
        <v>18.391573315499102</v>
      </c>
      <c r="BF128">
        <v>6.3</v>
      </c>
      <c r="BH128" t="str">
        <f t="shared" si="17"/>
        <v>2016MaleNon-Maori9</v>
      </c>
      <c r="BI128">
        <v>2016</v>
      </c>
      <c r="BJ128" t="s">
        <v>20</v>
      </c>
      <c r="BK128" t="s">
        <v>19</v>
      </c>
      <c r="BL128">
        <v>9</v>
      </c>
      <c r="BM128">
        <v>30</v>
      </c>
      <c r="BN128">
        <v>24.0076824583867</v>
      </c>
      <c r="BO128">
        <v>8.6</v>
      </c>
      <c r="BP128">
        <v>153</v>
      </c>
      <c r="BQ128">
        <v>19.600000000000001</v>
      </c>
      <c r="CA128" t="str">
        <f t="shared" si="18"/>
        <v>AllSexAsian245</v>
      </c>
      <c r="CB128" t="s">
        <v>17</v>
      </c>
      <c r="CC128" t="s">
        <v>78</v>
      </c>
      <c r="CD128">
        <v>24</v>
      </c>
      <c r="CE128">
        <v>5</v>
      </c>
      <c r="CF128">
        <v>8</v>
      </c>
      <c r="CG128">
        <v>9.0628063765477194</v>
      </c>
      <c r="CH128">
        <v>6.3</v>
      </c>
      <c r="CJ128" t="str">
        <f t="shared" si="19"/>
        <v>AllSexPacific23Hanging, strangulation and suffocation</v>
      </c>
      <c r="CK128" t="s">
        <v>17</v>
      </c>
      <c r="CL128" t="s">
        <v>79</v>
      </c>
      <c r="CM128" t="s">
        <v>43</v>
      </c>
      <c r="CN128">
        <v>23</v>
      </c>
      <c r="CO128">
        <v>28</v>
      </c>
      <c r="CP128">
        <v>34</v>
      </c>
      <c r="CQ128">
        <v>82.4</v>
      </c>
      <c r="CT128" t="str">
        <f t="shared" si="20"/>
        <v>2016MaleNon-Maori9</v>
      </c>
      <c r="CU128">
        <v>2016</v>
      </c>
      <c r="CV128" t="s">
        <v>20</v>
      </c>
      <c r="CW128" t="s">
        <v>19</v>
      </c>
      <c r="CX128">
        <v>9</v>
      </c>
      <c r="CY128">
        <v>1</v>
      </c>
    </row>
    <row r="129" spans="1:95">
      <c r="A129" t="str">
        <f t="shared" si="12"/>
        <v>2016FemaleNon-Maori19</v>
      </c>
      <c r="B129">
        <v>2016</v>
      </c>
      <c r="C129" t="s">
        <v>8</v>
      </c>
      <c r="D129" t="s">
        <v>19</v>
      </c>
      <c r="E129">
        <v>19</v>
      </c>
      <c r="F129">
        <v>105</v>
      </c>
      <c r="G129">
        <v>4.8570007876246901</v>
      </c>
      <c r="H129">
        <v>0.9</v>
      </c>
      <c r="J129" s="340" t="str">
        <f t="shared" si="13"/>
        <v>2010AllSexMaori191</v>
      </c>
      <c r="K129">
        <v>2010</v>
      </c>
      <c r="L129" t="s">
        <v>17</v>
      </c>
      <c r="M129" t="s">
        <v>18</v>
      </c>
      <c r="N129">
        <v>19</v>
      </c>
      <c r="O129">
        <v>1</v>
      </c>
      <c r="P129">
        <v>2</v>
      </c>
      <c r="Q129">
        <v>3.3201516246012401</v>
      </c>
      <c r="R129">
        <v>4.5999999999999996</v>
      </c>
      <c r="T129" s="340" t="str">
        <f t="shared" si="15"/>
        <v>1996FemaleNon-Maori22Poisoning by solids and liquids</v>
      </c>
      <c r="U129">
        <v>1996</v>
      </c>
      <c r="V129" t="s">
        <v>8</v>
      </c>
      <c r="W129" t="s">
        <v>19</v>
      </c>
      <c r="X129">
        <v>22</v>
      </c>
      <c r="Y129" t="s">
        <v>47</v>
      </c>
      <c r="Z129">
        <v>7</v>
      </c>
      <c r="AA129">
        <v>29</v>
      </c>
      <c r="AB129">
        <v>24.1</v>
      </c>
      <c r="AE129" t="s">
        <v>17</v>
      </c>
      <c r="AF129" t="s">
        <v>27</v>
      </c>
      <c r="AG129">
        <v>22</v>
      </c>
      <c r="AH129">
        <v>98</v>
      </c>
      <c r="AI129" t="s">
        <v>75</v>
      </c>
      <c r="AJ129">
        <v>3</v>
      </c>
      <c r="AK129">
        <v>0</v>
      </c>
      <c r="AL129">
        <v>0</v>
      </c>
      <c r="AM129" t="s">
        <v>83</v>
      </c>
      <c r="AN129">
        <v>20022006</v>
      </c>
      <c r="AY129" t="str">
        <f t="shared" si="14"/>
        <v>2008AllSexUrban24</v>
      </c>
      <c r="AZ129">
        <v>2008</v>
      </c>
      <c r="BA129" t="s">
        <v>17</v>
      </c>
      <c r="BB129" t="s">
        <v>97</v>
      </c>
      <c r="BC129">
        <v>24</v>
      </c>
      <c r="BD129">
        <v>124</v>
      </c>
      <c r="BE129">
        <v>14.190727961456201</v>
      </c>
      <c r="BF129">
        <v>2.5</v>
      </c>
      <c r="BH129" t="str">
        <f t="shared" si="17"/>
        <v>2016MaleNon-Maori10</v>
      </c>
      <c r="BI129">
        <v>2016</v>
      </c>
      <c r="BJ129" t="s">
        <v>20</v>
      </c>
      <c r="BK129" t="s">
        <v>19</v>
      </c>
      <c r="BL129">
        <v>10</v>
      </c>
      <c r="BM129">
        <v>24</v>
      </c>
      <c r="BN129">
        <v>18.0478267408633</v>
      </c>
      <c r="BO129">
        <v>7.2</v>
      </c>
      <c r="BP129">
        <v>249</v>
      </c>
      <c r="BQ129">
        <v>9.6</v>
      </c>
      <c r="CA129" t="str">
        <f t="shared" si="18"/>
        <v>AllSexMaori241</v>
      </c>
      <c r="CB129" t="s">
        <v>17</v>
      </c>
      <c r="CC129" t="s">
        <v>18</v>
      </c>
      <c r="CD129">
        <v>24</v>
      </c>
      <c r="CE129">
        <v>1</v>
      </c>
      <c r="CF129">
        <v>0</v>
      </c>
      <c r="CG129">
        <v>0</v>
      </c>
      <c r="CJ129" t="str">
        <f t="shared" si="19"/>
        <v>AllSexPacific24Hanging, strangulation and suffocation</v>
      </c>
      <c r="CK129" t="s">
        <v>17</v>
      </c>
      <c r="CL129" t="s">
        <v>79</v>
      </c>
      <c r="CM129" t="s">
        <v>43</v>
      </c>
      <c r="CN129">
        <v>24</v>
      </c>
      <c r="CO129">
        <v>17</v>
      </c>
      <c r="CP129">
        <v>24</v>
      </c>
      <c r="CQ129">
        <v>70.8</v>
      </c>
    </row>
    <row r="130" spans="1:95">
      <c r="A130" t="str">
        <f t="shared" si="12"/>
        <v>1996MaleAllEth19</v>
      </c>
      <c r="B130">
        <v>1996</v>
      </c>
      <c r="C130" t="s">
        <v>20</v>
      </c>
      <c r="D130" t="s">
        <v>27</v>
      </c>
      <c r="E130">
        <v>19</v>
      </c>
      <c r="F130">
        <v>429</v>
      </c>
      <c r="G130">
        <v>22.945293453419598</v>
      </c>
      <c r="H130">
        <v>2.2000000000000002</v>
      </c>
      <c r="J130" s="340" t="str">
        <f t="shared" si="13"/>
        <v>2010AllSexMaori192</v>
      </c>
      <c r="K130">
        <v>2010</v>
      </c>
      <c r="L130" t="s">
        <v>17</v>
      </c>
      <c r="M130" t="s">
        <v>18</v>
      </c>
      <c r="N130">
        <v>19</v>
      </c>
      <c r="O130">
        <v>2</v>
      </c>
      <c r="P130">
        <v>10</v>
      </c>
      <c r="Q130">
        <v>13.234319650344901</v>
      </c>
      <c r="R130">
        <v>8.1999999999999993</v>
      </c>
      <c r="T130" s="340" t="str">
        <f t="shared" si="15"/>
        <v>1996FemaleNon-Maori23Poisoning by solids and liquids</v>
      </c>
      <c r="U130">
        <v>1996</v>
      </c>
      <c r="V130" t="s">
        <v>8</v>
      </c>
      <c r="W130" t="s">
        <v>19</v>
      </c>
      <c r="X130">
        <v>23</v>
      </c>
      <c r="Y130" t="s">
        <v>47</v>
      </c>
      <c r="Z130">
        <v>5</v>
      </c>
      <c r="AA130">
        <v>25</v>
      </c>
      <c r="AB130">
        <v>20</v>
      </c>
      <c r="AY130" t="str">
        <f t="shared" si="14"/>
        <v>2008AllSexRural25</v>
      </c>
      <c r="AZ130">
        <v>2008</v>
      </c>
      <c r="BA130" t="s">
        <v>17</v>
      </c>
      <c r="BB130" t="s">
        <v>96</v>
      </c>
      <c r="BC130">
        <v>25</v>
      </c>
      <c r="BD130">
        <v>10</v>
      </c>
      <c r="BE130">
        <v>15.2695067949305</v>
      </c>
      <c r="BF130">
        <v>9.5</v>
      </c>
      <c r="BH130" t="str">
        <f t="shared" si="17"/>
        <v>2016MaleNon-Maori11</v>
      </c>
      <c r="BI130">
        <v>2016</v>
      </c>
      <c r="BJ130" t="s">
        <v>20</v>
      </c>
      <c r="BK130" t="s">
        <v>19</v>
      </c>
      <c r="BL130">
        <v>11</v>
      </c>
      <c r="BM130">
        <v>32</v>
      </c>
      <c r="BN130">
        <v>23.677395486496501</v>
      </c>
      <c r="BO130">
        <v>8.1999999999999993</v>
      </c>
      <c r="BP130">
        <v>390</v>
      </c>
      <c r="BQ130">
        <v>8.1999999999999993</v>
      </c>
      <c r="CA130" t="str">
        <f t="shared" si="18"/>
        <v>AllSexMaori242</v>
      </c>
      <c r="CB130" t="s">
        <v>17</v>
      </c>
      <c r="CC130" t="s">
        <v>18</v>
      </c>
      <c r="CD130">
        <v>24</v>
      </c>
      <c r="CE130">
        <v>2</v>
      </c>
      <c r="CF130">
        <v>4</v>
      </c>
      <c r="CG130">
        <v>4.9824328174397001</v>
      </c>
      <c r="CH130">
        <v>4.9000000000000004</v>
      </c>
      <c r="CJ130" t="str">
        <f t="shared" si="19"/>
        <v>AllSexPacific25Hanging, strangulation and suffocation</v>
      </c>
      <c r="CK130" t="s">
        <v>17</v>
      </c>
      <c r="CL130" t="s">
        <v>79</v>
      </c>
      <c r="CM130" t="s">
        <v>43</v>
      </c>
      <c r="CN130">
        <v>25</v>
      </c>
      <c r="CO130">
        <v>2</v>
      </c>
      <c r="CP130">
        <v>4</v>
      </c>
      <c r="CQ130">
        <v>50</v>
      </c>
    </row>
    <row r="131" spans="1:95">
      <c r="A131" t="str">
        <f t="shared" si="12"/>
        <v>1997MaleAllEth19</v>
      </c>
      <c r="B131">
        <v>1997</v>
      </c>
      <c r="C131" t="s">
        <v>20</v>
      </c>
      <c r="D131" t="s">
        <v>27</v>
      </c>
      <c r="E131">
        <v>19</v>
      </c>
      <c r="F131">
        <v>441</v>
      </c>
      <c r="G131">
        <v>23.553351547621599</v>
      </c>
      <c r="H131">
        <v>2.2000000000000002</v>
      </c>
      <c r="J131" s="340" t="str">
        <f t="shared" si="13"/>
        <v>2010AllSexMaori193</v>
      </c>
      <c r="K131">
        <v>2010</v>
      </c>
      <c r="L131" t="s">
        <v>17</v>
      </c>
      <c r="M131" t="s">
        <v>18</v>
      </c>
      <c r="N131">
        <v>19</v>
      </c>
      <c r="O131">
        <v>3</v>
      </c>
      <c r="P131">
        <v>12</v>
      </c>
      <c r="Q131">
        <v>11.7392941235848</v>
      </c>
      <c r="R131">
        <v>6.6</v>
      </c>
      <c r="T131" s="340" t="str">
        <f t="shared" si="15"/>
        <v>1996FemaleNon-Maori24Poisoning by solids and liquids</v>
      </c>
      <c r="U131">
        <v>1996</v>
      </c>
      <c r="V131" t="s">
        <v>8</v>
      </c>
      <c r="W131" t="s">
        <v>19</v>
      </c>
      <c r="X131">
        <v>24</v>
      </c>
      <c r="Y131" t="s">
        <v>47</v>
      </c>
      <c r="Z131">
        <v>5</v>
      </c>
      <c r="AA131">
        <v>19</v>
      </c>
      <c r="AB131">
        <v>26.3</v>
      </c>
      <c r="AY131" t="str">
        <f t="shared" si="14"/>
        <v>2008AllSexUrban25</v>
      </c>
      <c r="AZ131">
        <v>2008</v>
      </c>
      <c r="BA131" t="s">
        <v>17</v>
      </c>
      <c r="BB131" t="s">
        <v>97</v>
      </c>
      <c r="BC131">
        <v>25</v>
      </c>
      <c r="BD131">
        <v>41</v>
      </c>
      <c r="BE131">
        <v>8.7336244541484707</v>
      </c>
      <c r="BF131">
        <v>2.7</v>
      </c>
      <c r="BH131" t="str">
        <f t="shared" si="17"/>
        <v>2016MaleNon-Maori12</v>
      </c>
      <c r="BI131">
        <v>2016</v>
      </c>
      <c r="BJ131" t="s">
        <v>20</v>
      </c>
      <c r="BK131" t="s">
        <v>19</v>
      </c>
      <c r="BL131">
        <v>12</v>
      </c>
      <c r="BM131">
        <v>34</v>
      </c>
      <c r="BN131">
        <v>26.570803376055</v>
      </c>
      <c r="BO131">
        <v>8.9</v>
      </c>
      <c r="BP131">
        <v>559</v>
      </c>
      <c r="BQ131">
        <v>6.1</v>
      </c>
      <c r="CA131" t="str">
        <f t="shared" si="18"/>
        <v>AllSexMaori243</v>
      </c>
      <c r="CB131" t="s">
        <v>17</v>
      </c>
      <c r="CC131" t="s">
        <v>18</v>
      </c>
      <c r="CD131">
        <v>24</v>
      </c>
      <c r="CE131">
        <v>3</v>
      </c>
      <c r="CF131">
        <v>16</v>
      </c>
      <c r="CG131">
        <v>15.126869728989901</v>
      </c>
      <c r="CH131">
        <v>7.4</v>
      </c>
      <c r="CJ131" t="str">
        <f t="shared" si="19"/>
        <v>AllSexPacific22Jumping from a high place</v>
      </c>
      <c r="CK131" t="s">
        <v>17</v>
      </c>
      <c r="CL131" t="s">
        <v>79</v>
      </c>
      <c r="CM131" t="s">
        <v>44</v>
      </c>
      <c r="CN131">
        <v>22</v>
      </c>
      <c r="CO131">
        <v>1</v>
      </c>
      <c r="CP131">
        <v>50</v>
      </c>
      <c r="CQ131">
        <v>2</v>
      </c>
    </row>
    <row r="132" spans="1:95">
      <c r="A132" t="str">
        <f t="shared" ref="A132:A195" si="21">B132&amp;C132&amp;D132&amp;E132</f>
        <v>1998MaleAllEth19</v>
      </c>
      <c r="B132">
        <v>1998</v>
      </c>
      <c r="C132" t="s">
        <v>20</v>
      </c>
      <c r="D132" t="s">
        <v>27</v>
      </c>
      <c r="E132">
        <v>19</v>
      </c>
      <c r="F132">
        <v>445</v>
      </c>
      <c r="G132">
        <v>23.5842826835054</v>
      </c>
      <c r="H132">
        <v>2.2000000000000002</v>
      </c>
      <c r="J132" s="340" t="str">
        <f t="shared" ref="J132:J195" si="22">K132&amp;L132&amp;M132&amp;N132&amp;O132</f>
        <v>2010AllSexMaori194</v>
      </c>
      <c r="K132">
        <v>2010</v>
      </c>
      <c r="L132" t="s">
        <v>17</v>
      </c>
      <c r="M132" t="s">
        <v>18</v>
      </c>
      <c r="N132">
        <v>19</v>
      </c>
      <c r="O132">
        <v>4</v>
      </c>
      <c r="P132">
        <v>20</v>
      </c>
      <c r="Q132">
        <v>12.8928666096258</v>
      </c>
      <c r="R132">
        <v>5.7</v>
      </c>
      <c r="T132" s="340" t="str">
        <f t="shared" si="15"/>
        <v>1996FemaleNon-Maori25Poisoning by solids and liquids</v>
      </c>
      <c r="U132">
        <v>1996</v>
      </c>
      <c r="V132" t="s">
        <v>8</v>
      </c>
      <c r="W132" t="s">
        <v>19</v>
      </c>
      <c r="X132">
        <v>25</v>
      </c>
      <c r="Y132" t="s">
        <v>47</v>
      </c>
      <c r="Z132">
        <v>5</v>
      </c>
      <c r="AA132">
        <v>13</v>
      </c>
      <c r="AB132">
        <v>38.5</v>
      </c>
      <c r="AY132" t="str">
        <f t="shared" ref="AY132:AY195" si="23">AZ132&amp;BA132&amp;BB132&amp;BC132</f>
        <v>2008FemaleRural22</v>
      </c>
      <c r="AZ132">
        <v>2008</v>
      </c>
      <c r="BA132" t="s">
        <v>8</v>
      </c>
      <c r="BB132" t="s">
        <v>96</v>
      </c>
      <c r="BC132">
        <v>22</v>
      </c>
      <c r="BD132">
        <v>3</v>
      </c>
      <c r="BE132">
        <v>9.5450206808781406</v>
      </c>
      <c r="BF132">
        <v>10.8</v>
      </c>
      <c r="BH132" t="str">
        <f t="shared" si="17"/>
        <v>2016MaleNon-Maori13</v>
      </c>
      <c r="BI132">
        <v>2016</v>
      </c>
      <c r="BJ132" t="s">
        <v>20</v>
      </c>
      <c r="BK132" t="s">
        <v>19</v>
      </c>
      <c r="BL132">
        <v>13</v>
      </c>
      <c r="BM132">
        <v>22</v>
      </c>
      <c r="BN132">
        <v>19.415762068661198</v>
      </c>
      <c r="BO132">
        <v>8.1</v>
      </c>
      <c r="BP132">
        <v>799</v>
      </c>
      <c r="BQ132">
        <v>2.8</v>
      </c>
      <c r="CA132" t="str">
        <f t="shared" si="18"/>
        <v>AllSexMaori244</v>
      </c>
      <c r="CB132" t="s">
        <v>17</v>
      </c>
      <c r="CC132" t="s">
        <v>18</v>
      </c>
      <c r="CD132">
        <v>24</v>
      </c>
      <c r="CE132">
        <v>4</v>
      </c>
      <c r="CF132">
        <v>12</v>
      </c>
      <c r="CG132">
        <v>8.1584180458595608</v>
      </c>
      <c r="CH132">
        <v>4.5999999999999996</v>
      </c>
      <c r="CJ132" t="str">
        <f t="shared" si="19"/>
        <v>AllSexPacific23Jumping from a high place</v>
      </c>
      <c r="CK132" t="s">
        <v>17</v>
      </c>
      <c r="CL132" t="s">
        <v>79</v>
      </c>
      <c r="CM132" t="s">
        <v>44</v>
      </c>
      <c r="CN132">
        <v>23</v>
      </c>
      <c r="CO132">
        <v>1</v>
      </c>
      <c r="CP132">
        <v>34</v>
      </c>
      <c r="CQ132">
        <v>2.9</v>
      </c>
    </row>
    <row r="133" spans="1:95">
      <c r="A133" t="str">
        <f t="shared" si="21"/>
        <v>1999MaleAllEth19</v>
      </c>
      <c r="B133">
        <v>1999</v>
      </c>
      <c r="C133" t="s">
        <v>20</v>
      </c>
      <c r="D133" t="s">
        <v>27</v>
      </c>
      <c r="E133">
        <v>19</v>
      </c>
      <c r="F133">
        <v>384</v>
      </c>
      <c r="G133">
        <v>20.2680561278816</v>
      </c>
      <c r="H133">
        <v>2</v>
      </c>
      <c r="J133" s="340" t="str">
        <f t="shared" si="22"/>
        <v>2010AllSexMaori195</v>
      </c>
      <c r="K133">
        <v>2010</v>
      </c>
      <c r="L133" t="s">
        <v>17</v>
      </c>
      <c r="M133" t="s">
        <v>18</v>
      </c>
      <c r="N133">
        <v>19</v>
      </c>
      <c r="O133">
        <v>5</v>
      </c>
      <c r="P133">
        <v>56</v>
      </c>
      <c r="Q133">
        <v>21.5974219861146</v>
      </c>
      <c r="R133">
        <v>5.7</v>
      </c>
      <c r="T133" s="340" t="str">
        <f t="shared" ref="T133:T196" si="24">U133&amp;V133&amp;W133&amp;X133&amp;Y133</f>
        <v>1996FemaleNon-Maori24Sharp object</v>
      </c>
      <c r="U133">
        <v>1996</v>
      </c>
      <c r="V133" t="s">
        <v>8</v>
      </c>
      <c r="W133" t="s">
        <v>19</v>
      </c>
      <c r="X133">
        <v>24</v>
      </c>
      <c r="Y133" t="s">
        <v>48</v>
      </c>
      <c r="Z133">
        <v>1</v>
      </c>
      <c r="AA133">
        <v>19</v>
      </c>
      <c r="AB133">
        <v>5.3</v>
      </c>
      <c r="AY133" t="str">
        <f t="shared" si="23"/>
        <v>2008FemaleUrban22</v>
      </c>
      <c r="AZ133">
        <v>2008</v>
      </c>
      <c r="BA133" t="s">
        <v>8</v>
      </c>
      <c r="BB133" t="s">
        <v>97</v>
      </c>
      <c r="BC133">
        <v>22</v>
      </c>
      <c r="BD133">
        <v>35</v>
      </c>
      <c r="BE133">
        <v>12.990387113536</v>
      </c>
      <c r="BF133">
        <v>4.3</v>
      </c>
      <c r="BH133" t="str">
        <f t="shared" ref="BH133:BH137" si="25">BI133&amp;BJ133&amp;BK133&amp;BL133</f>
        <v>2016MaleNon-Maori14</v>
      </c>
      <c r="BI133">
        <v>2016</v>
      </c>
      <c r="BJ133" t="s">
        <v>20</v>
      </c>
      <c r="BK133" t="s">
        <v>19</v>
      </c>
      <c r="BL133">
        <v>14</v>
      </c>
      <c r="BM133">
        <v>16</v>
      </c>
      <c r="BN133">
        <v>15.187470336972</v>
      </c>
      <c r="BO133">
        <v>7.4</v>
      </c>
      <c r="BP133">
        <v>1194</v>
      </c>
      <c r="BQ133">
        <v>1.3</v>
      </c>
      <c r="CA133" t="str">
        <f t="shared" ref="CA133:CA196" si="26">CB133&amp;CC133&amp;CD133&amp;CE133</f>
        <v>AllSexMaori245</v>
      </c>
      <c r="CB133" t="s">
        <v>17</v>
      </c>
      <c r="CC133" t="s">
        <v>18</v>
      </c>
      <c r="CD133">
        <v>24</v>
      </c>
      <c r="CE133">
        <v>5</v>
      </c>
      <c r="CF133">
        <v>40</v>
      </c>
      <c r="CG133">
        <v>15.568130448156101</v>
      </c>
      <c r="CH133">
        <v>4.8</v>
      </c>
      <c r="CJ133" t="str">
        <f t="shared" ref="CJ133:CJ196" si="27">CK133&amp;CL133&amp;CN133&amp;CM133</f>
        <v>AllSexPacific24Jumping from a high place</v>
      </c>
      <c r="CK133" t="s">
        <v>17</v>
      </c>
      <c r="CL133" t="s">
        <v>79</v>
      </c>
      <c r="CM133" t="s">
        <v>44</v>
      </c>
      <c r="CN133">
        <v>24</v>
      </c>
      <c r="CO133">
        <v>3</v>
      </c>
      <c r="CP133">
        <v>24</v>
      </c>
      <c r="CQ133">
        <v>12.5</v>
      </c>
    </row>
    <row r="134" spans="1:95">
      <c r="A134" t="str">
        <f t="shared" si="21"/>
        <v>2000MaleAllEth19</v>
      </c>
      <c r="B134">
        <v>2000</v>
      </c>
      <c r="C134" t="s">
        <v>20</v>
      </c>
      <c r="D134" t="s">
        <v>27</v>
      </c>
      <c r="E134">
        <v>19</v>
      </c>
      <c r="F134">
        <v>376</v>
      </c>
      <c r="G134">
        <v>19.947436156558702</v>
      </c>
      <c r="H134">
        <v>2</v>
      </c>
      <c r="J134" s="340" t="str">
        <f t="shared" si="22"/>
        <v>2011AllSexMaori191</v>
      </c>
      <c r="K134">
        <v>2011</v>
      </c>
      <c r="L134" t="s">
        <v>17</v>
      </c>
      <c r="M134" t="s">
        <v>18</v>
      </c>
      <c r="N134">
        <v>19</v>
      </c>
      <c r="O134">
        <v>1</v>
      </c>
      <c r="P134">
        <v>6</v>
      </c>
      <c r="Q134">
        <v>10.4968045124853</v>
      </c>
      <c r="R134">
        <v>8.4</v>
      </c>
      <c r="T134" s="340" t="str">
        <f t="shared" si="24"/>
        <v>1996FemaleNon-Maori24Submersion (drowning)</v>
      </c>
      <c r="U134">
        <v>1996</v>
      </c>
      <c r="V134" t="s">
        <v>8</v>
      </c>
      <c r="W134" t="s">
        <v>19</v>
      </c>
      <c r="X134">
        <v>24</v>
      </c>
      <c r="Y134" t="s">
        <v>49</v>
      </c>
      <c r="Z134">
        <v>2</v>
      </c>
      <c r="AA134">
        <v>19</v>
      </c>
      <c r="AB134">
        <v>10.5</v>
      </c>
      <c r="AY134" t="str">
        <f t="shared" si="23"/>
        <v>2008FemaleRural23</v>
      </c>
      <c r="AZ134">
        <v>2008</v>
      </c>
      <c r="BA134" t="s">
        <v>8</v>
      </c>
      <c r="BB134" t="s">
        <v>96</v>
      </c>
      <c r="BC134">
        <v>23</v>
      </c>
      <c r="BD134">
        <v>5</v>
      </c>
      <c r="BE134">
        <v>6.5436461196178497</v>
      </c>
      <c r="BF134">
        <v>5.7</v>
      </c>
      <c r="BH134" t="str">
        <f t="shared" si="25"/>
        <v>2016MaleNon-Maori15</v>
      </c>
      <c r="BI134">
        <v>2016</v>
      </c>
      <c r="BJ134" t="s">
        <v>20</v>
      </c>
      <c r="BK134" t="s">
        <v>19</v>
      </c>
      <c r="BL134">
        <v>15</v>
      </c>
      <c r="BM134">
        <v>6</v>
      </c>
      <c r="BN134">
        <v>7.8013262254583298</v>
      </c>
      <c r="BO134">
        <v>6.2</v>
      </c>
      <c r="BP134">
        <v>1589</v>
      </c>
      <c r="BQ134">
        <v>0.4</v>
      </c>
      <c r="CA134" t="str">
        <f t="shared" si="26"/>
        <v>AllSexOther241</v>
      </c>
      <c r="CB134" t="s">
        <v>17</v>
      </c>
      <c r="CC134" t="s">
        <v>45</v>
      </c>
      <c r="CD134">
        <v>24</v>
      </c>
      <c r="CE134">
        <v>1</v>
      </c>
      <c r="CF134">
        <v>124</v>
      </c>
      <c r="CG134">
        <v>10.4501633856297</v>
      </c>
      <c r="CH134">
        <v>1.8</v>
      </c>
      <c r="CJ134" t="str">
        <f t="shared" si="27"/>
        <v>AllSexPacific21Other</v>
      </c>
      <c r="CK134" t="s">
        <v>17</v>
      </c>
      <c r="CL134" t="s">
        <v>79</v>
      </c>
      <c r="CM134" t="s">
        <v>45</v>
      </c>
      <c r="CN134">
        <v>21</v>
      </c>
      <c r="CO134">
        <v>1</v>
      </c>
      <c r="CP134">
        <v>7</v>
      </c>
      <c r="CQ134">
        <v>14.3</v>
      </c>
    </row>
    <row r="135" spans="1:95">
      <c r="A135" t="str">
        <f t="shared" si="21"/>
        <v>2001MaleAllEth19</v>
      </c>
      <c r="B135">
        <v>2001</v>
      </c>
      <c r="C135" t="s">
        <v>20</v>
      </c>
      <c r="D135" t="s">
        <v>27</v>
      </c>
      <c r="E135">
        <v>19</v>
      </c>
      <c r="F135">
        <v>390</v>
      </c>
      <c r="G135">
        <v>20.356398349177098</v>
      </c>
      <c r="H135">
        <v>2</v>
      </c>
      <c r="J135" s="340" t="str">
        <f t="shared" si="22"/>
        <v>2011AllSexMaori192</v>
      </c>
      <c r="K135">
        <v>2011</v>
      </c>
      <c r="L135" t="s">
        <v>17</v>
      </c>
      <c r="M135" t="s">
        <v>18</v>
      </c>
      <c r="N135">
        <v>19</v>
      </c>
      <c r="O135">
        <v>2</v>
      </c>
      <c r="P135">
        <v>17</v>
      </c>
      <c r="Q135">
        <v>21.6531984067813</v>
      </c>
      <c r="R135">
        <v>10.3</v>
      </c>
      <c r="T135" s="340" t="str">
        <f t="shared" si="24"/>
        <v>1996FemaleNon-Maori25Submersion (drowning)</v>
      </c>
      <c r="U135">
        <v>1996</v>
      </c>
      <c r="V135" t="s">
        <v>8</v>
      </c>
      <c r="W135" t="s">
        <v>19</v>
      </c>
      <c r="X135">
        <v>25</v>
      </c>
      <c r="Y135" t="s">
        <v>49</v>
      </c>
      <c r="Z135">
        <v>1</v>
      </c>
      <c r="AA135">
        <v>13</v>
      </c>
      <c r="AB135">
        <v>7.7</v>
      </c>
      <c r="AY135" t="str">
        <f t="shared" si="23"/>
        <v>2008FemaleUrban23</v>
      </c>
      <c r="AZ135">
        <v>2008</v>
      </c>
      <c r="BA135" t="s">
        <v>8</v>
      </c>
      <c r="BB135" t="s">
        <v>97</v>
      </c>
      <c r="BC135">
        <v>23</v>
      </c>
      <c r="BD135">
        <v>43</v>
      </c>
      <c r="BE135">
        <v>8.0962512473875492</v>
      </c>
      <c r="BF135">
        <v>2.4</v>
      </c>
      <c r="BH135" t="str">
        <f t="shared" si="25"/>
        <v>2016MaleNon-Maori16</v>
      </c>
      <c r="BI135">
        <v>2016</v>
      </c>
      <c r="BJ135" t="s">
        <v>20</v>
      </c>
      <c r="BK135" t="s">
        <v>19</v>
      </c>
      <c r="BL135">
        <v>16</v>
      </c>
      <c r="BM135">
        <v>9</v>
      </c>
      <c r="BN135">
        <v>15.9179342058719</v>
      </c>
      <c r="BO135">
        <v>10.4</v>
      </c>
      <c r="BP135">
        <v>1861</v>
      </c>
      <c r="BQ135">
        <v>0.5</v>
      </c>
      <c r="CA135" t="str">
        <f t="shared" si="26"/>
        <v>AllSexOther242</v>
      </c>
      <c r="CB135" t="s">
        <v>17</v>
      </c>
      <c r="CC135" t="s">
        <v>45</v>
      </c>
      <c r="CD135">
        <v>24</v>
      </c>
      <c r="CE135">
        <v>2</v>
      </c>
      <c r="CF135">
        <v>138</v>
      </c>
      <c r="CG135">
        <v>13.736317937011201</v>
      </c>
      <c r="CH135">
        <v>2.2999999999999998</v>
      </c>
      <c r="CJ135" t="str">
        <f t="shared" si="27"/>
        <v>AllSexPacific24Other</v>
      </c>
      <c r="CK135" t="s">
        <v>17</v>
      </c>
      <c r="CL135" t="s">
        <v>79</v>
      </c>
      <c r="CM135" t="s">
        <v>45</v>
      </c>
      <c r="CN135">
        <v>24</v>
      </c>
      <c r="CO135">
        <v>1</v>
      </c>
      <c r="CP135">
        <v>24</v>
      </c>
      <c r="CQ135">
        <v>4.2</v>
      </c>
    </row>
    <row r="136" spans="1:95">
      <c r="A136" t="str">
        <f t="shared" si="21"/>
        <v>2002MaleAllEth19</v>
      </c>
      <c r="B136">
        <v>2002</v>
      </c>
      <c r="C136" t="s">
        <v>20</v>
      </c>
      <c r="D136" t="s">
        <v>27</v>
      </c>
      <c r="E136">
        <v>19</v>
      </c>
      <c r="F136">
        <v>356</v>
      </c>
      <c r="G136">
        <v>18.167720892576899</v>
      </c>
      <c r="H136">
        <v>1.9</v>
      </c>
      <c r="J136" s="340" t="str">
        <f t="shared" si="22"/>
        <v>2011AllSexMaori193</v>
      </c>
      <c r="K136">
        <v>2011</v>
      </c>
      <c r="L136" t="s">
        <v>17</v>
      </c>
      <c r="M136" t="s">
        <v>18</v>
      </c>
      <c r="N136">
        <v>19</v>
      </c>
      <c r="O136">
        <v>3</v>
      </c>
      <c r="P136">
        <v>14</v>
      </c>
      <c r="Q136">
        <v>12.3556696064809</v>
      </c>
      <c r="R136">
        <v>6.5</v>
      </c>
      <c r="T136" s="340" t="str">
        <f t="shared" si="24"/>
        <v>1996MaleAllEth22Firearms and explosives</v>
      </c>
      <c r="U136">
        <v>1996</v>
      </c>
      <c r="V136" t="s">
        <v>20</v>
      </c>
      <c r="W136" t="s">
        <v>27</v>
      </c>
      <c r="X136">
        <v>22</v>
      </c>
      <c r="Y136" t="s">
        <v>42</v>
      </c>
      <c r="Z136">
        <v>8</v>
      </c>
      <c r="AA136">
        <v>105</v>
      </c>
      <c r="AB136">
        <v>7.6</v>
      </c>
      <c r="AY136" t="str">
        <f t="shared" si="23"/>
        <v>2008FemaleRural24</v>
      </c>
      <c r="AZ136">
        <v>2008</v>
      </c>
      <c r="BA136" t="s">
        <v>8</v>
      </c>
      <c r="BB136" t="s">
        <v>96</v>
      </c>
      <c r="BC136">
        <v>24</v>
      </c>
      <c r="BD136">
        <v>6</v>
      </c>
      <c r="BE136">
        <v>6.8949666743277396</v>
      </c>
      <c r="BF136">
        <v>5.5</v>
      </c>
      <c r="BH136" t="str">
        <f t="shared" si="25"/>
        <v>2016MaleNon-Maori17</v>
      </c>
      <c r="BI136">
        <v>2016</v>
      </c>
      <c r="BJ136" t="s">
        <v>20</v>
      </c>
      <c r="BK136" t="s">
        <v>19</v>
      </c>
      <c r="BL136">
        <v>17</v>
      </c>
      <c r="BM136">
        <v>8</v>
      </c>
      <c r="BN136">
        <v>22.1545278316256</v>
      </c>
      <c r="BO136">
        <v>15.4</v>
      </c>
      <c r="BP136">
        <v>2309</v>
      </c>
      <c r="BQ136">
        <v>0.3</v>
      </c>
      <c r="CA136" t="str">
        <f t="shared" si="26"/>
        <v>AllSexOther243</v>
      </c>
      <c r="CB136" t="s">
        <v>17</v>
      </c>
      <c r="CC136" t="s">
        <v>45</v>
      </c>
      <c r="CD136">
        <v>24</v>
      </c>
      <c r="CE136">
        <v>3</v>
      </c>
      <c r="CF136">
        <v>131</v>
      </c>
      <c r="CG136">
        <v>15.121704610113801</v>
      </c>
      <c r="CH136">
        <v>2.6</v>
      </c>
      <c r="CJ136" t="str">
        <f t="shared" si="27"/>
        <v>AllSexPacific23Poisoning by gases and vapours</v>
      </c>
      <c r="CK136" t="s">
        <v>17</v>
      </c>
      <c r="CL136" t="s">
        <v>79</v>
      </c>
      <c r="CM136" t="s">
        <v>46</v>
      </c>
      <c r="CN136">
        <v>23</v>
      </c>
      <c r="CO136">
        <v>1</v>
      </c>
      <c r="CP136">
        <v>34</v>
      </c>
      <c r="CQ136">
        <v>2.9</v>
      </c>
    </row>
    <row r="137" spans="1:95">
      <c r="A137" t="str">
        <f t="shared" si="21"/>
        <v>2003MaleAllEth19</v>
      </c>
      <c r="B137">
        <v>2003</v>
      </c>
      <c r="C137" t="s">
        <v>20</v>
      </c>
      <c r="D137" t="s">
        <v>27</v>
      </c>
      <c r="E137">
        <v>19</v>
      </c>
      <c r="F137">
        <v>380</v>
      </c>
      <c r="G137">
        <v>18.574084657112099</v>
      </c>
      <c r="H137">
        <v>1.9</v>
      </c>
      <c r="J137" s="340" t="str">
        <f t="shared" si="22"/>
        <v>2011AllSexMaori194</v>
      </c>
      <c r="K137">
        <v>2011</v>
      </c>
      <c r="L137" t="s">
        <v>17</v>
      </c>
      <c r="M137" t="s">
        <v>18</v>
      </c>
      <c r="N137">
        <v>19</v>
      </c>
      <c r="O137">
        <v>4</v>
      </c>
      <c r="P137">
        <v>20</v>
      </c>
      <c r="Q137">
        <v>12.891795717896899</v>
      </c>
      <c r="R137">
        <v>5.6</v>
      </c>
      <c r="T137" s="340" t="str">
        <f t="shared" si="24"/>
        <v>1996MaleAllEth23Firearms and explosives</v>
      </c>
      <c r="U137">
        <v>1996</v>
      </c>
      <c r="V137" t="s">
        <v>20</v>
      </c>
      <c r="W137" t="s">
        <v>27</v>
      </c>
      <c r="X137">
        <v>23</v>
      </c>
      <c r="Y137" t="s">
        <v>42</v>
      </c>
      <c r="Z137">
        <v>20</v>
      </c>
      <c r="AA137">
        <v>188</v>
      </c>
      <c r="AB137">
        <v>10.6</v>
      </c>
      <c r="AY137" t="str">
        <f t="shared" si="23"/>
        <v>2008FemaleUrban24</v>
      </c>
      <c r="AZ137">
        <v>2008</v>
      </c>
      <c r="BA137" t="s">
        <v>8</v>
      </c>
      <c r="BB137" t="s">
        <v>97</v>
      </c>
      <c r="BC137">
        <v>24</v>
      </c>
      <c r="BD137">
        <v>27</v>
      </c>
      <c r="BE137">
        <v>5.9950707196305304</v>
      </c>
      <c r="BF137">
        <v>2.2999999999999998</v>
      </c>
      <c r="BH137" t="str">
        <f t="shared" si="25"/>
        <v>2016MaleNon-Maori18</v>
      </c>
      <c r="BI137">
        <v>2016</v>
      </c>
      <c r="BJ137" t="s">
        <v>20</v>
      </c>
      <c r="BK137" t="s">
        <v>19</v>
      </c>
      <c r="BL137">
        <v>18</v>
      </c>
      <c r="BM137">
        <v>9</v>
      </c>
      <c r="BN137">
        <v>29.5275590551181</v>
      </c>
      <c r="BO137">
        <v>19.3</v>
      </c>
      <c r="BP137">
        <v>4453</v>
      </c>
      <c r="BQ137">
        <v>0.2</v>
      </c>
      <c r="CA137" t="str">
        <f t="shared" si="26"/>
        <v>AllSexOther244</v>
      </c>
      <c r="CB137" t="s">
        <v>17</v>
      </c>
      <c r="CC137" t="s">
        <v>45</v>
      </c>
      <c r="CD137">
        <v>24</v>
      </c>
      <c r="CE137">
        <v>4</v>
      </c>
      <c r="CF137">
        <v>158</v>
      </c>
      <c r="CG137">
        <v>22.159156734567102</v>
      </c>
      <c r="CH137">
        <v>3.5</v>
      </c>
      <c r="CJ137" t="str">
        <f t="shared" si="27"/>
        <v>AllSexPacific22Poisoning by solids and liquids</v>
      </c>
      <c r="CK137" t="s">
        <v>17</v>
      </c>
      <c r="CL137" t="s">
        <v>79</v>
      </c>
      <c r="CM137" t="s">
        <v>47</v>
      </c>
      <c r="CN137">
        <v>22</v>
      </c>
      <c r="CO137">
        <v>2</v>
      </c>
      <c r="CP137">
        <v>50</v>
      </c>
      <c r="CQ137">
        <v>4</v>
      </c>
    </row>
    <row r="138" spans="1:95">
      <c r="A138" t="str">
        <f t="shared" si="21"/>
        <v>2004MaleAllEth19</v>
      </c>
      <c r="B138">
        <v>2004</v>
      </c>
      <c r="C138" t="s">
        <v>20</v>
      </c>
      <c r="D138" t="s">
        <v>27</v>
      </c>
      <c r="E138">
        <v>19</v>
      </c>
      <c r="F138">
        <v>382</v>
      </c>
      <c r="G138">
        <v>18.725315817265901</v>
      </c>
      <c r="H138">
        <v>1.9</v>
      </c>
      <c r="J138" s="340" t="str">
        <f t="shared" si="22"/>
        <v>2011AllSexMaori195</v>
      </c>
      <c r="K138">
        <v>2011</v>
      </c>
      <c r="L138" t="s">
        <v>17</v>
      </c>
      <c r="M138" t="s">
        <v>18</v>
      </c>
      <c r="N138">
        <v>19</v>
      </c>
      <c r="O138">
        <v>5</v>
      </c>
      <c r="P138">
        <v>55</v>
      </c>
      <c r="Q138">
        <v>21.835288706363301</v>
      </c>
      <c r="R138">
        <v>5.8</v>
      </c>
      <c r="T138" s="340" t="str">
        <f t="shared" si="24"/>
        <v>1996MaleAllEth24Firearms and explosives</v>
      </c>
      <c r="U138">
        <v>1996</v>
      </c>
      <c r="V138" t="s">
        <v>20</v>
      </c>
      <c r="W138" t="s">
        <v>27</v>
      </c>
      <c r="X138">
        <v>24</v>
      </c>
      <c r="Y138" t="s">
        <v>42</v>
      </c>
      <c r="Z138">
        <v>9</v>
      </c>
      <c r="AA138">
        <v>80</v>
      </c>
      <c r="AB138">
        <v>11.2</v>
      </c>
      <c r="AY138" t="str">
        <f t="shared" si="23"/>
        <v>2008FemaleRural25</v>
      </c>
      <c r="AZ138">
        <v>2008</v>
      </c>
      <c r="BA138" t="s">
        <v>8</v>
      </c>
      <c r="BB138" t="s">
        <v>96</v>
      </c>
      <c r="BC138">
        <v>25</v>
      </c>
      <c r="BD138">
        <v>0</v>
      </c>
      <c r="BE138">
        <v>0</v>
      </c>
      <c r="CA138" t="str">
        <f t="shared" si="26"/>
        <v>AllSexOther245</v>
      </c>
      <c r="CB138" t="s">
        <v>17</v>
      </c>
      <c r="CC138" t="s">
        <v>45</v>
      </c>
      <c r="CD138">
        <v>24</v>
      </c>
      <c r="CE138">
        <v>5</v>
      </c>
      <c r="CF138">
        <v>124</v>
      </c>
      <c r="CG138">
        <v>26.732627359008699</v>
      </c>
      <c r="CH138">
        <v>4.7</v>
      </c>
      <c r="CJ138" t="str">
        <f t="shared" si="27"/>
        <v>AllSexPacific23Poisoning by solids and liquids</v>
      </c>
      <c r="CK138" t="s">
        <v>17</v>
      </c>
      <c r="CL138" t="s">
        <v>79</v>
      </c>
      <c r="CM138" t="s">
        <v>47</v>
      </c>
      <c r="CN138">
        <v>23</v>
      </c>
      <c r="CO138">
        <v>3</v>
      </c>
      <c r="CP138">
        <v>34</v>
      </c>
      <c r="CQ138">
        <v>8.8000000000000007</v>
      </c>
    </row>
    <row r="139" spans="1:95">
      <c r="A139" t="str">
        <f t="shared" si="21"/>
        <v>2005MaleAllEth19</v>
      </c>
      <c r="B139">
        <v>2005</v>
      </c>
      <c r="C139" t="s">
        <v>20</v>
      </c>
      <c r="D139" t="s">
        <v>27</v>
      </c>
      <c r="E139">
        <v>19</v>
      </c>
      <c r="F139">
        <v>383</v>
      </c>
      <c r="G139">
        <v>18.722380905625801</v>
      </c>
      <c r="H139">
        <v>1.9</v>
      </c>
      <c r="J139" s="340" t="str">
        <f t="shared" si="22"/>
        <v>2012AllSexMaori191</v>
      </c>
      <c r="K139">
        <v>2012</v>
      </c>
      <c r="L139" t="s">
        <v>17</v>
      </c>
      <c r="M139" t="s">
        <v>18</v>
      </c>
      <c r="N139">
        <v>19</v>
      </c>
      <c r="O139">
        <v>1</v>
      </c>
      <c r="P139">
        <v>2</v>
      </c>
      <c r="Q139">
        <v>4.9396268264284497</v>
      </c>
      <c r="R139">
        <v>6.8</v>
      </c>
      <c r="T139" s="340" t="str">
        <f t="shared" si="24"/>
        <v>1996MaleAllEth25Firearms and explosives</v>
      </c>
      <c r="U139">
        <v>1996</v>
      </c>
      <c r="V139" t="s">
        <v>20</v>
      </c>
      <c r="W139" t="s">
        <v>27</v>
      </c>
      <c r="X139">
        <v>25</v>
      </c>
      <c r="Y139" t="s">
        <v>42</v>
      </c>
      <c r="Z139">
        <v>9</v>
      </c>
      <c r="AA139">
        <v>53</v>
      </c>
      <c r="AB139">
        <v>17</v>
      </c>
      <c r="AY139" t="str">
        <f t="shared" si="23"/>
        <v>2008FemaleUrban25</v>
      </c>
      <c r="AZ139">
        <v>2008</v>
      </c>
      <c r="BA139" t="s">
        <v>8</v>
      </c>
      <c r="BB139" t="s">
        <v>97</v>
      </c>
      <c r="BC139">
        <v>25</v>
      </c>
      <c r="BD139">
        <v>15</v>
      </c>
      <c r="BE139">
        <v>5.7038558065252101</v>
      </c>
      <c r="BF139">
        <v>2.9</v>
      </c>
      <c r="CA139" t="str">
        <f t="shared" si="26"/>
        <v>AllSexPacific241</v>
      </c>
      <c r="CB139" t="s">
        <v>17</v>
      </c>
      <c r="CC139" t="s">
        <v>79</v>
      </c>
      <c r="CD139">
        <v>24</v>
      </c>
      <c r="CE139">
        <v>1</v>
      </c>
      <c r="CF139">
        <v>0</v>
      </c>
      <c r="CG139">
        <v>0</v>
      </c>
      <c r="CJ139" t="str">
        <f t="shared" si="27"/>
        <v>AllSexPacific24Poisoning by solids and liquids</v>
      </c>
      <c r="CK139" t="s">
        <v>17</v>
      </c>
      <c r="CL139" t="s">
        <v>79</v>
      </c>
      <c r="CM139" t="s">
        <v>47</v>
      </c>
      <c r="CN139">
        <v>24</v>
      </c>
      <c r="CO139">
        <v>2</v>
      </c>
      <c r="CP139">
        <v>24</v>
      </c>
      <c r="CQ139">
        <v>8.3000000000000007</v>
      </c>
    </row>
    <row r="140" spans="1:95">
      <c r="A140" t="str">
        <f t="shared" si="21"/>
        <v>2006MaleAllEth19</v>
      </c>
      <c r="B140">
        <v>2006</v>
      </c>
      <c r="C140" t="s">
        <v>20</v>
      </c>
      <c r="D140" t="s">
        <v>27</v>
      </c>
      <c r="E140">
        <v>19</v>
      </c>
      <c r="F140">
        <v>387</v>
      </c>
      <c r="G140">
        <v>18.521171460464299</v>
      </c>
      <c r="H140">
        <v>1.8</v>
      </c>
      <c r="J140" s="340" t="str">
        <f t="shared" si="22"/>
        <v>2012AllSexMaori192</v>
      </c>
      <c r="K140">
        <v>2012</v>
      </c>
      <c r="L140" t="s">
        <v>17</v>
      </c>
      <c r="M140" t="s">
        <v>18</v>
      </c>
      <c r="N140">
        <v>19</v>
      </c>
      <c r="O140">
        <v>2</v>
      </c>
      <c r="P140">
        <v>12</v>
      </c>
      <c r="Q140">
        <v>16.637221219970201</v>
      </c>
      <c r="R140">
        <v>9.4</v>
      </c>
      <c r="T140" s="340" t="str">
        <f t="shared" si="24"/>
        <v>1996MaleAllEth21Hanging, strangulation and suffocation</v>
      </c>
      <c r="U140">
        <v>1996</v>
      </c>
      <c r="V140" t="s">
        <v>20</v>
      </c>
      <c r="W140" t="s">
        <v>27</v>
      </c>
      <c r="X140">
        <v>21</v>
      </c>
      <c r="Y140" t="s">
        <v>43</v>
      </c>
      <c r="Z140">
        <v>3</v>
      </c>
      <c r="AA140">
        <v>3</v>
      </c>
      <c r="AB140">
        <v>100</v>
      </c>
      <c r="AY140" t="str">
        <f t="shared" si="23"/>
        <v>2008MaleRural22</v>
      </c>
      <c r="AZ140">
        <v>2008</v>
      </c>
      <c r="BA140" t="s">
        <v>20</v>
      </c>
      <c r="BB140" t="s">
        <v>96</v>
      </c>
      <c r="BC140">
        <v>22</v>
      </c>
      <c r="BD140">
        <v>12</v>
      </c>
      <c r="BE140">
        <v>33.176665745092599</v>
      </c>
      <c r="BF140">
        <v>18.8</v>
      </c>
      <c r="CA140" t="str">
        <f t="shared" si="26"/>
        <v>AllSexPacific242</v>
      </c>
      <c r="CB140" t="s">
        <v>17</v>
      </c>
      <c r="CC140" t="s">
        <v>79</v>
      </c>
      <c r="CD140">
        <v>24</v>
      </c>
      <c r="CE140">
        <v>2</v>
      </c>
      <c r="CF140">
        <v>3</v>
      </c>
      <c r="CG140">
        <v>13.2837367641967</v>
      </c>
      <c r="CH140">
        <v>15</v>
      </c>
      <c r="CJ140" t="str">
        <f t="shared" si="27"/>
        <v>AllSexPacific25Poisoning by solids and liquids</v>
      </c>
      <c r="CK140" t="s">
        <v>17</v>
      </c>
      <c r="CL140" t="s">
        <v>79</v>
      </c>
      <c r="CM140" t="s">
        <v>47</v>
      </c>
      <c r="CN140">
        <v>25</v>
      </c>
      <c r="CO140">
        <v>1</v>
      </c>
      <c r="CP140">
        <v>4</v>
      </c>
      <c r="CQ140">
        <v>25</v>
      </c>
    </row>
    <row r="141" spans="1:95">
      <c r="A141" t="str">
        <f t="shared" si="21"/>
        <v>2007MaleAllEth19</v>
      </c>
      <c r="B141">
        <v>2007</v>
      </c>
      <c r="C141" t="s">
        <v>20</v>
      </c>
      <c r="D141" t="s">
        <v>27</v>
      </c>
      <c r="E141">
        <v>19</v>
      </c>
      <c r="F141">
        <v>381</v>
      </c>
      <c r="G141">
        <v>17.981880281474702</v>
      </c>
      <c r="H141">
        <v>1.8</v>
      </c>
      <c r="J141" s="340" t="str">
        <f t="shared" si="22"/>
        <v>2012AllSexMaori193</v>
      </c>
      <c r="K141">
        <v>2012</v>
      </c>
      <c r="L141" t="s">
        <v>17</v>
      </c>
      <c r="M141" t="s">
        <v>18</v>
      </c>
      <c r="N141">
        <v>19</v>
      </c>
      <c r="O141">
        <v>3</v>
      </c>
      <c r="P141">
        <v>17</v>
      </c>
      <c r="Q141">
        <v>15.2135127829612</v>
      </c>
      <c r="R141">
        <v>7.2</v>
      </c>
      <c r="T141" s="340" t="str">
        <f t="shared" si="24"/>
        <v>1996MaleAllEth22Hanging, strangulation and suffocation</v>
      </c>
      <c r="U141">
        <v>1996</v>
      </c>
      <c r="V141" t="s">
        <v>20</v>
      </c>
      <c r="W141" t="s">
        <v>27</v>
      </c>
      <c r="X141">
        <v>22</v>
      </c>
      <c r="Y141" t="s">
        <v>43</v>
      </c>
      <c r="Z141">
        <v>71</v>
      </c>
      <c r="AA141">
        <v>105</v>
      </c>
      <c r="AB141">
        <v>67.599999999999994</v>
      </c>
      <c r="AY141" t="str">
        <f t="shared" si="23"/>
        <v>2008MaleUrban22</v>
      </c>
      <c r="AZ141">
        <v>2008</v>
      </c>
      <c r="BA141" t="s">
        <v>20</v>
      </c>
      <c r="BB141" t="s">
        <v>97</v>
      </c>
      <c r="BC141">
        <v>22</v>
      </c>
      <c r="BD141">
        <v>69</v>
      </c>
      <c r="BE141">
        <v>25.6801518478544</v>
      </c>
      <c r="BF141">
        <v>6.1</v>
      </c>
      <c r="CA141" t="str">
        <f t="shared" si="26"/>
        <v>AllSexPacific243</v>
      </c>
      <c r="CB141" t="s">
        <v>17</v>
      </c>
      <c r="CC141" t="s">
        <v>79</v>
      </c>
      <c r="CD141">
        <v>24</v>
      </c>
      <c r="CE141">
        <v>3</v>
      </c>
      <c r="CF141">
        <v>1</v>
      </c>
      <c r="CG141">
        <v>3.13869009855101</v>
      </c>
      <c r="CH141">
        <v>6.2</v>
      </c>
      <c r="CJ141" t="str">
        <f t="shared" si="27"/>
        <v>AllSexPacific24Sharp object</v>
      </c>
      <c r="CK141" t="s">
        <v>17</v>
      </c>
      <c r="CL141" t="s">
        <v>79</v>
      </c>
      <c r="CM141" t="s">
        <v>48</v>
      </c>
      <c r="CN141">
        <v>24</v>
      </c>
      <c r="CO141">
        <v>1</v>
      </c>
      <c r="CP141">
        <v>24</v>
      </c>
      <c r="CQ141">
        <v>4.2</v>
      </c>
    </row>
    <row r="142" spans="1:95">
      <c r="A142" t="str">
        <f t="shared" si="21"/>
        <v>2008MaleAllEth19</v>
      </c>
      <c r="B142">
        <v>2008</v>
      </c>
      <c r="C142" t="s">
        <v>20</v>
      </c>
      <c r="D142" t="s">
        <v>27</v>
      </c>
      <c r="E142">
        <v>19</v>
      </c>
      <c r="F142">
        <v>379</v>
      </c>
      <c r="G142">
        <v>17.700121249097698</v>
      </c>
      <c r="H142">
        <v>1.8</v>
      </c>
      <c r="J142" s="340" t="str">
        <f t="shared" si="22"/>
        <v>2012AllSexMaori194</v>
      </c>
      <c r="K142">
        <v>2012</v>
      </c>
      <c r="L142" t="s">
        <v>17</v>
      </c>
      <c r="M142" t="s">
        <v>18</v>
      </c>
      <c r="N142">
        <v>19</v>
      </c>
      <c r="O142">
        <v>4</v>
      </c>
      <c r="P142">
        <v>34</v>
      </c>
      <c r="Q142">
        <v>21.7493772047203</v>
      </c>
      <c r="R142">
        <v>7.3</v>
      </c>
      <c r="T142" s="340" t="str">
        <f t="shared" si="24"/>
        <v>1996MaleAllEth23Hanging, strangulation and suffocation</v>
      </c>
      <c r="U142">
        <v>1996</v>
      </c>
      <c r="V142" t="s">
        <v>20</v>
      </c>
      <c r="W142" t="s">
        <v>27</v>
      </c>
      <c r="X142">
        <v>23</v>
      </c>
      <c r="Y142" t="s">
        <v>43</v>
      </c>
      <c r="Z142">
        <v>76</v>
      </c>
      <c r="AA142">
        <v>188</v>
      </c>
      <c r="AB142">
        <v>40.4</v>
      </c>
      <c r="AY142" t="str">
        <f t="shared" si="23"/>
        <v>2008MaleRural23</v>
      </c>
      <c r="AZ142">
        <v>2008</v>
      </c>
      <c r="BA142" t="s">
        <v>20</v>
      </c>
      <c r="BB142" t="s">
        <v>96</v>
      </c>
      <c r="BC142">
        <v>23</v>
      </c>
      <c r="BD142">
        <v>23</v>
      </c>
      <c r="BE142">
        <v>31.5111659131388</v>
      </c>
      <c r="BF142">
        <v>12.9</v>
      </c>
      <c r="CA142" t="str">
        <f t="shared" si="26"/>
        <v>AllSexPacific244</v>
      </c>
      <c r="CB142" t="s">
        <v>17</v>
      </c>
      <c r="CC142" t="s">
        <v>79</v>
      </c>
      <c r="CD142">
        <v>24</v>
      </c>
      <c r="CE142">
        <v>4</v>
      </c>
      <c r="CF142">
        <v>7</v>
      </c>
      <c r="CG142">
        <v>13.0037710698304</v>
      </c>
      <c r="CH142">
        <v>9.6</v>
      </c>
      <c r="CJ142" t="str">
        <f t="shared" si="27"/>
        <v>AllSexPacific25Sharp object</v>
      </c>
      <c r="CK142" t="s">
        <v>17</v>
      </c>
      <c r="CL142" t="s">
        <v>79</v>
      </c>
      <c r="CM142" t="s">
        <v>48</v>
      </c>
      <c r="CN142">
        <v>25</v>
      </c>
      <c r="CO142">
        <v>1</v>
      </c>
      <c r="CP142">
        <v>4</v>
      </c>
      <c r="CQ142">
        <v>25</v>
      </c>
    </row>
    <row r="143" spans="1:95">
      <c r="A143" t="str">
        <f t="shared" si="21"/>
        <v>2009MaleAllEth19</v>
      </c>
      <c r="B143">
        <v>2009</v>
      </c>
      <c r="C143" t="s">
        <v>20</v>
      </c>
      <c r="D143" t="s">
        <v>27</v>
      </c>
      <c r="E143">
        <v>19</v>
      </c>
      <c r="F143">
        <v>394</v>
      </c>
      <c r="G143">
        <v>18.249471294450601</v>
      </c>
      <c r="H143">
        <v>1.8</v>
      </c>
      <c r="J143" s="340" t="str">
        <f t="shared" si="22"/>
        <v>2012AllSexMaori195</v>
      </c>
      <c r="K143">
        <v>2012</v>
      </c>
      <c r="L143" t="s">
        <v>17</v>
      </c>
      <c r="M143" t="s">
        <v>18</v>
      </c>
      <c r="N143">
        <v>19</v>
      </c>
      <c r="O143">
        <v>5</v>
      </c>
      <c r="P143">
        <v>50</v>
      </c>
      <c r="Q143">
        <v>18.144466542874301</v>
      </c>
      <c r="R143">
        <v>5</v>
      </c>
      <c r="T143" s="340" t="str">
        <f t="shared" si="24"/>
        <v>1996MaleAllEth24Hanging, strangulation and suffocation</v>
      </c>
      <c r="U143">
        <v>1996</v>
      </c>
      <c r="V143" t="s">
        <v>20</v>
      </c>
      <c r="W143" t="s">
        <v>27</v>
      </c>
      <c r="X143">
        <v>24</v>
      </c>
      <c r="Y143" t="s">
        <v>43</v>
      </c>
      <c r="Z143">
        <v>25</v>
      </c>
      <c r="AA143">
        <v>80</v>
      </c>
      <c r="AB143">
        <v>31.2</v>
      </c>
      <c r="AY143" t="str">
        <f t="shared" si="23"/>
        <v>2008MaleUrban23</v>
      </c>
      <c r="AZ143">
        <v>2008</v>
      </c>
      <c r="BA143" t="s">
        <v>20</v>
      </c>
      <c r="BB143" t="s">
        <v>97</v>
      </c>
      <c r="BC143">
        <v>23</v>
      </c>
      <c r="BD143">
        <v>108</v>
      </c>
      <c r="BE143">
        <v>22.086341233972099</v>
      </c>
      <c r="BF143">
        <v>4.2</v>
      </c>
      <c r="CA143" t="str">
        <f t="shared" si="26"/>
        <v>AllSexPacific245</v>
      </c>
      <c r="CB143" t="s">
        <v>17</v>
      </c>
      <c r="CC143" t="s">
        <v>79</v>
      </c>
      <c r="CD143">
        <v>24</v>
      </c>
      <c r="CE143">
        <v>5</v>
      </c>
      <c r="CF143">
        <v>13</v>
      </c>
      <c r="CG143">
        <v>9.1035836863863508</v>
      </c>
      <c r="CH143">
        <v>4.9000000000000004</v>
      </c>
      <c r="CJ143" t="str">
        <f t="shared" si="27"/>
        <v>AllSexPacific23Submersion (drowning)</v>
      </c>
      <c r="CK143" t="s">
        <v>17</v>
      </c>
      <c r="CL143" t="s">
        <v>79</v>
      </c>
      <c r="CM143" t="s">
        <v>49</v>
      </c>
      <c r="CN143">
        <v>23</v>
      </c>
      <c r="CO143">
        <v>1</v>
      </c>
      <c r="CP143">
        <v>34</v>
      </c>
      <c r="CQ143">
        <v>2.9</v>
      </c>
    </row>
    <row r="144" spans="1:95">
      <c r="A144" t="str">
        <f t="shared" si="21"/>
        <v>2010MaleAllEth19</v>
      </c>
      <c r="B144">
        <v>2010</v>
      </c>
      <c r="C144" t="s">
        <v>20</v>
      </c>
      <c r="D144" t="s">
        <v>27</v>
      </c>
      <c r="E144">
        <v>19</v>
      </c>
      <c r="F144">
        <v>387</v>
      </c>
      <c r="G144">
        <v>17.638688314312301</v>
      </c>
      <c r="H144">
        <v>1.8</v>
      </c>
      <c r="J144" s="340" t="str">
        <f t="shared" si="22"/>
        <v>2013AllSexMaori191</v>
      </c>
      <c r="K144">
        <v>2013</v>
      </c>
      <c r="L144" t="s">
        <v>17</v>
      </c>
      <c r="M144" t="s">
        <v>18</v>
      </c>
      <c r="N144">
        <v>19</v>
      </c>
      <c r="O144">
        <v>1</v>
      </c>
      <c r="P144">
        <v>2</v>
      </c>
      <c r="Q144">
        <v>3.1805744136982801</v>
      </c>
      <c r="R144">
        <v>4.4000000000000004</v>
      </c>
      <c r="T144" s="340" t="str">
        <f t="shared" si="24"/>
        <v>1996MaleAllEth25Hanging, strangulation and suffocation</v>
      </c>
      <c r="U144">
        <v>1996</v>
      </c>
      <c r="V144" t="s">
        <v>20</v>
      </c>
      <c r="W144" t="s">
        <v>27</v>
      </c>
      <c r="X144">
        <v>25</v>
      </c>
      <c r="Y144" t="s">
        <v>43</v>
      </c>
      <c r="Z144">
        <v>15</v>
      </c>
      <c r="AA144">
        <v>53</v>
      </c>
      <c r="AB144">
        <v>28.3</v>
      </c>
      <c r="AY144" t="str">
        <f t="shared" si="23"/>
        <v>2008MaleRural24</v>
      </c>
      <c r="AZ144">
        <v>2008</v>
      </c>
      <c r="BA144" t="s">
        <v>20</v>
      </c>
      <c r="BB144" t="s">
        <v>96</v>
      </c>
      <c r="BC144">
        <v>24</v>
      </c>
      <c r="BD144">
        <v>27</v>
      </c>
      <c r="BE144">
        <v>29.2112950340798</v>
      </c>
      <c r="BF144">
        <v>11</v>
      </c>
      <c r="CA144" t="str">
        <f t="shared" si="26"/>
        <v>AllSexAsian251</v>
      </c>
      <c r="CB144" t="s">
        <v>17</v>
      </c>
      <c r="CC144" t="s">
        <v>78</v>
      </c>
      <c r="CD144">
        <v>25</v>
      </c>
      <c r="CE144">
        <v>1</v>
      </c>
      <c r="CF144">
        <v>2</v>
      </c>
      <c r="CG144">
        <v>5.3904530198298897</v>
      </c>
      <c r="CH144">
        <v>7.5</v>
      </c>
      <c r="CJ144" t="str">
        <f t="shared" si="27"/>
        <v>FemaleAllEth21Firearms and explosives</v>
      </c>
      <c r="CK144" t="s">
        <v>8</v>
      </c>
      <c r="CL144" t="s">
        <v>27</v>
      </c>
      <c r="CM144" t="s">
        <v>42</v>
      </c>
      <c r="CN144">
        <v>21</v>
      </c>
      <c r="CO144">
        <v>1</v>
      </c>
      <c r="CP144">
        <v>18</v>
      </c>
      <c r="CQ144">
        <v>5.6</v>
      </c>
    </row>
    <row r="145" spans="1:95">
      <c r="A145" t="str">
        <f t="shared" si="21"/>
        <v>2011MaleAllEth19</v>
      </c>
      <c r="B145">
        <v>2011</v>
      </c>
      <c r="C145" t="s">
        <v>20</v>
      </c>
      <c r="D145" t="s">
        <v>27</v>
      </c>
      <c r="E145">
        <v>19</v>
      </c>
      <c r="F145">
        <v>377</v>
      </c>
      <c r="G145">
        <v>17.402217133944198</v>
      </c>
      <c r="H145">
        <v>1.8</v>
      </c>
      <c r="J145" s="340" t="str">
        <f t="shared" si="22"/>
        <v>2013AllSexMaori192</v>
      </c>
      <c r="K145">
        <v>2013</v>
      </c>
      <c r="L145" t="s">
        <v>17</v>
      </c>
      <c r="M145" t="s">
        <v>18</v>
      </c>
      <c r="N145">
        <v>19</v>
      </c>
      <c r="O145">
        <v>2</v>
      </c>
      <c r="P145">
        <v>9</v>
      </c>
      <c r="Q145">
        <v>12.8935925880459</v>
      </c>
      <c r="R145">
        <v>8.4</v>
      </c>
      <c r="T145" s="340" t="str">
        <f t="shared" si="24"/>
        <v>1996MaleAllEth22Jumping from a high place</v>
      </c>
      <c r="U145">
        <v>1996</v>
      </c>
      <c r="V145" t="s">
        <v>20</v>
      </c>
      <c r="W145" t="s">
        <v>27</v>
      </c>
      <c r="X145">
        <v>22</v>
      </c>
      <c r="Y145" t="s">
        <v>44</v>
      </c>
      <c r="Z145">
        <v>2</v>
      </c>
      <c r="AA145">
        <v>105</v>
      </c>
      <c r="AB145">
        <v>1.9</v>
      </c>
      <c r="AY145" t="str">
        <f t="shared" si="23"/>
        <v>2008MaleUrban24</v>
      </c>
      <c r="AZ145">
        <v>2008</v>
      </c>
      <c r="BA145" t="s">
        <v>20</v>
      </c>
      <c r="BB145" t="s">
        <v>97</v>
      </c>
      <c r="BC145">
        <v>24</v>
      </c>
      <c r="BD145">
        <v>97</v>
      </c>
      <c r="BE145">
        <v>22.907072853937901</v>
      </c>
      <c r="BF145">
        <v>4.5999999999999996</v>
      </c>
      <c r="CA145" t="str">
        <f t="shared" si="26"/>
        <v>AllSexAsian252</v>
      </c>
      <c r="CB145" t="s">
        <v>17</v>
      </c>
      <c r="CC145" t="s">
        <v>78</v>
      </c>
      <c r="CD145">
        <v>25</v>
      </c>
      <c r="CE145">
        <v>2</v>
      </c>
      <c r="CF145">
        <v>4</v>
      </c>
      <c r="CG145">
        <v>9.7081554160575401</v>
      </c>
      <c r="CH145">
        <v>9.5</v>
      </c>
      <c r="CJ145" t="str">
        <f t="shared" si="27"/>
        <v>FemaleAllEth22Firearms and explosives</v>
      </c>
      <c r="CK145" t="s">
        <v>8</v>
      </c>
      <c r="CL145" t="s">
        <v>27</v>
      </c>
      <c r="CM145" t="s">
        <v>42</v>
      </c>
      <c r="CN145">
        <v>22</v>
      </c>
      <c r="CO145">
        <v>2</v>
      </c>
      <c r="CP145">
        <v>167</v>
      </c>
      <c r="CQ145">
        <v>1.2</v>
      </c>
    </row>
    <row r="146" spans="1:95">
      <c r="A146" t="str">
        <f t="shared" si="21"/>
        <v>2012MaleAllEth19</v>
      </c>
      <c r="B146">
        <v>2012</v>
      </c>
      <c r="C146" t="s">
        <v>20</v>
      </c>
      <c r="D146" t="s">
        <v>27</v>
      </c>
      <c r="E146">
        <v>19</v>
      </c>
      <c r="F146">
        <v>404</v>
      </c>
      <c r="G146">
        <v>18.558588062938799</v>
      </c>
      <c r="H146">
        <v>1.8</v>
      </c>
      <c r="J146" s="340" t="str">
        <f t="shared" si="22"/>
        <v>2013AllSexMaori193</v>
      </c>
      <c r="K146">
        <v>2013</v>
      </c>
      <c r="L146" t="s">
        <v>17</v>
      </c>
      <c r="M146" t="s">
        <v>18</v>
      </c>
      <c r="N146">
        <v>19</v>
      </c>
      <c r="O146">
        <v>3</v>
      </c>
      <c r="P146">
        <v>10</v>
      </c>
      <c r="Q146">
        <v>8.8540522689585792</v>
      </c>
      <c r="R146">
        <v>5.5</v>
      </c>
      <c r="T146" s="340" t="str">
        <f t="shared" si="24"/>
        <v>1996MaleAllEth23Jumping from a high place</v>
      </c>
      <c r="U146">
        <v>1996</v>
      </c>
      <c r="V146" t="s">
        <v>20</v>
      </c>
      <c r="W146" t="s">
        <v>27</v>
      </c>
      <c r="X146">
        <v>23</v>
      </c>
      <c r="Y146" t="s">
        <v>44</v>
      </c>
      <c r="Z146">
        <v>7</v>
      </c>
      <c r="AA146">
        <v>188</v>
      </c>
      <c r="AB146">
        <v>3.7</v>
      </c>
      <c r="AY146" t="str">
        <f t="shared" si="23"/>
        <v>2008MaleRural25</v>
      </c>
      <c r="AZ146">
        <v>2008</v>
      </c>
      <c r="BA146" t="s">
        <v>20</v>
      </c>
      <c r="BB146" t="s">
        <v>96</v>
      </c>
      <c r="BC146">
        <v>25</v>
      </c>
      <c r="BD146">
        <v>10</v>
      </c>
      <c r="BE146">
        <v>28.636884306987401</v>
      </c>
      <c r="BF146">
        <v>17.7</v>
      </c>
      <c r="CA146" t="str">
        <f t="shared" si="26"/>
        <v>AllSexAsian253</v>
      </c>
      <c r="CB146" t="s">
        <v>17</v>
      </c>
      <c r="CC146" t="s">
        <v>78</v>
      </c>
      <c r="CD146">
        <v>25</v>
      </c>
      <c r="CE146">
        <v>3</v>
      </c>
      <c r="CF146">
        <v>1</v>
      </c>
      <c r="CG146">
        <v>2.6300946812547901</v>
      </c>
      <c r="CH146">
        <v>5.2</v>
      </c>
      <c r="CJ146" t="str">
        <f t="shared" si="27"/>
        <v>FemaleAllEth23Firearms and explosives</v>
      </c>
      <c r="CK146" t="s">
        <v>8</v>
      </c>
      <c r="CL146" t="s">
        <v>27</v>
      </c>
      <c r="CM146" t="s">
        <v>42</v>
      </c>
      <c r="CN146">
        <v>23</v>
      </c>
      <c r="CO146">
        <v>3</v>
      </c>
      <c r="CP146">
        <v>233</v>
      </c>
      <c r="CQ146">
        <v>1.3</v>
      </c>
    </row>
    <row r="147" spans="1:95">
      <c r="A147" t="str">
        <f t="shared" si="21"/>
        <v>2013MaleAllEth19</v>
      </c>
      <c r="B147">
        <v>2013</v>
      </c>
      <c r="C147" t="s">
        <v>20</v>
      </c>
      <c r="D147" t="s">
        <v>27</v>
      </c>
      <c r="E147">
        <v>19</v>
      </c>
      <c r="F147">
        <v>365</v>
      </c>
      <c r="G147">
        <v>15.8972409761442</v>
      </c>
      <c r="H147">
        <v>1.6</v>
      </c>
      <c r="J147" s="340" t="str">
        <f t="shared" si="22"/>
        <v>2013AllSexMaori194</v>
      </c>
      <c r="K147">
        <v>2013</v>
      </c>
      <c r="L147" t="s">
        <v>17</v>
      </c>
      <c r="M147" t="s">
        <v>18</v>
      </c>
      <c r="N147">
        <v>19</v>
      </c>
      <c r="O147">
        <v>4</v>
      </c>
      <c r="P147">
        <v>28</v>
      </c>
      <c r="Q147">
        <v>17.802485127361699</v>
      </c>
      <c r="R147">
        <v>6.6</v>
      </c>
      <c r="T147" s="340" t="str">
        <f t="shared" si="24"/>
        <v>1996MaleAllEth24Jumping from a high place</v>
      </c>
      <c r="U147">
        <v>1996</v>
      </c>
      <c r="V147" t="s">
        <v>20</v>
      </c>
      <c r="W147" t="s">
        <v>27</v>
      </c>
      <c r="X147">
        <v>24</v>
      </c>
      <c r="Y147" t="s">
        <v>44</v>
      </c>
      <c r="Z147">
        <v>1</v>
      </c>
      <c r="AA147">
        <v>80</v>
      </c>
      <c r="AB147">
        <v>1.2</v>
      </c>
      <c r="AY147" t="str">
        <f t="shared" si="23"/>
        <v>2008MaleUrban25</v>
      </c>
      <c r="AZ147">
        <v>2008</v>
      </c>
      <c r="BA147" t="s">
        <v>20</v>
      </c>
      <c r="BB147" t="s">
        <v>97</v>
      </c>
      <c r="BC147">
        <v>25</v>
      </c>
      <c r="BD147">
        <v>26</v>
      </c>
      <c r="BE147">
        <v>12.59323839969</v>
      </c>
      <c r="BF147">
        <v>4.8</v>
      </c>
      <c r="CA147" t="str">
        <f t="shared" si="26"/>
        <v>AllSexAsian254</v>
      </c>
      <c r="CB147" t="s">
        <v>17</v>
      </c>
      <c r="CC147" t="s">
        <v>78</v>
      </c>
      <c r="CD147">
        <v>25</v>
      </c>
      <c r="CE147">
        <v>4</v>
      </c>
      <c r="CF147">
        <v>3</v>
      </c>
      <c r="CG147">
        <v>8.4665206324416307</v>
      </c>
      <c r="CH147">
        <v>9.6</v>
      </c>
      <c r="CJ147" t="str">
        <f t="shared" si="27"/>
        <v>FemaleAllEth24Firearms and explosives</v>
      </c>
      <c r="CK147" t="s">
        <v>8</v>
      </c>
      <c r="CL147" t="s">
        <v>27</v>
      </c>
      <c r="CM147" t="s">
        <v>42</v>
      </c>
      <c r="CN147">
        <v>24</v>
      </c>
      <c r="CO147">
        <v>4</v>
      </c>
      <c r="CP147">
        <v>231</v>
      </c>
      <c r="CQ147">
        <v>1.7</v>
      </c>
    </row>
    <row r="148" spans="1:95">
      <c r="A148" t="str">
        <f t="shared" si="21"/>
        <v>2014MaleAllEth19</v>
      </c>
      <c r="B148">
        <v>2014</v>
      </c>
      <c r="C148" t="s">
        <v>20</v>
      </c>
      <c r="D148" t="s">
        <v>27</v>
      </c>
      <c r="E148">
        <v>19</v>
      </c>
      <c r="F148">
        <v>379</v>
      </c>
      <c r="G148">
        <v>16.4366760918771</v>
      </c>
      <c r="H148">
        <v>1.7</v>
      </c>
      <c r="J148" s="340" t="str">
        <f t="shared" si="22"/>
        <v>2013AllSexMaori195</v>
      </c>
      <c r="K148">
        <v>2013</v>
      </c>
      <c r="L148" t="s">
        <v>17</v>
      </c>
      <c r="M148" t="s">
        <v>18</v>
      </c>
      <c r="N148">
        <v>19</v>
      </c>
      <c r="O148">
        <v>5</v>
      </c>
      <c r="P148">
        <v>54</v>
      </c>
      <c r="Q148">
        <v>20.706632827755101</v>
      </c>
      <c r="R148">
        <v>5.5</v>
      </c>
      <c r="T148" s="340" t="str">
        <f t="shared" si="24"/>
        <v>1996MaleAllEth25Jumping from a high place</v>
      </c>
      <c r="U148">
        <v>1996</v>
      </c>
      <c r="V148" t="s">
        <v>20</v>
      </c>
      <c r="W148" t="s">
        <v>27</v>
      </c>
      <c r="X148">
        <v>25</v>
      </c>
      <c r="Y148" t="s">
        <v>44</v>
      </c>
      <c r="Z148">
        <v>1</v>
      </c>
      <c r="AA148">
        <v>53</v>
      </c>
      <c r="AB148">
        <v>1.9</v>
      </c>
      <c r="AY148" t="str">
        <f t="shared" si="23"/>
        <v>2009AllSexRural22</v>
      </c>
      <c r="AZ148">
        <v>2009</v>
      </c>
      <c r="BA148" t="s">
        <v>17</v>
      </c>
      <c r="BB148" t="s">
        <v>96</v>
      </c>
      <c r="BC148">
        <v>22</v>
      </c>
      <c r="BD148">
        <v>23</v>
      </c>
      <c r="BE148">
        <v>33.430232558139501</v>
      </c>
      <c r="BF148">
        <v>13.7</v>
      </c>
      <c r="CA148" t="str">
        <f t="shared" si="26"/>
        <v>AllSexAsian255</v>
      </c>
      <c r="CB148" t="s">
        <v>17</v>
      </c>
      <c r="CC148" t="s">
        <v>78</v>
      </c>
      <c r="CD148">
        <v>25</v>
      </c>
      <c r="CE148">
        <v>5</v>
      </c>
      <c r="CF148">
        <v>1</v>
      </c>
      <c r="CG148">
        <v>3.29525286830218</v>
      </c>
      <c r="CH148">
        <v>6.5</v>
      </c>
      <c r="CJ148" t="str">
        <f t="shared" si="27"/>
        <v>FemaleAllEth21Hanging, strangulation and suffocation</v>
      </c>
      <c r="CK148" t="s">
        <v>8</v>
      </c>
      <c r="CL148" t="s">
        <v>27</v>
      </c>
      <c r="CM148" t="s">
        <v>43</v>
      </c>
      <c r="CN148">
        <v>21</v>
      </c>
      <c r="CO148">
        <v>15</v>
      </c>
      <c r="CP148">
        <v>18</v>
      </c>
      <c r="CQ148">
        <v>83.3</v>
      </c>
    </row>
    <row r="149" spans="1:95">
      <c r="A149" t="str">
        <f t="shared" si="21"/>
        <v>2015MaleAllEth19</v>
      </c>
      <c r="B149">
        <v>2015</v>
      </c>
      <c r="C149" t="s">
        <v>20</v>
      </c>
      <c r="D149" t="s">
        <v>27</v>
      </c>
      <c r="E149">
        <v>19</v>
      </c>
      <c r="F149">
        <v>386</v>
      </c>
      <c r="G149">
        <v>16.433078219363999</v>
      </c>
      <c r="H149">
        <v>1.6</v>
      </c>
      <c r="J149" s="340" t="str">
        <f t="shared" si="22"/>
        <v>2014AllSexMaori191</v>
      </c>
      <c r="K149">
        <v>2014</v>
      </c>
      <c r="L149" t="s">
        <v>17</v>
      </c>
      <c r="M149" t="s">
        <v>18</v>
      </c>
      <c r="N149">
        <v>19</v>
      </c>
      <c r="O149">
        <v>1</v>
      </c>
      <c r="P149">
        <v>8</v>
      </c>
      <c r="Q149">
        <v>15.7691906269486</v>
      </c>
      <c r="R149">
        <v>10.9</v>
      </c>
      <c r="T149" s="340" t="str">
        <f t="shared" si="24"/>
        <v>1996MaleAllEth22Other</v>
      </c>
      <c r="U149">
        <v>1996</v>
      </c>
      <c r="V149" t="s">
        <v>20</v>
      </c>
      <c r="W149" t="s">
        <v>27</v>
      </c>
      <c r="X149">
        <v>22</v>
      </c>
      <c r="Y149" t="s">
        <v>45</v>
      </c>
      <c r="Z149">
        <v>3</v>
      </c>
      <c r="AA149">
        <v>105</v>
      </c>
      <c r="AB149">
        <v>2.9</v>
      </c>
      <c r="AY149" t="str">
        <f t="shared" si="23"/>
        <v>2009AllSexUrban22</v>
      </c>
      <c r="AZ149">
        <v>2009</v>
      </c>
      <c r="BA149" t="s">
        <v>17</v>
      </c>
      <c r="BB149" t="s">
        <v>97</v>
      </c>
      <c r="BC149">
        <v>22</v>
      </c>
      <c r="BD149">
        <v>93</v>
      </c>
      <c r="BE149">
        <v>17.2059721374258</v>
      </c>
      <c r="BF149">
        <v>3.5</v>
      </c>
      <c r="CA149" t="str">
        <f t="shared" si="26"/>
        <v>AllSexMaori251</v>
      </c>
      <c r="CB149" t="s">
        <v>17</v>
      </c>
      <c r="CC149" t="s">
        <v>18</v>
      </c>
      <c r="CD149">
        <v>25</v>
      </c>
      <c r="CE149">
        <v>1</v>
      </c>
      <c r="CF149">
        <v>0</v>
      </c>
      <c r="CG149">
        <v>0</v>
      </c>
      <c r="CJ149" t="str">
        <f t="shared" si="27"/>
        <v>FemaleAllEth22Hanging, strangulation and suffocation</v>
      </c>
      <c r="CK149" t="s">
        <v>8</v>
      </c>
      <c r="CL149" t="s">
        <v>27</v>
      </c>
      <c r="CM149" t="s">
        <v>43</v>
      </c>
      <c r="CN149">
        <v>22</v>
      </c>
      <c r="CO149">
        <v>139</v>
      </c>
      <c r="CP149">
        <v>167</v>
      </c>
      <c r="CQ149">
        <v>83.2</v>
      </c>
    </row>
    <row r="150" spans="1:95">
      <c r="A150" t="str">
        <f t="shared" si="21"/>
        <v>2016MaleAllEth19</v>
      </c>
      <c r="B150">
        <v>2016</v>
      </c>
      <c r="C150" t="s">
        <v>20</v>
      </c>
      <c r="D150" t="s">
        <v>27</v>
      </c>
      <c r="E150">
        <v>19</v>
      </c>
      <c r="F150">
        <v>412</v>
      </c>
      <c r="G150">
        <v>16.990960917875199</v>
      </c>
      <c r="H150">
        <v>1.6</v>
      </c>
      <c r="J150" s="340" t="str">
        <f t="shared" si="22"/>
        <v>2014AllSexMaori192</v>
      </c>
      <c r="K150">
        <v>2014</v>
      </c>
      <c r="L150" t="s">
        <v>17</v>
      </c>
      <c r="M150" t="s">
        <v>18</v>
      </c>
      <c r="N150">
        <v>19</v>
      </c>
      <c r="O150">
        <v>2</v>
      </c>
      <c r="P150">
        <v>4</v>
      </c>
      <c r="Q150">
        <v>5.1624947243936603</v>
      </c>
      <c r="R150">
        <v>5.0999999999999996</v>
      </c>
      <c r="T150" s="340" t="str">
        <f t="shared" si="24"/>
        <v>1996MaleAllEth23Other</v>
      </c>
      <c r="U150">
        <v>1996</v>
      </c>
      <c r="V150" t="s">
        <v>20</v>
      </c>
      <c r="W150" t="s">
        <v>27</v>
      </c>
      <c r="X150">
        <v>23</v>
      </c>
      <c r="Y150" t="s">
        <v>45</v>
      </c>
      <c r="Z150">
        <v>4</v>
      </c>
      <c r="AA150">
        <v>188</v>
      </c>
      <c r="AB150">
        <v>2.1</v>
      </c>
      <c r="AY150" t="str">
        <f t="shared" si="23"/>
        <v>2009AllSexRural23</v>
      </c>
      <c r="AZ150">
        <v>2009</v>
      </c>
      <c r="BA150" t="s">
        <v>17</v>
      </c>
      <c r="BB150" t="s">
        <v>96</v>
      </c>
      <c r="BC150">
        <v>23</v>
      </c>
      <c r="BD150">
        <v>20</v>
      </c>
      <c r="BE150">
        <v>13.5135135135135</v>
      </c>
      <c r="BF150">
        <v>5.9</v>
      </c>
      <c r="CA150" t="str">
        <f t="shared" si="26"/>
        <v>AllSexMaori252</v>
      </c>
      <c r="CB150" t="s">
        <v>17</v>
      </c>
      <c r="CC150" t="s">
        <v>18</v>
      </c>
      <c r="CD150">
        <v>25</v>
      </c>
      <c r="CE150">
        <v>2</v>
      </c>
      <c r="CF150">
        <v>1</v>
      </c>
      <c r="CG150">
        <v>4.8238127406671998</v>
      </c>
      <c r="CH150">
        <v>9.5</v>
      </c>
      <c r="CJ150" t="str">
        <f t="shared" si="27"/>
        <v>FemaleAllEth23Hanging, strangulation and suffocation</v>
      </c>
      <c r="CK150" t="s">
        <v>8</v>
      </c>
      <c r="CL150" t="s">
        <v>27</v>
      </c>
      <c r="CM150" t="s">
        <v>43</v>
      </c>
      <c r="CN150">
        <v>23</v>
      </c>
      <c r="CO150">
        <v>153</v>
      </c>
      <c r="CP150">
        <v>233</v>
      </c>
      <c r="CQ150">
        <v>65.7</v>
      </c>
    </row>
    <row r="151" spans="1:95">
      <c r="A151" t="str">
        <f t="shared" si="21"/>
        <v>1996MaleMaori19</v>
      </c>
      <c r="B151">
        <v>1996</v>
      </c>
      <c r="C151" t="s">
        <v>20</v>
      </c>
      <c r="D151" t="s">
        <v>18</v>
      </c>
      <c r="E151">
        <v>19</v>
      </c>
      <c r="F151">
        <v>73</v>
      </c>
      <c r="G151">
        <v>28.6634614636843</v>
      </c>
      <c r="H151">
        <v>6.6</v>
      </c>
      <c r="J151" s="340" t="str">
        <f t="shared" si="22"/>
        <v>2014AllSexMaori193</v>
      </c>
      <c r="K151">
        <v>2014</v>
      </c>
      <c r="L151" t="s">
        <v>17</v>
      </c>
      <c r="M151" t="s">
        <v>18</v>
      </c>
      <c r="N151">
        <v>19</v>
      </c>
      <c r="O151">
        <v>3</v>
      </c>
      <c r="P151">
        <v>18</v>
      </c>
      <c r="Q151">
        <v>17.531322991444199</v>
      </c>
      <c r="R151">
        <v>8.1</v>
      </c>
      <c r="T151" s="340" t="str">
        <f t="shared" si="24"/>
        <v>1996MaleAllEth24Other</v>
      </c>
      <c r="U151">
        <v>1996</v>
      </c>
      <c r="V151" t="s">
        <v>20</v>
      </c>
      <c r="W151" t="s">
        <v>27</v>
      </c>
      <c r="X151">
        <v>24</v>
      </c>
      <c r="Y151" t="s">
        <v>45</v>
      </c>
      <c r="Z151">
        <v>2</v>
      </c>
      <c r="AA151">
        <v>80</v>
      </c>
      <c r="AB151">
        <v>2.5</v>
      </c>
      <c r="AY151" t="str">
        <f t="shared" si="23"/>
        <v>2009AllSexUrban23</v>
      </c>
      <c r="AZ151">
        <v>2009</v>
      </c>
      <c r="BA151" t="s">
        <v>17</v>
      </c>
      <c r="BB151" t="s">
        <v>97</v>
      </c>
      <c r="BC151">
        <v>23</v>
      </c>
      <c r="BD151">
        <v>153</v>
      </c>
      <c r="BE151">
        <v>15.0424728645588</v>
      </c>
      <c r="BF151">
        <v>2.4</v>
      </c>
      <c r="CA151" t="str">
        <f t="shared" si="26"/>
        <v>AllSexMaori253</v>
      </c>
      <c r="CB151" t="s">
        <v>17</v>
      </c>
      <c r="CC151" t="s">
        <v>18</v>
      </c>
      <c r="CD151">
        <v>25</v>
      </c>
      <c r="CE151">
        <v>3</v>
      </c>
      <c r="CF151">
        <v>0</v>
      </c>
      <c r="CG151">
        <v>0</v>
      </c>
      <c r="CJ151" t="str">
        <f t="shared" si="27"/>
        <v>FemaleAllEth24Hanging, strangulation and suffocation</v>
      </c>
      <c r="CK151" t="s">
        <v>8</v>
      </c>
      <c r="CL151" t="s">
        <v>27</v>
      </c>
      <c r="CM151" t="s">
        <v>43</v>
      </c>
      <c r="CN151">
        <v>24</v>
      </c>
      <c r="CO151">
        <v>84</v>
      </c>
      <c r="CP151">
        <v>231</v>
      </c>
      <c r="CQ151">
        <v>36.4</v>
      </c>
    </row>
    <row r="152" spans="1:95">
      <c r="A152" t="str">
        <f t="shared" si="21"/>
        <v>1997MaleMaori19</v>
      </c>
      <c r="B152">
        <v>1997</v>
      </c>
      <c r="C152" t="s">
        <v>20</v>
      </c>
      <c r="D152" t="s">
        <v>18</v>
      </c>
      <c r="E152">
        <v>19</v>
      </c>
      <c r="F152">
        <v>80</v>
      </c>
      <c r="G152">
        <v>30.622870852715899</v>
      </c>
      <c r="H152">
        <v>6.7</v>
      </c>
      <c r="J152" s="340" t="str">
        <f t="shared" si="22"/>
        <v>2014AllSexMaori194</v>
      </c>
      <c r="K152">
        <v>2014</v>
      </c>
      <c r="L152" t="s">
        <v>17</v>
      </c>
      <c r="M152" t="s">
        <v>18</v>
      </c>
      <c r="N152">
        <v>19</v>
      </c>
      <c r="O152">
        <v>4</v>
      </c>
      <c r="P152">
        <v>19</v>
      </c>
      <c r="Q152">
        <v>12.808920001561599</v>
      </c>
      <c r="R152">
        <v>5.8</v>
      </c>
      <c r="T152" s="340" t="str">
        <f t="shared" si="24"/>
        <v>1996MaleAllEth25Other</v>
      </c>
      <c r="U152">
        <v>1996</v>
      </c>
      <c r="V152" t="s">
        <v>20</v>
      </c>
      <c r="W152" t="s">
        <v>27</v>
      </c>
      <c r="X152">
        <v>25</v>
      </c>
      <c r="Y152" t="s">
        <v>45</v>
      </c>
      <c r="Z152">
        <v>4</v>
      </c>
      <c r="AA152">
        <v>53</v>
      </c>
      <c r="AB152">
        <v>7.5</v>
      </c>
      <c r="AY152" t="str">
        <f t="shared" si="23"/>
        <v>2009AllSexRural24</v>
      </c>
      <c r="AZ152">
        <v>2009</v>
      </c>
      <c r="BA152" t="s">
        <v>17</v>
      </c>
      <c r="BB152" t="s">
        <v>96</v>
      </c>
      <c r="BC152">
        <v>24</v>
      </c>
      <c r="BD152">
        <v>23</v>
      </c>
      <c r="BE152">
        <v>12.459371614301199</v>
      </c>
      <c r="BF152">
        <v>5.0999999999999996</v>
      </c>
      <c r="CA152" t="str">
        <f t="shared" si="26"/>
        <v>AllSexMaori254</v>
      </c>
      <c r="CB152" t="s">
        <v>17</v>
      </c>
      <c r="CC152" t="s">
        <v>18</v>
      </c>
      <c r="CD152">
        <v>25</v>
      </c>
      <c r="CE152">
        <v>4</v>
      </c>
      <c r="CF152">
        <v>0</v>
      </c>
      <c r="CG152">
        <v>0</v>
      </c>
      <c r="CJ152" t="str">
        <f t="shared" si="27"/>
        <v>FemaleAllEth25Hanging, strangulation and suffocation</v>
      </c>
      <c r="CK152" t="s">
        <v>8</v>
      </c>
      <c r="CL152" t="s">
        <v>27</v>
      </c>
      <c r="CM152" t="s">
        <v>43</v>
      </c>
      <c r="CN152">
        <v>25</v>
      </c>
      <c r="CO152">
        <v>20</v>
      </c>
      <c r="CP152">
        <v>61</v>
      </c>
      <c r="CQ152">
        <v>32.799999999999997</v>
      </c>
    </row>
    <row r="153" spans="1:95">
      <c r="A153" t="str">
        <f t="shared" si="21"/>
        <v>1998MaleMaori19</v>
      </c>
      <c r="B153">
        <v>1998</v>
      </c>
      <c r="C153" t="s">
        <v>20</v>
      </c>
      <c r="D153" t="s">
        <v>18</v>
      </c>
      <c r="E153">
        <v>19</v>
      </c>
      <c r="F153">
        <v>87</v>
      </c>
      <c r="G153">
        <v>34.348686121607798</v>
      </c>
      <c r="H153">
        <v>7.2</v>
      </c>
      <c r="J153" s="340" t="str">
        <f t="shared" si="22"/>
        <v>2014AllSexMaori195</v>
      </c>
      <c r="K153">
        <v>2014</v>
      </c>
      <c r="L153" t="s">
        <v>17</v>
      </c>
      <c r="M153" t="s">
        <v>18</v>
      </c>
      <c r="N153">
        <v>19</v>
      </c>
      <c r="O153">
        <v>5</v>
      </c>
      <c r="P153">
        <v>41</v>
      </c>
      <c r="Q153">
        <v>15.7634164322589</v>
      </c>
      <c r="R153">
        <v>4.8</v>
      </c>
      <c r="T153" s="340" t="str">
        <f t="shared" si="24"/>
        <v>1996MaleAllEth22Poisoning by gases and vapours</v>
      </c>
      <c r="U153">
        <v>1996</v>
      </c>
      <c r="V153" t="s">
        <v>20</v>
      </c>
      <c r="W153" t="s">
        <v>27</v>
      </c>
      <c r="X153">
        <v>22</v>
      </c>
      <c r="Y153" t="s">
        <v>46</v>
      </c>
      <c r="Z153">
        <v>15</v>
      </c>
      <c r="AA153">
        <v>105</v>
      </c>
      <c r="AB153">
        <v>14.3</v>
      </c>
      <c r="AY153" t="str">
        <f t="shared" si="23"/>
        <v>2009AllSexUrban24</v>
      </c>
      <c r="AZ153">
        <v>2009</v>
      </c>
      <c r="BA153" t="s">
        <v>17</v>
      </c>
      <c r="BB153" t="s">
        <v>97</v>
      </c>
      <c r="BC153">
        <v>24</v>
      </c>
      <c r="BD153">
        <v>133</v>
      </c>
      <c r="BE153">
        <v>14.8871153695475</v>
      </c>
      <c r="BF153">
        <v>2.5</v>
      </c>
      <c r="CA153" t="str">
        <f t="shared" si="26"/>
        <v>AllSexMaori255</v>
      </c>
      <c r="CB153" t="s">
        <v>17</v>
      </c>
      <c r="CC153" t="s">
        <v>18</v>
      </c>
      <c r="CD153">
        <v>25</v>
      </c>
      <c r="CE153">
        <v>5</v>
      </c>
      <c r="CF153">
        <v>3</v>
      </c>
      <c r="CG153">
        <v>3.6059653804944598</v>
      </c>
      <c r="CH153">
        <v>4.0999999999999996</v>
      </c>
      <c r="CJ153" t="str">
        <f t="shared" si="27"/>
        <v>FemaleAllEth22Jumping from a high place</v>
      </c>
      <c r="CK153" t="s">
        <v>8</v>
      </c>
      <c r="CL153" t="s">
        <v>27</v>
      </c>
      <c r="CM153" t="s">
        <v>44</v>
      </c>
      <c r="CN153">
        <v>22</v>
      </c>
      <c r="CO153">
        <v>5</v>
      </c>
      <c r="CP153">
        <v>167</v>
      </c>
      <c r="CQ153">
        <v>3</v>
      </c>
    </row>
    <row r="154" spans="1:95">
      <c r="A154" t="str">
        <f t="shared" si="21"/>
        <v>1999MaleMaori19</v>
      </c>
      <c r="B154">
        <v>1999</v>
      </c>
      <c r="C154" t="s">
        <v>20</v>
      </c>
      <c r="D154" t="s">
        <v>18</v>
      </c>
      <c r="E154">
        <v>19</v>
      </c>
      <c r="F154">
        <v>59</v>
      </c>
      <c r="G154">
        <v>21.453377474962299</v>
      </c>
      <c r="H154">
        <v>5.5</v>
      </c>
      <c r="J154" s="340" t="str">
        <f t="shared" si="22"/>
        <v>2015AllSexMaori191</v>
      </c>
      <c r="K154">
        <v>2015</v>
      </c>
      <c r="L154" t="s">
        <v>17</v>
      </c>
      <c r="M154" t="s">
        <v>18</v>
      </c>
      <c r="N154">
        <v>19</v>
      </c>
      <c r="O154">
        <v>1</v>
      </c>
      <c r="P154">
        <v>3</v>
      </c>
      <c r="Q154">
        <v>4.2942495152673201</v>
      </c>
      <c r="R154">
        <v>4.9000000000000004</v>
      </c>
      <c r="T154" s="340" t="str">
        <f t="shared" si="24"/>
        <v>1996MaleAllEth23Poisoning by gases and vapours</v>
      </c>
      <c r="U154">
        <v>1996</v>
      </c>
      <c r="V154" t="s">
        <v>20</v>
      </c>
      <c r="W154" t="s">
        <v>27</v>
      </c>
      <c r="X154">
        <v>23</v>
      </c>
      <c r="Y154" t="s">
        <v>46</v>
      </c>
      <c r="Z154">
        <v>68</v>
      </c>
      <c r="AA154">
        <v>188</v>
      </c>
      <c r="AB154">
        <v>36.200000000000003</v>
      </c>
      <c r="AY154" t="str">
        <f t="shared" si="23"/>
        <v>2009AllSexRural25</v>
      </c>
      <c r="AZ154">
        <v>2009</v>
      </c>
      <c r="BA154" t="s">
        <v>17</v>
      </c>
      <c r="BB154" t="s">
        <v>96</v>
      </c>
      <c r="BC154">
        <v>25</v>
      </c>
      <c r="BD154">
        <v>5</v>
      </c>
      <c r="BE154">
        <v>7.2706121855460202</v>
      </c>
      <c r="BF154">
        <v>6.4</v>
      </c>
      <c r="CA154" t="str">
        <f t="shared" si="26"/>
        <v>AllSexOther251</v>
      </c>
      <c r="CB154" t="s">
        <v>17</v>
      </c>
      <c r="CC154" t="s">
        <v>45</v>
      </c>
      <c r="CD154">
        <v>25</v>
      </c>
      <c r="CE154">
        <v>1</v>
      </c>
      <c r="CF154">
        <v>50</v>
      </c>
      <c r="CG154">
        <v>8.1586007676320005</v>
      </c>
      <c r="CH154">
        <v>2.2999999999999998</v>
      </c>
      <c r="CJ154" t="str">
        <f t="shared" si="27"/>
        <v>FemaleAllEth23Jumping from a high place</v>
      </c>
      <c r="CK154" t="s">
        <v>8</v>
      </c>
      <c r="CL154" t="s">
        <v>27</v>
      </c>
      <c r="CM154" t="s">
        <v>44</v>
      </c>
      <c r="CN154">
        <v>23</v>
      </c>
      <c r="CO154">
        <v>7</v>
      </c>
      <c r="CP154">
        <v>233</v>
      </c>
      <c r="CQ154">
        <v>3</v>
      </c>
    </row>
    <row r="155" spans="1:95">
      <c r="A155" t="str">
        <f t="shared" si="21"/>
        <v>2000MaleMaori19</v>
      </c>
      <c r="B155">
        <v>2000</v>
      </c>
      <c r="C155" t="s">
        <v>20</v>
      </c>
      <c r="D155" t="s">
        <v>18</v>
      </c>
      <c r="E155">
        <v>19</v>
      </c>
      <c r="F155">
        <v>69</v>
      </c>
      <c r="G155">
        <v>27.198711801126699</v>
      </c>
      <c r="H155">
        <v>6.4</v>
      </c>
      <c r="J155" s="340" t="str">
        <f t="shared" si="22"/>
        <v>2015AllSexMaori192</v>
      </c>
      <c r="K155">
        <v>2015</v>
      </c>
      <c r="L155" t="s">
        <v>17</v>
      </c>
      <c r="M155" t="s">
        <v>18</v>
      </c>
      <c r="N155">
        <v>19</v>
      </c>
      <c r="O155">
        <v>2</v>
      </c>
      <c r="P155">
        <v>14</v>
      </c>
      <c r="Q155">
        <v>17.293197461414</v>
      </c>
      <c r="R155">
        <v>9.1</v>
      </c>
      <c r="T155" s="340" t="str">
        <f t="shared" si="24"/>
        <v>1996MaleAllEth24Poisoning by gases and vapours</v>
      </c>
      <c r="U155">
        <v>1996</v>
      </c>
      <c r="V155" t="s">
        <v>20</v>
      </c>
      <c r="W155" t="s">
        <v>27</v>
      </c>
      <c r="X155">
        <v>24</v>
      </c>
      <c r="Y155" t="s">
        <v>46</v>
      </c>
      <c r="Z155">
        <v>32</v>
      </c>
      <c r="AA155">
        <v>80</v>
      </c>
      <c r="AB155">
        <v>40</v>
      </c>
      <c r="AY155" t="str">
        <f t="shared" si="23"/>
        <v>2009AllSexUrban25</v>
      </c>
      <c r="AZ155">
        <v>2009</v>
      </c>
      <c r="BA155" t="s">
        <v>17</v>
      </c>
      <c r="BB155" t="s">
        <v>97</v>
      </c>
      <c r="BC155">
        <v>25</v>
      </c>
      <c r="BD155">
        <v>49</v>
      </c>
      <c r="BE155">
        <v>10.2211097204839</v>
      </c>
      <c r="BF155">
        <v>2.9</v>
      </c>
      <c r="CA155" t="str">
        <f t="shared" si="26"/>
        <v>AllSexOther252</v>
      </c>
      <c r="CB155" t="s">
        <v>17</v>
      </c>
      <c r="CC155" t="s">
        <v>45</v>
      </c>
      <c r="CD155">
        <v>25</v>
      </c>
      <c r="CE155">
        <v>2</v>
      </c>
      <c r="CF155">
        <v>50</v>
      </c>
      <c r="CG155">
        <v>8.2424866602983506</v>
      </c>
      <c r="CH155">
        <v>2.2999999999999998</v>
      </c>
      <c r="CJ155" t="str">
        <f t="shared" si="27"/>
        <v>FemaleAllEth24Jumping from a high place</v>
      </c>
      <c r="CK155" t="s">
        <v>8</v>
      </c>
      <c r="CL155" t="s">
        <v>27</v>
      </c>
      <c r="CM155" t="s">
        <v>44</v>
      </c>
      <c r="CN155">
        <v>24</v>
      </c>
      <c r="CO155">
        <v>10</v>
      </c>
      <c r="CP155">
        <v>231</v>
      </c>
      <c r="CQ155">
        <v>4.3</v>
      </c>
    </row>
    <row r="156" spans="1:95">
      <c r="A156" t="str">
        <f t="shared" si="21"/>
        <v>2001MaleMaori19</v>
      </c>
      <c r="B156">
        <v>2001</v>
      </c>
      <c r="C156" t="s">
        <v>20</v>
      </c>
      <c r="D156" t="s">
        <v>18</v>
      </c>
      <c r="E156">
        <v>19</v>
      </c>
      <c r="F156">
        <v>58</v>
      </c>
      <c r="G156">
        <v>22.0828947481947</v>
      </c>
      <c r="H156">
        <v>5.7</v>
      </c>
      <c r="J156" s="340" t="str">
        <f t="shared" si="22"/>
        <v>2015AllSexMaori193</v>
      </c>
      <c r="K156">
        <v>2015</v>
      </c>
      <c r="L156" t="s">
        <v>17</v>
      </c>
      <c r="M156" t="s">
        <v>18</v>
      </c>
      <c r="N156">
        <v>19</v>
      </c>
      <c r="O156">
        <v>3</v>
      </c>
      <c r="P156">
        <v>17</v>
      </c>
      <c r="Q156">
        <v>15.776487158670401</v>
      </c>
      <c r="R156">
        <v>7.5</v>
      </c>
      <c r="T156" s="340" t="str">
        <f t="shared" si="24"/>
        <v>1996MaleAllEth25Poisoning by gases and vapours</v>
      </c>
      <c r="U156">
        <v>1996</v>
      </c>
      <c r="V156" t="s">
        <v>20</v>
      </c>
      <c r="W156" t="s">
        <v>27</v>
      </c>
      <c r="X156">
        <v>25</v>
      </c>
      <c r="Y156" t="s">
        <v>46</v>
      </c>
      <c r="Z156">
        <v>11</v>
      </c>
      <c r="AA156">
        <v>53</v>
      </c>
      <c r="AB156">
        <v>20.8</v>
      </c>
      <c r="AY156" t="str">
        <f t="shared" si="23"/>
        <v>2009FemaleRural22</v>
      </c>
      <c r="AZ156">
        <v>2009</v>
      </c>
      <c r="BA156" t="s">
        <v>8</v>
      </c>
      <c r="BB156" t="s">
        <v>96</v>
      </c>
      <c r="BC156">
        <v>22</v>
      </c>
      <c r="BD156">
        <v>3</v>
      </c>
      <c r="BE156">
        <v>9.3574547723019297</v>
      </c>
      <c r="BF156">
        <v>10.6</v>
      </c>
      <c r="CA156" t="str">
        <f t="shared" si="26"/>
        <v>AllSexOther253</v>
      </c>
      <c r="CB156" t="s">
        <v>17</v>
      </c>
      <c r="CC156" t="s">
        <v>45</v>
      </c>
      <c r="CD156">
        <v>25</v>
      </c>
      <c r="CE156">
        <v>3</v>
      </c>
      <c r="CF156">
        <v>81</v>
      </c>
      <c r="CG156">
        <v>13.7286054301367</v>
      </c>
      <c r="CH156">
        <v>3</v>
      </c>
      <c r="CJ156" t="str">
        <f t="shared" si="27"/>
        <v>FemaleAllEth25Jumping from a high place</v>
      </c>
      <c r="CK156" t="s">
        <v>8</v>
      </c>
      <c r="CL156" t="s">
        <v>27</v>
      </c>
      <c r="CM156" t="s">
        <v>44</v>
      </c>
      <c r="CN156">
        <v>25</v>
      </c>
      <c r="CO156">
        <v>2</v>
      </c>
      <c r="CP156">
        <v>61</v>
      </c>
      <c r="CQ156">
        <v>3.3</v>
      </c>
    </row>
    <row r="157" spans="1:95">
      <c r="A157" t="str">
        <f t="shared" si="21"/>
        <v>2002MaleMaori19</v>
      </c>
      <c r="B157">
        <v>2002</v>
      </c>
      <c r="C157" t="s">
        <v>20</v>
      </c>
      <c r="D157" t="s">
        <v>18</v>
      </c>
      <c r="E157">
        <v>19</v>
      </c>
      <c r="F157">
        <v>60</v>
      </c>
      <c r="G157">
        <v>21.881613181334401</v>
      </c>
      <c r="H157">
        <v>5.5</v>
      </c>
      <c r="J157" s="340" t="str">
        <f t="shared" si="22"/>
        <v>2015AllSexMaori194</v>
      </c>
      <c r="K157">
        <v>2015</v>
      </c>
      <c r="L157" t="s">
        <v>17</v>
      </c>
      <c r="M157" t="s">
        <v>18</v>
      </c>
      <c r="N157">
        <v>19</v>
      </c>
      <c r="O157">
        <v>4</v>
      </c>
      <c r="P157">
        <v>28</v>
      </c>
      <c r="Q157">
        <v>17.3470124378421</v>
      </c>
      <c r="R157">
        <v>6.4</v>
      </c>
      <c r="T157" s="340" t="str">
        <f t="shared" si="24"/>
        <v>1996MaleAllEth22Poisoning by solids and liquids</v>
      </c>
      <c r="U157">
        <v>1996</v>
      </c>
      <c r="V157" t="s">
        <v>20</v>
      </c>
      <c r="W157" t="s">
        <v>27</v>
      </c>
      <c r="X157">
        <v>22</v>
      </c>
      <c r="Y157" t="s">
        <v>47</v>
      </c>
      <c r="Z157">
        <v>6</v>
      </c>
      <c r="AA157">
        <v>105</v>
      </c>
      <c r="AB157">
        <v>5.7</v>
      </c>
      <c r="AY157" t="str">
        <f t="shared" si="23"/>
        <v>2009FemaleUrban22</v>
      </c>
      <c r="AZ157">
        <v>2009</v>
      </c>
      <c r="BA157" t="s">
        <v>8</v>
      </c>
      <c r="BB157" t="s">
        <v>97</v>
      </c>
      <c r="BC157">
        <v>22</v>
      </c>
      <c r="BD157">
        <v>18</v>
      </c>
      <c r="BE157">
        <v>6.6575433664977597</v>
      </c>
      <c r="BF157">
        <v>3.1</v>
      </c>
      <c r="CA157" t="str">
        <f t="shared" si="26"/>
        <v>AllSexOther254</v>
      </c>
      <c r="CB157" t="s">
        <v>17</v>
      </c>
      <c r="CC157" t="s">
        <v>45</v>
      </c>
      <c r="CD157">
        <v>25</v>
      </c>
      <c r="CE157">
        <v>4</v>
      </c>
      <c r="CF157">
        <v>56</v>
      </c>
      <c r="CG157">
        <v>9.7242253243101793</v>
      </c>
      <c r="CH157">
        <v>2.5</v>
      </c>
      <c r="CJ157" t="str">
        <f t="shared" si="27"/>
        <v>FemaleAllEth21Other</v>
      </c>
      <c r="CK157" t="s">
        <v>8</v>
      </c>
      <c r="CL157" t="s">
        <v>27</v>
      </c>
      <c r="CM157" t="s">
        <v>45</v>
      </c>
      <c r="CN157">
        <v>21</v>
      </c>
      <c r="CO157">
        <v>2</v>
      </c>
      <c r="CP157">
        <v>18</v>
      </c>
      <c r="CQ157">
        <v>11.1</v>
      </c>
    </row>
    <row r="158" spans="1:95">
      <c r="A158" t="str">
        <f t="shared" si="21"/>
        <v>2003MaleMaori19</v>
      </c>
      <c r="B158">
        <v>2003</v>
      </c>
      <c r="C158" t="s">
        <v>20</v>
      </c>
      <c r="D158" t="s">
        <v>18</v>
      </c>
      <c r="E158">
        <v>19</v>
      </c>
      <c r="F158">
        <v>67</v>
      </c>
      <c r="G158">
        <v>23.229010507537701</v>
      </c>
      <c r="H158">
        <v>5.6</v>
      </c>
      <c r="J158" s="340" t="str">
        <f t="shared" si="22"/>
        <v>2015AllSexMaori195</v>
      </c>
      <c r="K158">
        <v>2015</v>
      </c>
      <c r="L158" t="s">
        <v>17</v>
      </c>
      <c r="M158" t="s">
        <v>18</v>
      </c>
      <c r="N158">
        <v>19</v>
      </c>
      <c r="O158">
        <v>5</v>
      </c>
      <c r="P158">
        <v>56</v>
      </c>
      <c r="Q158">
        <v>21.655423371134301</v>
      </c>
      <c r="R158">
        <v>5.7</v>
      </c>
      <c r="T158" s="340" t="str">
        <f t="shared" si="24"/>
        <v>1996MaleAllEth23Poisoning by solids and liquids</v>
      </c>
      <c r="U158">
        <v>1996</v>
      </c>
      <c r="V158" t="s">
        <v>20</v>
      </c>
      <c r="W158" t="s">
        <v>27</v>
      </c>
      <c r="X158">
        <v>23</v>
      </c>
      <c r="Y158" t="s">
        <v>47</v>
      </c>
      <c r="Z158">
        <v>9</v>
      </c>
      <c r="AA158">
        <v>188</v>
      </c>
      <c r="AB158">
        <v>4.8</v>
      </c>
      <c r="AY158" t="str">
        <f t="shared" si="23"/>
        <v>2009FemaleRural23</v>
      </c>
      <c r="AZ158">
        <v>2009</v>
      </c>
      <c r="BA158" t="s">
        <v>8</v>
      </c>
      <c r="BB158" t="s">
        <v>96</v>
      </c>
      <c r="BC158">
        <v>23</v>
      </c>
      <c r="BD158">
        <v>3</v>
      </c>
      <c r="BE158">
        <v>3.9656311962987401</v>
      </c>
      <c r="BF158">
        <v>4.5</v>
      </c>
      <c r="CA158" t="str">
        <f t="shared" si="26"/>
        <v>AllSexOther255</v>
      </c>
      <c r="CB158" t="s">
        <v>17</v>
      </c>
      <c r="CC158" t="s">
        <v>45</v>
      </c>
      <c r="CD158">
        <v>25</v>
      </c>
      <c r="CE158">
        <v>5</v>
      </c>
      <c r="CF158">
        <v>39</v>
      </c>
      <c r="CG158">
        <v>10.0023508856407</v>
      </c>
      <c r="CH158">
        <v>3.1</v>
      </c>
      <c r="CJ158" t="str">
        <f t="shared" si="27"/>
        <v>FemaleAllEth22Other</v>
      </c>
      <c r="CK158" t="s">
        <v>8</v>
      </c>
      <c r="CL158" t="s">
        <v>27</v>
      </c>
      <c r="CM158" t="s">
        <v>45</v>
      </c>
      <c r="CN158">
        <v>22</v>
      </c>
      <c r="CO158">
        <v>3</v>
      </c>
      <c r="CP158">
        <v>167</v>
      </c>
      <c r="CQ158">
        <v>1.8</v>
      </c>
    </row>
    <row r="159" spans="1:95">
      <c r="A159" t="str">
        <f t="shared" si="21"/>
        <v>2004MaleMaori19</v>
      </c>
      <c r="B159">
        <v>2004</v>
      </c>
      <c r="C159" t="s">
        <v>20</v>
      </c>
      <c r="D159" t="s">
        <v>18</v>
      </c>
      <c r="E159">
        <v>19</v>
      </c>
      <c r="F159">
        <v>83</v>
      </c>
      <c r="G159">
        <v>30.210797391523901</v>
      </c>
      <c r="H159">
        <v>6.5</v>
      </c>
      <c r="J159" s="340" t="str">
        <f t="shared" si="22"/>
        <v>2016AllSexMaori191</v>
      </c>
      <c r="K159">
        <v>2016</v>
      </c>
      <c r="L159" t="s">
        <v>17</v>
      </c>
      <c r="M159" t="s">
        <v>18</v>
      </c>
      <c r="N159">
        <v>19</v>
      </c>
      <c r="O159">
        <v>1</v>
      </c>
      <c r="P159">
        <v>2</v>
      </c>
      <c r="Q159">
        <v>3.93212663295331</v>
      </c>
      <c r="R159">
        <v>5.4</v>
      </c>
      <c r="T159" s="340" t="str">
        <f t="shared" si="24"/>
        <v>1996MaleAllEth24Poisoning by solids and liquids</v>
      </c>
      <c r="U159">
        <v>1996</v>
      </c>
      <c r="V159" t="s">
        <v>20</v>
      </c>
      <c r="W159" t="s">
        <v>27</v>
      </c>
      <c r="X159">
        <v>24</v>
      </c>
      <c r="Y159" t="s">
        <v>47</v>
      </c>
      <c r="Z159">
        <v>6</v>
      </c>
      <c r="AA159">
        <v>80</v>
      </c>
      <c r="AB159">
        <v>7.5</v>
      </c>
      <c r="AY159" t="str">
        <f t="shared" si="23"/>
        <v>2009FemaleUrban23</v>
      </c>
      <c r="AZ159">
        <v>2009</v>
      </c>
      <c r="BA159" t="s">
        <v>8</v>
      </c>
      <c r="BB159" t="s">
        <v>97</v>
      </c>
      <c r="BC159">
        <v>23</v>
      </c>
      <c r="BD159">
        <v>38</v>
      </c>
      <c r="BE159">
        <v>7.1707584020531003</v>
      </c>
      <c r="BF159">
        <v>2.2999999999999998</v>
      </c>
      <c r="CA159" t="str">
        <f t="shared" si="26"/>
        <v>AllSexPacific251</v>
      </c>
      <c r="CB159" t="s">
        <v>17</v>
      </c>
      <c r="CC159" t="s">
        <v>79</v>
      </c>
      <c r="CD159">
        <v>25</v>
      </c>
      <c r="CE159">
        <v>1</v>
      </c>
      <c r="CF159">
        <v>1</v>
      </c>
      <c r="CG159">
        <v>20.319830133751701</v>
      </c>
      <c r="CH159">
        <v>39.799999999999997</v>
      </c>
      <c r="CJ159" t="str">
        <f t="shared" si="27"/>
        <v>FemaleAllEth23Other</v>
      </c>
      <c r="CK159" t="s">
        <v>8</v>
      </c>
      <c r="CL159" t="s">
        <v>27</v>
      </c>
      <c r="CM159" t="s">
        <v>45</v>
      </c>
      <c r="CN159">
        <v>23</v>
      </c>
      <c r="CO159">
        <v>7</v>
      </c>
      <c r="CP159">
        <v>233</v>
      </c>
      <c r="CQ159">
        <v>3</v>
      </c>
    </row>
    <row r="160" spans="1:95">
      <c r="A160" t="str">
        <f t="shared" si="21"/>
        <v>2005MaleMaori19</v>
      </c>
      <c r="B160">
        <v>2005</v>
      </c>
      <c r="C160" t="s">
        <v>20</v>
      </c>
      <c r="D160" t="s">
        <v>18</v>
      </c>
      <c r="E160">
        <v>19</v>
      </c>
      <c r="F160">
        <v>78</v>
      </c>
      <c r="G160">
        <v>27.973177382021099</v>
      </c>
      <c r="H160">
        <v>6.2</v>
      </c>
      <c r="J160" s="340" t="str">
        <f t="shared" si="22"/>
        <v>2016AllSexMaori192</v>
      </c>
      <c r="K160">
        <v>2016</v>
      </c>
      <c r="L160" t="s">
        <v>17</v>
      </c>
      <c r="M160" t="s">
        <v>18</v>
      </c>
      <c r="N160">
        <v>19</v>
      </c>
      <c r="O160">
        <v>2</v>
      </c>
      <c r="P160">
        <v>6</v>
      </c>
      <c r="Q160">
        <v>7.5043656916213797</v>
      </c>
      <c r="R160">
        <v>6</v>
      </c>
      <c r="T160" s="340" t="str">
        <f t="shared" si="24"/>
        <v>1996MaleAllEth25Poisoning by solids and liquids</v>
      </c>
      <c r="U160">
        <v>1996</v>
      </c>
      <c r="V160" t="s">
        <v>20</v>
      </c>
      <c r="W160" t="s">
        <v>27</v>
      </c>
      <c r="X160">
        <v>25</v>
      </c>
      <c r="Y160" t="s">
        <v>47</v>
      </c>
      <c r="Z160">
        <v>9</v>
      </c>
      <c r="AA160">
        <v>53</v>
      </c>
      <c r="AB160">
        <v>17</v>
      </c>
      <c r="AY160" t="str">
        <f t="shared" si="23"/>
        <v>2009FemaleRural24</v>
      </c>
      <c r="AZ160">
        <v>2009</v>
      </c>
      <c r="BA160" t="s">
        <v>8</v>
      </c>
      <c r="BB160" t="s">
        <v>96</v>
      </c>
      <c r="BC160">
        <v>24</v>
      </c>
      <c r="BD160">
        <v>1</v>
      </c>
      <c r="BE160">
        <v>1.1129660545353399</v>
      </c>
      <c r="BF160">
        <v>2.2000000000000002</v>
      </c>
      <c r="CA160" t="str">
        <f t="shared" si="26"/>
        <v>AllSexPacific252</v>
      </c>
      <c r="CB160" t="s">
        <v>17</v>
      </c>
      <c r="CC160" t="s">
        <v>79</v>
      </c>
      <c r="CD160">
        <v>25</v>
      </c>
      <c r="CE160">
        <v>2</v>
      </c>
      <c r="CF160">
        <v>0</v>
      </c>
      <c r="CG160">
        <v>0</v>
      </c>
      <c r="CJ160" t="str">
        <f t="shared" si="27"/>
        <v>FemaleAllEth24Other</v>
      </c>
      <c r="CK160" t="s">
        <v>8</v>
      </c>
      <c r="CL160" t="s">
        <v>27</v>
      </c>
      <c r="CM160" t="s">
        <v>45</v>
      </c>
      <c r="CN160">
        <v>24</v>
      </c>
      <c r="CO160">
        <v>11</v>
      </c>
      <c r="CP160">
        <v>231</v>
      </c>
      <c r="CQ160">
        <v>4.8</v>
      </c>
    </row>
    <row r="161" spans="1:95">
      <c r="A161" t="str">
        <f t="shared" si="21"/>
        <v>2006MaleMaori19</v>
      </c>
      <c r="B161">
        <v>2006</v>
      </c>
      <c r="C161" t="s">
        <v>20</v>
      </c>
      <c r="D161" t="s">
        <v>18</v>
      </c>
      <c r="E161">
        <v>19</v>
      </c>
      <c r="F161">
        <v>75</v>
      </c>
      <c r="G161">
        <v>25.8876809253644</v>
      </c>
      <c r="H161">
        <v>5.9</v>
      </c>
      <c r="J161" s="340" t="str">
        <f t="shared" si="22"/>
        <v>2016AllSexMaori193</v>
      </c>
      <c r="K161">
        <v>2016</v>
      </c>
      <c r="L161" t="s">
        <v>17</v>
      </c>
      <c r="M161" t="s">
        <v>18</v>
      </c>
      <c r="N161">
        <v>19</v>
      </c>
      <c r="O161">
        <v>3</v>
      </c>
      <c r="P161">
        <v>22</v>
      </c>
      <c r="Q161">
        <v>19.699267196382799</v>
      </c>
      <c r="R161">
        <v>8.1999999999999993</v>
      </c>
      <c r="T161" s="340" t="str">
        <f t="shared" si="24"/>
        <v>1996MaleAllEth23Sharp object</v>
      </c>
      <c r="U161">
        <v>1996</v>
      </c>
      <c r="V161" t="s">
        <v>20</v>
      </c>
      <c r="W161" t="s">
        <v>27</v>
      </c>
      <c r="X161">
        <v>23</v>
      </c>
      <c r="Y161" t="s">
        <v>48</v>
      </c>
      <c r="Z161">
        <v>3</v>
      </c>
      <c r="AA161">
        <v>188</v>
      </c>
      <c r="AB161">
        <v>1.6</v>
      </c>
      <c r="AY161" t="str">
        <f t="shared" si="23"/>
        <v>2009FemaleUrban24</v>
      </c>
      <c r="AZ161">
        <v>2009</v>
      </c>
      <c r="BA161" t="s">
        <v>8</v>
      </c>
      <c r="BB161" t="s">
        <v>97</v>
      </c>
      <c r="BC161">
        <v>24</v>
      </c>
      <c r="BD161">
        <v>37</v>
      </c>
      <c r="BE161">
        <v>8.0255081014250695</v>
      </c>
      <c r="BF161">
        <v>2.6</v>
      </c>
      <c r="CA161" t="str">
        <f t="shared" si="26"/>
        <v>AllSexPacific253</v>
      </c>
      <c r="CB161" t="s">
        <v>17</v>
      </c>
      <c r="CC161" t="s">
        <v>79</v>
      </c>
      <c r="CD161">
        <v>25</v>
      </c>
      <c r="CE161">
        <v>3</v>
      </c>
      <c r="CF161">
        <v>1</v>
      </c>
      <c r="CG161">
        <v>10.865787990297401</v>
      </c>
      <c r="CH161">
        <v>21.3</v>
      </c>
      <c r="CJ161" t="str">
        <f t="shared" si="27"/>
        <v>FemaleAllEth25Other</v>
      </c>
      <c r="CK161" t="s">
        <v>8</v>
      </c>
      <c r="CL161" t="s">
        <v>27</v>
      </c>
      <c r="CM161" t="s">
        <v>45</v>
      </c>
      <c r="CN161">
        <v>25</v>
      </c>
      <c r="CO161">
        <v>2</v>
      </c>
      <c r="CP161">
        <v>61</v>
      </c>
      <c r="CQ161">
        <v>3.3</v>
      </c>
    </row>
    <row r="162" spans="1:95">
      <c r="A162" t="str">
        <f t="shared" si="21"/>
        <v>2007MaleMaori19</v>
      </c>
      <c r="B162">
        <v>2007</v>
      </c>
      <c r="C162" t="s">
        <v>20</v>
      </c>
      <c r="D162" t="s">
        <v>18</v>
      </c>
      <c r="E162">
        <v>19</v>
      </c>
      <c r="F162">
        <v>74</v>
      </c>
      <c r="G162">
        <v>25.915091779548401</v>
      </c>
      <c r="H162">
        <v>5.9</v>
      </c>
      <c r="J162" s="340" t="str">
        <f t="shared" si="22"/>
        <v>2016AllSexMaori194</v>
      </c>
      <c r="K162">
        <v>2016</v>
      </c>
      <c r="L162" t="s">
        <v>17</v>
      </c>
      <c r="M162" t="s">
        <v>18</v>
      </c>
      <c r="N162">
        <v>19</v>
      </c>
      <c r="O162">
        <v>4</v>
      </c>
      <c r="P162">
        <v>40</v>
      </c>
      <c r="Q162">
        <v>23.524847716637598</v>
      </c>
      <c r="R162">
        <v>7.3</v>
      </c>
      <c r="T162" s="340" t="str">
        <f t="shared" si="24"/>
        <v>1996MaleAllEth24Sharp object</v>
      </c>
      <c r="U162">
        <v>1996</v>
      </c>
      <c r="V162" t="s">
        <v>20</v>
      </c>
      <c r="W162" t="s">
        <v>27</v>
      </c>
      <c r="X162">
        <v>24</v>
      </c>
      <c r="Y162" t="s">
        <v>48</v>
      </c>
      <c r="Z162">
        <v>2</v>
      </c>
      <c r="AA162">
        <v>80</v>
      </c>
      <c r="AB162">
        <v>2.5</v>
      </c>
      <c r="AY162" t="str">
        <f t="shared" si="23"/>
        <v>2009FemaleRural25</v>
      </c>
      <c r="AZ162">
        <v>2009</v>
      </c>
      <c r="BA162" t="s">
        <v>8</v>
      </c>
      <c r="BB162" t="s">
        <v>96</v>
      </c>
      <c r="BC162">
        <v>25</v>
      </c>
      <c r="BD162">
        <v>1</v>
      </c>
      <c r="BE162">
        <v>3.1172069825436401</v>
      </c>
      <c r="BF162">
        <v>6.1</v>
      </c>
      <c r="CA162" t="str">
        <f t="shared" si="26"/>
        <v>AllSexPacific254</v>
      </c>
      <c r="CB162" t="s">
        <v>17</v>
      </c>
      <c r="CC162" t="s">
        <v>79</v>
      </c>
      <c r="CD162">
        <v>25</v>
      </c>
      <c r="CE162">
        <v>4</v>
      </c>
      <c r="CF162">
        <v>1</v>
      </c>
      <c r="CG162">
        <v>5.8706307565626803</v>
      </c>
      <c r="CH162">
        <v>11.5</v>
      </c>
      <c r="CJ162" t="str">
        <f t="shared" si="27"/>
        <v>FemaleAllEth22Poisoning by gases and vapours</v>
      </c>
      <c r="CK162" t="s">
        <v>8</v>
      </c>
      <c r="CL162" t="s">
        <v>27</v>
      </c>
      <c r="CM162" t="s">
        <v>46</v>
      </c>
      <c r="CN162">
        <v>22</v>
      </c>
      <c r="CO162">
        <v>3</v>
      </c>
      <c r="CP162">
        <v>167</v>
      </c>
      <c r="CQ162">
        <v>1.8</v>
      </c>
    </row>
    <row r="163" spans="1:95">
      <c r="A163" t="str">
        <f t="shared" si="21"/>
        <v>2008MaleMaori19</v>
      </c>
      <c r="B163">
        <v>2008</v>
      </c>
      <c r="C163" t="s">
        <v>20</v>
      </c>
      <c r="D163" t="s">
        <v>18</v>
      </c>
      <c r="E163">
        <v>19</v>
      </c>
      <c r="F163">
        <v>56</v>
      </c>
      <c r="G163">
        <v>19.8732690696398</v>
      </c>
      <c r="H163">
        <v>5.2</v>
      </c>
      <c r="J163" s="340" t="str">
        <f t="shared" si="22"/>
        <v>2016AllSexMaori195</v>
      </c>
      <c r="K163">
        <v>2016</v>
      </c>
      <c r="L163" t="s">
        <v>17</v>
      </c>
      <c r="M163" t="s">
        <v>18</v>
      </c>
      <c r="N163">
        <v>19</v>
      </c>
      <c r="O163">
        <v>5</v>
      </c>
      <c r="P163">
        <v>65</v>
      </c>
      <c r="Q163">
        <v>25.117743254056101</v>
      </c>
      <c r="R163">
        <v>6.1</v>
      </c>
      <c r="T163" s="340" t="str">
        <f t="shared" si="24"/>
        <v>1996MaleAllEth23Submersion (drowning)</v>
      </c>
      <c r="U163">
        <v>1996</v>
      </c>
      <c r="V163" t="s">
        <v>20</v>
      </c>
      <c r="W163" t="s">
        <v>27</v>
      </c>
      <c r="X163">
        <v>23</v>
      </c>
      <c r="Y163" t="s">
        <v>49</v>
      </c>
      <c r="Z163">
        <v>1</v>
      </c>
      <c r="AA163">
        <v>188</v>
      </c>
      <c r="AB163">
        <v>0.5</v>
      </c>
      <c r="AY163" t="str">
        <f t="shared" si="23"/>
        <v>2009FemaleUrban25</v>
      </c>
      <c r="AZ163">
        <v>2009</v>
      </c>
      <c r="BA163" t="s">
        <v>8</v>
      </c>
      <c r="BB163" t="s">
        <v>97</v>
      </c>
      <c r="BC163">
        <v>25</v>
      </c>
      <c r="BD163">
        <v>12</v>
      </c>
      <c r="BE163">
        <v>4.4843049327354301</v>
      </c>
      <c r="BF163">
        <v>2.5</v>
      </c>
      <c r="CA163" t="str">
        <f t="shared" si="26"/>
        <v>AllSexPacific255</v>
      </c>
      <c r="CB163" t="s">
        <v>17</v>
      </c>
      <c r="CC163" t="s">
        <v>79</v>
      </c>
      <c r="CD163">
        <v>25</v>
      </c>
      <c r="CE163">
        <v>5</v>
      </c>
      <c r="CF163">
        <v>1</v>
      </c>
      <c r="CG163">
        <v>2.1879441396414698</v>
      </c>
      <c r="CH163">
        <v>4.3</v>
      </c>
      <c r="CJ163" t="str">
        <f t="shared" si="27"/>
        <v>FemaleAllEth23Poisoning by gases and vapours</v>
      </c>
      <c r="CK163" t="s">
        <v>8</v>
      </c>
      <c r="CL163" t="s">
        <v>27</v>
      </c>
      <c r="CM163" t="s">
        <v>46</v>
      </c>
      <c r="CN163">
        <v>23</v>
      </c>
      <c r="CO163">
        <v>11</v>
      </c>
      <c r="CP163">
        <v>233</v>
      </c>
      <c r="CQ163">
        <v>4.7</v>
      </c>
    </row>
    <row r="164" spans="1:95">
      <c r="A164" t="str">
        <f t="shared" si="21"/>
        <v>2009MaleMaori19</v>
      </c>
      <c r="B164">
        <v>2009</v>
      </c>
      <c r="C164" t="s">
        <v>20</v>
      </c>
      <c r="D164" t="s">
        <v>18</v>
      </c>
      <c r="E164">
        <v>19</v>
      </c>
      <c r="F164">
        <v>58</v>
      </c>
      <c r="G164">
        <v>19.4811396989931</v>
      </c>
      <c r="H164">
        <v>5</v>
      </c>
      <c r="J164" s="340" t="str">
        <f t="shared" si="22"/>
        <v>2001AllSexNon-Maori191</v>
      </c>
      <c r="K164">
        <v>2001</v>
      </c>
      <c r="L164" t="s">
        <v>17</v>
      </c>
      <c r="M164" t="s">
        <v>19</v>
      </c>
      <c r="N164">
        <v>19</v>
      </c>
      <c r="O164">
        <v>1</v>
      </c>
      <c r="P164">
        <v>61</v>
      </c>
      <c r="Q164">
        <v>8.8185490853513393</v>
      </c>
      <c r="R164">
        <v>2.2000000000000002</v>
      </c>
      <c r="T164" s="340" t="str">
        <f t="shared" si="24"/>
        <v>1996MaleAllEth24Submersion (drowning)</v>
      </c>
      <c r="U164">
        <v>1996</v>
      </c>
      <c r="V164" t="s">
        <v>20</v>
      </c>
      <c r="W164" t="s">
        <v>27</v>
      </c>
      <c r="X164">
        <v>24</v>
      </c>
      <c r="Y164" t="s">
        <v>49</v>
      </c>
      <c r="Z164">
        <v>3</v>
      </c>
      <c r="AA164">
        <v>80</v>
      </c>
      <c r="AB164">
        <v>3.8</v>
      </c>
      <c r="AY164" t="str">
        <f t="shared" si="23"/>
        <v>2009MaleRural22</v>
      </c>
      <c r="AZ164">
        <v>2009</v>
      </c>
      <c r="BA164" t="s">
        <v>20</v>
      </c>
      <c r="BB164" t="s">
        <v>96</v>
      </c>
      <c r="BC164">
        <v>22</v>
      </c>
      <c r="BD164">
        <v>20</v>
      </c>
      <c r="BE164">
        <v>54.436581382689198</v>
      </c>
      <c r="BF164">
        <v>23.9</v>
      </c>
      <c r="CA164" t="str">
        <f t="shared" si="26"/>
        <v>FemaleAsian211</v>
      </c>
      <c r="CB164" t="s">
        <v>8</v>
      </c>
      <c r="CC164" t="s">
        <v>78</v>
      </c>
      <c r="CD164">
        <v>21</v>
      </c>
      <c r="CE164">
        <v>1</v>
      </c>
      <c r="CF164">
        <v>0</v>
      </c>
      <c r="CG164">
        <v>0</v>
      </c>
      <c r="CJ164" t="str">
        <f t="shared" si="27"/>
        <v>FemaleAllEth24Poisoning by gases and vapours</v>
      </c>
      <c r="CK164" t="s">
        <v>8</v>
      </c>
      <c r="CL164" t="s">
        <v>27</v>
      </c>
      <c r="CM164" t="s">
        <v>46</v>
      </c>
      <c r="CN164">
        <v>24</v>
      </c>
      <c r="CO164">
        <v>24</v>
      </c>
      <c r="CP164">
        <v>231</v>
      </c>
      <c r="CQ164">
        <v>10.4</v>
      </c>
    </row>
    <row r="165" spans="1:95">
      <c r="A165" t="str">
        <f t="shared" si="21"/>
        <v>2010MaleMaori19</v>
      </c>
      <c r="B165">
        <v>2010</v>
      </c>
      <c r="C165" t="s">
        <v>20</v>
      </c>
      <c r="D165" t="s">
        <v>18</v>
      </c>
      <c r="E165">
        <v>19</v>
      </c>
      <c r="F165">
        <v>72</v>
      </c>
      <c r="G165">
        <v>23.689392361421</v>
      </c>
      <c r="H165">
        <v>5.5</v>
      </c>
      <c r="J165" s="340" t="str">
        <f t="shared" si="22"/>
        <v>2001AllSexNon-Maori192</v>
      </c>
      <c r="K165">
        <v>2001</v>
      </c>
      <c r="L165" t="s">
        <v>17</v>
      </c>
      <c r="M165" t="s">
        <v>19</v>
      </c>
      <c r="N165">
        <v>19</v>
      </c>
      <c r="O165">
        <v>2</v>
      </c>
      <c r="P165">
        <v>67</v>
      </c>
      <c r="Q165">
        <v>8.4647667727081792</v>
      </c>
      <c r="R165">
        <v>2</v>
      </c>
      <c r="T165" s="340" t="str">
        <f t="shared" si="24"/>
        <v>1996MaleAllEth25Submersion (drowning)</v>
      </c>
      <c r="U165">
        <v>1996</v>
      </c>
      <c r="V165" t="s">
        <v>20</v>
      </c>
      <c r="W165" t="s">
        <v>27</v>
      </c>
      <c r="X165">
        <v>25</v>
      </c>
      <c r="Y165" t="s">
        <v>49</v>
      </c>
      <c r="Z165">
        <v>4</v>
      </c>
      <c r="AA165">
        <v>53</v>
      </c>
      <c r="AB165">
        <v>7.5</v>
      </c>
      <c r="AY165" t="str">
        <f t="shared" si="23"/>
        <v>2009MaleUrban22</v>
      </c>
      <c r="AZ165">
        <v>2009</v>
      </c>
      <c r="BA165" t="s">
        <v>20</v>
      </c>
      <c r="BB165" t="s">
        <v>97</v>
      </c>
      <c r="BC165">
        <v>22</v>
      </c>
      <c r="BD165">
        <v>75</v>
      </c>
      <c r="BE165">
        <v>27.764409728649198</v>
      </c>
      <c r="BF165">
        <v>6.3</v>
      </c>
      <c r="CA165" t="str">
        <f t="shared" si="26"/>
        <v>FemaleAsian212</v>
      </c>
      <c r="CB165" t="s">
        <v>8</v>
      </c>
      <c r="CC165" t="s">
        <v>78</v>
      </c>
      <c r="CD165">
        <v>21</v>
      </c>
      <c r="CE165">
        <v>2</v>
      </c>
      <c r="CF165">
        <v>0</v>
      </c>
      <c r="CG165">
        <v>0</v>
      </c>
      <c r="CJ165" t="str">
        <f t="shared" si="27"/>
        <v>FemaleAllEth25Poisoning by gases and vapours</v>
      </c>
      <c r="CK165" t="s">
        <v>8</v>
      </c>
      <c r="CL165" t="s">
        <v>27</v>
      </c>
      <c r="CM165" t="s">
        <v>46</v>
      </c>
      <c r="CN165">
        <v>25</v>
      </c>
      <c r="CO165">
        <v>3</v>
      </c>
      <c r="CP165">
        <v>61</v>
      </c>
      <c r="CQ165">
        <v>4.9000000000000004</v>
      </c>
    </row>
    <row r="166" spans="1:95">
      <c r="A166" t="str">
        <f t="shared" si="21"/>
        <v>2011MaleMaori19</v>
      </c>
      <c r="B166">
        <v>2011</v>
      </c>
      <c r="C166" t="s">
        <v>20</v>
      </c>
      <c r="D166" t="s">
        <v>18</v>
      </c>
      <c r="E166">
        <v>19</v>
      </c>
      <c r="F166">
        <v>81</v>
      </c>
      <c r="G166">
        <v>26.239623561034499</v>
      </c>
      <c r="H166">
        <v>5.7</v>
      </c>
      <c r="J166" s="340" t="str">
        <f t="shared" si="22"/>
        <v>2001AllSexNon-Maori193</v>
      </c>
      <c r="K166">
        <v>2001</v>
      </c>
      <c r="L166" t="s">
        <v>17</v>
      </c>
      <c r="M166" t="s">
        <v>19</v>
      </c>
      <c r="N166">
        <v>19</v>
      </c>
      <c r="O166">
        <v>3</v>
      </c>
      <c r="P166">
        <v>88</v>
      </c>
      <c r="Q166">
        <v>12.0848485673424</v>
      </c>
      <c r="R166">
        <v>2.5</v>
      </c>
      <c r="T166" s="340" t="str">
        <f t="shared" si="24"/>
        <v>1996MaleMaori23Firearms and explosives</v>
      </c>
      <c r="U166">
        <v>1996</v>
      </c>
      <c r="V166" t="s">
        <v>20</v>
      </c>
      <c r="W166" t="s">
        <v>18</v>
      </c>
      <c r="X166">
        <v>23</v>
      </c>
      <c r="Y166" t="s">
        <v>42</v>
      </c>
      <c r="Z166">
        <v>3</v>
      </c>
      <c r="AA166">
        <v>36</v>
      </c>
      <c r="AB166">
        <v>8.3000000000000007</v>
      </c>
      <c r="AY166" t="str">
        <f t="shared" si="23"/>
        <v>2009MaleRural23</v>
      </c>
      <c r="AZ166">
        <v>2009</v>
      </c>
      <c r="BA166" t="s">
        <v>20</v>
      </c>
      <c r="BB166" t="s">
        <v>96</v>
      </c>
      <c r="BC166">
        <v>23</v>
      </c>
      <c r="BD166">
        <v>17</v>
      </c>
      <c r="BE166">
        <v>23.4903965731657</v>
      </c>
      <c r="BF166">
        <v>11.2</v>
      </c>
      <c r="CA166" t="str">
        <f t="shared" si="26"/>
        <v>FemaleAsian213</v>
      </c>
      <c r="CB166" t="s">
        <v>8</v>
      </c>
      <c r="CC166" t="s">
        <v>78</v>
      </c>
      <c r="CD166">
        <v>21</v>
      </c>
      <c r="CE166">
        <v>3</v>
      </c>
      <c r="CF166">
        <v>0</v>
      </c>
      <c r="CG166">
        <v>0</v>
      </c>
      <c r="CJ166" t="str">
        <f t="shared" si="27"/>
        <v>FemaleAllEth22Poisoning by solids and liquids</v>
      </c>
      <c r="CK166" t="s">
        <v>8</v>
      </c>
      <c r="CL166" t="s">
        <v>27</v>
      </c>
      <c r="CM166" t="s">
        <v>47</v>
      </c>
      <c r="CN166">
        <v>22</v>
      </c>
      <c r="CO166">
        <v>10</v>
      </c>
      <c r="CP166">
        <v>167</v>
      </c>
      <c r="CQ166">
        <v>6</v>
      </c>
    </row>
    <row r="167" spans="1:95">
      <c r="A167" t="str">
        <f t="shared" si="21"/>
        <v>2012MaleMaori19</v>
      </c>
      <c r="B167">
        <v>2012</v>
      </c>
      <c r="C167" t="s">
        <v>20</v>
      </c>
      <c r="D167" t="s">
        <v>18</v>
      </c>
      <c r="E167">
        <v>19</v>
      </c>
      <c r="F167">
        <v>81</v>
      </c>
      <c r="G167">
        <v>25.431338448587201</v>
      </c>
      <c r="H167">
        <v>5.5</v>
      </c>
      <c r="J167" s="340" t="str">
        <f t="shared" si="22"/>
        <v>2001AllSexNon-Maori194</v>
      </c>
      <c r="K167">
        <v>2001</v>
      </c>
      <c r="L167" t="s">
        <v>17</v>
      </c>
      <c r="M167" t="s">
        <v>19</v>
      </c>
      <c r="N167">
        <v>19</v>
      </c>
      <c r="O167">
        <v>4</v>
      </c>
      <c r="P167">
        <v>96</v>
      </c>
      <c r="Q167">
        <v>14.202879843016101</v>
      </c>
      <c r="R167">
        <v>2.8</v>
      </c>
      <c r="T167" s="340" t="str">
        <f t="shared" si="24"/>
        <v>1996MaleMaori21Hanging, strangulation and suffocation</v>
      </c>
      <c r="U167">
        <v>1996</v>
      </c>
      <c r="V167" t="s">
        <v>20</v>
      </c>
      <c r="W167" t="s">
        <v>18</v>
      </c>
      <c r="X167">
        <v>21</v>
      </c>
      <c r="Y167" t="s">
        <v>43</v>
      </c>
      <c r="Z167">
        <v>1</v>
      </c>
      <c r="AA167">
        <v>1</v>
      </c>
      <c r="AB167">
        <v>100</v>
      </c>
      <c r="AY167" t="str">
        <f t="shared" si="23"/>
        <v>2009MaleUrban23</v>
      </c>
      <c r="AZ167">
        <v>2009</v>
      </c>
      <c r="BA167" t="s">
        <v>20</v>
      </c>
      <c r="BB167" t="s">
        <v>97</v>
      </c>
      <c r="BC167">
        <v>23</v>
      </c>
      <c r="BD167">
        <v>115</v>
      </c>
      <c r="BE167">
        <v>23.603300357128202</v>
      </c>
      <c r="BF167">
        <v>4.3</v>
      </c>
      <c r="CA167" t="str">
        <f t="shared" si="26"/>
        <v>FemaleAsian214</v>
      </c>
      <c r="CB167" t="s">
        <v>8</v>
      </c>
      <c r="CC167" t="s">
        <v>78</v>
      </c>
      <c r="CD167">
        <v>21</v>
      </c>
      <c r="CE167">
        <v>4</v>
      </c>
      <c r="CF167">
        <v>0</v>
      </c>
      <c r="CG167">
        <v>0</v>
      </c>
      <c r="CJ167" t="str">
        <f t="shared" si="27"/>
        <v>FemaleAllEth23Poisoning by solids and liquids</v>
      </c>
      <c r="CK167" t="s">
        <v>8</v>
      </c>
      <c r="CL167" t="s">
        <v>27</v>
      </c>
      <c r="CM167" t="s">
        <v>47</v>
      </c>
      <c r="CN167">
        <v>23</v>
      </c>
      <c r="CO167">
        <v>47</v>
      </c>
      <c r="CP167">
        <v>233</v>
      </c>
      <c r="CQ167">
        <v>20.2</v>
      </c>
    </row>
    <row r="168" spans="1:95">
      <c r="A168" t="str">
        <f t="shared" si="21"/>
        <v>2013MaleMaori19</v>
      </c>
      <c r="B168">
        <v>2013</v>
      </c>
      <c r="C168" t="s">
        <v>20</v>
      </c>
      <c r="D168" t="s">
        <v>18</v>
      </c>
      <c r="E168">
        <v>19</v>
      </c>
      <c r="F168">
        <v>65</v>
      </c>
      <c r="G168">
        <v>21.1859227055823</v>
      </c>
      <c r="H168">
        <v>5.2</v>
      </c>
      <c r="J168" s="340" t="str">
        <f t="shared" si="22"/>
        <v>2001AllSexNon-Maori195</v>
      </c>
      <c r="K168">
        <v>2001</v>
      </c>
      <c r="L168" t="s">
        <v>17</v>
      </c>
      <c r="M168" t="s">
        <v>19</v>
      </c>
      <c r="N168">
        <v>19</v>
      </c>
      <c r="O168">
        <v>5</v>
      </c>
      <c r="P168">
        <v>72</v>
      </c>
      <c r="Q168">
        <v>13.4581720948861</v>
      </c>
      <c r="R168">
        <v>3.1</v>
      </c>
      <c r="T168" s="340" t="str">
        <f t="shared" si="24"/>
        <v>1996MaleMaori22Hanging, strangulation and suffocation</v>
      </c>
      <c r="U168">
        <v>1996</v>
      </c>
      <c r="V168" t="s">
        <v>20</v>
      </c>
      <c r="W168" t="s">
        <v>18</v>
      </c>
      <c r="X168">
        <v>22</v>
      </c>
      <c r="Y168" t="s">
        <v>43</v>
      </c>
      <c r="Z168">
        <v>27</v>
      </c>
      <c r="AA168">
        <v>30</v>
      </c>
      <c r="AB168">
        <v>90</v>
      </c>
      <c r="AY168" t="str">
        <f t="shared" si="23"/>
        <v>2009MaleRural24</v>
      </c>
      <c r="AZ168">
        <v>2009</v>
      </c>
      <c r="BA168" t="s">
        <v>20</v>
      </c>
      <c r="BB168" t="s">
        <v>96</v>
      </c>
      <c r="BC168">
        <v>24</v>
      </c>
      <c r="BD168">
        <v>22</v>
      </c>
      <c r="BE168">
        <v>23.226351351351401</v>
      </c>
      <c r="BF168">
        <v>9.6999999999999993</v>
      </c>
      <c r="CA168" t="str">
        <f t="shared" si="26"/>
        <v>FemaleAsian215</v>
      </c>
      <c r="CB168" t="s">
        <v>8</v>
      </c>
      <c r="CC168" t="s">
        <v>78</v>
      </c>
      <c r="CD168">
        <v>21</v>
      </c>
      <c r="CE168">
        <v>5</v>
      </c>
      <c r="CF168">
        <v>0</v>
      </c>
      <c r="CG168">
        <v>0</v>
      </c>
      <c r="CJ168" t="str">
        <f t="shared" si="27"/>
        <v>FemaleAllEth24Poisoning by solids and liquids</v>
      </c>
      <c r="CK168" t="s">
        <v>8</v>
      </c>
      <c r="CL168" t="s">
        <v>27</v>
      </c>
      <c r="CM168" t="s">
        <v>47</v>
      </c>
      <c r="CN168">
        <v>24</v>
      </c>
      <c r="CO168">
        <v>85</v>
      </c>
      <c r="CP168">
        <v>231</v>
      </c>
      <c r="CQ168">
        <v>36.799999999999997</v>
      </c>
    </row>
    <row r="169" spans="1:95">
      <c r="A169" t="str">
        <f t="shared" si="21"/>
        <v>2014MaleMaori19</v>
      </c>
      <c r="B169">
        <v>2014</v>
      </c>
      <c r="C169" t="s">
        <v>20</v>
      </c>
      <c r="D169" t="s">
        <v>18</v>
      </c>
      <c r="E169">
        <v>19</v>
      </c>
      <c r="F169">
        <v>66</v>
      </c>
      <c r="G169">
        <v>22.014569367455099</v>
      </c>
      <c r="H169">
        <v>5.3</v>
      </c>
      <c r="J169" s="340" t="str">
        <f t="shared" si="22"/>
        <v>2002AllSexNon-Maori191</v>
      </c>
      <c r="K169">
        <v>2002</v>
      </c>
      <c r="L169" t="s">
        <v>17</v>
      </c>
      <c r="M169" t="s">
        <v>19</v>
      </c>
      <c r="N169">
        <v>19</v>
      </c>
      <c r="O169">
        <v>1</v>
      </c>
      <c r="P169">
        <v>54</v>
      </c>
      <c r="Q169">
        <v>7.0068039902930597</v>
      </c>
      <c r="R169">
        <v>1.9</v>
      </c>
      <c r="T169" s="340" t="str">
        <f t="shared" si="24"/>
        <v>1996MaleMaori23Hanging, strangulation and suffocation</v>
      </c>
      <c r="U169">
        <v>1996</v>
      </c>
      <c r="V169" t="s">
        <v>20</v>
      </c>
      <c r="W169" t="s">
        <v>18</v>
      </c>
      <c r="X169">
        <v>23</v>
      </c>
      <c r="Y169" t="s">
        <v>43</v>
      </c>
      <c r="Z169">
        <v>22</v>
      </c>
      <c r="AA169">
        <v>36</v>
      </c>
      <c r="AB169">
        <v>61.1</v>
      </c>
      <c r="AY169" t="str">
        <f t="shared" si="23"/>
        <v>2009MaleUrban24</v>
      </c>
      <c r="AZ169">
        <v>2009</v>
      </c>
      <c r="BA169" t="s">
        <v>20</v>
      </c>
      <c r="BB169" t="s">
        <v>97</v>
      </c>
      <c r="BC169">
        <v>24</v>
      </c>
      <c r="BD169">
        <v>96</v>
      </c>
      <c r="BE169">
        <v>22.204746264514</v>
      </c>
      <c r="BF169">
        <v>4.4000000000000004</v>
      </c>
      <c r="CA169" t="str">
        <f t="shared" si="26"/>
        <v>FemaleMaori211</v>
      </c>
      <c r="CB169" t="s">
        <v>8</v>
      </c>
      <c r="CC169" t="s">
        <v>18</v>
      </c>
      <c r="CD169">
        <v>21</v>
      </c>
      <c r="CE169">
        <v>1</v>
      </c>
      <c r="CF169">
        <v>0</v>
      </c>
      <c r="CG169">
        <v>0</v>
      </c>
      <c r="CJ169" t="str">
        <f t="shared" si="27"/>
        <v>FemaleAllEth25Poisoning by solids and liquids</v>
      </c>
      <c r="CK169" t="s">
        <v>8</v>
      </c>
      <c r="CL169" t="s">
        <v>27</v>
      </c>
      <c r="CM169" t="s">
        <v>47</v>
      </c>
      <c r="CN169">
        <v>25</v>
      </c>
      <c r="CO169">
        <v>30</v>
      </c>
      <c r="CP169">
        <v>61</v>
      </c>
      <c r="CQ169">
        <v>49.2</v>
      </c>
    </row>
    <row r="170" spans="1:95">
      <c r="A170" t="str">
        <f t="shared" si="21"/>
        <v>2015MaleMaori19</v>
      </c>
      <c r="B170">
        <v>2015</v>
      </c>
      <c r="C170" t="s">
        <v>20</v>
      </c>
      <c r="D170" t="s">
        <v>18</v>
      </c>
      <c r="E170">
        <v>19</v>
      </c>
      <c r="F170">
        <v>78</v>
      </c>
      <c r="G170">
        <v>25.5838413177833</v>
      </c>
      <c r="H170">
        <v>5.7</v>
      </c>
      <c r="J170" s="340" t="str">
        <f t="shared" si="22"/>
        <v>2002AllSexNon-Maori192</v>
      </c>
      <c r="K170">
        <v>2002</v>
      </c>
      <c r="L170" t="s">
        <v>17</v>
      </c>
      <c r="M170" t="s">
        <v>19</v>
      </c>
      <c r="N170">
        <v>19</v>
      </c>
      <c r="O170">
        <v>2</v>
      </c>
      <c r="P170">
        <v>86</v>
      </c>
      <c r="Q170">
        <v>11.318220792875801</v>
      </c>
      <c r="R170">
        <v>2.4</v>
      </c>
      <c r="T170" s="340" t="str">
        <f t="shared" si="24"/>
        <v>1996MaleMaori24Hanging, strangulation and suffocation</v>
      </c>
      <c r="U170">
        <v>1996</v>
      </c>
      <c r="V170" t="s">
        <v>20</v>
      </c>
      <c r="W170" t="s">
        <v>18</v>
      </c>
      <c r="X170">
        <v>24</v>
      </c>
      <c r="Y170" t="s">
        <v>43</v>
      </c>
      <c r="Z170">
        <v>1</v>
      </c>
      <c r="AA170">
        <v>5</v>
      </c>
      <c r="AB170">
        <v>20</v>
      </c>
      <c r="AY170" t="str">
        <f t="shared" si="23"/>
        <v>2009MaleRural25</v>
      </c>
      <c r="AZ170">
        <v>2009</v>
      </c>
      <c r="BA170" t="s">
        <v>20</v>
      </c>
      <c r="BB170" t="s">
        <v>96</v>
      </c>
      <c r="BC170">
        <v>25</v>
      </c>
      <c r="BD170">
        <v>4</v>
      </c>
      <c r="BE170">
        <v>10.902153175252099</v>
      </c>
      <c r="BF170">
        <v>10.7</v>
      </c>
      <c r="CA170" t="str">
        <f t="shared" si="26"/>
        <v>FemaleMaori212</v>
      </c>
      <c r="CB170" t="s">
        <v>8</v>
      </c>
      <c r="CC170" t="s">
        <v>18</v>
      </c>
      <c r="CD170">
        <v>21</v>
      </c>
      <c r="CE170">
        <v>2</v>
      </c>
      <c r="CF170">
        <v>0</v>
      </c>
      <c r="CG170">
        <v>0</v>
      </c>
      <c r="CJ170" t="str">
        <f t="shared" si="27"/>
        <v>FemaleAllEth22Sharp object</v>
      </c>
      <c r="CK170" t="s">
        <v>8</v>
      </c>
      <c r="CL170" t="s">
        <v>27</v>
      </c>
      <c r="CM170" t="s">
        <v>48</v>
      </c>
      <c r="CN170">
        <v>22</v>
      </c>
      <c r="CO170">
        <v>2</v>
      </c>
      <c r="CP170">
        <v>167</v>
      </c>
      <c r="CQ170">
        <v>1.2</v>
      </c>
    </row>
    <row r="171" spans="1:95">
      <c r="A171" t="str">
        <f t="shared" si="21"/>
        <v>2016MaleMaori19</v>
      </c>
      <c r="B171">
        <v>2016</v>
      </c>
      <c r="C171" t="s">
        <v>20</v>
      </c>
      <c r="D171" t="s">
        <v>18</v>
      </c>
      <c r="E171">
        <v>19</v>
      </c>
      <c r="F171">
        <v>98</v>
      </c>
      <c r="G171">
        <v>31.3123998180094</v>
      </c>
      <c r="H171">
        <v>6.2</v>
      </c>
      <c r="J171" s="340" t="str">
        <f t="shared" si="22"/>
        <v>2002AllSexNon-Maori193</v>
      </c>
      <c r="K171">
        <v>2002</v>
      </c>
      <c r="L171" t="s">
        <v>17</v>
      </c>
      <c r="M171" t="s">
        <v>19</v>
      </c>
      <c r="N171">
        <v>19</v>
      </c>
      <c r="O171">
        <v>3</v>
      </c>
      <c r="P171">
        <v>73</v>
      </c>
      <c r="Q171">
        <v>9.9203149288889492</v>
      </c>
      <c r="R171">
        <v>2.2999999999999998</v>
      </c>
      <c r="T171" s="340" t="str">
        <f t="shared" si="24"/>
        <v>1996MaleMaori25Hanging, strangulation and suffocation</v>
      </c>
      <c r="U171">
        <v>1996</v>
      </c>
      <c r="V171" t="s">
        <v>20</v>
      </c>
      <c r="W171" t="s">
        <v>18</v>
      </c>
      <c r="X171">
        <v>25</v>
      </c>
      <c r="Y171" t="s">
        <v>43</v>
      </c>
      <c r="Z171">
        <v>1</v>
      </c>
      <c r="AA171">
        <v>1</v>
      </c>
      <c r="AB171">
        <v>100</v>
      </c>
      <c r="AY171" t="str">
        <f t="shared" si="23"/>
        <v>2009MaleUrban25</v>
      </c>
      <c r="AZ171">
        <v>2009</v>
      </c>
      <c r="BA171" t="s">
        <v>20</v>
      </c>
      <c r="BB171" t="s">
        <v>97</v>
      </c>
      <c r="BC171">
        <v>25</v>
      </c>
      <c r="BD171">
        <v>37</v>
      </c>
      <c r="BE171">
        <v>17.466012084592101</v>
      </c>
      <c r="BF171">
        <v>5.6</v>
      </c>
      <c r="CA171" t="str">
        <f t="shared" si="26"/>
        <v>FemaleMaori213</v>
      </c>
      <c r="CB171" t="s">
        <v>8</v>
      </c>
      <c r="CC171" t="s">
        <v>18</v>
      </c>
      <c r="CD171">
        <v>21</v>
      </c>
      <c r="CE171">
        <v>3</v>
      </c>
      <c r="CF171">
        <v>1</v>
      </c>
      <c r="CG171">
        <v>1.07883965338666</v>
      </c>
      <c r="CH171">
        <v>2.1</v>
      </c>
      <c r="CJ171" t="str">
        <f t="shared" si="27"/>
        <v>FemaleAllEth23Sharp object</v>
      </c>
      <c r="CK171" t="s">
        <v>8</v>
      </c>
      <c r="CL171" t="s">
        <v>27</v>
      </c>
      <c r="CM171" t="s">
        <v>48</v>
      </c>
      <c r="CN171">
        <v>23</v>
      </c>
      <c r="CO171">
        <v>1</v>
      </c>
      <c r="CP171">
        <v>233</v>
      </c>
      <c r="CQ171">
        <v>0.4</v>
      </c>
    </row>
    <row r="172" spans="1:95">
      <c r="A172" t="str">
        <f t="shared" si="21"/>
        <v>1996MaleNon-Maori19</v>
      </c>
      <c r="B172">
        <v>1996</v>
      </c>
      <c r="C172" t="s">
        <v>20</v>
      </c>
      <c r="D172" t="s">
        <v>19</v>
      </c>
      <c r="E172">
        <v>19</v>
      </c>
      <c r="F172">
        <v>356</v>
      </c>
      <c r="G172">
        <v>21.479905755824099</v>
      </c>
      <c r="H172">
        <v>2.2000000000000002</v>
      </c>
      <c r="J172" s="340" t="str">
        <f t="shared" si="22"/>
        <v>2002AllSexNon-Maori194</v>
      </c>
      <c r="K172">
        <v>2002</v>
      </c>
      <c r="L172" t="s">
        <v>17</v>
      </c>
      <c r="M172" t="s">
        <v>19</v>
      </c>
      <c r="N172">
        <v>19</v>
      </c>
      <c r="O172">
        <v>4</v>
      </c>
      <c r="P172">
        <v>78</v>
      </c>
      <c r="Q172">
        <v>11.471967284124799</v>
      </c>
      <c r="R172">
        <v>2.5</v>
      </c>
      <c r="T172" s="340" t="str">
        <f t="shared" si="24"/>
        <v>1996MaleMaori23Jumping from a high place</v>
      </c>
      <c r="U172">
        <v>1996</v>
      </c>
      <c r="V172" t="s">
        <v>20</v>
      </c>
      <c r="W172" t="s">
        <v>18</v>
      </c>
      <c r="X172">
        <v>23</v>
      </c>
      <c r="Y172" t="s">
        <v>44</v>
      </c>
      <c r="Z172">
        <v>1</v>
      </c>
      <c r="AA172">
        <v>36</v>
      </c>
      <c r="AB172">
        <v>2.8</v>
      </c>
      <c r="AY172" t="str">
        <f t="shared" si="23"/>
        <v>2010AllSexRural22</v>
      </c>
      <c r="AZ172">
        <v>2010</v>
      </c>
      <c r="BA172" t="s">
        <v>17</v>
      </c>
      <c r="BB172" t="s">
        <v>96</v>
      </c>
      <c r="BC172">
        <v>22</v>
      </c>
      <c r="BD172">
        <v>17</v>
      </c>
      <c r="BE172">
        <v>24.337866857551901</v>
      </c>
      <c r="BF172">
        <v>11.6</v>
      </c>
      <c r="CA172" t="str">
        <f t="shared" si="26"/>
        <v>FemaleMaori214</v>
      </c>
      <c r="CB172" t="s">
        <v>8</v>
      </c>
      <c r="CC172" t="s">
        <v>18</v>
      </c>
      <c r="CD172">
        <v>21</v>
      </c>
      <c r="CE172">
        <v>4</v>
      </c>
      <c r="CF172">
        <v>0</v>
      </c>
      <c r="CG172">
        <v>0</v>
      </c>
      <c r="CJ172" t="str">
        <f t="shared" si="27"/>
        <v>FemaleAllEth24Sharp object</v>
      </c>
      <c r="CK172" t="s">
        <v>8</v>
      </c>
      <c r="CL172" t="s">
        <v>27</v>
      </c>
      <c r="CM172" t="s">
        <v>48</v>
      </c>
      <c r="CN172">
        <v>24</v>
      </c>
      <c r="CO172">
        <v>4</v>
      </c>
      <c r="CP172">
        <v>231</v>
      </c>
      <c r="CQ172">
        <v>1.7</v>
      </c>
    </row>
    <row r="173" spans="1:95">
      <c r="A173" t="str">
        <f t="shared" si="21"/>
        <v>1997MaleNon-Maori19</v>
      </c>
      <c r="B173">
        <v>1997</v>
      </c>
      <c r="C173" t="s">
        <v>20</v>
      </c>
      <c r="D173" t="s">
        <v>19</v>
      </c>
      <c r="E173">
        <v>19</v>
      </c>
      <c r="F173">
        <v>361</v>
      </c>
      <c r="G173">
        <v>21.882813084323601</v>
      </c>
      <c r="H173">
        <v>2.2999999999999998</v>
      </c>
      <c r="J173" s="340" t="str">
        <f t="shared" si="22"/>
        <v>2002AllSexNon-Maori195</v>
      </c>
      <c r="K173">
        <v>2002</v>
      </c>
      <c r="L173" t="s">
        <v>17</v>
      </c>
      <c r="M173" t="s">
        <v>19</v>
      </c>
      <c r="N173">
        <v>19</v>
      </c>
      <c r="O173">
        <v>5</v>
      </c>
      <c r="P173">
        <v>72</v>
      </c>
      <c r="Q173">
        <v>13.278226500916601</v>
      </c>
      <c r="R173">
        <v>3.1</v>
      </c>
      <c r="T173" s="340" t="str">
        <f t="shared" si="24"/>
        <v>1996MaleMaori22Other</v>
      </c>
      <c r="U173">
        <v>1996</v>
      </c>
      <c r="V173" t="s">
        <v>20</v>
      </c>
      <c r="W173" t="s">
        <v>18</v>
      </c>
      <c r="X173">
        <v>22</v>
      </c>
      <c r="Y173" t="s">
        <v>45</v>
      </c>
      <c r="Z173">
        <v>1</v>
      </c>
      <c r="AA173">
        <v>30</v>
      </c>
      <c r="AB173">
        <v>3.3</v>
      </c>
      <c r="AY173" t="str">
        <f t="shared" si="23"/>
        <v>2010AllSexUrban22</v>
      </c>
      <c r="AZ173">
        <v>2010</v>
      </c>
      <c r="BA173" t="s">
        <v>17</v>
      </c>
      <c r="BB173" t="s">
        <v>97</v>
      </c>
      <c r="BC173">
        <v>22</v>
      </c>
      <c r="BD173">
        <v>94</v>
      </c>
      <c r="BE173">
        <v>17.184643510054801</v>
      </c>
      <c r="BF173">
        <v>3.5</v>
      </c>
      <c r="CA173" t="str">
        <f t="shared" si="26"/>
        <v>FemaleMaori215</v>
      </c>
      <c r="CB173" t="s">
        <v>8</v>
      </c>
      <c r="CC173" t="s">
        <v>18</v>
      </c>
      <c r="CD173">
        <v>21</v>
      </c>
      <c r="CE173">
        <v>5</v>
      </c>
      <c r="CF173">
        <v>7</v>
      </c>
      <c r="CG173">
        <v>2.9262547229800302</v>
      </c>
      <c r="CH173">
        <v>2.2000000000000002</v>
      </c>
      <c r="CJ173" t="str">
        <f t="shared" si="27"/>
        <v>FemaleAllEth25Sharp object</v>
      </c>
      <c r="CK173" t="s">
        <v>8</v>
      </c>
      <c r="CL173" t="s">
        <v>27</v>
      </c>
      <c r="CM173" t="s">
        <v>48</v>
      </c>
      <c r="CN173">
        <v>25</v>
      </c>
      <c r="CO173">
        <v>1</v>
      </c>
      <c r="CP173">
        <v>61</v>
      </c>
      <c r="CQ173">
        <v>1.6</v>
      </c>
    </row>
    <row r="174" spans="1:95">
      <c r="A174" t="str">
        <f t="shared" si="21"/>
        <v>1998MaleNon-Maori19</v>
      </c>
      <c r="B174">
        <v>1998</v>
      </c>
      <c r="C174" t="s">
        <v>20</v>
      </c>
      <c r="D174" t="s">
        <v>19</v>
      </c>
      <c r="E174">
        <v>19</v>
      </c>
      <c r="F174">
        <v>358</v>
      </c>
      <c r="G174">
        <v>21.517130626241698</v>
      </c>
      <c r="H174">
        <v>2.2000000000000002</v>
      </c>
      <c r="J174" s="340" t="str">
        <f t="shared" si="22"/>
        <v>2003AllSexNon-Maori191</v>
      </c>
      <c r="K174">
        <v>2003</v>
      </c>
      <c r="L174" t="s">
        <v>17</v>
      </c>
      <c r="M174" t="s">
        <v>19</v>
      </c>
      <c r="N174">
        <v>19</v>
      </c>
      <c r="O174">
        <v>1</v>
      </c>
      <c r="P174">
        <v>59</v>
      </c>
      <c r="Q174">
        <v>7.5321456927402801</v>
      </c>
      <c r="R174">
        <v>1.9</v>
      </c>
      <c r="T174" s="340" t="str">
        <f t="shared" si="24"/>
        <v>1996MaleMaori23Other</v>
      </c>
      <c r="U174">
        <v>1996</v>
      </c>
      <c r="V174" t="s">
        <v>20</v>
      </c>
      <c r="W174" t="s">
        <v>18</v>
      </c>
      <c r="X174">
        <v>23</v>
      </c>
      <c r="Y174" t="s">
        <v>45</v>
      </c>
      <c r="Z174">
        <v>1</v>
      </c>
      <c r="AA174">
        <v>36</v>
      </c>
      <c r="AB174">
        <v>2.8</v>
      </c>
      <c r="AY174" t="str">
        <f t="shared" si="23"/>
        <v>2010AllSexRural23</v>
      </c>
      <c r="AZ174">
        <v>2010</v>
      </c>
      <c r="BA174" t="s">
        <v>17</v>
      </c>
      <c r="BB174" t="s">
        <v>96</v>
      </c>
      <c r="BC174">
        <v>23</v>
      </c>
      <c r="BD174">
        <v>38</v>
      </c>
      <c r="BE174">
        <v>25.871459694989099</v>
      </c>
      <c r="BF174">
        <v>8.1999999999999993</v>
      </c>
      <c r="CA174" t="str">
        <f t="shared" si="26"/>
        <v>FemaleOther211</v>
      </c>
      <c r="CB174" t="s">
        <v>8</v>
      </c>
      <c r="CC174" t="s">
        <v>45</v>
      </c>
      <c r="CD174">
        <v>21</v>
      </c>
      <c r="CE174">
        <v>1</v>
      </c>
      <c r="CF174">
        <v>1</v>
      </c>
      <c r="CG174">
        <v>0.293166978972208</v>
      </c>
      <c r="CH174">
        <v>0.6</v>
      </c>
      <c r="CJ174" t="str">
        <f t="shared" si="27"/>
        <v>FemaleAllEth22Submersion (drowning)</v>
      </c>
      <c r="CK174" t="s">
        <v>8</v>
      </c>
      <c r="CL174" t="s">
        <v>27</v>
      </c>
      <c r="CM174" t="s">
        <v>49</v>
      </c>
      <c r="CN174">
        <v>22</v>
      </c>
      <c r="CO174">
        <v>3</v>
      </c>
      <c r="CP174">
        <v>167</v>
      </c>
      <c r="CQ174">
        <v>1.8</v>
      </c>
    </row>
    <row r="175" spans="1:95">
      <c r="A175" t="str">
        <f t="shared" si="21"/>
        <v>1999MaleNon-Maori19</v>
      </c>
      <c r="B175">
        <v>1999</v>
      </c>
      <c r="C175" t="s">
        <v>20</v>
      </c>
      <c r="D175" t="s">
        <v>19</v>
      </c>
      <c r="E175">
        <v>19</v>
      </c>
      <c r="F175">
        <v>325</v>
      </c>
      <c r="G175">
        <v>19.451634350980999</v>
      </c>
      <c r="H175">
        <v>2.1</v>
      </c>
      <c r="J175" s="340" t="str">
        <f t="shared" si="22"/>
        <v>2003AllSexNon-Maori192</v>
      </c>
      <c r="K175">
        <v>2003</v>
      </c>
      <c r="L175" t="s">
        <v>17</v>
      </c>
      <c r="M175" t="s">
        <v>19</v>
      </c>
      <c r="N175">
        <v>19</v>
      </c>
      <c r="O175">
        <v>2</v>
      </c>
      <c r="P175">
        <v>67</v>
      </c>
      <c r="Q175">
        <v>8.0268102759682805</v>
      </c>
      <c r="R175">
        <v>1.9</v>
      </c>
      <c r="T175" s="340" t="str">
        <f t="shared" si="24"/>
        <v>1996MaleMaori22Poisoning by gases and vapours</v>
      </c>
      <c r="U175">
        <v>1996</v>
      </c>
      <c r="V175" t="s">
        <v>20</v>
      </c>
      <c r="W175" t="s">
        <v>18</v>
      </c>
      <c r="X175">
        <v>22</v>
      </c>
      <c r="Y175" t="s">
        <v>46</v>
      </c>
      <c r="Z175">
        <v>1</v>
      </c>
      <c r="AA175">
        <v>30</v>
      </c>
      <c r="AB175">
        <v>3.3</v>
      </c>
      <c r="AY175" t="str">
        <f t="shared" si="23"/>
        <v>2010AllSexUrban23</v>
      </c>
      <c r="AZ175">
        <v>2010</v>
      </c>
      <c r="BA175" t="s">
        <v>17</v>
      </c>
      <c r="BB175" t="s">
        <v>97</v>
      </c>
      <c r="BC175">
        <v>23</v>
      </c>
      <c r="BD175">
        <v>158</v>
      </c>
      <c r="BE175">
        <v>15.5668091982108</v>
      </c>
      <c r="BF175">
        <v>2.4</v>
      </c>
      <c r="CA175" t="str">
        <f t="shared" si="26"/>
        <v>FemaleOther212</v>
      </c>
      <c r="CB175" t="s">
        <v>8</v>
      </c>
      <c r="CC175" t="s">
        <v>45</v>
      </c>
      <c r="CD175">
        <v>21</v>
      </c>
      <c r="CE175">
        <v>2</v>
      </c>
      <c r="CF175">
        <v>0</v>
      </c>
      <c r="CG175">
        <v>0</v>
      </c>
      <c r="CJ175" t="str">
        <f t="shared" si="27"/>
        <v>FemaleAllEth23Submersion (drowning)</v>
      </c>
      <c r="CK175" t="s">
        <v>8</v>
      </c>
      <c r="CL175" t="s">
        <v>27</v>
      </c>
      <c r="CM175" t="s">
        <v>49</v>
      </c>
      <c r="CN175">
        <v>23</v>
      </c>
      <c r="CO175">
        <v>4</v>
      </c>
      <c r="CP175">
        <v>233</v>
      </c>
      <c r="CQ175">
        <v>1.7</v>
      </c>
    </row>
    <row r="176" spans="1:95">
      <c r="A176" t="str">
        <f t="shared" si="21"/>
        <v>2000MaleNon-Maori19</v>
      </c>
      <c r="B176">
        <v>2000</v>
      </c>
      <c r="C176" t="s">
        <v>20</v>
      </c>
      <c r="D176" t="s">
        <v>19</v>
      </c>
      <c r="E176">
        <v>19</v>
      </c>
      <c r="F176">
        <v>307</v>
      </c>
      <c r="G176">
        <v>18.542595685537702</v>
      </c>
      <c r="H176">
        <v>2.1</v>
      </c>
      <c r="J176" s="340" t="str">
        <f t="shared" si="22"/>
        <v>2003AllSexNon-Maori193</v>
      </c>
      <c r="K176">
        <v>2003</v>
      </c>
      <c r="L176" t="s">
        <v>17</v>
      </c>
      <c r="M176" t="s">
        <v>19</v>
      </c>
      <c r="N176">
        <v>19</v>
      </c>
      <c r="O176">
        <v>3</v>
      </c>
      <c r="P176">
        <v>104</v>
      </c>
      <c r="Q176">
        <v>13.2287898873844</v>
      </c>
      <c r="R176">
        <v>2.5</v>
      </c>
      <c r="T176" s="340" t="str">
        <f t="shared" si="24"/>
        <v>1996MaleMaori23Poisoning by gases and vapours</v>
      </c>
      <c r="U176">
        <v>1996</v>
      </c>
      <c r="V176" t="s">
        <v>20</v>
      </c>
      <c r="W176" t="s">
        <v>18</v>
      </c>
      <c r="X176">
        <v>23</v>
      </c>
      <c r="Y176" t="s">
        <v>46</v>
      </c>
      <c r="Z176">
        <v>6</v>
      </c>
      <c r="AA176">
        <v>36</v>
      </c>
      <c r="AB176">
        <v>16.7</v>
      </c>
      <c r="AY176" t="str">
        <f t="shared" si="23"/>
        <v>2010AllSexRural24</v>
      </c>
      <c r="AZ176">
        <v>2010</v>
      </c>
      <c r="BA176" t="s">
        <v>17</v>
      </c>
      <c r="BB176" t="s">
        <v>96</v>
      </c>
      <c r="BC176">
        <v>24</v>
      </c>
      <c r="BD176">
        <v>30</v>
      </c>
      <c r="BE176">
        <v>15.841165909811</v>
      </c>
      <c r="BF176">
        <v>5.7</v>
      </c>
      <c r="CA176" t="str">
        <f t="shared" si="26"/>
        <v>FemaleOther213</v>
      </c>
      <c r="CB176" t="s">
        <v>8</v>
      </c>
      <c r="CC176" t="s">
        <v>45</v>
      </c>
      <c r="CD176">
        <v>21</v>
      </c>
      <c r="CE176">
        <v>3</v>
      </c>
      <c r="CF176">
        <v>2</v>
      </c>
      <c r="CG176">
        <v>0.82050574791506703</v>
      </c>
      <c r="CH176">
        <v>1.1000000000000001</v>
      </c>
      <c r="CJ176" t="str">
        <f t="shared" si="27"/>
        <v>FemaleAllEth24Submersion (drowning)</v>
      </c>
      <c r="CK176" t="s">
        <v>8</v>
      </c>
      <c r="CL176" t="s">
        <v>27</v>
      </c>
      <c r="CM176" t="s">
        <v>49</v>
      </c>
      <c r="CN176">
        <v>24</v>
      </c>
      <c r="CO176">
        <v>9</v>
      </c>
      <c r="CP176">
        <v>231</v>
      </c>
      <c r="CQ176">
        <v>3.9</v>
      </c>
    </row>
    <row r="177" spans="1:95">
      <c r="A177" t="str">
        <f t="shared" si="21"/>
        <v>2001MaleNon-Maori19</v>
      </c>
      <c r="B177">
        <v>2001</v>
      </c>
      <c r="C177" t="s">
        <v>20</v>
      </c>
      <c r="D177" t="s">
        <v>19</v>
      </c>
      <c r="E177">
        <v>19</v>
      </c>
      <c r="F177">
        <v>332</v>
      </c>
      <c r="G177">
        <v>19.754574256070502</v>
      </c>
      <c r="H177">
        <v>2.1</v>
      </c>
      <c r="J177" s="340" t="str">
        <f t="shared" si="22"/>
        <v>2003AllSexNon-Maori194</v>
      </c>
      <c r="K177">
        <v>2003</v>
      </c>
      <c r="L177" t="s">
        <v>17</v>
      </c>
      <c r="M177" t="s">
        <v>19</v>
      </c>
      <c r="N177">
        <v>19</v>
      </c>
      <c r="O177">
        <v>4</v>
      </c>
      <c r="P177">
        <v>103</v>
      </c>
      <c r="Q177">
        <v>14.6815494587965</v>
      </c>
      <c r="R177">
        <v>2.8</v>
      </c>
      <c r="T177" s="340" t="str">
        <f t="shared" si="24"/>
        <v>1996MaleMaori24Poisoning by gases and vapours</v>
      </c>
      <c r="U177">
        <v>1996</v>
      </c>
      <c r="V177" t="s">
        <v>20</v>
      </c>
      <c r="W177" t="s">
        <v>18</v>
      </c>
      <c r="X177">
        <v>24</v>
      </c>
      <c r="Y177" t="s">
        <v>46</v>
      </c>
      <c r="Z177">
        <v>2</v>
      </c>
      <c r="AA177">
        <v>5</v>
      </c>
      <c r="AB177">
        <v>40</v>
      </c>
      <c r="AY177" t="str">
        <f t="shared" si="23"/>
        <v>2010AllSexUrban24</v>
      </c>
      <c r="AZ177">
        <v>2010</v>
      </c>
      <c r="BA177" t="s">
        <v>17</v>
      </c>
      <c r="BB177" t="s">
        <v>97</v>
      </c>
      <c r="BC177">
        <v>24</v>
      </c>
      <c r="BD177">
        <v>128</v>
      </c>
      <c r="BE177">
        <v>14.061452943567399</v>
      </c>
      <c r="BF177">
        <v>2.4</v>
      </c>
      <c r="CA177" t="str">
        <f t="shared" si="26"/>
        <v>FemaleOther214</v>
      </c>
      <c r="CB177" t="s">
        <v>8</v>
      </c>
      <c r="CC177" t="s">
        <v>45</v>
      </c>
      <c r="CD177">
        <v>21</v>
      </c>
      <c r="CE177">
        <v>4</v>
      </c>
      <c r="CF177">
        <v>0</v>
      </c>
      <c r="CG177">
        <v>0</v>
      </c>
      <c r="CJ177" t="str">
        <f t="shared" si="27"/>
        <v>FemaleAllEth25Submersion (drowning)</v>
      </c>
      <c r="CK177" t="s">
        <v>8</v>
      </c>
      <c r="CL177" t="s">
        <v>27</v>
      </c>
      <c r="CM177" t="s">
        <v>49</v>
      </c>
      <c r="CN177">
        <v>25</v>
      </c>
      <c r="CO177">
        <v>3</v>
      </c>
      <c r="CP177">
        <v>61</v>
      </c>
      <c r="CQ177">
        <v>4.9000000000000004</v>
      </c>
    </row>
    <row r="178" spans="1:95">
      <c r="A178" t="str">
        <f t="shared" si="21"/>
        <v>2002MaleNon-Maori19</v>
      </c>
      <c r="B178">
        <v>2002</v>
      </c>
      <c r="C178" t="s">
        <v>20</v>
      </c>
      <c r="D178" t="s">
        <v>19</v>
      </c>
      <c r="E178">
        <v>19</v>
      </c>
      <c r="F178">
        <v>296</v>
      </c>
      <c r="G178">
        <v>17.053757227886599</v>
      </c>
      <c r="H178">
        <v>1.9</v>
      </c>
      <c r="J178" s="340" t="str">
        <f t="shared" si="22"/>
        <v>2003AllSexNon-Maori195</v>
      </c>
      <c r="K178">
        <v>2003</v>
      </c>
      <c r="L178" t="s">
        <v>17</v>
      </c>
      <c r="M178" t="s">
        <v>19</v>
      </c>
      <c r="N178">
        <v>19</v>
      </c>
      <c r="O178">
        <v>5</v>
      </c>
      <c r="P178">
        <v>79</v>
      </c>
      <c r="Q178">
        <v>14.178781899907801</v>
      </c>
      <c r="R178">
        <v>3.1</v>
      </c>
      <c r="T178" s="340" t="str">
        <f t="shared" si="24"/>
        <v>1996MaleMaori22Poisoning by solids and liquids</v>
      </c>
      <c r="U178">
        <v>1996</v>
      </c>
      <c r="V178" t="s">
        <v>20</v>
      </c>
      <c r="W178" t="s">
        <v>18</v>
      </c>
      <c r="X178">
        <v>22</v>
      </c>
      <c r="Y178" t="s">
        <v>47</v>
      </c>
      <c r="Z178">
        <v>1</v>
      </c>
      <c r="AA178">
        <v>30</v>
      </c>
      <c r="AB178">
        <v>3.3</v>
      </c>
      <c r="AY178" t="str">
        <f t="shared" si="23"/>
        <v>2010AllSexRural25</v>
      </c>
      <c r="AZ178">
        <v>2010</v>
      </c>
      <c r="BA178" t="s">
        <v>17</v>
      </c>
      <c r="BB178" t="s">
        <v>96</v>
      </c>
      <c r="BC178">
        <v>25</v>
      </c>
      <c r="BD178">
        <v>9</v>
      </c>
      <c r="BE178">
        <v>12.4653739612188</v>
      </c>
      <c r="BF178">
        <v>8.1</v>
      </c>
      <c r="CA178" t="str">
        <f t="shared" si="26"/>
        <v>FemaleOther215</v>
      </c>
      <c r="CB178" t="s">
        <v>8</v>
      </c>
      <c r="CC178" t="s">
        <v>45</v>
      </c>
      <c r="CD178">
        <v>21</v>
      </c>
      <c r="CE178">
        <v>5</v>
      </c>
      <c r="CF178">
        <v>1</v>
      </c>
      <c r="CG178">
        <v>0.83893934711269602</v>
      </c>
      <c r="CH178">
        <v>1.6</v>
      </c>
      <c r="CJ178" t="str">
        <f t="shared" si="27"/>
        <v>FemaleAsian22Hanging, strangulation and suffocation</v>
      </c>
      <c r="CK178" t="s">
        <v>8</v>
      </c>
      <c r="CL178" t="s">
        <v>78</v>
      </c>
      <c r="CM178" t="s">
        <v>43</v>
      </c>
      <c r="CN178">
        <v>22</v>
      </c>
      <c r="CO178">
        <v>5</v>
      </c>
      <c r="CP178">
        <v>5</v>
      </c>
      <c r="CQ178">
        <v>100</v>
      </c>
    </row>
    <row r="179" spans="1:95">
      <c r="A179" t="str">
        <f t="shared" si="21"/>
        <v>2003MaleNon-Maori19</v>
      </c>
      <c r="B179">
        <v>2003</v>
      </c>
      <c r="C179" t="s">
        <v>20</v>
      </c>
      <c r="D179" t="s">
        <v>19</v>
      </c>
      <c r="E179">
        <v>19</v>
      </c>
      <c r="F179">
        <v>313</v>
      </c>
      <c r="G179">
        <v>17.1757108224569</v>
      </c>
      <c r="H179">
        <v>1.9</v>
      </c>
      <c r="J179" s="340" t="str">
        <f t="shared" si="22"/>
        <v>2004AllSexNon-Maori191</v>
      </c>
      <c r="K179">
        <v>2004</v>
      </c>
      <c r="L179" t="s">
        <v>17</v>
      </c>
      <c r="M179" t="s">
        <v>19</v>
      </c>
      <c r="N179">
        <v>19</v>
      </c>
      <c r="O179">
        <v>1</v>
      </c>
      <c r="P179">
        <v>56</v>
      </c>
      <c r="Q179">
        <v>7.3630400358924097</v>
      </c>
      <c r="R179">
        <v>1.9</v>
      </c>
      <c r="T179" s="340" t="str">
        <f t="shared" si="24"/>
        <v>1996MaleMaori23Poisoning by solids and liquids</v>
      </c>
      <c r="U179">
        <v>1996</v>
      </c>
      <c r="V179" t="s">
        <v>20</v>
      </c>
      <c r="W179" t="s">
        <v>18</v>
      </c>
      <c r="X179">
        <v>23</v>
      </c>
      <c r="Y179" t="s">
        <v>47</v>
      </c>
      <c r="Z179">
        <v>1</v>
      </c>
      <c r="AA179">
        <v>36</v>
      </c>
      <c r="AB179">
        <v>2.8</v>
      </c>
      <c r="AY179" t="str">
        <f t="shared" si="23"/>
        <v>2010AllSexUrban25</v>
      </c>
      <c r="AZ179">
        <v>2010</v>
      </c>
      <c r="BA179" t="s">
        <v>17</v>
      </c>
      <c r="BB179" t="s">
        <v>97</v>
      </c>
      <c r="BC179">
        <v>25</v>
      </c>
      <c r="BD179">
        <v>48</v>
      </c>
      <c r="BE179">
        <v>9.7733797568871807</v>
      </c>
      <c r="BF179">
        <v>2.8</v>
      </c>
      <c r="CA179" t="str">
        <f t="shared" si="26"/>
        <v>FemalePacific211</v>
      </c>
      <c r="CB179" t="s">
        <v>8</v>
      </c>
      <c r="CC179" t="s">
        <v>79</v>
      </c>
      <c r="CD179">
        <v>21</v>
      </c>
      <c r="CE179">
        <v>1</v>
      </c>
      <c r="CF179">
        <v>0</v>
      </c>
      <c r="CG179">
        <v>0</v>
      </c>
      <c r="CJ179" t="str">
        <f t="shared" si="27"/>
        <v>FemaleAsian23Hanging, strangulation and suffocation</v>
      </c>
      <c r="CK179" t="s">
        <v>8</v>
      </c>
      <c r="CL179" t="s">
        <v>78</v>
      </c>
      <c r="CM179" t="s">
        <v>43</v>
      </c>
      <c r="CN179">
        <v>23</v>
      </c>
      <c r="CO179">
        <v>8</v>
      </c>
      <c r="CP179">
        <v>13</v>
      </c>
      <c r="CQ179">
        <v>61.5</v>
      </c>
    </row>
    <row r="180" spans="1:95">
      <c r="A180" t="str">
        <f t="shared" si="21"/>
        <v>2004MaleNon-Maori19</v>
      </c>
      <c r="B180">
        <v>2004</v>
      </c>
      <c r="C180" t="s">
        <v>20</v>
      </c>
      <c r="D180" t="s">
        <v>19</v>
      </c>
      <c r="E180">
        <v>19</v>
      </c>
      <c r="F180">
        <v>299</v>
      </c>
      <c r="G180">
        <v>16.521659709264298</v>
      </c>
      <c r="H180">
        <v>1.9</v>
      </c>
      <c r="J180" s="340" t="str">
        <f t="shared" si="22"/>
        <v>2004AllSexNon-Maori192</v>
      </c>
      <c r="K180">
        <v>2004</v>
      </c>
      <c r="L180" t="s">
        <v>17</v>
      </c>
      <c r="M180" t="s">
        <v>19</v>
      </c>
      <c r="N180">
        <v>19</v>
      </c>
      <c r="O180">
        <v>2</v>
      </c>
      <c r="P180">
        <v>59</v>
      </c>
      <c r="Q180">
        <v>7.38267942229976</v>
      </c>
      <c r="R180">
        <v>1.9</v>
      </c>
      <c r="T180" s="340" t="str">
        <f t="shared" si="24"/>
        <v>1996MaleMaori24Poisoning by solids and liquids</v>
      </c>
      <c r="U180">
        <v>1996</v>
      </c>
      <c r="V180" t="s">
        <v>20</v>
      </c>
      <c r="W180" t="s">
        <v>18</v>
      </c>
      <c r="X180">
        <v>24</v>
      </c>
      <c r="Y180" t="s">
        <v>47</v>
      </c>
      <c r="Z180">
        <v>2</v>
      </c>
      <c r="AA180">
        <v>5</v>
      </c>
      <c r="AB180">
        <v>40</v>
      </c>
      <c r="AY180" t="str">
        <f t="shared" si="23"/>
        <v>2010FemaleRural22</v>
      </c>
      <c r="AZ180">
        <v>2010</v>
      </c>
      <c r="BA180" t="s">
        <v>8</v>
      </c>
      <c r="BB180" t="s">
        <v>96</v>
      </c>
      <c r="BC180">
        <v>22</v>
      </c>
      <c r="BD180">
        <v>0</v>
      </c>
      <c r="BE180">
        <v>0</v>
      </c>
      <c r="CA180" t="str">
        <f t="shared" si="26"/>
        <v>FemalePacific212</v>
      </c>
      <c r="CB180" t="s">
        <v>8</v>
      </c>
      <c r="CC180" t="s">
        <v>79</v>
      </c>
      <c r="CD180">
        <v>21</v>
      </c>
      <c r="CE180">
        <v>2</v>
      </c>
      <c r="CF180">
        <v>1</v>
      </c>
      <c r="CG180">
        <v>6.5313681900517997</v>
      </c>
      <c r="CH180">
        <v>12.8</v>
      </c>
      <c r="CJ180" t="str">
        <f t="shared" si="27"/>
        <v>FemaleAsian24Hanging, strangulation and suffocation</v>
      </c>
      <c r="CK180" t="s">
        <v>8</v>
      </c>
      <c r="CL180" t="s">
        <v>78</v>
      </c>
      <c r="CM180" t="s">
        <v>43</v>
      </c>
      <c r="CN180">
        <v>24</v>
      </c>
      <c r="CO180">
        <v>10</v>
      </c>
      <c r="CP180">
        <v>18</v>
      </c>
      <c r="CQ180">
        <v>55.6</v>
      </c>
    </row>
    <row r="181" spans="1:95">
      <c r="A181" t="str">
        <f t="shared" si="21"/>
        <v>2005MaleNon-Maori19</v>
      </c>
      <c r="B181">
        <v>2005</v>
      </c>
      <c r="C181" t="s">
        <v>20</v>
      </c>
      <c r="D181" t="s">
        <v>19</v>
      </c>
      <c r="E181">
        <v>19</v>
      </c>
      <c r="F181">
        <v>305</v>
      </c>
      <c r="G181">
        <v>16.809710006140801</v>
      </c>
      <c r="H181">
        <v>1.9</v>
      </c>
      <c r="J181" s="340" t="str">
        <f t="shared" si="22"/>
        <v>2004AllSexNon-Maori193</v>
      </c>
      <c r="K181">
        <v>2004</v>
      </c>
      <c r="L181" t="s">
        <v>17</v>
      </c>
      <c r="M181" t="s">
        <v>19</v>
      </c>
      <c r="N181">
        <v>19</v>
      </c>
      <c r="O181">
        <v>3</v>
      </c>
      <c r="P181">
        <v>86</v>
      </c>
      <c r="Q181">
        <v>11.012769267447901</v>
      </c>
      <c r="R181">
        <v>2.2999999999999998</v>
      </c>
      <c r="T181" s="340" t="str">
        <f t="shared" si="24"/>
        <v>1996MaleMaori23Sharp object</v>
      </c>
      <c r="U181">
        <v>1996</v>
      </c>
      <c r="V181" t="s">
        <v>20</v>
      </c>
      <c r="W181" t="s">
        <v>18</v>
      </c>
      <c r="X181">
        <v>23</v>
      </c>
      <c r="Y181" t="s">
        <v>48</v>
      </c>
      <c r="Z181">
        <v>2</v>
      </c>
      <c r="AA181">
        <v>36</v>
      </c>
      <c r="AB181">
        <v>5.6</v>
      </c>
      <c r="AY181" t="str">
        <f t="shared" si="23"/>
        <v>2010FemaleUrban22</v>
      </c>
      <c r="AZ181">
        <v>2010</v>
      </c>
      <c r="BA181" t="s">
        <v>8</v>
      </c>
      <c r="BB181" t="s">
        <v>97</v>
      </c>
      <c r="BC181">
        <v>22</v>
      </c>
      <c r="BD181">
        <v>34</v>
      </c>
      <c r="BE181">
        <v>12.4469175574755</v>
      </c>
      <c r="BF181">
        <v>4.2</v>
      </c>
      <c r="CA181" t="str">
        <f t="shared" si="26"/>
        <v>FemalePacific213</v>
      </c>
      <c r="CB181" t="s">
        <v>8</v>
      </c>
      <c r="CC181" t="s">
        <v>79</v>
      </c>
      <c r="CD181">
        <v>21</v>
      </c>
      <c r="CE181">
        <v>3</v>
      </c>
      <c r="CF181">
        <v>1</v>
      </c>
      <c r="CG181">
        <v>4.4168256147726597</v>
      </c>
      <c r="CH181">
        <v>8.6999999999999993</v>
      </c>
      <c r="CJ181" t="str">
        <f t="shared" si="27"/>
        <v>FemaleAsian25Hanging, strangulation and suffocation</v>
      </c>
      <c r="CK181" t="s">
        <v>8</v>
      </c>
      <c r="CL181" t="s">
        <v>78</v>
      </c>
      <c r="CM181" t="s">
        <v>43</v>
      </c>
      <c r="CN181">
        <v>25</v>
      </c>
      <c r="CO181">
        <v>3</v>
      </c>
      <c r="CP181">
        <v>5</v>
      </c>
      <c r="CQ181">
        <v>60</v>
      </c>
    </row>
    <row r="182" spans="1:95">
      <c r="A182" t="str">
        <f t="shared" si="21"/>
        <v>2006MaleNon-Maori19</v>
      </c>
      <c r="B182">
        <v>2006</v>
      </c>
      <c r="C182" t="s">
        <v>20</v>
      </c>
      <c r="D182" t="s">
        <v>19</v>
      </c>
      <c r="E182">
        <v>19</v>
      </c>
      <c r="F182">
        <v>312</v>
      </c>
      <c r="G182">
        <v>16.923735957565398</v>
      </c>
      <c r="H182">
        <v>1.9</v>
      </c>
      <c r="J182" s="340" t="str">
        <f t="shared" si="22"/>
        <v>2004AllSexNon-Maori194</v>
      </c>
      <c r="K182">
        <v>2004</v>
      </c>
      <c r="L182" t="s">
        <v>17</v>
      </c>
      <c r="M182" t="s">
        <v>19</v>
      </c>
      <c r="N182">
        <v>19</v>
      </c>
      <c r="O182">
        <v>4</v>
      </c>
      <c r="P182">
        <v>88</v>
      </c>
      <c r="Q182">
        <v>12.257919699059601</v>
      </c>
      <c r="R182">
        <v>2.6</v>
      </c>
      <c r="T182" s="340" t="str">
        <f t="shared" si="24"/>
        <v>1996MaleNon-Maori22Firearms and explosives</v>
      </c>
      <c r="U182">
        <v>1996</v>
      </c>
      <c r="V182" t="s">
        <v>20</v>
      </c>
      <c r="W182" t="s">
        <v>19</v>
      </c>
      <c r="X182">
        <v>22</v>
      </c>
      <c r="Y182" t="s">
        <v>42</v>
      </c>
      <c r="Z182">
        <v>8</v>
      </c>
      <c r="AA182">
        <v>75</v>
      </c>
      <c r="AB182">
        <v>10.7</v>
      </c>
      <c r="AY182" t="str">
        <f t="shared" si="23"/>
        <v>2010FemaleRural23</v>
      </c>
      <c r="AZ182">
        <v>2010</v>
      </c>
      <c r="BA182" t="s">
        <v>8</v>
      </c>
      <c r="BB182" t="s">
        <v>96</v>
      </c>
      <c r="BC182">
        <v>23</v>
      </c>
      <c r="BD182">
        <v>9</v>
      </c>
      <c r="BE182">
        <v>11.9776417354272</v>
      </c>
      <c r="BF182">
        <v>7.8</v>
      </c>
      <c r="CA182" t="str">
        <f t="shared" si="26"/>
        <v>FemalePacific214</v>
      </c>
      <c r="CB182" t="s">
        <v>8</v>
      </c>
      <c r="CC182" t="s">
        <v>79</v>
      </c>
      <c r="CD182">
        <v>21</v>
      </c>
      <c r="CE182">
        <v>4</v>
      </c>
      <c r="CF182">
        <v>0</v>
      </c>
      <c r="CG182">
        <v>0</v>
      </c>
      <c r="CJ182" t="str">
        <f t="shared" si="27"/>
        <v>FemaleAsian23Jumping from a high place</v>
      </c>
      <c r="CK182" t="s">
        <v>8</v>
      </c>
      <c r="CL182" t="s">
        <v>78</v>
      </c>
      <c r="CM182" t="s">
        <v>44</v>
      </c>
      <c r="CN182">
        <v>23</v>
      </c>
      <c r="CO182">
        <v>2</v>
      </c>
      <c r="CP182">
        <v>13</v>
      </c>
      <c r="CQ182">
        <v>15.4</v>
      </c>
    </row>
    <row r="183" spans="1:95">
      <c r="A183" t="str">
        <f t="shared" si="21"/>
        <v>2007MaleNon-Maori19</v>
      </c>
      <c r="B183">
        <v>2007</v>
      </c>
      <c r="C183" t="s">
        <v>20</v>
      </c>
      <c r="D183" t="s">
        <v>19</v>
      </c>
      <c r="E183">
        <v>19</v>
      </c>
      <c r="F183">
        <v>307</v>
      </c>
      <c r="G183">
        <v>16.348296242666599</v>
      </c>
      <c r="H183">
        <v>1.8</v>
      </c>
      <c r="J183" s="340" t="str">
        <f t="shared" si="22"/>
        <v>2004AllSexNon-Maori195</v>
      </c>
      <c r="K183">
        <v>2004</v>
      </c>
      <c r="L183" t="s">
        <v>17</v>
      </c>
      <c r="M183" t="s">
        <v>19</v>
      </c>
      <c r="N183">
        <v>19</v>
      </c>
      <c r="O183">
        <v>5</v>
      </c>
      <c r="P183">
        <v>74</v>
      </c>
      <c r="Q183">
        <v>12.612563237658501</v>
      </c>
      <c r="R183">
        <v>2.9</v>
      </c>
      <c r="T183" s="340" t="str">
        <f t="shared" si="24"/>
        <v>1996MaleNon-Maori23Firearms and explosives</v>
      </c>
      <c r="U183">
        <v>1996</v>
      </c>
      <c r="V183" t="s">
        <v>20</v>
      </c>
      <c r="W183" t="s">
        <v>19</v>
      </c>
      <c r="X183">
        <v>23</v>
      </c>
      <c r="Y183" t="s">
        <v>42</v>
      </c>
      <c r="Z183">
        <v>17</v>
      </c>
      <c r="AA183">
        <v>152</v>
      </c>
      <c r="AB183">
        <v>11.2</v>
      </c>
      <c r="AY183" t="str">
        <f t="shared" si="23"/>
        <v>2010FemaleUrban23</v>
      </c>
      <c r="AZ183">
        <v>2010</v>
      </c>
      <c r="BA183" t="s">
        <v>8</v>
      </c>
      <c r="BB183" t="s">
        <v>97</v>
      </c>
      <c r="BC183">
        <v>23</v>
      </c>
      <c r="BD183">
        <v>44</v>
      </c>
      <c r="BE183">
        <v>8.3076864981213294</v>
      </c>
      <c r="BF183">
        <v>2.5</v>
      </c>
      <c r="CA183" t="str">
        <f t="shared" si="26"/>
        <v>FemalePacific215</v>
      </c>
      <c r="CB183" t="s">
        <v>8</v>
      </c>
      <c r="CC183" t="s">
        <v>79</v>
      </c>
      <c r="CD183">
        <v>21</v>
      </c>
      <c r="CE183">
        <v>5</v>
      </c>
      <c r="CF183">
        <v>3</v>
      </c>
      <c r="CG183">
        <v>2.3944174351118002</v>
      </c>
      <c r="CH183">
        <v>2.7</v>
      </c>
      <c r="CJ183" t="str">
        <f t="shared" si="27"/>
        <v>FemaleAsian24Jumping from a high place</v>
      </c>
      <c r="CK183" t="s">
        <v>8</v>
      </c>
      <c r="CL183" t="s">
        <v>78</v>
      </c>
      <c r="CM183" t="s">
        <v>44</v>
      </c>
      <c r="CN183">
        <v>24</v>
      </c>
      <c r="CO183">
        <v>3</v>
      </c>
      <c r="CP183">
        <v>18</v>
      </c>
      <c r="CQ183">
        <v>16.7</v>
      </c>
    </row>
    <row r="184" spans="1:95">
      <c r="A184" t="str">
        <f t="shared" si="21"/>
        <v>2008MaleNon-Maori19</v>
      </c>
      <c r="B184">
        <v>2008</v>
      </c>
      <c r="C184" t="s">
        <v>20</v>
      </c>
      <c r="D184" t="s">
        <v>19</v>
      </c>
      <c r="E184">
        <v>19</v>
      </c>
      <c r="F184">
        <v>323</v>
      </c>
      <c r="G184">
        <v>17.136851166956198</v>
      </c>
      <c r="H184">
        <v>1.9</v>
      </c>
      <c r="J184" s="340" t="str">
        <f t="shared" si="22"/>
        <v>2005AllSexNon-Maori191</v>
      </c>
      <c r="K184">
        <v>2005</v>
      </c>
      <c r="L184" t="s">
        <v>17</v>
      </c>
      <c r="M184" t="s">
        <v>19</v>
      </c>
      <c r="N184">
        <v>19</v>
      </c>
      <c r="O184">
        <v>1</v>
      </c>
      <c r="P184">
        <v>72</v>
      </c>
      <c r="Q184">
        <v>8.7752784100609507</v>
      </c>
      <c r="R184">
        <v>2</v>
      </c>
      <c r="T184" s="340" t="str">
        <f t="shared" si="24"/>
        <v>1996MaleNon-Maori24Firearms and explosives</v>
      </c>
      <c r="U184">
        <v>1996</v>
      </c>
      <c r="V184" t="s">
        <v>20</v>
      </c>
      <c r="W184" t="s">
        <v>19</v>
      </c>
      <c r="X184">
        <v>24</v>
      </c>
      <c r="Y184" t="s">
        <v>42</v>
      </c>
      <c r="Z184">
        <v>9</v>
      </c>
      <c r="AA184">
        <v>75</v>
      </c>
      <c r="AB184">
        <v>12</v>
      </c>
      <c r="AY184" t="str">
        <f t="shared" si="23"/>
        <v>2010FemaleRural24</v>
      </c>
      <c r="AZ184">
        <v>2010</v>
      </c>
      <c r="BA184" t="s">
        <v>8</v>
      </c>
      <c r="BB184" t="s">
        <v>96</v>
      </c>
      <c r="BC184">
        <v>24</v>
      </c>
      <c r="BD184">
        <v>5</v>
      </c>
      <c r="BE184">
        <v>5.4054054054054097</v>
      </c>
      <c r="BF184">
        <v>4.7</v>
      </c>
      <c r="CA184" t="str">
        <f t="shared" si="26"/>
        <v>FemaleAsian221</v>
      </c>
      <c r="CB184" t="s">
        <v>8</v>
      </c>
      <c r="CC184" t="s">
        <v>78</v>
      </c>
      <c r="CD184">
        <v>22</v>
      </c>
      <c r="CE184">
        <v>1</v>
      </c>
      <c r="CF184">
        <v>1</v>
      </c>
      <c r="CG184">
        <v>2.8322651554323399</v>
      </c>
      <c r="CH184">
        <v>5.6</v>
      </c>
      <c r="CJ184" t="str">
        <f t="shared" si="27"/>
        <v>FemaleAsian25Jumping from a high place</v>
      </c>
      <c r="CK184" t="s">
        <v>8</v>
      </c>
      <c r="CL184" t="s">
        <v>78</v>
      </c>
      <c r="CM184" t="s">
        <v>44</v>
      </c>
      <c r="CN184">
        <v>25</v>
      </c>
      <c r="CO184">
        <v>1</v>
      </c>
      <c r="CP184">
        <v>5</v>
      </c>
      <c r="CQ184">
        <v>20</v>
      </c>
    </row>
    <row r="185" spans="1:95">
      <c r="A185" t="str">
        <f t="shared" si="21"/>
        <v>2009MaleNon-Maori19</v>
      </c>
      <c r="B185">
        <v>2009</v>
      </c>
      <c r="C185" t="s">
        <v>20</v>
      </c>
      <c r="D185" t="s">
        <v>19</v>
      </c>
      <c r="E185">
        <v>19</v>
      </c>
      <c r="F185">
        <v>336</v>
      </c>
      <c r="G185">
        <v>17.704891753148601</v>
      </c>
      <c r="H185">
        <v>1.9</v>
      </c>
      <c r="J185" s="340" t="str">
        <f t="shared" si="22"/>
        <v>2005AllSexNon-Maori192</v>
      </c>
      <c r="K185">
        <v>2005</v>
      </c>
      <c r="L185" t="s">
        <v>17</v>
      </c>
      <c r="M185" t="s">
        <v>19</v>
      </c>
      <c r="N185">
        <v>19</v>
      </c>
      <c r="O185">
        <v>2</v>
      </c>
      <c r="P185">
        <v>65</v>
      </c>
      <c r="Q185">
        <v>8.0086030153485996</v>
      </c>
      <c r="R185">
        <v>1.9</v>
      </c>
      <c r="T185" s="340" t="str">
        <f t="shared" si="24"/>
        <v>1996MaleNon-Maori25Firearms and explosives</v>
      </c>
      <c r="U185">
        <v>1996</v>
      </c>
      <c r="V185" t="s">
        <v>20</v>
      </c>
      <c r="W185" t="s">
        <v>19</v>
      </c>
      <c r="X185">
        <v>25</v>
      </c>
      <c r="Y185" t="s">
        <v>42</v>
      </c>
      <c r="Z185">
        <v>9</v>
      </c>
      <c r="AA185">
        <v>52</v>
      </c>
      <c r="AB185">
        <v>17.3</v>
      </c>
      <c r="AY185" t="str">
        <f t="shared" si="23"/>
        <v>2010FemaleUrban24</v>
      </c>
      <c r="AZ185">
        <v>2010</v>
      </c>
      <c r="BA185" t="s">
        <v>8</v>
      </c>
      <c r="BB185" t="s">
        <v>97</v>
      </c>
      <c r="BC185">
        <v>24</v>
      </c>
      <c r="BD185">
        <v>38</v>
      </c>
      <c r="BE185">
        <v>8.0768576772657692</v>
      </c>
      <c r="BF185">
        <v>2.6</v>
      </c>
      <c r="CA185" t="str">
        <f t="shared" si="26"/>
        <v>FemaleAsian222</v>
      </c>
      <c r="CB185" t="s">
        <v>8</v>
      </c>
      <c r="CC185" t="s">
        <v>78</v>
      </c>
      <c r="CD185">
        <v>22</v>
      </c>
      <c r="CE185">
        <v>2</v>
      </c>
      <c r="CF185">
        <v>2</v>
      </c>
      <c r="CG185">
        <v>4.4602617310788402</v>
      </c>
      <c r="CH185">
        <v>6.2</v>
      </c>
      <c r="CJ185" t="str">
        <f t="shared" si="27"/>
        <v>FemaleAsian23Other</v>
      </c>
      <c r="CK185" t="s">
        <v>8</v>
      </c>
      <c r="CL185" t="s">
        <v>78</v>
      </c>
      <c r="CM185" t="s">
        <v>45</v>
      </c>
      <c r="CN185">
        <v>23</v>
      </c>
      <c r="CO185">
        <v>1</v>
      </c>
      <c r="CP185">
        <v>13</v>
      </c>
      <c r="CQ185">
        <v>7.7</v>
      </c>
    </row>
    <row r="186" spans="1:95">
      <c r="A186" t="str">
        <f t="shared" si="21"/>
        <v>2010MaleNon-Maori19</v>
      </c>
      <c r="B186">
        <v>2010</v>
      </c>
      <c r="C186" t="s">
        <v>20</v>
      </c>
      <c r="D186" t="s">
        <v>19</v>
      </c>
      <c r="E186">
        <v>19</v>
      </c>
      <c r="F186">
        <v>315</v>
      </c>
      <c r="G186">
        <v>16.134328558354198</v>
      </c>
      <c r="H186">
        <v>1.8</v>
      </c>
      <c r="J186" s="340" t="str">
        <f t="shared" si="22"/>
        <v>2005AllSexNon-Maori193</v>
      </c>
      <c r="K186">
        <v>2005</v>
      </c>
      <c r="L186" t="s">
        <v>17</v>
      </c>
      <c r="M186" t="s">
        <v>19</v>
      </c>
      <c r="N186">
        <v>19</v>
      </c>
      <c r="O186">
        <v>3</v>
      </c>
      <c r="P186">
        <v>72</v>
      </c>
      <c r="Q186">
        <v>8.9149474250772691</v>
      </c>
      <c r="R186">
        <v>2.1</v>
      </c>
      <c r="T186" s="340" t="str">
        <f t="shared" si="24"/>
        <v>1996MaleNon-Maori21Hanging, strangulation and suffocation</v>
      </c>
      <c r="U186">
        <v>1996</v>
      </c>
      <c r="V186" t="s">
        <v>20</v>
      </c>
      <c r="W186" t="s">
        <v>19</v>
      </c>
      <c r="X186">
        <v>21</v>
      </c>
      <c r="Y186" t="s">
        <v>43</v>
      </c>
      <c r="Z186">
        <v>2</v>
      </c>
      <c r="AA186">
        <v>2</v>
      </c>
      <c r="AB186">
        <v>100</v>
      </c>
      <c r="AY186" t="str">
        <f t="shared" si="23"/>
        <v>2010FemaleRural25</v>
      </c>
      <c r="AZ186">
        <v>2010</v>
      </c>
      <c r="BA186" t="s">
        <v>8</v>
      </c>
      <c r="BB186" t="s">
        <v>96</v>
      </c>
      <c r="BC186">
        <v>25</v>
      </c>
      <c r="BD186">
        <v>0</v>
      </c>
      <c r="BE186">
        <v>0</v>
      </c>
      <c r="CA186" t="str">
        <f t="shared" si="26"/>
        <v>FemaleAsian223</v>
      </c>
      <c r="CB186" t="s">
        <v>8</v>
      </c>
      <c r="CC186" t="s">
        <v>78</v>
      </c>
      <c r="CD186">
        <v>22</v>
      </c>
      <c r="CE186">
        <v>3</v>
      </c>
      <c r="CF186">
        <v>0</v>
      </c>
      <c r="CG186">
        <v>0</v>
      </c>
      <c r="CJ186" t="str">
        <f t="shared" si="27"/>
        <v>FemaleAsian23Poisoning by solids and liquids</v>
      </c>
      <c r="CK186" t="s">
        <v>8</v>
      </c>
      <c r="CL186" t="s">
        <v>78</v>
      </c>
      <c r="CM186" t="s">
        <v>47</v>
      </c>
      <c r="CN186">
        <v>23</v>
      </c>
      <c r="CO186">
        <v>1</v>
      </c>
      <c r="CP186">
        <v>13</v>
      </c>
      <c r="CQ186">
        <v>7.7</v>
      </c>
    </row>
    <row r="187" spans="1:95">
      <c r="A187" t="str">
        <f t="shared" si="21"/>
        <v>2011MaleNon-Maori19</v>
      </c>
      <c r="B187">
        <v>2011</v>
      </c>
      <c r="C187" t="s">
        <v>20</v>
      </c>
      <c r="D187" t="s">
        <v>19</v>
      </c>
      <c r="E187">
        <v>19</v>
      </c>
      <c r="F187">
        <v>296</v>
      </c>
      <c r="G187">
        <v>15.374728749309</v>
      </c>
      <c r="H187">
        <v>1.8</v>
      </c>
      <c r="J187" s="340" t="str">
        <f t="shared" si="22"/>
        <v>2005AllSexNon-Maori194</v>
      </c>
      <c r="K187">
        <v>2005</v>
      </c>
      <c r="L187" t="s">
        <v>17</v>
      </c>
      <c r="M187" t="s">
        <v>19</v>
      </c>
      <c r="N187">
        <v>19</v>
      </c>
      <c r="O187">
        <v>4</v>
      </c>
      <c r="P187">
        <v>99</v>
      </c>
      <c r="Q187">
        <v>13.8894706173988</v>
      </c>
      <c r="R187">
        <v>2.7</v>
      </c>
      <c r="T187" s="340" t="str">
        <f t="shared" si="24"/>
        <v>1996MaleNon-Maori22Hanging, strangulation and suffocation</v>
      </c>
      <c r="U187">
        <v>1996</v>
      </c>
      <c r="V187" t="s">
        <v>20</v>
      </c>
      <c r="W187" t="s">
        <v>19</v>
      </c>
      <c r="X187">
        <v>22</v>
      </c>
      <c r="Y187" t="s">
        <v>43</v>
      </c>
      <c r="Z187">
        <v>44</v>
      </c>
      <c r="AA187">
        <v>75</v>
      </c>
      <c r="AB187">
        <v>58.7</v>
      </c>
      <c r="AY187" t="str">
        <f t="shared" si="23"/>
        <v>2010FemaleUrban25</v>
      </c>
      <c r="AZ187">
        <v>2010</v>
      </c>
      <c r="BA187" t="s">
        <v>8</v>
      </c>
      <c r="BB187" t="s">
        <v>97</v>
      </c>
      <c r="BC187">
        <v>25</v>
      </c>
      <c r="BD187">
        <v>14</v>
      </c>
      <c r="BE187">
        <v>5.1223884965789797</v>
      </c>
      <c r="BF187">
        <v>2.7</v>
      </c>
      <c r="CA187" t="str">
        <f t="shared" si="26"/>
        <v>FemaleAsian224</v>
      </c>
      <c r="CB187" t="s">
        <v>8</v>
      </c>
      <c r="CC187" t="s">
        <v>78</v>
      </c>
      <c r="CD187">
        <v>22</v>
      </c>
      <c r="CE187">
        <v>4</v>
      </c>
      <c r="CF187">
        <v>0</v>
      </c>
      <c r="CG187">
        <v>0</v>
      </c>
      <c r="CJ187" t="str">
        <f t="shared" si="27"/>
        <v>FemaleAsian24Poisoning by solids and liquids</v>
      </c>
      <c r="CK187" t="s">
        <v>8</v>
      </c>
      <c r="CL187" t="s">
        <v>78</v>
      </c>
      <c r="CM187" t="s">
        <v>47</v>
      </c>
      <c r="CN187">
        <v>24</v>
      </c>
      <c r="CO187">
        <v>4</v>
      </c>
      <c r="CP187">
        <v>18</v>
      </c>
      <c r="CQ187">
        <v>22.2</v>
      </c>
    </row>
    <row r="188" spans="1:95">
      <c r="A188" t="str">
        <f t="shared" si="21"/>
        <v>2012MaleNon-Maori19</v>
      </c>
      <c r="B188">
        <v>2012</v>
      </c>
      <c r="C188" t="s">
        <v>20</v>
      </c>
      <c r="D188" t="s">
        <v>19</v>
      </c>
      <c r="E188">
        <v>19</v>
      </c>
      <c r="F188">
        <v>323</v>
      </c>
      <c r="G188">
        <v>16.829965457080299</v>
      </c>
      <c r="H188">
        <v>1.8</v>
      </c>
      <c r="J188" s="340" t="str">
        <f t="shared" si="22"/>
        <v>2005AllSexNon-Maori195</v>
      </c>
      <c r="K188">
        <v>2005</v>
      </c>
      <c r="L188" t="s">
        <v>17</v>
      </c>
      <c r="M188" t="s">
        <v>19</v>
      </c>
      <c r="N188">
        <v>19</v>
      </c>
      <c r="O188">
        <v>5</v>
      </c>
      <c r="P188">
        <v>83</v>
      </c>
      <c r="Q188">
        <v>15.0650345266474</v>
      </c>
      <c r="R188">
        <v>3.2</v>
      </c>
      <c r="T188" s="340" t="str">
        <f t="shared" si="24"/>
        <v>1996MaleNon-Maori23Hanging, strangulation and suffocation</v>
      </c>
      <c r="U188">
        <v>1996</v>
      </c>
      <c r="V188" t="s">
        <v>20</v>
      </c>
      <c r="W188" t="s">
        <v>19</v>
      </c>
      <c r="X188">
        <v>23</v>
      </c>
      <c r="Y188" t="s">
        <v>43</v>
      </c>
      <c r="Z188">
        <v>54</v>
      </c>
      <c r="AA188">
        <v>152</v>
      </c>
      <c r="AB188">
        <v>35.5</v>
      </c>
      <c r="AY188" t="str">
        <f t="shared" si="23"/>
        <v>2010MaleRural22</v>
      </c>
      <c r="AZ188">
        <v>2010</v>
      </c>
      <c r="BA188" t="s">
        <v>20</v>
      </c>
      <c r="BB188" t="s">
        <v>96</v>
      </c>
      <c r="BC188">
        <v>22</v>
      </c>
      <c r="BD188">
        <v>17</v>
      </c>
      <c r="BE188">
        <v>45.418113812449903</v>
      </c>
      <c r="BF188">
        <v>21.6</v>
      </c>
      <c r="CA188" t="str">
        <f t="shared" si="26"/>
        <v>FemaleAsian225</v>
      </c>
      <c r="CB188" t="s">
        <v>8</v>
      </c>
      <c r="CC188" t="s">
        <v>78</v>
      </c>
      <c r="CD188">
        <v>22</v>
      </c>
      <c r="CE188">
        <v>5</v>
      </c>
      <c r="CF188">
        <v>2</v>
      </c>
      <c r="CG188">
        <v>4.1290518175400504</v>
      </c>
      <c r="CH188">
        <v>5.7</v>
      </c>
      <c r="CJ188" t="str">
        <f t="shared" si="27"/>
        <v>FemaleAsian23Submersion (drowning)</v>
      </c>
      <c r="CK188" t="s">
        <v>8</v>
      </c>
      <c r="CL188" t="s">
        <v>78</v>
      </c>
      <c r="CM188" t="s">
        <v>49</v>
      </c>
      <c r="CN188">
        <v>23</v>
      </c>
      <c r="CO188">
        <v>1</v>
      </c>
      <c r="CP188">
        <v>13</v>
      </c>
      <c r="CQ188">
        <v>7.7</v>
      </c>
    </row>
    <row r="189" spans="1:95">
      <c r="A189" t="str">
        <f t="shared" si="21"/>
        <v>2013MaleNon-Maori19</v>
      </c>
      <c r="B189">
        <v>2013</v>
      </c>
      <c r="C189" t="s">
        <v>20</v>
      </c>
      <c r="D189" t="s">
        <v>19</v>
      </c>
      <c r="E189">
        <v>19</v>
      </c>
      <c r="F189">
        <v>300</v>
      </c>
      <c r="G189">
        <v>14.441701119553899</v>
      </c>
      <c r="H189">
        <v>1.6</v>
      </c>
      <c r="J189" s="340" t="str">
        <f t="shared" si="22"/>
        <v>2006AllSexNon-Maori191</v>
      </c>
      <c r="K189">
        <v>2006</v>
      </c>
      <c r="L189" t="s">
        <v>17</v>
      </c>
      <c r="M189" t="s">
        <v>19</v>
      </c>
      <c r="N189">
        <v>19</v>
      </c>
      <c r="O189">
        <v>1</v>
      </c>
      <c r="P189">
        <v>59</v>
      </c>
      <c r="Q189">
        <v>7.00546775914676</v>
      </c>
      <c r="R189">
        <v>1.8</v>
      </c>
      <c r="T189" s="340" t="str">
        <f t="shared" si="24"/>
        <v>1996MaleNon-Maori24Hanging, strangulation and suffocation</v>
      </c>
      <c r="U189">
        <v>1996</v>
      </c>
      <c r="V189" t="s">
        <v>20</v>
      </c>
      <c r="W189" t="s">
        <v>19</v>
      </c>
      <c r="X189">
        <v>24</v>
      </c>
      <c r="Y189" t="s">
        <v>43</v>
      </c>
      <c r="Z189">
        <v>24</v>
      </c>
      <c r="AA189">
        <v>75</v>
      </c>
      <c r="AB189">
        <v>32</v>
      </c>
      <c r="AY189" t="str">
        <f t="shared" si="23"/>
        <v>2010MaleUrban22</v>
      </c>
      <c r="AZ189">
        <v>2010</v>
      </c>
      <c r="BA189" t="s">
        <v>20</v>
      </c>
      <c r="BB189" t="s">
        <v>97</v>
      </c>
      <c r="BC189">
        <v>22</v>
      </c>
      <c r="BD189">
        <v>60</v>
      </c>
      <c r="BE189">
        <v>21.909004600890999</v>
      </c>
      <c r="BF189">
        <v>5.5</v>
      </c>
      <c r="CA189" t="str">
        <f t="shared" si="26"/>
        <v>FemaleMaori221</v>
      </c>
      <c r="CB189" t="s">
        <v>8</v>
      </c>
      <c r="CC189" t="s">
        <v>18</v>
      </c>
      <c r="CD189">
        <v>22</v>
      </c>
      <c r="CE189">
        <v>1</v>
      </c>
      <c r="CF189">
        <v>4</v>
      </c>
      <c r="CG189">
        <v>15.003628591063499</v>
      </c>
      <c r="CH189">
        <v>14.7</v>
      </c>
      <c r="CJ189" t="str">
        <f t="shared" si="27"/>
        <v>FemaleAsian24Submersion (drowning)</v>
      </c>
      <c r="CK189" t="s">
        <v>8</v>
      </c>
      <c r="CL189" t="s">
        <v>78</v>
      </c>
      <c r="CM189" t="s">
        <v>49</v>
      </c>
      <c r="CN189">
        <v>24</v>
      </c>
      <c r="CO189">
        <v>1</v>
      </c>
      <c r="CP189">
        <v>18</v>
      </c>
      <c r="CQ189">
        <v>5.6</v>
      </c>
    </row>
    <row r="190" spans="1:95">
      <c r="A190" t="str">
        <f t="shared" si="21"/>
        <v>2014MaleNon-Maori19</v>
      </c>
      <c r="B190">
        <v>2014</v>
      </c>
      <c r="C190" t="s">
        <v>20</v>
      </c>
      <c r="D190" t="s">
        <v>19</v>
      </c>
      <c r="E190">
        <v>19</v>
      </c>
      <c r="F190">
        <v>313</v>
      </c>
      <c r="G190">
        <v>15.1820100358589</v>
      </c>
      <c r="H190">
        <v>1.7</v>
      </c>
      <c r="J190" s="340" t="str">
        <f t="shared" si="22"/>
        <v>2006AllSexNon-Maori192</v>
      </c>
      <c r="K190">
        <v>2006</v>
      </c>
      <c r="L190" t="s">
        <v>17</v>
      </c>
      <c r="M190" t="s">
        <v>19</v>
      </c>
      <c r="N190">
        <v>19</v>
      </c>
      <c r="O190">
        <v>2</v>
      </c>
      <c r="P190">
        <v>82</v>
      </c>
      <c r="Q190">
        <v>9.6645431208614596</v>
      </c>
      <c r="R190">
        <v>2.1</v>
      </c>
      <c r="T190" s="340" t="str">
        <f t="shared" si="24"/>
        <v>1996MaleNon-Maori25Hanging, strangulation and suffocation</v>
      </c>
      <c r="U190">
        <v>1996</v>
      </c>
      <c r="V190" t="s">
        <v>20</v>
      </c>
      <c r="W190" t="s">
        <v>19</v>
      </c>
      <c r="X190">
        <v>25</v>
      </c>
      <c r="Y190" t="s">
        <v>43</v>
      </c>
      <c r="Z190">
        <v>14</v>
      </c>
      <c r="AA190">
        <v>52</v>
      </c>
      <c r="AB190">
        <v>26.9</v>
      </c>
      <c r="AY190" t="str">
        <f t="shared" si="23"/>
        <v>2010MaleRural23</v>
      </c>
      <c r="AZ190">
        <v>2010</v>
      </c>
      <c r="BA190" t="s">
        <v>20</v>
      </c>
      <c r="BB190" t="s">
        <v>96</v>
      </c>
      <c r="BC190">
        <v>23</v>
      </c>
      <c r="BD190">
        <v>29</v>
      </c>
      <c r="BE190">
        <v>40.406855231991102</v>
      </c>
      <c r="BF190">
        <v>14.7</v>
      </c>
      <c r="CA190" t="str">
        <f t="shared" si="26"/>
        <v>FemaleMaori222</v>
      </c>
      <c r="CB190" t="s">
        <v>8</v>
      </c>
      <c r="CC190" t="s">
        <v>18</v>
      </c>
      <c r="CD190">
        <v>22</v>
      </c>
      <c r="CE190">
        <v>2</v>
      </c>
      <c r="CF190">
        <v>6</v>
      </c>
      <c r="CG190">
        <v>16.976728405074201</v>
      </c>
      <c r="CH190">
        <v>13.6</v>
      </c>
      <c r="CJ190" t="str">
        <f t="shared" si="27"/>
        <v>FemaleAsian25Submersion (drowning)</v>
      </c>
      <c r="CK190" t="s">
        <v>8</v>
      </c>
      <c r="CL190" t="s">
        <v>78</v>
      </c>
      <c r="CM190" t="s">
        <v>49</v>
      </c>
      <c r="CN190">
        <v>25</v>
      </c>
      <c r="CO190">
        <v>1</v>
      </c>
      <c r="CP190">
        <v>5</v>
      </c>
      <c r="CQ190">
        <v>20</v>
      </c>
    </row>
    <row r="191" spans="1:95">
      <c r="A191" t="str">
        <f t="shared" si="21"/>
        <v>2015MaleNon-Maori19</v>
      </c>
      <c r="B191">
        <v>2015</v>
      </c>
      <c r="C191" t="s">
        <v>20</v>
      </c>
      <c r="D191" t="s">
        <v>19</v>
      </c>
      <c r="E191">
        <v>19</v>
      </c>
      <c r="F191">
        <v>308</v>
      </c>
      <c r="G191">
        <v>14.713503479130599</v>
      </c>
      <c r="H191">
        <v>1.6</v>
      </c>
      <c r="J191" s="340" t="str">
        <f t="shared" si="22"/>
        <v>2006AllSexNon-Maori193</v>
      </c>
      <c r="K191">
        <v>2006</v>
      </c>
      <c r="L191" t="s">
        <v>17</v>
      </c>
      <c r="M191" t="s">
        <v>19</v>
      </c>
      <c r="N191">
        <v>19</v>
      </c>
      <c r="O191">
        <v>3</v>
      </c>
      <c r="P191">
        <v>83</v>
      </c>
      <c r="Q191">
        <v>10.465207830197601</v>
      </c>
      <c r="R191">
        <v>2.2999999999999998</v>
      </c>
      <c r="T191" s="340" t="str">
        <f t="shared" si="24"/>
        <v>1996MaleNon-Maori22Jumping from a high place</v>
      </c>
      <c r="U191">
        <v>1996</v>
      </c>
      <c r="V191" t="s">
        <v>20</v>
      </c>
      <c r="W191" t="s">
        <v>19</v>
      </c>
      <c r="X191">
        <v>22</v>
      </c>
      <c r="Y191" t="s">
        <v>44</v>
      </c>
      <c r="Z191">
        <v>2</v>
      </c>
      <c r="AA191">
        <v>75</v>
      </c>
      <c r="AB191">
        <v>2.7</v>
      </c>
      <c r="AY191" t="str">
        <f t="shared" si="23"/>
        <v>2010MaleUrban23</v>
      </c>
      <c r="AZ191">
        <v>2010</v>
      </c>
      <c r="BA191" t="s">
        <v>20</v>
      </c>
      <c r="BB191" t="s">
        <v>97</v>
      </c>
      <c r="BC191">
        <v>23</v>
      </c>
      <c r="BD191">
        <v>114</v>
      </c>
      <c r="BE191">
        <v>23.487720454920101</v>
      </c>
      <c r="BF191">
        <v>4.3</v>
      </c>
      <c r="CA191" t="str">
        <f t="shared" si="26"/>
        <v>FemaleMaori223</v>
      </c>
      <c r="CB191" t="s">
        <v>8</v>
      </c>
      <c r="CC191" t="s">
        <v>18</v>
      </c>
      <c r="CD191">
        <v>22</v>
      </c>
      <c r="CE191">
        <v>3</v>
      </c>
      <c r="CF191">
        <v>6</v>
      </c>
      <c r="CG191">
        <v>11.528884218824601</v>
      </c>
      <c r="CH191">
        <v>9.1999999999999993</v>
      </c>
      <c r="CJ191" t="str">
        <f t="shared" si="27"/>
        <v>FemaleMaori22Firearms and explosives</v>
      </c>
      <c r="CK191" t="s">
        <v>8</v>
      </c>
      <c r="CL191" t="s">
        <v>18</v>
      </c>
      <c r="CM191" t="s">
        <v>42</v>
      </c>
      <c r="CN191">
        <v>22</v>
      </c>
      <c r="CO191">
        <v>1</v>
      </c>
      <c r="CP191">
        <v>85</v>
      </c>
      <c r="CQ191">
        <v>1.2</v>
      </c>
    </row>
    <row r="192" spans="1:95">
      <c r="A192" t="str">
        <f t="shared" si="21"/>
        <v>2016MaleNon-Maori19</v>
      </c>
      <c r="B192">
        <v>2016</v>
      </c>
      <c r="C192" t="s">
        <v>20</v>
      </c>
      <c r="D192" t="s">
        <v>19</v>
      </c>
      <c r="E192">
        <v>19</v>
      </c>
      <c r="F192">
        <v>314</v>
      </c>
      <c r="G192">
        <v>14.3629391196318</v>
      </c>
      <c r="H192">
        <v>1.6</v>
      </c>
      <c r="J192" s="340" t="str">
        <f t="shared" si="22"/>
        <v>2006AllSexNon-Maori194</v>
      </c>
      <c r="K192">
        <v>2006</v>
      </c>
      <c r="L192" t="s">
        <v>17</v>
      </c>
      <c r="M192" t="s">
        <v>19</v>
      </c>
      <c r="N192">
        <v>19</v>
      </c>
      <c r="O192">
        <v>4</v>
      </c>
      <c r="P192">
        <v>76</v>
      </c>
      <c r="Q192">
        <v>10.464113939899301</v>
      </c>
      <c r="R192">
        <v>2.4</v>
      </c>
      <c r="T192" s="340" t="str">
        <f t="shared" si="24"/>
        <v>1996MaleNon-Maori23Jumping from a high place</v>
      </c>
      <c r="U192">
        <v>1996</v>
      </c>
      <c r="V192" t="s">
        <v>20</v>
      </c>
      <c r="W192" t="s">
        <v>19</v>
      </c>
      <c r="X192">
        <v>23</v>
      </c>
      <c r="Y192" t="s">
        <v>44</v>
      </c>
      <c r="Z192">
        <v>6</v>
      </c>
      <c r="AA192">
        <v>152</v>
      </c>
      <c r="AB192">
        <v>3.9</v>
      </c>
      <c r="AY192" t="str">
        <f t="shared" si="23"/>
        <v>2010MaleRural24</v>
      </c>
      <c r="AZ192">
        <v>2010</v>
      </c>
      <c r="BA192" t="s">
        <v>20</v>
      </c>
      <c r="BB192" t="s">
        <v>96</v>
      </c>
      <c r="BC192">
        <v>24</v>
      </c>
      <c r="BD192">
        <v>25</v>
      </c>
      <c r="BE192">
        <v>25.802456393848701</v>
      </c>
      <c r="BF192">
        <v>10.1</v>
      </c>
      <c r="CA192" t="str">
        <f t="shared" si="26"/>
        <v>FemaleMaori224</v>
      </c>
      <c r="CB192" t="s">
        <v>8</v>
      </c>
      <c r="CC192" t="s">
        <v>18</v>
      </c>
      <c r="CD192">
        <v>22</v>
      </c>
      <c r="CE192">
        <v>4</v>
      </c>
      <c r="CF192">
        <v>25</v>
      </c>
      <c r="CG192">
        <v>32.460046064432099</v>
      </c>
      <c r="CH192">
        <v>12.7</v>
      </c>
      <c r="CJ192" t="str">
        <f t="shared" si="27"/>
        <v>FemaleMaori21Hanging, strangulation and suffocation</v>
      </c>
      <c r="CK192" t="s">
        <v>8</v>
      </c>
      <c r="CL192" t="s">
        <v>18</v>
      </c>
      <c r="CM192" t="s">
        <v>43</v>
      </c>
      <c r="CN192">
        <v>21</v>
      </c>
      <c r="CO192">
        <v>9</v>
      </c>
      <c r="CP192">
        <v>9</v>
      </c>
      <c r="CQ192">
        <v>100</v>
      </c>
    </row>
    <row r="193" spans="1:95">
      <c r="A193" t="str">
        <f t="shared" si="21"/>
        <v>1996AllSexAllEth21</v>
      </c>
      <c r="B193">
        <v>1996</v>
      </c>
      <c r="C193" t="s">
        <v>17</v>
      </c>
      <c r="D193" t="s">
        <v>27</v>
      </c>
      <c r="E193">
        <v>21</v>
      </c>
      <c r="F193">
        <v>7</v>
      </c>
      <c r="G193">
        <v>0.81398188308894504</v>
      </c>
      <c r="H193">
        <v>0.6</v>
      </c>
      <c r="J193" s="340" t="str">
        <f t="shared" si="22"/>
        <v>2006AllSexNon-Maori195</v>
      </c>
      <c r="K193">
        <v>2006</v>
      </c>
      <c r="L193" t="s">
        <v>17</v>
      </c>
      <c r="M193" t="s">
        <v>19</v>
      </c>
      <c r="N193">
        <v>19</v>
      </c>
      <c r="O193">
        <v>5</v>
      </c>
      <c r="P193">
        <v>94</v>
      </c>
      <c r="Q193">
        <v>16.452598673553201</v>
      </c>
      <c r="R193">
        <v>3.3</v>
      </c>
      <c r="T193" s="340" t="str">
        <f t="shared" si="24"/>
        <v>1996MaleNon-Maori24Jumping from a high place</v>
      </c>
      <c r="U193">
        <v>1996</v>
      </c>
      <c r="V193" t="s">
        <v>20</v>
      </c>
      <c r="W193" t="s">
        <v>19</v>
      </c>
      <c r="X193">
        <v>24</v>
      </c>
      <c r="Y193" t="s">
        <v>44</v>
      </c>
      <c r="Z193">
        <v>1</v>
      </c>
      <c r="AA193">
        <v>75</v>
      </c>
      <c r="AB193">
        <v>1.3</v>
      </c>
      <c r="AY193" t="str">
        <f t="shared" si="23"/>
        <v>2010MaleUrban24</v>
      </c>
      <c r="AZ193">
        <v>2010</v>
      </c>
      <c r="BA193" t="s">
        <v>20</v>
      </c>
      <c r="BB193" t="s">
        <v>97</v>
      </c>
      <c r="BC193">
        <v>24</v>
      </c>
      <c r="BD193">
        <v>90</v>
      </c>
      <c r="BE193">
        <v>20.462916647719499</v>
      </c>
      <c r="BF193">
        <v>4.2</v>
      </c>
      <c r="CA193" t="str">
        <f t="shared" si="26"/>
        <v>FemaleMaori225</v>
      </c>
      <c r="CB193" t="s">
        <v>8</v>
      </c>
      <c r="CC193" t="s">
        <v>18</v>
      </c>
      <c r="CD193">
        <v>22</v>
      </c>
      <c r="CE193">
        <v>5</v>
      </c>
      <c r="CF193">
        <v>43</v>
      </c>
      <c r="CG193">
        <v>31.438967751509399</v>
      </c>
      <c r="CH193">
        <v>9.4</v>
      </c>
      <c r="CJ193" t="str">
        <f t="shared" si="27"/>
        <v>FemaleMaori22Hanging, strangulation and suffocation</v>
      </c>
      <c r="CK193" t="s">
        <v>8</v>
      </c>
      <c r="CL193" t="s">
        <v>18</v>
      </c>
      <c r="CM193" t="s">
        <v>43</v>
      </c>
      <c r="CN193">
        <v>22</v>
      </c>
      <c r="CO193">
        <v>78</v>
      </c>
      <c r="CP193">
        <v>85</v>
      </c>
      <c r="CQ193">
        <v>91.8</v>
      </c>
    </row>
    <row r="194" spans="1:95">
      <c r="A194" t="str">
        <f t="shared" si="21"/>
        <v>1996AllSexAllEth22</v>
      </c>
      <c r="B194">
        <v>1996</v>
      </c>
      <c r="C194" t="s">
        <v>17</v>
      </c>
      <c r="D194" t="s">
        <v>27</v>
      </c>
      <c r="E194">
        <v>22</v>
      </c>
      <c r="F194">
        <v>143</v>
      </c>
      <c r="G194">
        <v>25.939160877215301</v>
      </c>
      <c r="H194">
        <v>4.3</v>
      </c>
      <c r="J194" s="340" t="str">
        <f t="shared" si="22"/>
        <v>2007AllSexNon-Maori191</v>
      </c>
      <c r="K194">
        <v>2007</v>
      </c>
      <c r="L194" t="s">
        <v>17</v>
      </c>
      <c r="M194" t="s">
        <v>19</v>
      </c>
      <c r="N194">
        <v>19</v>
      </c>
      <c r="O194">
        <v>1</v>
      </c>
      <c r="P194">
        <v>60</v>
      </c>
      <c r="Q194">
        <v>6.9943488715776398</v>
      </c>
      <c r="R194">
        <v>1.8</v>
      </c>
      <c r="T194" s="340" t="str">
        <f t="shared" si="24"/>
        <v>1996MaleNon-Maori25Jumping from a high place</v>
      </c>
      <c r="U194">
        <v>1996</v>
      </c>
      <c r="V194" t="s">
        <v>20</v>
      </c>
      <c r="W194" t="s">
        <v>19</v>
      </c>
      <c r="X194">
        <v>25</v>
      </c>
      <c r="Y194" t="s">
        <v>44</v>
      </c>
      <c r="Z194">
        <v>1</v>
      </c>
      <c r="AA194">
        <v>52</v>
      </c>
      <c r="AB194">
        <v>1.9</v>
      </c>
      <c r="AY194" t="str">
        <f t="shared" si="23"/>
        <v>2010MaleRural25</v>
      </c>
      <c r="AZ194">
        <v>2010</v>
      </c>
      <c r="BA194" t="s">
        <v>20</v>
      </c>
      <c r="BB194" t="s">
        <v>96</v>
      </c>
      <c r="BC194">
        <v>25</v>
      </c>
      <c r="BD194">
        <v>9</v>
      </c>
      <c r="BE194">
        <v>23.3402489626556</v>
      </c>
      <c r="BF194">
        <v>15.2</v>
      </c>
      <c r="CA194" t="str">
        <f t="shared" si="26"/>
        <v>FemaleOther221</v>
      </c>
      <c r="CB194" t="s">
        <v>8</v>
      </c>
      <c r="CC194" t="s">
        <v>45</v>
      </c>
      <c r="CD194">
        <v>22</v>
      </c>
      <c r="CE194">
        <v>1</v>
      </c>
      <c r="CF194">
        <v>8</v>
      </c>
      <c r="CG194">
        <v>3.92854901023001</v>
      </c>
      <c r="CH194">
        <v>2.7</v>
      </c>
      <c r="CJ194" t="str">
        <f t="shared" si="27"/>
        <v>FemaleMaori23Hanging, strangulation and suffocation</v>
      </c>
      <c r="CK194" t="s">
        <v>8</v>
      </c>
      <c r="CL194" t="s">
        <v>18</v>
      </c>
      <c r="CM194" t="s">
        <v>43</v>
      </c>
      <c r="CN194">
        <v>23</v>
      </c>
      <c r="CO194">
        <v>55</v>
      </c>
      <c r="CP194">
        <v>66</v>
      </c>
      <c r="CQ194">
        <v>83.3</v>
      </c>
    </row>
    <row r="195" spans="1:95">
      <c r="A195" t="str">
        <f t="shared" si="21"/>
        <v>1996AllSexAllEth23</v>
      </c>
      <c r="B195">
        <v>1996</v>
      </c>
      <c r="C195" t="s">
        <v>17</v>
      </c>
      <c r="D195" t="s">
        <v>27</v>
      </c>
      <c r="E195">
        <v>23</v>
      </c>
      <c r="F195">
        <v>222</v>
      </c>
      <c r="G195">
        <v>19.3440451709595</v>
      </c>
      <c r="H195">
        <v>2.5</v>
      </c>
      <c r="J195" s="340" t="str">
        <f t="shared" si="22"/>
        <v>2007AllSexNon-Maori192</v>
      </c>
      <c r="K195">
        <v>2007</v>
      </c>
      <c r="L195" t="s">
        <v>17</v>
      </c>
      <c r="M195" t="s">
        <v>19</v>
      </c>
      <c r="N195">
        <v>19</v>
      </c>
      <c r="O195">
        <v>2</v>
      </c>
      <c r="P195">
        <v>68</v>
      </c>
      <c r="Q195">
        <v>7.70857713977278</v>
      </c>
      <c r="R195">
        <v>1.8</v>
      </c>
      <c r="T195" s="340" t="str">
        <f t="shared" si="24"/>
        <v>1996MaleNon-Maori22Other</v>
      </c>
      <c r="U195">
        <v>1996</v>
      </c>
      <c r="V195" t="s">
        <v>20</v>
      </c>
      <c r="W195" t="s">
        <v>19</v>
      </c>
      <c r="X195">
        <v>22</v>
      </c>
      <c r="Y195" t="s">
        <v>45</v>
      </c>
      <c r="Z195">
        <v>2</v>
      </c>
      <c r="AA195">
        <v>75</v>
      </c>
      <c r="AB195">
        <v>2.7</v>
      </c>
      <c r="AY195" t="str">
        <f t="shared" si="23"/>
        <v>2010MaleUrban25</v>
      </c>
      <c r="AZ195">
        <v>2010</v>
      </c>
      <c r="BA195" t="s">
        <v>20</v>
      </c>
      <c r="BB195" t="s">
        <v>97</v>
      </c>
      <c r="BC195">
        <v>25</v>
      </c>
      <c r="BD195">
        <v>34</v>
      </c>
      <c r="BE195">
        <v>15.6099352646802</v>
      </c>
      <c r="BF195">
        <v>5.2</v>
      </c>
      <c r="CA195" t="str">
        <f t="shared" si="26"/>
        <v>FemaleOther222</v>
      </c>
      <c r="CB195" t="s">
        <v>8</v>
      </c>
      <c r="CC195" t="s">
        <v>45</v>
      </c>
      <c r="CD195">
        <v>22</v>
      </c>
      <c r="CE195">
        <v>2</v>
      </c>
      <c r="CF195">
        <v>12</v>
      </c>
      <c r="CG195">
        <v>6.4467245306043601</v>
      </c>
      <c r="CH195">
        <v>3.6</v>
      </c>
      <c r="CJ195" t="str">
        <f t="shared" si="27"/>
        <v>FemaleMaori24Hanging, strangulation and suffocation</v>
      </c>
      <c r="CK195" t="s">
        <v>8</v>
      </c>
      <c r="CL195" t="s">
        <v>18</v>
      </c>
      <c r="CM195" t="s">
        <v>43</v>
      </c>
      <c r="CN195">
        <v>24</v>
      </c>
      <c r="CO195">
        <v>12</v>
      </c>
      <c r="CP195">
        <v>20</v>
      </c>
      <c r="CQ195">
        <v>60</v>
      </c>
    </row>
    <row r="196" spans="1:95">
      <c r="A196" t="str">
        <f t="shared" ref="A196:A259" si="28">B196&amp;C196&amp;D196&amp;E196</f>
        <v>1996AllSexAllEth24</v>
      </c>
      <c r="B196">
        <v>1996</v>
      </c>
      <c r="C196" t="s">
        <v>17</v>
      </c>
      <c r="D196" t="s">
        <v>27</v>
      </c>
      <c r="E196">
        <v>24</v>
      </c>
      <c r="F196">
        <v>102</v>
      </c>
      <c r="G196">
        <v>13.689805121597701</v>
      </c>
      <c r="H196">
        <v>2.7</v>
      </c>
      <c r="J196" s="340" t="str">
        <f t="shared" ref="J196:J259" si="29">K196&amp;L196&amp;M196&amp;N196&amp;O196</f>
        <v>2007AllSexNon-Maori193</v>
      </c>
      <c r="K196">
        <v>2007</v>
      </c>
      <c r="L196" t="s">
        <v>17</v>
      </c>
      <c r="M196" t="s">
        <v>19</v>
      </c>
      <c r="N196">
        <v>19</v>
      </c>
      <c r="O196">
        <v>3</v>
      </c>
      <c r="P196">
        <v>88</v>
      </c>
      <c r="Q196">
        <v>11.080984410546</v>
      </c>
      <c r="R196">
        <v>2.2999999999999998</v>
      </c>
      <c r="T196" s="340" t="str">
        <f t="shared" si="24"/>
        <v>1996MaleNon-Maori23Other</v>
      </c>
      <c r="U196">
        <v>1996</v>
      </c>
      <c r="V196" t="s">
        <v>20</v>
      </c>
      <c r="W196" t="s">
        <v>19</v>
      </c>
      <c r="X196">
        <v>23</v>
      </c>
      <c r="Y196" t="s">
        <v>45</v>
      </c>
      <c r="Z196">
        <v>3</v>
      </c>
      <c r="AA196">
        <v>152</v>
      </c>
      <c r="AB196">
        <v>2</v>
      </c>
      <c r="AY196" t="str">
        <f t="shared" ref="AY196:AY259" si="30">AZ196&amp;BA196&amp;BB196&amp;BC196</f>
        <v>2011AllSexRural22</v>
      </c>
      <c r="AZ196">
        <v>2011</v>
      </c>
      <c r="BA196" t="s">
        <v>17</v>
      </c>
      <c r="BB196" t="s">
        <v>96</v>
      </c>
      <c r="BC196">
        <v>22</v>
      </c>
      <c r="BD196">
        <v>15</v>
      </c>
      <c r="BE196">
        <v>21.195421788893601</v>
      </c>
      <c r="BF196">
        <v>10.7</v>
      </c>
      <c r="CA196" t="str">
        <f t="shared" si="26"/>
        <v>FemaleOther223</v>
      </c>
      <c r="CB196" t="s">
        <v>8</v>
      </c>
      <c r="CC196" t="s">
        <v>45</v>
      </c>
      <c r="CD196">
        <v>22</v>
      </c>
      <c r="CE196">
        <v>3</v>
      </c>
      <c r="CF196">
        <v>16</v>
      </c>
      <c r="CG196">
        <v>8.7541873943030701</v>
      </c>
      <c r="CH196">
        <v>4.3</v>
      </c>
      <c r="CJ196" t="str">
        <f t="shared" si="27"/>
        <v>FemaleMaori22Jumping from a high place</v>
      </c>
      <c r="CK196" t="s">
        <v>8</v>
      </c>
      <c r="CL196" t="s">
        <v>18</v>
      </c>
      <c r="CM196" t="s">
        <v>44</v>
      </c>
      <c r="CN196">
        <v>22</v>
      </c>
      <c r="CO196">
        <v>1</v>
      </c>
      <c r="CP196">
        <v>85</v>
      </c>
      <c r="CQ196">
        <v>1.2</v>
      </c>
    </row>
    <row r="197" spans="1:95">
      <c r="A197" t="str">
        <f t="shared" si="28"/>
        <v>1996AllSexAllEth25</v>
      </c>
      <c r="B197">
        <v>1996</v>
      </c>
      <c r="C197" t="s">
        <v>17</v>
      </c>
      <c r="D197" t="s">
        <v>27</v>
      </c>
      <c r="E197">
        <v>25</v>
      </c>
      <c r="F197">
        <v>66</v>
      </c>
      <c r="G197">
        <v>15.353121801433</v>
      </c>
      <c r="H197">
        <v>3.7</v>
      </c>
      <c r="J197" s="340" t="str">
        <f t="shared" si="29"/>
        <v>2007AllSexNon-Maori194</v>
      </c>
      <c r="K197">
        <v>2007</v>
      </c>
      <c r="L197" t="s">
        <v>17</v>
      </c>
      <c r="M197" t="s">
        <v>19</v>
      </c>
      <c r="N197">
        <v>19</v>
      </c>
      <c r="O197">
        <v>4</v>
      </c>
      <c r="P197">
        <v>93</v>
      </c>
      <c r="Q197">
        <v>12.2661593803128</v>
      </c>
      <c r="R197">
        <v>2.5</v>
      </c>
      <c r="T197" s="340" t="str">
        <f t="shared" ref="T197:T260" si="31">U197&amp;V197&amp;W197&amp;X197&amp;Y197</f>
        <v>1996MaleNon-Maori24Other</v>
      </c>
      <c r="U197">
        <v>1996</v>
      </c>
      <c r="V197" t="s">
        <v>20</v>
      </c>
      <c r="W197" t="s">
        <v>19</v>
      </c>
      <c r="X197">
        <v>24</v>
      </c>
      <c r="Y197" t="s">
        <v>45</v>
      </c>
      <c r="Z197">
        <v>2</v>
      </c>
      <c r="AA197">
        <v>75</v>
      </c>
      <c r="AB197">
        <v>2.7</v>
      </c>
      <c r="AY197" t="str">
        <f t="shared" si="30"/>
        <v>2011AllSexUrban22</v>
      </c>
      <c r="AZ197">
        <v>2011</v>
      </c>
      <c r="BA197" t="s">
        <v>17</v>
      </c>
      <c r="BB197" t="s">
        <v>97</v>
      </c>
      <c r="BC197">
        <v>22</v>
      </c>
      <c r="BD197">
        <v>116</v>
      </c>
      <c r="BE197">
        <v>21.053013666309699</v>
      </c>
      <c r="BF197">
        <v>3.8</v>
      </c>
      <c r="CA197" t="str">
        <f t="shared" ref="CA197:CA260" si="32">CB197&amp;CC197&amp;CD197&amp;CE197</f>
        <v>FemaleOther224</v>
      </c>
      <c r="CB197" t="s">
        <v>8</v>
      </c>
      <c r="CC197" t="s">
        <v>45</v>
      </c>
      <c r="CD197">
        <v>22</v>
      </c>
      <c r="CE197">
        <v>4</v>
      </c>
      <c r="CF197">
        <v>16</v>
      </c>
      <c r="CG197">
        <v>8.7613852457690893</v>
      </c>
      <c r="CH197">
        <v>4.3</v>
      </c>
      <c r="CJ197" t="str">
        <f t="shared" ref="CJ197:CJ260" si="33">CK197&amp;CL197&amp;CN197&amp;CM197</f>
        <v>FemaleMaori24Jumping from a high place</v>
      </c>
      <c r="CK197" t="s">
        <v>8</v>
      </c>
      <c r="CL197" t="s">
        <v>18</v>
      </c>
      <c r="CM197" t="s">
        <v>44</v>
      </c>
      <c r="CN197">
        <v>24</v>
      </c>
      <c r="CO197">
        <v>1</v>
      </c>
      <c r="CP197">
        <v>20</v>
      </c>
      <c r="CQ197">
        <v>5</v>
      </c>
    </row>
    <row r="198" spans="1:95">
      <c r="A198" t="str">
        <f t="shared" si="28"/>
        <v>1996AllSexMaori21</v>
      </c>
      <c r="B198">
        <v>1996</v>
      </c>
      <c r="C198" t="s">
        <v>17</v>
      </c>
      <c r="D198" t="s">
        <v>18</v>
      </c>
      <c r="E198">
        <v>21</v>
      </c>
      <c r="F198">
        <v>4</v>
      </c>
      <c r="G198">
        <v>2.0247013565499099</v>
      </c>
      <c r="H198">
        <v>2</v>
      </c>
      <c r="J198" s="340" t="str">
        <f t="shared" si="29"/>
        <v>2007AllSexNon-Maori195</v>
      </c>
      <c r="K198">
        <v>2007</v>
      </c>
      <c r="L198" t="s">
        <v>17</v>
      </c>
      <c r="M198" t="s">
        <v>19</v>
      </c>
      <c r="N198">
        <v>19</v>
      </c>
      <c r="O198">
        <v>5</v>
      </c>
      <c r="P198">
        <v>74</v>
      </c>
      <c r="Q198">
        <v>12.587052355612199</v>
      </c>
      <c r="R198">
        <v>2.9</v>
      </c>
      <c r="T198" s="340" t="str">
        <f t="shared" si="31"/>
        <v>1996MaleNon-Maori25Other</v>
      </c>
      <c r="U198">
        <v>1996</v>
      </c>
      <c r="V198" t="s">
        <v>20</v>
      </c>
      <c r="W198" t="s">
        <v>19</v>
      </c>
      <c r="X198">
        <v>25</v>
      </c>
      <c r="Y198" t="s">
        <v>45</v>
      </c>
      <c r="Z198">
        <v>4</v>
      </c>
      <c r="AA198">
        <v>52</v>
      </c>
      <c r="AB198">
        <v>7.7</v>
      </c>
      <c r="AY198" t="str">
        <f t="shared" si="30"/>
        <v>2011AllSexRural23</v>
      </c>
      <c r="AZ198">
        <v>2011</v>
      </c>
      <c r="BA198" t="s">
        <v>17</v>
      </c>
      <c r="BB198" t="s">
        <v>96</v>
      </c>
      <c r="BC198">
        <v>23</v>
      </c>
      <c r="BD198">
        <v>24</v>
      </c>
      <c r="BE198">
        <v>16.359918200408998</v>
      </c>
      <c r="BF198">
        <v>6.5</v>
      </c>
      <c r="CA198" t="str">
        <f t="shared" si="32"/>
        <v>FemaleOther225</v>
      </c>
      <c r="CB198" t="s">
        <v>8</v>
      </c>
      <c r="CC198" t="s">
        <v>45</v>
      </c>
      <c r="CD198">
        <v>22</v>
      </c>
      <c r="CE198">
        <v>5</v>
      </c>
      <c r="CF198">
        <v>10</v>
      </c>
      <c r="CG198">
        <v>7.8998709589023504</v>
      </c>
      <c r="CH198">
        <v>4.9000000000000004</v>
      </c>
      <c r="CJ198" t="str">
        <f t="shared" si="33"/>
        <v>FemaleMaori22Other</v>
      </c>
      <c r="CK198" t="s">
        <v>8</v>
      </c>
      <c r="CL198" t="s">
        <v>18</v>
      </c>
      <c r="CM198" t="s">
        <v>45</v>
      </c>
      <c r="CN198">
        <v>22</v>
      </c>
      <c r="CO198">
        <v>1</v>
      </c>
      <c r="CP198">
        <v>85</v>
      </c>
      <c r="CQ198">
        <v>1.2</v>
      </c>
    </row>
    <row r="199" spans="1:95">
      <c r="A199" t="str">
        <f t="shared" si="28"/>
        <v>1996AllSexMaori22</v>
      </c>
      <c r="B199">
        <v>1996</v>
      </c>
      <c r="C199" t="s">
        <v>17</v>
      </c>
      <c r="D199" t="s">
        <v>18</v>
      </c>
      <c r="E199">
        <v>22</v>
      </c>
      <c r="F199">
        <v>39</v>
      </c>
      <c r="G199">
        <v>37.445991358617398</v>
      </c>
      <c r="H199">
        <v>11.8</v>
      </c>
      <c r="J199" s="340" t="str">
        <f t="shared" si="29"/>
        <v>2008AllSexNon-Maori191</v>
      </c>
      <c r="K199">
        <v>2008</v>
      </c>
      <c r="L199" t="s">
        <v>17</v>
      </c>
      <c r="M199" t="s">
        <v>19</v>
      </c>
      <c r="N199">
        <v>19</v>
      </c>
      <c r="O199">
        <v>1</v>
      </c>
      <c r="P199">
        <v>80</v>
      </c>
      <c r="Q199">
        <v>9.9285873968282505</v>
      </c>
      <c r="R199">
        <v>2.2000000000000002</v>
      </c>
      <c r="T199" s="340" t="str">
        <f t="shared" si="31"/>
        <v>1996MaleNon-Maori22Poisoning by gases and vapours</v>
      </c>
      <c r="U199">
        <v>1996</v>
      </c>
      <c r="V199" t="s">
        <v>20</v>
      </c>
      <c r="W199" t="s">
        <v>19</v>
      </c>
      <c r="X199">
        <v>22</v>
      </c>
      <c r="Y199" t="s">
        <v>46</v>
      </c>
      <c r="Z199">
        <v>14</v>
      </c>
      <c r="AA199">
        <v>75</v>
      </c>
      <c r="AB199">
        <v>18.7</v>
      </c>
      <c r="AY199" t="str">
        <f t="shared" si="30"/>
        <v>2011AllSexUrban23</v>
      </c>
      <c r="AZ199">
        <v>2011</v>
      </c>
      <c r="BA199" t="s">
        <v>17</v>
      </c>
      <c r="BB199" t="s">
        <v>97</v>
      </c>
      <c r="BC199">
        <v>23</v>
      </c>
      <c r="BD199">
        <v>139</v>
      </c>
      <c r="BE199">
        <v>13.8018687134474</v>
      </c>
      <c r="BF199">
        <v>2.2999999999999998</v>
      </c>
      <c r="CA199" t="str">
        <f t="shared" si="32"/>
        <v>FemalePacific221</v>
      </c>
      <c r="CB199" t="s">
        <v>8</v>
      </c>
      <c r="CC199" t="s">
        <v>79</v>
      </c>
      <c r="CD199">
        <v>22</v>
      </c>
      <c r="CE199">
        <v>1</v>
      </c>
      <c r="CF199">
        <v>0</v>
      </c>
      <c r="CG199">
        <v>0</v>
      </c>
      <c r="CJ199" t="str">
        <f t="shared" si="33"/>
        <v>FemaleMaori24Other</v>
      </c>
      <c r="CK199" t="s">
        <v>8</v>
      </c>
      <c r="CL199" t="s">
        <v>18</v>
      </c>
      <c r="CM199" t="s">
        <v>45</v>
      </c>
      <c r="CN199">
        <v>24</v>
      </c>
      <c r="CO199">
        <v>1</v>
      </c>
      <c r="CP199">
        <v>20</v>
      </c>
      <c r="CQ199">
        <v>5</v>
      </c>
    </row>
    <row r="200" spans="1:95">
      <c r="A200" t="str">
        <f t="shared" si="28"/>
        <v>1996AllSexMaori23</v>
      </c>
      <c r="B200">
        <v>1996</v>
      </c>
      <c r="C200" t="s">
        <v>17</v>
      </c>
      <c r="D200" t="s">
        <v>18</v>
      </c>
      <c r="E200">
        <v>23</v>
      </c>
      <c r="F200">
        <v>45</v>
      </c>
      <c r="G200">
        <v>30.213508795488099</v>
      </c>
      <c r="H200">
        <v>8.8000000000000007</v>
      </c>
      <c r="J200" s="340" t="str">
        <f t="shared" si="29"/>
        <v>2008AllSexNon-Maori192</v>
      </c>
      <c r="K200">
        <v>2008</v>
      </c>
      <c r="L200" t="s">
        <v>17</v>
      </c>
      <c r="M200" t="s">
        <v>19</v>
      </c>
      <c r="N200">
        <v>19</v>
      </c>
      <c r="O200">
        <v>2</v>
      </c>
      <c r="P200">
        <v>78</v>
      </c>
      <c r="Q200">
        <v>9.0240190540465299</v>
      </c>
      <c r="R200">
        <v>2</v>
      </c>
      <c r="T200" s="340" t="str">
        <f t="shared" si="31"/>
        <v>1996MaleNon-Maori23Poisoning by gases and vapours</v>
      </c>
      <c r="U200">
        <v>1996</v>
      </c>
      <c r="V200" t="s">
        <v>20</v>
      </c>
      <c r="W200" t="s">
        <v>19</v>
      </c>
      <c r="X200">
        <v>23</v>
      </c>
      <c r="Y200" t="s">
        <v>46</v>
      </c>
      <c r="Z200">
        <v>62</v>
      </c>
      <c r="AA200">
        <v>152</v>
      </c>
      <c r="AB200">
        <v>40.799999999999997</v>
      </c>
      <c r="AY200" t="str">
        <f t="shared" si="30"/>
        <v>2011AllSexRural24</v>
      </c>
      <c r="AZ200">
        <v>2011</v>
      </c>
      <c r="BA200" t="s">
        <v>17</v>
      </c>
      <c r="BB200" t="s">
        <v>96</v>
      </c>
      <c r="BC200">
        <v>24</v>
      </c>
      <c r="BD200">
        <v>30</v>
      </c>
      <c r="BE200">
        <v>15.403573629081899</v>
      </c>
      <c r="BF200">
        <v>5.5</v>
      </c>
      <c r="CA200" t="str">
        <f t="shared" si="32"/>
        <v>FemalePacific222</v>
      </c>
      <c r="CB200" t="s">
        <v>8</v>
      </c>
      <c r="CC200" t="s">
        <v>79</v>
      </c>
      <c r="CD200">
        <v>22</v>
      </c>
      <c r="CE200">
        <v>2</v>
      </c>
      <c r="CF200">
        <v>0</v>
      </c>
      <c r="CG200">
        <v>0</v>
      </c>
      <c r="CJ200" t="str">
        <f t="shared" si="33"/>
        <v>FemaleMaori22Poisoning by gases and vapours</v>
      </c>
      <c r="CK200" t="s">
        <v>8</v>
      </c>
      <c r="CL200" t="s">
        <v>18</v>
      </c>
      <c r="CM200" t="s">
        <v>46</v>
      </c>
      <c r="CN200">
        <v>22</v>
      </c>
      <c r="CO200">
        <v>1</v>
      </c>
      <c r="CP200">
        <v>85</v>
      </c>
      <c r="CQ200">
        <v>1.2</v>
      </c>
    </row>
    <row r="201" spans="1:95">
      <c r="A201" t="str">
        <f t="shared" si="28"/>
        <v>1996AllSexMaori24</v>
      </c>
      <c r="B201">
        <v>1996</v>
      </c>
      <c r="C201" t="s">
        <v>17</v>
      </c>
      <c r="D201" t="s">
        <v>18</v>
      </c>
      <c r="E201">
        <v>24</v>
      </c>
      <c r="F201">
        <v>8</v>
      </c>
      <c r="G201">
        <v>12.674271229404299</v>
      </c>
      <c r="H201">
        <v>8.8000000000000007</v>
      </c>
      <c r="J201" s="340" t="str">
        <f t="shared" si="29"/>
        <v>2008AllSexNon-Maori193</v>
      </c>
      <c r="K201">
        <v>2008</v>
      </c>
      <c r="L201" t="s">
        <v>17</v>
      </c>
      <c r="M201" t="s">
        <v>19</v>
      </c>
      <c r="N201">
        <v>19</v>
      </c>
      <c r="O201">
        <v>3</v>
      </c>
      <c r="P201">
        <v>90</v>
      </c>
      <c r="Q201">
        <v>11.173808666885</v>
      </c>
      <c r="R201">
        <v>2.2999999999999998</v>
      </c>
      <c r="T201" s="340" t="str">
        <f t="shared" si="31"/>
        <v>1996MaleNon-Maori24Poisoning by gases and vapours</v>
      </c>
      <c r="U201">
        <v>1996</v>
      </c>
      <c r="V201" t="s">
        <v>20</v>
      </c>
      <c r="W201" t="s">
        <v>19</v>
      </c>
      <c r="X201">
        <v>24</v>
      </c>
      <c r="Y201" t="s">
        <v>46</v>
      </c>
      <c r="Z201">
        <v>30</v>
      </c>
      <c r="AA201">
        <v>75</v>
      </c>
      <c r="AB201">
        <v>40</v>
      </c>
      <c r="AY201" t="str">
        <f t="shared" si="30"/>
        <v>2011AllSexUrban24</v>
      </c>
      <c r="AZ201">
        <v>2011</v>
      </c>
      <c r="BA201" t="s">
        <v>17</v>
      </c>
      <c r="BB201" t="s">
        <v>97</v>
      </c>
      <c r="BC201">
        <v>24</v>
      </c>
      <c r="BD201">
        <v>120</v>
      </c>
      <c r="BE201">
        <v>13.0112330311836</v>
      </c>
      <c r="BF201">
        <v>2.2999999999999998</v>
      </c>
      <c r="CA201" t="str">
        <f t="shared" si="32"/>
        <v>FemalePacific223</v>
      </c>
      <c r="CB201" t="s">
        <v>8</v>
      </c>
      <c r="CC201" t="s">
        <v>79</v>
      </c>
      <c r="CD201">
        <v>22</v>
      </c>
      <c r="CE201">
        <v>3</v>
      </c>
      <c r="CF201">
        <v>0</v>
      </c>
      <c r="CG201">
        <v>0</v>
      </c>
      <c r="CJ201" t="str">
        <f t="shared" si="33"/>
        <v>FemaleMaori23Poisoning by gases and vapours</v>
      </c>
      <c r="CK201" t="s">
        <v>8</v>
      </c>
      <c r="CL201" t="s">
        <v>18</v>
      </c>
      <c r="CM201" t="s">
        <v>46</v>
      </c>
      <c r="CN201">
        <v>23</v>
      </c>
      <c r="CO201">
        <v>2</v>
      </c>
      <c r="CP201">
        <v>66</v>
      </c>
      <c r="CQ201">
        <v>3</v>
      </c>
    </row>
    <row r="202" spans="1:95">
      <c r="A202" t="str">
        <f t="shared" si="28"/>
        <v>1996AllSexMaori25</v>
      </c>
      <c r="B202">
        <v>1996</v>
      </c>
      <c r="C202" t="s">
        <v>17</v>
      </c>
      <c r="D202" t="s">
        <v>18</v>
      </c>
      <c r="E202">
        <v>25</v>
      </c>
      <c r="F202">
        <v>1</v>
      </c>
      <c r="G202">
        <v>6.5402223675605002</v>
      </c>
      <c r="H202">
        <v>12.8</v>
      </c>
      <c r="J202" s="340" t="str">
        <f t="shared" si="29"/>
        <v>2008AllSexNon-Maori194</v>
      </c>
      <c r="K202">
        <v>2008</v>
      </c>
      <c r="L202" t="s">
        <v>17</v>
      </c>
      <c r="M202" t="s">
        <v>19</v>
      </c>
      <c r="N202">
        <v>19</v>
      </c>
      <c r="O202">
        <v>4</v>
      </c>
      <c r="P202">
        <v>81</v>
      </c>
      <c r="Q202">
        <v>11.021127423476001</v>
      </c>
      <c r="R202">
        <v>2.4</v>
      </c>
      <c r="T202" s="340" t="str">
        <f t="shared" si="31"/>
        <v>1996MaleNon-Maori25Poisoning by gases and vapours</v>
      </c>
      <c r="U202">
        <v>1996</v>
      </c>
      <c r="V202" t="s">
        <v>20</v>
      </c>
      <c r="W202" t="s">
        <v>19</v>
      </c>
      <c r="X202">
        <v>25</v>
      </c>
      <c r="Y202" t="s">
        <v>46</v>
      </c>
      <c r="Z202">
        <v>11</v>
      </c>
      <c r="AA202">
        <v>52</v>
      </c>
      <c r="AB202">
        <v>21.2</v>
      </c>
      <c r="AY202" t="str">
        <f t="shared" si="30"/>
        <v>2011AllSexRural25</v>
      </c>
      <c r="AZ202">
        <v>2011</v>
      </c>
      <c r="BA202" t="s">
        <v>17</v>
      </c>
      <c r="BB202" t="s">
        <v>96</v>
      </c>
      <c r="BC202">
        <v>25</v>
      </c>
      <c r="BD202">
        <v>8</v>
      </c>
      <c r="BE202">
        <v>10.438413361169101</v>
      </c>
      <c r="BF202">
        <v>7.2</v>
      </c>
      <c r="CA202" t="str">
        <f t="shared" si="32"/>
        <v>FemalePacific224</v>
      </c>
      <c r="CB202" t="s">
        <v>8</v>
      </c>
      <c r="CC202" t="s">
        <v>79</v>
      </c>
      <c r="CD202">
        <v>22</v>
      </c>
      <c r="CE202">
        <v>4</v>
      </c>
      <c r="CF202">
        <v>5</v>
      </c>
      <c r="CG202">
        <v>17.734070920155698</v>
      </c>
      <c r="CH202">
        <v>15.5</v>
      </c>
      <c r="CJ202" t="str">
        <f t="shared" si="33"/>
        <v>FemaleMaori22Poisoning by solids and liquids</v>
      </c>
      <c r="CK202" t="s">
        <v>8</v>
      </c>
      <c r="CL202" t="s">
        <v>18</v>
      </c>
      <c r="CM202" t="s">
        <v>47</v>
      </c>
      <c r="CN202">
        <v>22</v>
      </c>
      <c r="CO202">
        <v>3</v>
      </c>
      <c r="CP202">
        <v>85</v>
      </c>
      <c r="CQ202">
        <v>3.5</v>
      </c>
    </row>
    <row r="203" spans="1:95">
      <c r="A203" t="str">
        <f t="shared" si="28"/>
        <v>1996AllSexNon-Maori21</v>
      </c>
      <c r="B203">
        <v>1996</v>
      </c>
      <c r="C203" t="s">
        <v>17</v>
      </c>
      <c r="D203" t="s">
        <v>19</v>
      </c>
      <c r="E203">
        <v>21</v>
      </c>
      <c r="F203">
        <v>3</v>
      </c>
      <c r="G203">
        <v>0.45289171359128</v>
      </c>
      <c r="H203">
        <v>0.5</v>
      </c>
      <c r="J203" s="340" t="str">
        <f t="shared" si="29"/>
        <v>2008AllSexNon-Maori195</v>
      </c>
      <c r="K203">
        <v>2008</v>
      </c>
      <c r="L203" t="s">
        <v>17</v>
      </c>
      <c r="M203" t="s">
        <v>19</v>
      </c>
      <c r="N203">
        <v>19</v>
      </c>
      <c r="O203">
        <v>5</v>
      </c>
      <c r="P203">
        <v>78</v>
      </c>
      <c r="Q203">
        <v>12.896367785498301</v>
      </c>
      <c r="R203">
        <v>2.9</v>
      </c>
      <c r="T203" s="340" t="str">
        <f t="shared" si="31"/>
        <v>1996MaleNon-Maori22Poisoning by solids and liquids</v>
      </c>
      <c r="U203">
        <v>1996</v>
      </c>
      <c r="V203" t="s">
        <v>20</v>
      </c>
      <c r="W203" t="s">
        <v>19</v>
      </c>
      <c r="X203">
        <v>22</v>
      </c>
      <c r="Y203" t="s">
        <v>47</v>
      </c>
      <c r="Z203">
        <v>5</v>
      </c>
      <c r="AA203">
        <v>75</v>
      </c>
      <c r="AB203">
        <v>6.7</v>
      </c>
      <c r="AY203" t="str">
        <f t="shared" si="30"/>
        <v>2011AllSexUrban25</v>
      </c>
      <c r="AZ203">
        <v>2011</v>
      </c>
      <c r="BA203" t="s">
        <v>17</v>
      </c>
      <c r="BB203" t="s">
        <v>97</v>
      </c>
      <c r="BC203">
        <v>25</v>
      </c>
      <c r="BD203">
        <v>36</v>
      </c>
      <c r="BE203">
        <v>7.1536443843891604</v>
      </c>
      <c r="BF203">
        <v>2.2999999999999998</v>
      </c>
      <c r="CA203" t="str">
        <f t="shared" si="32"/>
        <v>FemalePacific225</v>
      </c>
      <c r="CB203" t="s">
        <v>8</v>
      </c>
      <c r="CC203" t="s">
        <v>79</v>
      </c>
      <c r="CD203">
        <v>22</v>
      </c>
      <c r="CE203">
        <v>5</v>
      </c>
      <c r="CF203">
        <v>9</v>
      </c>
      <c r="CG203">
        <v>11.190948115389</v>
      </c>
      <c r="CH203">
        <v>7.3</v>
      </c>
      <c r="CJ203" t="str">
        <f t="shared" si="33"/>
        <v>FemaleMaori23Poisoning by solids and liquids</v>
      </c>
      <c r="CK203" t="s">
        <v>8</v>
      </c>
      <c r="CL203" t="s">
        <v>18</v>
      </c>
      <c r="CM203" t="s">
        <v>47</v>
      </c>
      <c r="CN203">
        <v>23</v>
      </c>
      <c r="CO203">
        <v>9</v>
      </c>
      <c r="CP203">
        <v>66</v>
      </c>
      <c r="CQ203">
        <v>13.6</v>
      </c>
    </row>
    <row r="204" spans="1:95">
      <c r="A204" t="str">
        <f t="shared" si="28"/>
        <v>1996AllSexNon-Maori22</v>
      </c>
      <c r="B204">
        <v>1996</v>
      </c>
      <c r="C204" t="s">
        <v>17</v>
      </c>
      <c r="D204" t="s">
        <v>19</v>
      </c>
      <c r="E204">
        <v>22</v>
      </c>
      <c r="F204">
        <v>104</v>
      </c>
      <c r="G204">
        <v>23.258934561882199</v>
      </c>
      <c r="H204">
        <v>4.5</v>
      </c>
      <c r="J204" s="340" t="str">
        <f t="shared" si="29"/>
        <v>2009AllSexNon-Maori191</v>
      </c>
      <c r="K204">
        <v>2009</v>
      </c>
      <c r="L204" t="s">
        <v>17</v>
      </c>
      <c r="M204" t="s">
        <v>19</v>
      </c>
      <c r="N204">
        <v>19</v>
      </c>
      <c r="O204">
        <v>1</v>
      </c>
      <c r="P204">
        <v>70</v>
      </c>
      <c r="Q204">
        <v>7.9174449503132198</v>
      </c>
      <c r="R204">
        <v>1.9</v>
      </c>
      <c r="T204" s="340" t="str">
        <f t="shared" si="31"/>
        <v>1996MaleNon-Maori23Poisoning by solids and liquids</v>
      </c>
      <c r="U204">
        <v>1996</v>
      </c>
      <c r="V204" t="s">
        <v>20</v>
      </c>
      <c r="W204" t="s">
        <v>19</v>
      </c>
      <c r="X204">
        <v>23</v>
      </c>
      <c r="Y204" t="s">
        <v>47</v>
      </c>
      <c r="Z204">
        <v>8</v>
      </c>
      <c r="AA204">
        <v>152</v>
      </c>
      <c r="AB204">
        <v>5.3</v>
      </c>
      <c r="AY204" t="str">
        <f t="shared" si="30"/>
        <v>2011FemaleRural22</v>
      </c>
      <c r="AZ204">
        <v>2011</v>
      </c>
      <c r="BA204" t="s">
        <v>8</v>
      </c>
      <c r="BB204" t="s">
        <v>96</v>
      </c>
      <c r="BC204">
        <v>22</v>
      </c>
      <c r="BD204">
        <v>1</v>
      </c>
      <c r="BE204">
        <v>3.0459945172098699</v>
      </c>
      <c r="BF204">
        <v>6</v>
      </c>
      <c r="CA204" t="str">
        <f t="shared" si="32"/>
        <v>FemaleAsian231</v>
      </c>
      <c r="CB204" t="s">
        <v>8</v>
      </c>
      <c r="CC204" t="s">
        <v>78</v>
      </c>
      <c r="CD204">
        <v>23</v>
      </c>
      <c r="CE204">
        <v>1</v>
      </c>
      <c r="CF204">
        <v>2</v>
      </c>
      <c r="CG204">
        <v>2.3276383877770002</v>
      </c>
      <c r="CH204">
        <v>3.2</v>
      </c>
      <c r="CJ204" t="str">
        <f t="shared" si="33"/>
        <v>FemaleMaori24Poisoning by solids and liquids</v>
      </c>
      <c r="CK204" t="s">
        <v>8</v>
      </c>
      <c r="CL204" t="s">
        <v>18</v>
      </c>
      <c r="CM204" t="s">
        <v>47</v>
      </c>
      <c r="CN204">
        <v>24</v>
      </c>
      <c r="CO204">
        <v>6</v>
      </c>
      <c r="CP204">
        <v>20</v>
      </c>
      <c r="CQ204">
        <v>30</v>
      </c>
    </row>
    <row r="205" spans="1:95">
      <c r="A205" t="str">
        <f t="shared" si="28"/>
        <v>1996AllSexNon-Maori23</v>
      </c>
      <c r="B205">
        <v>1996</v>
      </c>
      <c r="C205" t="s">
        <v>17</v>
      </c>
      <c r="D205" t="s">
        <v>19</v>
      </c>
      <c r="E205">
        <v>23</v>
      </c>
      <c r="F205">
        <v>177</v>
      </c>
      <c r="G205">
        <v>17.723039951937501</v>
      </c>
      <c r="H205">
        <v>2.6</v>
      </c>
      <c r="J205" s="340" t="str">
        <f t="shared" si="29"/>
        <v>2009AllSexNon-Maori192</v>
      </c>
      <c r="K205">
        <v>2009</v>
      </c>
      <c r="L205" t="s">
        <v>17</v>
      </c>
      <c r="M205" t="s">
        <v>19</v>
      </c>
      <c r="N205">
        <v>19</v>
      </c>
      <c r="O205">
        <v>2</v>
      </c>
      <c r="P205">
        <v>81</v>
      </c>
      <c r="Q205">
        <v>9.2339983930278997</v>
      </c>
      <c r="R205">
        <v>2</v>
      </c>
      <c r="T205" s="340" t="str">
        <f t="shared" si="31"/>
        <v>1996MaleNon-Maori24Poisoning by solids and liquids</v>
      </c>
      <c r="U205">
        <v>1996</v>
      </c>
      <c r="V205" t="s">
        <v>20</v>
      </c>
      <c r="W205" t="s">
        <v>19</v>
      </c>
      <c r="X205">
        <v>24</v>
      </c>
      <c r="Y205" t="s">
        <v>47</v>
      </c>
      <c r="Z205">
        <v>4</v>
      </c>
      <c r="AA205">
        <v>75</v>
      </c>
      <c r="AB205">
        <v>5.3</v>
      </c>
      <c r="AY205" t="str">
        <f t="shared" si="30"/>
        <v>2011FemaleUrban22</v>
      </c>
      <c r="AZ205">
        <v>2011</v>
      </c>
      <c r="BA205" t="s">
        <v>8</v>
      </c>
      <c r="BB205" t="s">
        <v>97</v>
      </c>
      <c r="BC205">
        <v>22</v>
      </c>
      <c r="BD205">
        <v>34</v>
      </c>
      <c r="BE205">
        <v>12.404232032105099</v>
      </c>
      <c r="BF205">
        <v>4.2</v>
      </c>
      <c r="CA205" t="str">
        <f t="shared" si="32"/>
        <v>FemaleAsian232</v>
      </c>
      <c r="CB205" t="s">
        <v>8</v>
      </c>
      <c r="CC205" t="s">
        <v>78</v>
      </c>
      <c r="CD205">
        <v>23</v>
      </c>
      <c r="CE205">
        <v>2</v>
      </c>
      <c r="CF205">
        <v>0</v>
      </c>
      <c r="CG205">
        <v>0</v>
      </c>
      <c r="CJ205" t="str">
        <f t="shared" si="33"/>
        <v>FemaleOther21Firearms and explosives</v>
      </c>
      <c r="CK205" t="s">
        <v>8</v>
      </c>
      <c r="CL205" t="s">
        <v>45</v>
      </c>
      <c r="CM205" t="s">
        <v>42</v>
      </c>
      <c r="CN205">
        <v>21</v>
      </c>
      <c r="CO205">
        <v>1</v>
      </c>
      <c r="CP205">
        <v>4</v>
      </c>
      <c r="CQ205">
        <v>25</v>
      </c>
    </row>
    <row r="206" spans="1:95">
      <c r="A206" t="str">
        <f t="shared" si="28"/>
        <v>1996AllSexNon-Maori24</v>
      </c>
      <c r="B206">
        <v>1996</v>
      </c>
      <c r="C206" t="s">
        <v>17</v>
      </c>
      <c r="D206" t="s">
        <v>19</v>
      </c>
      <c r="E206">
        <v>24</v>
      </c>
      <c r="F206">
        <v>94</v>
      </c>
      <c r="G206">
        <v>13.7837996363423</v>
      </c>
      <c r="H206">
        <v>2.8</v>
      </c>
      <c r="J206" s="340" t="str">
        <f t="shared" si="29"/>
        <v>2009AllSexNon-Maori193</v>
      </c>
      <c r="K206">
        <v>2009</v>
      </c>
      <c r="L206" t="s">
        <v>17</v>
      </c>
      <c r="M206" t="s">
        <v>19</v>
      </c>
      <c r="N206">
        <v>19</v>
      </c>
      <c r="O206">
        <v>3</v>
      </c>
      <c r="P206">
        <v>73</v>
      </c>
      <c r="Q206">
        <v>9.1279852968133408</v>
      </c>
      <c r="R206">
        <v>2.1</v>
      </c>
      <c r="T206" s="340" t="str">
        <f t="shared" si="31"/>
        <v>1996MaleNon-Maori25Poisoning by solids and liquids</v>
      </c>
      <c r="U206">
        <v>1996</v>
      </c>
      <c r="V206" t="s">
        <v>20</v>
      </c>
      <c r="W206" t="s">
        <v>19</v>
      </c>
      <c r="X206">
        <v>25</v>
      </c>
      <c r="Y206" t="s">
        <v>47</v>
      </c>
      <c r="Z206">
        <v>9</v>
      </c>
      <c r="AA206">
        <v>52</v>
      </c>
      <c r="AB206">
        <v>17.3</v>
      </c>
      <c r="AY206" t="str">
        <f t="shared" si="30"/>
        <v>2011FemaleRural23</v>
      </c>
      <c r="AZ206">
        <v>2011</v>
      </c>
      <c r="BA206" t="s">
        <v>8</v>
      </c>
      <c r="BB206" t="s">
        <v>96</v>
      </c>
      <c r="BC206">
        <v>23</v>
      </c>
      <c r="BD206">
        <v>3</v>
      </c>
      <c r="BE206">
        <v>3.9994667377683002</v>
      </c>
      <c r="BF206">
        <v>4.5</v>
      </c>
      <c r="CA206" t="str">
        <f t="shared" si="32"/>
        <v>FemaleAsian233</v>
      </c>
      <c r="CB206" t="s">
        <v>8</v>
      </c>
      <c r="CC206" t="s">
        <v>78</v>
      </c>
      <c r="CD206">
        <v>23</v>
      </c>
      <c r="CE206">
        <v>3</v>
      </c>
      <c r="CF206">
        <v>2</v>
      </c>
      <c r="CG206">
        <v>1.6938651415410799</v>
      </c>
      <c r="CH206">
        <v>2.2999999999999998</v>
      </c>
      <c r="CJ206" t="str">
        <f t="shared" si="33"/>
        <v>FemaleOther22Firearms and explosives</v>
      </c>
      <c r="CK206" t="s">
        <v>8</v>
      </c>
      <c r="CL206" t="s">
        <v>45</v>
      </c>
      <c r="CM206" t="s">
        <v>42</v>
      </c>
      <c r="CN206">
        <v>22</v>
      </c>
      <c r="CO206">
        <v>1</v>
      </c>
      <c r="CP206">
        <v>63</v>
      </c>
      <c r="CQ206">
        <v>1.6</v>
      </c>
    </row>
    <row r="207" spans="1:95">
      <c r="A207" t="str">
        <f t="shared" si="28"/>
        <v>1996AllSexNon-Maori25</v>
      </c>
      <c r="B207">
        <v>1996</v>
      </c>
      <c r="C207" t="s">
        <v>17</v>
      </c>
      <c r="D207" t="s">
        <v>19</v>
      </c>
      <c r="E207">
        <v>25</v>
      </c>
      <c r="F207">
        <v>65</v>
      </c>
      <c r="G207">
        <v>15.678139849007501</v>
      </c>
      <c r="H207">
        <v>3.8</v>
      </c>
      <c r="J207" s="340" t="str">
        <f t="shared" si="29"/>
        <v>2009AllSexNon-Maori194</v>
      </c>
      <c r="K207">
        <v>2009</v>
      </c>
      <c r="L207" t="s">
        <v>17</v>
      </c>
      <c r="M207" t="s">
        <v>19</v>
      </c>
      <c r="N207">
        <v>19</v>
      </c>
      <c r="O207">
        <v>4</v>
      </c>
      <c r="P207">
        <v>110</v>
      </c>
      <c r="Q207">
        <v>14.5141755107568</v>
      </c>
      <c r="R207">
        <v>2.7</v>
      </c>
      <c r="T207" s="340" t="str">
        <f t="shared" si="31"/>
        <v>1996MaleNon-Maori23Sharp object</v>
      </c>
      <c r="U207">
        <v>1996</v>
      </c>
      <c r="V207" t="s">
        <v>20</v>
      </c>
      <c r="W207" t="s">
        <v>19</v>
      </c>
      <c r="X207">
        <v>23</v>
      </c>
      <c r="Y207" t="s">
        <v>48</v>
      </c>
      <c r="Z207">
        <v>1</v>
      </c>
      <c r="AA207">
        <v>152</v>
      </c>
      <c r="AB207">
        <v>0.7</v>
      </c>
      <c r="AY207" t="str">
        <f t="shared" si="30"/>
        <v>2011FemaleUrban23</v>
      </c>
      <c r="AZ207">
        <v>2011</v>
      </c>
      <c r="BA207" t="s">
        <v>8</v>
      </c>
      <c r="BB207" t="s">
        <v>97</v>
      </c>
      <c r="BC207">
        <v>23</v>
      </c>
      <c r="BD207">
        <v>30</v>
      </c>
      <c r="BE207">
        <v>5.6996295240809296</v>
      </c>
      <c r="BF207">
        <v>2</v>
      </c>
      <c r="CA207" t="str">
        <f t="shared" si="32"/>
        <v>FemaleAsian234</v>
      </c>
      <c r="CB207" t="s">
        <v>8</v>
      </c>
      <c r="CC207" t="s">
        <v>78</v>
      </c>
      <c r="CD207">
        <v>23</v>
      </c>
      <c r="CE207">
        <v>4</v>
      </c>
      <c r="CF207">
        <v>3</v>
      </c>
      <c r="CG207">
        <v>2.4896219120693202</v>
      </c>
      <c r="CH207">
        <v>2.8</v>
      </c>
      <c r="CJ207" t="str">
        <f t="shared" si="33"/>
        <v>FemaleOther23Firearms and explosives</v>
      </c>
      <c r="CK207" t="s">
        <v>8</v>
      </c>
      <c r="CL207" t="s">
        <v>45</v>
      </c>
      <c r="CM207" t="s">
        <v>42</v>
      </c>
      <c r="CN207">
        <v>23</v>
      </c>
      <c r="CO207">
        <v>3</v>
      </c>
      <c r="CP207">
        <v>151</v>
      </c>
      <c r="CQ207">
        <v>2</v>
      </c>
    </row>
    <row r="208" spans="1:95">
      <c r="A208" t="str">
        <f t="shared" si="28"/>
        <v>1996FemaleAllEth21</v>
      </c>
      <c r="B208">
        <v>1996</v>
      </c>
      <c r="C208" t="s">
        <v>8</v>
      </c>
      <c r="D208" t="s">
        <v>27</v>
      </c>
      <c r="E208">
        <v>21</v>
      </c>
      <c r="F208">
        <v>4</v>
      </c>
      <c r="G208">
        <v>0.95769387315344701</v>
      </c>
      <c r="H208">
        <v>0.9</v>
      </c>
      <c r="J208" s="340" t="str">
        <f t="shared" si="29"/>
        <v>2009AllSexNon-Maori195</v>
      </c>
      <c r="K208">
        <v>2009</v>
      </c>
      <c r="L208" t="s">
        <v>17</v>
      </c>
      <c r="M208" t="s">
        <v>19</v>
      </c>
      <c r="N208">
        <v>19</v>
      </c>
      <c r="O208">
        <v>5</v>
      </c>
      <c r="P208">
        <v>90</v>
      </c>
      <c r="Q208">
        <v>15.407246316021901</v>
      </c>
      <c r="R208">
        <v>3.2</v>
      </c>
      <c r="T208" s="340" t="str">
        <f t="shared" si="31"/>
        <v>1996MaleNon-Maori24Sharp object</v>
      </c>
      <c r="U208">
        <v>1996</v>
      </c>
      <c r="V208" t="s">
        <v>20</v>
      </c>
      <c r="W208" t="s">
        <v>19</v>
      </c>
      <c r="X208">
        <v>24</v>
      </c>
      <c r="Y208" t="s">
        <v>48</v>
      </c>
      <c r="Z208">
        <v>2</v>
      </c>
      <c r="AA208">
        <v>75</v>
      </c>
      <c r="AB208">
        <v>2.7</v>
      </c>
      <c r="AY208" t="str">
        <f t="shared" si="30"/>
        <v>2011FemaleRural24</v>
      </c>
      <c r="AZ208">
        <v>2011</v>
      </c>
      <c r="BA208" t="s">
        <v>8</v>
      </c>
      <c r="BB208" t="s">
        <v>96</v>
      </c>
      <c r="BC208">
        <v>24</v>
      </c>
      <c r="BD208">
        <v>7</v>
      </c>
      <c r="BE208">
        <v>7.3283082077051898</v>
      </c>
      <c r="BF208">
        <v>5.4</v>
      </c>
      <c r="CA208" t="str">
        <f t="shared" si="32"/>
        <v>FemaleAsian235</v>
      </c>
      <c r="CB208" t="s">
        <v>8</v>
      </c>
      <c r="CC208" t="s">
        <v>78</v>
      </c>
      <c r="CD208">
        <v>23</v>
      </c>
      <c r="CE208">
        <v>5</v>
      </c>
      <c r="CF208">
        <v>4</v>
      </c>
      <c r="CG208">
        <v>4.3121909486098504</v>
      </c>
      <c r="CH208">
        <v>4.2</v>
      </c>
      <c r="CJ208" t="str">
        <f t="shared" si="33"/>
        <v>FemaleOther24Firearms and explosives</v>
      </c>
      <c r="CK208" t="s">
        <v>8</v>
      </c>
      <c r="CL208" t="s">
        <v>45</v>
      </c>
      <c r="CM208" t="s">
        <v>42</v>
      </c>
      <c r="CN208">
        <v>24</v>
      </c>
      <c r="CO208">
        <v>4</v>
      </c>
      <c r="CP208">
        <v>188</v>
      </c>
      <c r="CQ208">
        <v>2.1</v>
      </c>
    </row>
    <row r="209" spans="1:95">
      <c r="A209" t="str">
        <f t="shared" si="28"/>
        <v>1996FemaleAllEth22</v>
      </c>
      <c r="B209">
        <v>1996</v>
      </c>
      <c r="C209" t="s">
        <v>8</v>
      </c>
      <c r="D209" t="s">
        <v>27</v>
      </c>
      <c r="E209">
        <v>22</v>
      </c>
      <c r="F209">
        <v>38</v>
      </c>
      <c r="G209">
        <v>13.922473803766399</v>
      </c>
      <c r="H209">
        <v>4.4000000000000004</v>
      </c>
      <c r="J209" s="340" t="str">
        <f t="shared" si="29"/>
        <v>2010AllSexNon-Maori191</v>
      </c>
      <c r="K209">
        <v>2010</v>
      </c>
      <c r="L209" t="s">
        <v>17</v>
      </c>
      <c r="M209" t="s">
        <v>19</v>
      </c>
      <c r="N209">
        <v>19</v>
      </c>
      <c r="O209">
        <v>1</v>
      </c>
      <c r="P209">
        <v>88</v>
      </c>
      <c r="Q209">
        <v>10.4556809118773</v>
      </c>
      <c r="R209">
        <v>2.2000000000000002</v>
      </c>
      <c r="T209" s="340" t="str">
        <f t="shared" si="31"/>
        <v>1996MaleNon-Maori23Submersion (drowning)</v>
      </c>
      <c r="U209">
        <v>1996</v>
      </c>
      <c r="V209" t="s">
        <v>20</v>
      </c>
      <c r="W209" t="s">
        <v>19</v>
      </c>
      <c r="X209">
        <v>23</v>
      </c>
      <c r="Y209" t="s">
        <v>49</v>
      </c>
      <c r="Z209">
        <v>1</v>
      </c>
      <c r="AA209">
        <v>152</v>
      </c>
      <c r="AB209">
        <v>0.7</v>
      </c>
      <c r="AY209" t="str">
        <f t="shared" si="30"/>
        <v>2011FemaleUrban24</v>
      </c>
      <c r="AZ209">
        <v>2011</v>
      </c>
      <c r="BA209" t="s">
        <v>8</v>
      </c>
      <c r="BB209" t="s">
        <v>97</v>
      </c>
      <c r="BC209">
        <v>24</v>
      </c>
      <c r="BD209">
        <v>26</v>
      </c>
      <c r="BE209">
        <v>5.4457104557640701</v>
      </c>
      <c r="BF209">
        <v>2.1</v>
      </c>
      <c r="CA209" t="str">
        <f t="shared" si="32"/>
        <v>FemaleMaori231</v>
      </c>
      <c r="CB209" t="s">
        <v>8</v>
      </c>
      <c r="CC209" t="s">
        <v>18</v>
      </c>
      <c r="CD209">
        <v>23</v>
      </c>
      <c r="CE209">
        <v>1</v>
      </c>
      <c r="CF209">
        <v>3</v>
      </c>
      <c r="CG209">
        <v>7.8190664491559199</v>
      </c>
      <c r="CH209">
        <v>8.8000000000000007</v>
      </c>
      <c r="CJ209" t="str">
        <f t="shared" si="33"/>
        <v>FemaleOther21Hanging, strangulation and suffocation</v>
      </c>
      <c r="CK209" t="s">
        <v>8</v>
      </c>
      <c r="CL209" t="s">
        <v>45</v>
      </c>
      <c r="CM209" t="s">
        <v>43</v>
      </c>
      <c r="CN209">
        <v>21</v>
      </c>
      <c r="CO209">
        <v>2</v>
      </c>
      <c r="CP209">
        <v>4</v>
      </c>
      <c r="CQ209">
        <v>50</v>
      </c>
    </row>
    <row r="210" spans="1:95">
      <c r="A210" t="str">
        <f t="shared" si="28"/>
        <v>1996FemaleAllEth23</v>
      </c>
      <c r="B210">
        <v>1996</v>
      </c>
      <c r="C210" t="s">
        <v>8</v>
      </c>
      <c r="D210" t="s">
        <v>27</v>
      </c>
      <c r="E210">
        <v>23</v>
      </c>
      <c r="F210">
        <v>34</v>
      </c>
      <c r="G210">
        <v>5.8194266153187799</v>
      </c>
      <c r="H210">
        <v>2</v>
      </c>
      <c r="J210" s="340" t="str">
        <f t="shared" si="29"/>
        <v>2010AllSexNon-Maori192</v>
      </c>
      <c r="K210">
        <v>2010</v>
      </c>
      <c r="L210" t="s">
        <v>17</v>
      </c>
      <c r="M210" t="s">
        <v>19</v>
      </c>
      <c r="N210">
        <v>19</v>
      </c>
      <c r="O210">
        <v>2</v>
      </c>
      <c r="P210">
        <v>78</v>
      </c>
      <c r="Q210">
        <v>8.9807969074907099</v>
      </c>
      <c r="R210">
        <v>2</v>
      </c>
      <c r="T210" s="340" t="str">
        <f t="shared" si="31"/>
        <v>1996MaleNon-Maori24Submersion (drowning)</v>
      </c>
      <c r="U210">
        <v>1996</v>
      </c>
      <c r="V210" t="s">
        <v>20</v>
      </c>
      <c r="W210" t="s">
        <v>19</v>
      </c>
      <c r="X210">
        <v>24</v>
      </c>
      <c r="Y210" t="s">
        <v>49</v>
      </c>
      <c r="Z210">
        <v>3</v>
      </c>
      <c r="AA210">
        <v>75</v>
      </c>
      <c r="AB210">
        <v>4</v>
      </c>
      <c r="AY210" t="str">
        <f t="shared" si="30"/>
        <v>2011FemaleRural25</v>
      </c>
      <c r="AZ210">
        <v>2011</v>
      </c>
      <c r="BA210" t="s">
        <v>8</v>
      </c>
      <c r="BB210" t="s">
        <v>96</v>
      </c>
      <c r="BC210">
        <v>25</v>
      </c>
      <c r="BD210">
        <v>1</v>
      </c>
      <c r="BE210">
        <v>2.8034763106251801</v>
      </c>
      <c r="BF210">
        <v>5.5</v>
      </c>
      <c r="CA210" t="str">
        <f t="shared" si="32"/>
        <v>FemaleMaori232</v>
      </c>
      <c r="CB210" t="s">
        <v>8</v>
      </c>
      <c r="CC210" t="s">
        <v>18</v>
      </c>
      <c r="CD210">
        <v>23</v>
      </c>
      <c r="CE210">
        <v>2</v>
      </c>
      <c r="CF210">
        <v>8</v>
      </c>
      <c r="CG210">
        <v>14.704425890971599</v>
      </c>
      <c r="CH210">
        <v>10.199999999999999</v>
      </c>
      <c r="CJ210" t="str">
        <f t="shared" si="33"/>
        <v>FemaleOther22Hanging, strangulation and suffocation</v>
      </c>
      <c r="CK210" t="s">
        <v>8</v>
      </c>
      <c r="CL210" t="s">
        <v>45</v>
      </c>
      <c r="CM210" t="s">
        <v>43</v>
      </c>
      <c r="CN210">
        <v>22</v>
      </c>
      <c r="CO210">
        <v>44</v>
      </c>
      <c r="CP210">
        <v>63</v>
      </c>
      <c r="CQ210">
        <v>69.8</v>
      </c>
    </row>
    <row r="211" spans="1:95">
      <c r="A211" t="str">
        <f t="shared" si="28"/>
        <v>1996FemaleAllEth24</v>
      </c>
      <c r="B211">
        <v>1996</v>
      </c>
      <c r="C211" t="s">
        <v>8</v>
      </c>
      <c r="D211" t="s">
        <v>27</v>
      </c>
      <c r="E211">
        <v>24</v>
      </c>
      <c r="F211">
        <v>22</v>
      </c>
      <c r="G211">
        <v>5.8997050147492596</v>
      </c>
      <c r="H211">
        <v>2.5</v>
      </c>
      <c r="J211" s="340" t="str">
        <f t="shared" si="29"/>
        <v>2010AllSexNon-Maori193</v>
      </c>
      <c r="K211">
        <v>2010</v>
      </c>
      <c r="L211" t="s">
        <v>17</v>
      </c>
      <c r="M211" t="s">
        <v>19</v>
      </c>
      <c r="N211">
        <v>19</v>
      </c>
      <c r="O211">
        <v>3</v>
      </c>
      <c r="P211">
        <v>86</v>
      </c>
      <c r="Q211">
        <v>10.527981699193599</v>
      </c>
      <c r="R211">
        <v>2.2000000000000002</v>
      </c>
      <c r="T211" s="340" t="str">
        <f t="shared" si="31"/>
        <v>1996MaleNon-Maori25Submersion (drowning)</v>
      </c>
      <c r="U211">
        <v>1996</v>
      </c>
      <c r="V211" t="s">
        <v>20</v>
      </c>
      <c r="W211" t="s">
        <v>19</v>
      </c>
      <c r="X211">
        <v>25</v>
      </c>
      <c r="Y211" t="s">
        <v>49</v>
      </c>
      <c r="Z211">
        <v>4</v>
      </c>
      <c r="AA211">
        <v>52</v>
      </c>
      <c r="AB211">
        <v>7.7</v>
      </c>
      <c r="AY211" t="str">
        <f t="shared" si="30"/>
        <v>2011FemaleUrban25</v>
      </c>
      <c r="AZ211">
        <v>2011</v>
      </c>
      <c r="BA211" t="s">
        <v>8</v>
      </c>
      <c r="BB211" t="s">
        <v>97</v>
      </c>
      <c r="BC211">
        <v>25</v>
      </c>
      <c r="BD211">
        <v>13</v>
      </c>
      <c r="BE211">
        <v>4.6566608159902598</v>
      </c>
      <c r="BF211">
        <v>2.5</v>
      </c>
      <c r="CA211" t="str">
        <f t="shared" si="32"/>
        <v>FemaleMaori233</v>
      </c>
      <c r="CB211" t="s">
        <v>8</v>
      </c>
      <c r="CC211" t="s">
        <v>18</v>
      </c>
      <c r="CD211">
        <v>23</v>
      </c>
      <c r="CE211">
        <v>3</v>
      </c>
      <c r="CF211">
        <v>10</v>
      </c>
      <c r="CG211">
        <v>13.160823081007401</v>
      </c>
      <c r="CH211">
        <v>8.1999999999999993</v>
      </c>
      <c r="CJ211" t="str">
        <f t="shared" si="33"/>
        <v>FemaleOther23Hanging, strangulation and suffocation</v>
      </c>
      <c r="CK211" t="s">
        <v>8</v>
      </c>
      <c r="CL211" t="s">
        <v>45</v>
      </c>
      <c r="CM211" t="s">
        <v>43</v>
      </c>
      <c r="CN211">
        <v>23</v>
      </c>
      <c r="CO211">
        <v>87</v>
      </c>
      <c r="CP211">
        <v>151</v>
      </c>
      <c r="CQ211">
        <v>57.6</v>
      </c>
    </row>
    <row r="212" spans="1:95">
      <c r="A212" t="str">
        <f t="shared" si="28"/>
        <v>1996FemaleAllEth25</v>
      </c>
      <c r="B212">
        <v>1996</v>
      </c>
      <c r="C212" t="s">
        <v>8</v>
      </c>
      <c r="D212" t="s">
        <v>27</v>
      </c>
      <c r="E212">
        <v>25</v>
      </c>
      <c r="F212">
        <v>13</v>
      </c>
      <c r="G212">
        <v>5.3219797764768497</v>
      </c>
      <c r="H212">
        <v>2.9</v>
      </c>
      <c r="J212" s="340" t="str">
        <f t="shared" si="29"/>
        <v>2010AllSexNon-Maori194</v>
      </c>
      <c r="K212">
        <v>2010</v>
      </c>
      <c r="L212" t="s">
        <v>17</v>
      </c>
      <c r="M212" t="s">
        <v>19</v>
      </c>
      <c r="N212">
        <v>19</v>
      </c>
      <c r="O212">
        <v>4</v>
      </c>
      <c r="P212">
        <v>95</v>
      </c>
      <c r="Q212">
        <v>11.896161889371299</v>
      </c>
      <c r="R212">
        <v>2.4</v>
      </c>
      <c r="T212" s="340" t="str">
        <f t="shared" si="31"/>
        <v>1997AllSexAllEth21Firearms and explosives</v>
      </c>
      <c r="U212">
        <v>1997</v>
      </c>
      <c r="V212" t="s">
        <v>17</v>
      </c>
      <c r="W212" t="s">
        <v>27</v>
      </c>
      <c r="X212">
        <v>21</v>
      </c>
      <c r="Y212" t="s">
        <v>42</v>
      </c>
      <c r="Z212">
        <v>1</v>
      </c>
      <c r="AA212">
        <v>8</v>
      </c>
      <c r="AB212">
        <v>12.5</v>
      </c>
      <c r="AY212" t="str">
        <f t="shared" si="30"/>
        <v>2011MaleRural22</v>
      </c>
      <c r="AZ212">
        <v>2011</v>
      </c>
      <c r="BA212" t="s">
        <v>20</v>
      </c>
      <c r="BB212" t="s">
        <v>96</v>
      </c>
      <c r="BC212">
        <v>22</v>
      </c>
      <c r="BD212">
        <v>14</v>
      </c>
      <c r="BE212">
        <v>36.9295700342917</v>
      </c>
      <c r="BF212">
        <v>19.3</v>
      </c>
      <c r="CA212" t="str">
        <f t="shared" si="32"/>
        <v>FemaleMaori234</v>
      </c>
      <c r="CB212" t="s">
        <v>8</v>
      </c>
      <c r="CC212" t="s">
        <v>18</v>
      </c>
      <c r="CD212">
        <v>23</v>
      </c>
      <c r="CE212">
        <v>4</v>
      </c>
      <c r="CF212">
        <v>15</v>
      </c>
      <c r="CG212">
        <v>14.0791175466785</v>
      </c>
      <c r="CH212">
        <v>7.1</v>
      </c>
      <c r="CJ212" t="str">
        <f t="shared" si="33"/>
        <v>FemaleOther24Hanging, strangulation and suffocation</v>
      </c>
      <c r="CK212" t="s">
        <v>8</v>
      </c>
      <c r="CL212" t="s">
        <v>45</v>
      </c>
      <c r="CM212" t="s">
        <v>43</v>
      </c>
      <c r="CN212">
        <v>24</v>
      </c>
      <c r="CO212">
        <v>59</v>
      </c>
      <c r="CP212">
        <v>188</v>
      </c>
      <c r="CQ212">
        <v>31.4</v>
      </c>
    </row>
    <row r="213" spans="1:95">
      <c r="A213" t="str">
        <f t="shared" si="28"/>
        <v>1996FemaleMaori21</v>
      </c>
      <c r="B213">
        <v>1996</v>
      </c>
      <c r="C213" t="s">
        <v>8</v>
      </c>
      <c r="D213" t="s">
        <v>18</v>
      </c>
      <c r="E213">
        <v>21</v>
      </c>
      <c r="F213">
        <v>3</v>
      </c>
      <c r="G213">
        <v>3.0966143682906702</v>
      </c>
      <c r="H213">
        <v>3.5</v>
      </c>
      <c r="J213" s="340" t="str">
        <f t="shared" si="29"/>
        <v>2010AllSexNon-Maori195</v>
      </c>
      <c r="K213">
        <v>2010</v>
      </c>
      <c r="L213" t="s">
        <v>17</v>
      </c>
      <c r="M213" t="s">
        <v>19</v>
      </c>
      <c r="N213">
        <v>19</v>
      </c>
      <c r="O213">
        <v>5</v>
      </c>
      <c r="P213">
        <v>69</v>
      </c>
      <c r="Q213">
        <v>11.9050077950544</v>
      </c>
      <c r="R213">
        <v>2.8</v>
      </c>
      <c r="T213" s="340" t="str">
        <f t="shared" si="31"/>
        <v>1997AllSexAllEth22Firearms and explosives</v>
      </c>
      <c r="U213">
        <v>1997</v>
      </c>
      <c r="V213" t="s">
        <v>17</v>
      </c>
      <c r="W213" t="s">
        <v>27</v>
      </c>
      <c r="X213">
        <v>22</v>
      </c>
      <c r="Y213" t="s">
        <v>42</v>
      </c>
      <c r="Z213">
        <v>13</v>
      </c>
      <c r="AA213">
        <v>142</v>
      </c>
      <c r="AB213">
        <v>9.1999999999999993</v>
      </c>
      <c r="AY213" t="str">
        <f t="shared" si="30"/>
        <v>2011MaleUrban22</v>
      </c>
      <c r="AZ213">
        <v>2011</v>
      </c>
      <c r="BA213" t="s">
        <v>20</v>
      </c>
      <c r="BB213" t="s">
        <v>97</v>
      </c>
      <c r="BC213">
        <v>22</v>
      </c>
      <c r="BD213">
        <v>82</v>
      </c>
      <c r="BE213">
        <v>29.6157180005779</v>
      </c>
      <c r="BF213">
        <v>6.4</v>
      </c>
      <c r="CA213" t="str">
        <f t="shared" si="32"/>
        <v>FemaleMaori235</v>
      </c>
      <c r="CB213" t="s">
        <v>8</v>
      </c>
      <c r="CC213" t="s">
        <v>18</v>
      </c>
      <c r="CD213">
        <v>23</v>
      </c>
      <c r="CE213">
        <v>5</v>
      </c>
      <c r="CF213">
        <v>29</v>
      </c>
      <c r="CG213">
        <v>15.7281045347786</v>
      </c>
      <c r="CH213">
        <v>5.7</v>
      </c>
      <c r="CJ213" t="str">
        <f t="shared" si="33"/>
        <v>FemaleOther25Hanging, strangulation and suffocation</v>
      </c>
      <c r="CK213" t="s">
        <v>8</v>
      </c>
      <c r="CL213" t="s">
        <v>45</v>
      </c>
      <c r="CM213" t="s">
        <v>43</v>
      </c>
      <c r="CN213">
        <v>25</v>
      </c>
      <c r="CO213">
        <v>16</v>
      </c>
      <c r="CP213">
        <v>55</v>
      </c>
      <c r="CQ213">
        <v>29.1</v>
      </c>
    </row>
    <row r="214" spans="1:95">
      <c r="A214" t="str">
        <f t="shared" si="28"/>
        <v>1996FemaleMaori22</v>
      </c>
      <c r="B214">
        <v>1996</v>
      </c>
      <c r="C214" t="s">
        <v>8</v>
      </c>
      <c r="D214" t="s">
        <v>18</v>
      </c>
      <c r="E214">
        <v>22</v>
      </c>
      <c r="F214">
        <v>9</v>
      </c>
      <c r="G214">
        <v>16.997167138810202</v>
      </c>
      <c r="H214">
        <v>11.1</v>
      </c>
      <c r="J214" s="340" t="str">
        <f t="shared" si="29"/>
        <v>2011AllSexNon-Maori191</v>
      </c>
      <c r="K214">
        <v>2011</v>
      </c>
      <c r="L214" t="s">
        <v>17</v>
      </c>
      <c r="M214" t="s">
        <v>19</v>
      </c>
      <c r="N214">
        <v>19</v>
      </c>
      <c r="O214">
        <v>1</v>
      </c>
      <c r="P214">
        <v>69</v>
      </c>
      <c r="Q214">
        <v>7.7593299698986202</v>
      </c>
      <c r="R214">
        <v>1.8</v>
      </c>
      <c r="T214" s="340" t="str">
        <f t="shared" si="31"/>
        <v>1997AllSexAllEth23Firearms and explosives</v>
      </c>
      <c r="U214">
        <v>1997</v>
      </c>
      <c r="V214" t="s">
        <v>17</v>
      </c>
      <c r="W214" t="s">
        <v>27</v>
      </c>
      <c r="X214">
        <v>23</v>
      </c>
      <c r="Y214" t="s">
        <v>42</v>
      </c>
      <c r="Z214">
        <v>23</v>
      </c>
      <c r="AA214">
        <v>256</v>
      </c>
      <c r="AB214">
        <v>9</v>
      </c>
      <c r="AY214" t="str">
        <f t="shared" si="30"/>
        <v>2011MaleRural23</v>
      </c>
      <c r="AZ214">
        <v>2011</v>
      </c>
      <c r="BA214" t="s">
        <v>20</v>
      </c>
      <c r="BB214" t="s">
        <v>96</v>
      </c>
      <c r="BC214">
        <v>23</v>
      </c>
      <c r="BD214">
        <v>21</v>
      </c>
      <c r="BE214">
        <v>29.296875</v>
      </c>
      <c r="BF214">
        <v>12.5</v>
      </c>
      <c r="CA214" t="str">
        <f t="shared" si="32"/>
        <v>FemaleOther231</v>
      </c>
      <c r="CB214" t="s">
        <v>8</v>
      </c>
      <c r="CC214" t="s">
        <v>45</v>
      </c>
      <c r="CD214">
        <v>23</v>
      </c>
      <c r="CE214">
        <v>1</v>
      </c>
      <c r="CF214">
        <v>18</v>
      </c>
      <c r="CG214">
        <v>4.04193429818271</v>
      </c>
      <c r="CH214">
        <v>1.9</v>
      </c>
      <c r="CJ214" t="str">
        <f t="shared" si="33"/>
        <v>FemaleOther22Jumping from a high place</v>
      </c>
      <c r="CK214" t="s">
        <v>8</v>
      </c>
      <c r="CL214" t="s">
        <v>45</v>
      </c>
      <c r="CM214" t="s">
        <v>44</v>
      </c>
      <c r="CN214">
        <v>22</v>
      </c>
      <c r="CO214">
        <v>4</v>
      </c>
      <c r="CP214">
        <v>63</v>
      </c>
      <c r="CQ214">
        <v>6.3</v>
      </c>
    </row>
    <row r="215" spans="1:95">
      <c r="A215" t="str">
        <f t="shared" si="28"/>
        <v>1996FemaleMaori23</v>
      </c>
      <c r="B215">
        <v>1996</v>
      </c>
      <c r="C215" t="s">
        <v>8</v>
      </c>
      <c r="D215" t="s">
        <v>18</v>
      </c>
      <c r="E215">
        <v>23</v>
      </c>
      <c r="F215">
        <v>9</v>
      </c>
      <c r="G215">
        <v>11.5266393442623</v>
      </c>
      <c r="H215">
        <v>7.5</v>
      </c>
      <c r="J215" s="340" t="str">
        <f t="shared" si="29"/>
        <v>2011AllSexNon-Maori192</v>
      </c>
      <c r="K215">
        <v>2011</v>
      </c>
      <c r="L215" t="s">
        <v>17</v>
      </c>
      <c r="M215" t="s">
        <v>19</v>
      </c>
      <c r="N215">
        <v>19</v>
      </c>
      <c r="O215">
        <v>2</v>
      </c>
      <c r="P215">
        <v>59</v>
      </c>
      <c r="Q215">
        <v>7.1735157232694</v>
      </c>
      <c r="R215">
        <v>1.8</v>
      </c>
      <c r="T215" s="340" t="str">
        <f t="shared" si="31"/>
        <v>1997AllSexAllEth24Firearms and explosives</v>
      </c>
      <c r="U215">
        <v>1997</v>
      </c>
      <c r="V215" t="s">
        <v>17</v>
      </c>
      <c r="W215" t="s">
        <v>27</v>
      </c>
      <c r="X215">
        <v>24</v>
      </c>
      <c r="Y215" t="s">
        <v>42</v>
      </c>
      <c r="Z215">
        <v>14</v>
      </c>
      <c r="AA215">
        <v>102</v>
      </c>
      <c r="AB215">
        <v>13.7</v>
      </c>
      <c r="AY215" t="str">
        <f t="shared" si="30"/>
        <v>2011MaleUrban23</v>
      </c>
      <c r="AZ215">
        <v>2011</v>
      </c>
      <c r="BA215" t="s">
        <v>20</v>
      </c>
      <c r="BB215" t="s">
        <v>97</v>
      </c>
      <c r="BC215">
        <v>23</v>
      </c>
      <c r="BD215">
        <v>109</v>
      </c>
      <c r="BE215">
        <v>22.672435310758001</v>
      </c>
      <c r="BF215">
        <v>4.3</v>
      </c>
      <c r="CA215" t="str">
        <f t="shared" si="32"/>
        <v>FemaleOther232</v>
      </c>
      <c r="CB215" t="s">
        <v>8</v>
      </c>
      <c r="CC215" t="s">
        <v>45</v>
      </c>
      <c r="CD215">
        <v>23</v>
      </c>
      <c r="CE215">
        <v>2</v>
      </c>
      <c r="CF215">
        <v>20</v>
      </c>
      <c r="CG215">
        <v>4.5304822728540097</v>
      </c>
      <c r="CH215">
        <v>2</v>
      </c>
      <c r="CJ215" t="str">
        <f t="shared" si="33"/>
        <v>FemaleOther23Jumping from a high place</v>
      </c>
      <c r="CK215" t="s">
        <v>8</v>
      </c>
      <c r="CL215" t="s">
        <v>45</v>
      </c>
      <c r="CM215" t="s">
        <v>44</v>
      </c>
      <c r="CN215">
        <v>23</v>
      </c>
      <c r="CO215">
        <v>5</v>
      </c>
      <c r="CP215">
        <v>151</v>
      </c>
      <c r="CQ215">
        <v>3.3</v>
      </c>
    </row>
    <row r="216" spans="1:95">
      <c r="A216" t="str">
        <f t="shared" si="28"/>
        <v>1996FemaleMaori24</v>
      </c>
      <c r="B216">
        <v>1996</v>
      </c>
      <c r="C216" t="s">
        <v>8</v>
      </c>
      <c r="D216" t="s">
        <v>18</v>
      </c>
      <c r="E216">
        <v>24</v>
      </c>
      <c r="F216">
        <v>3</v>
      </c>
      <c r="G216">
        <v>9.3545369504209503</v>
      </c>
      <c r="H216">
        <v>10.6</v>
      </c>
      <c r="J216" s="340" t="str">
        <f t="shared" si="29"/>
        <v>2011AllSexNon-Maori193</v>
      </c>
      <c r="K216">
        <v>2011</v>
      </c>
      <c r="L216" t="s">
        <v>17</v>
      </c>
      <c r="M216" t="s">
        <v>19</v>
      </c>
      <c r="N216">
        <v>19</v>
      </c>
      <c r="O216">
        <v>3</v>
      </c>
      <c r="P216">
        <v>90</v>
      </c>
      <c r="Q216">
        <v>10.666353724075799</v>
      </c>
      <c r="R216">
        <v>2.2000000000000002</v>
      </c>
      <c r="T216" s="340" t="str">
        <f t="shared" si="31"/>
        <v>1997AllSexAllEth25Firearms and explosives</v>
      </c>
      <c r="U216">
        <v>1997</v>
      </c>
      <c r="V216" t="s">
        <v>17</v>
      </c>
      <c r="W216" t="s">
        <v>27</v>
      </c>
      <c r="X216">
        <v>25</v>
      </c>
      <c r="Y216" t="s">
        <v>42</v>
      </c>
      <c r="Z216">
        <v>5</v>
      </c>
      <c r="AA216">
        <v>54</v>
      </c>
      <c r="AB216">
        <v>9.3000000000000007</v>
      </c>
      <c r="AY216" t="str">
        <f t="shared" si="30"/>
        <v>2011MaleRural24</v>
      </c>
      <c r="AZ216">
        <v>2011</v>
      </c>
      <c r="BA216" t="s">
        <v>20</v>
      </c>
      <c r="BB216" t="s">
        <v>96</v>
      </c>
      <c r="BC216">
        <v>24</v>
      </c>
      <c r="BD216">
        <v>23</v>
      </c>
      <c r="BE216">
        <v>23.1761386537686</v>
      </c>
      <c r="BF216">
        <v>9.5</v>
      </c>
      <c r="CA216" t="str">
        <f t="shared" si="32"/>
        <v>FemaleOther233</v>
      </c>
      <c r="CB216" t="s">
        <v>8</v>
      </c>
      <c r="CC216" t="s">
        <v>45</v>
      </c>
      <c r="CD216">
        <v>23</v>
      </c>
      <c r="CE216">
        <v>3</v>
      </c>
      <c r="CF216">
        <v>32</v>
      </c>
      <c r="CG216">
        <v>7.7966129005557097</v>
      </c>
      <c r="CH216">
        <v>2.7</v>
      </c>
      <c r="CJ216" t="str">
        <f t="shared" si="33"/>
        <v>FemaleOther24Jumping from a high place</v>
      </c>
      <c r="CK216" t="s">
        <v>8</v>
      </c>
      <c r="CL216" t="s">
        <v>45</v>
      </c>
      <c r="CM216" t="s">
        <v>44</v>
      </c>
      <c r="CN216">
        <v>24</v>
      </c>
      <c r="CO216">
        <v>6</v>
      </c>
      <c r="CP216">
        <v>188</v>
      </c>
      <c r="CQ216">
        <v>3.2</v>
      </c>
    </row>
    <row r="217" spans="1:95">
      <c r="A217" t="str">
        <f t="shared" si="28"/>
        <v>1996FemaleMaori25</v>
      </c>
      <c r="B217">
        <v>1996</v>
      </c>
      <c r="C217" t="s">
        <v>8</v>
      </c>
      <c r="D217" t="s">
        <v>18</v>
      </c>
      <c r="E217">
        <v>25</v>
      </c>
      <c r="F217">
        <v>0</v>
      </c>
      <c r="G217">
        <v>0</v>
      </c>
      <c r="J217" s="340" t="str">
        <f t="shared" si="29"/>
        <v>2011AllSexNon-Maori194</v>
      </c>
      <c r="K217">
        <v>2011</v>
      </c>
      <c r="L217" t="s">
        <v>17</v>
      </c>
      <c r="M217" t="s">
        <v>19</v>
      </c>
      <c r="N217">
        <v>19</v>
      </c>
      <c r="O217">
        <v>4</v>
      </c>
      <c r="P217">
        <v>69</v>
      </c>
      <c r="Q217">
        <v>9.1452574133930806</v>
      </c>
      <c r="R217">
        <v>2.2000000000000002</v>
      </c>
      <c r="T217" s="340" t="str">
        <f t="shared" si="31"/>
        <v>1997AllSexAllEth21Hanging, strangulation and suffocation</v>
      </c>
      <c r="U217">
        <v>1997</v>
      </c>
      <c r="V217" t="s">
        <v>17</v>
      </c>
      <c r="W217" t="s">
        <v>27</v>
      </c>
      <c r="X217">
        <v>21</v>
      </c>
      <c r="Y217" t="s">
        <v>43</v>
      </c>
      <c r="Z217">
        <v>6</v>
      </c>
      <c r="AA217">
        <v>8</v>
      </c>
      <c r="AB217">
        <v>75</v>
      </c>
      <c r="AY217" t="str">
        <f t="shared" si="30"/>
        <v>2011MaleUrban24</v>
      </c>
      <c r="AZ217">
        <v>2011</v>
      </c>
      <c r="BA217" t="s">
        <v>20</v>
      </c>
      <c r="BB217" t="s">
        <v>97</v>
      </c>
      <c r="BC217">
        <v>24</v>
      </c>
      <c r="BD217">
        <v>94</v>
      </c>
      <c r="BE217">
        <v>21.131668277768998</v>
      </c>
      <c r="BF217">
        <v>4.3</v>
      </c>
      <c r="CA217" t="str">
        <f t="shared" si="32"/>
        <v>FemaleOther234</v>
      </c>
      <c r="CB217" t="s">
        <v>8</v>
      </c>
      <c r="CC217" t="s">
        <v>45</v>
      </c>
      <c r="CD217">
        <v>23</v>
      </c>
      <c r="CE217">
        <v>4</v>
      </c>
      <c r="CF217">
        <v>37</v>
      </c>
      <c r="CG217">
        <v>10.703645898798399</v>
      </c>
      <c r="CH217">
        <v>3.4</v>
      </c>
      <c r="CJ217" t="str">
        <f t="shared" si="33"/>
        <v>FemaleOther25Jumping from a high place</v>
      </c>
      <c r="CK217" t="s">
        <v>8</v>
      </c>
      <c r="CL217" t="s">
        <v>45</v>
      </c>
      <c r="CM217" t="s">
        <v>44</v>
      </c>
      <c r="CN217">
        <v>25</v>
      </c>
      <c r="CO217">
        <v>1</v>
      </c>
      <c r="CP217">
        <v>55</v>
      </c>
      <c r="CQ217">
        <v>1.8</v>
      </c>
    </row>
    <row r="218" spans="1:95">
      <c r="A218" t="str">
        <f t="shared" si="28"/>
        <v>1996FemaleNon-Maori21</v>
      </c>
      <c r="B218">
        <v>1996</v>
      </c>
      <c r="C218" t="s">
        <v>8</v>
      </c>
      <c r="D218" t="s">
        <v>19</v>
      </c>
      <c r="E218">
        <v>21</v>
      </c>
      <c r="F218">
        <v>1</v>
      </c>
      <c r="G218">
        <v>0.31173041553664399</v>
      </c>
      <c r="H218">
        <v>0.6</v>
      </c>
      <c r="J218" s="340" t="str">
        <f t="shared" si="29"/>
        <v>2011AllSexNon-Maori195</v>
      </c>
      <c r="K218">
        <v>2011</v>
      </c>
      <c r="L218" t="s">
        <v>17</v>
      </c>
      <c r="M218" t="s">
        <v>19</v>
      </c>
      <c r="N218">
        <v>19</v>
      </c>
      <c r="O218">
        <v>5</v>
      </c>
      <c r="P218">
        <v>82</v>
      </c>
      <c r="Q218">
        <v>13.367076753295001</v>
      </c>
      <c r="R218">
        <v>2.9</v>
      </c>
      <c r="T218" s="340" t="str">
        <f t="shared" si="31"/>
        <v>1997AllSexAllEth22Hanging, strangulation and suffocation</v>
      </c>
      <c r="U218">
        <v>1997</v>
      </c>
      <c r="V218" t="s">
        <v>17</v>
      </c>
      <c r="W218" t="s">
        <v>27</v>
      </c>
      <c r="X218">
        <v>22</v>
      </c>
      <c r="Y218" t="s">
        <v>43</v>
      </c>
      <c r="Z218">
        <v>77</v>
      </c>
      <c r="AA218">
        <v>142</v>
      </c>
      <c r="AB218">
        <v>54.2</v>
      </c>
      <c r="AY218" t="str">
        <f t="shared" si="30"/>
        <v>2011MaleRural25</v>
      </c>
      <c r="AZ218">
        <v>2011</v>
      </c>
      <c r="BA218" t="s">
        <v>20</v>
      </c>
      <c r="BB218" t="s">
        <v>96</v>
      </c>
      <c r="BC218">
        <v>25</v>
      </c>
      <c r="BD218">
        <v>7</v>
      </c>
      <c r="BE218">
        <v>17.085672443251202</v>
      </c>
      <c r="BF218">
        <v>12.7</v>
      </c>
      <c r="CA218" t="str">
        <f t="shared" si="32"/>
        <v>FemaleOther235</v>
      </c>
      <c r="CB218" t="s">
        <v>8</v>
      </c>
      <c r="CC218" t="s">
        <v>45</v>
      </c>
      <c r="CD218">
        <v>23</v>
      </c>
      <c r="CE218">
        <v>5</v>
      </c>
      <c r="CF218">
        <v>37</v>
      </c>
      <c r="CG218">
        <v>17.6197407510269</v>
      </c>
      <c r="CH218">
        <v>5.7</v>
      </c>
      <c r="CJ218" t="str">
        <f t="shared" si="33"/>
        <v>FemaleOther21Other</v>
      </c>
      <c r="CK218" t="s">
        <v>8</v>
      </c>
      <c r="CL218" t="s">
        <v>45</v>
      </c>
      <c r="CM218" t="s">
        <v>45</v>
      </c>
      <c r="CN218">
        <v>21</v>
      </c>
      <c r="CO218">
        <v>1</v>
      </c>
      <c r="CP218">
        <v>4</v>
      </c>
      <c r="CQ218">
        <v>25</v>
      </c>
    </row>
    <row r="219" spans="1:95">
      <c r="A219" t="str">
        <f t="shared" si="28"/>
        <v>1996FemaleNon-Maori22</v>
      </c>
      <c r="B219">
        <v>1996</v>
      </c>
      <c r="C219" t="s">
        <v>8</v>
      </c>
      <c r="D219" t="s">
        <v>19</v>
      </c>
      <c r="E219">
        <v>22</v>
      </c>
      <c r="F219">
        <v>29</v>
      </c>
      <c r="G219">
        <v>13.1824173826083</v>
      </c>
      <c r="H219">
        <v>4.8</v>
      </c>
      <c r="J219" s="340" t="str">
        <f t="shared" si="29"/>
        <v>2012AllSexNon-Maori191</v>
      </c>
      <c r="K219">
        <v>2012</v>
      </c>
      <c r="L219" t="s">
        <v>17</v>
      </c>
      <c r="M219" t="s">
        <v>19</v>
      </c>
      <c r="N219">
        <v>19</v>
      </c>
      <c r="O219">
        <v>1</v>
      </c>
      <c r="P219">
        <v>50</v>
      </c>
      <c r="Q219">
        <v>5.8373105320872503</v>
      </c>
      <c r="R219">
        <v>1.6</v>
      </c>
      <c r="T219" s="340" t="str">
        <f t="shared" si="31"/>
        <v>1997AllSexAllEth23Hanging, strangulation and suffocation</v>
      </c>
      <c r="U219">
        <v>1997</v>
      </c>
      <c r="V219" t="s">
        <v>17</v>
      </c>
      <c r="W219" t="s">
        <v>27</v>
      </c>
      <c r="X219">
        <v>23</v>
      </c>
      <c r="Y219" t="s">
        <v>43</v>
      </c>
      <c r="Z219">
        <v>97</v>
      </c>
      <c r="AA219">
        <v>256</v>
      </c>
      <c r="AB219">
        <v>37.9</v>
      </c>
      <c r="AY219" t="str">
        <f t="shared" si="30"/>
        <v>2011MaleUrban25</v>
      </c>
      <c r="AZ219">
        <v>2011</v>
      </c>
      <c r="BA219" t="s">
        <v>20</v>
      </c>
      <c r="BB219" t="s">
        <v>97</v>
      </c>
      <c r="BC219">
        <v>25</v>
      </c>
      <c r="BD219">
        <v>23</v>
      </c>
      <c r="BE219">
        <v>10.2660239242992</v>
      </c>
      <c r="BF219">
        <v>4.2</v>
      </c>
      <c r="CA219" t="str">
        <f t="shared" si="32"/>
        <v>FemalePacific231</v>
      </c>
      <c r="CB219" t="s">
        <v>8</v>
      </c>
      <c r="CC219" t="s">
        <v>79</v>
      </c>
      <c r="CD219">
        <v>23</v>
      </c>
      <c r="CE219">
        <v>1</v>
      </c>
      <c r="CF219">
        <v>0</v>
      </c>
      <c r="CG219">
        <v>0</v>
      </c>
      <c r="CJ219" t="str">
        <f t="shared" si="33"/>
        <v>FemaleOther22Other</v>
      </c>
      <c r="CK219" t="s">
        <v>8</v>
      </c>
      <c r="CL219" t="s">
        <v>45</v>
      </c>
      <c r="CM219" t="s">
        <v>45</v>
      </c>
      <c r="CN219">
        <v>22</v>
      </c>
      <c r="CO219">
        <v>2</v>
      </c>
      <c r="CP219">
        <v>63</v>
      </c>
      <c r="CQ219">
        <v>3.2</v>
      </c>
    </row>
    <row r="220" spans="1:95">
      <c r="A220" t="str">
        <f t="shared" si="28"/>
        <v>1996FemaleNon-Maori23</v>
      </c>
      <c r="B220">
        <v>1996</v>
      </c>
      <c r="C220" t="s">
        <v>8</v>
      </c>
      <c r="D220" t="s">
        <v>19</v>
      </c>
      <c r="E220">
        <v>23</v>
      </c>
      <c r="F220">
        <v>25</v>
      </c>
      <c r="G220">
        <v>4.9390520971215199</v>
      </c>
      <c r="H220">
        <v>1.9</v>
      </c>
      <c r="J220" s="340" t="str">
        <f t="shared" si="29"/>
        <v>2012AllSexNon-Maori192</v>
      </c>
      <c r="K220">
        <v>2012</v>
      </c>
      <c r="L220" t="s">
        <v>17</v>
      </c>
      <c r="M220" t="s">
        <v>19</v>
      </c>
      <c r="N220">
        <v>19</v>
      </c>
      <c r="O220">
        <v>2</v>
      </c>
      <c r="P220">
        <v>75</v>
      </c>
      <c r="Q220">
        <v>8.4212610687443306</v>
      </c>
      <c r="R220">
        <v>1.9</v>
      </c>
      <c r="T220" s="340" t="str">
        <f t="shared" si="31"/>
        <v>1997AllSexAllEth24Hanging, strangulation and suffocation</v>
      </c>
      <c r="U220">
        <v>1997</v>
      </c>
      <c r="V220" t="s">
        <v>17</v>
      </c>
      <c r="W220" t="s">
        <v>27</v>
      </c>
      <c r="X220">
        <v>24</v>
      </c>
      <c r="Y220" t="s">
        <v>43</v>
      </c>
      <c r="Z220">
        <v>38</v>
      </c>
      <c r="AA220">
        <v>102</v>
      </c>
      <c r="AB220">
        <v>37.299999999999997</v>
      </c>
      <c r="AY220" t="str">
        <f t="shared" si="30"/>
        <v>2012AllSexRural22</v>
      </c>
      <c r="AZ220">
        <v>2012</v>
      </c>
      <c r="BA220" t="s">
        <v>17</v>
      </c>
      <c r="BB220" t="s">
        <v>96</v>
      </c>
      <c r="BC220">
        <v>22</v>
      </c>
      <c r="BD220">
        <v>17</v>
      </c>
      <c r="BE220">
        <v>24.086143383394699</v>
      </c>
      <c r="BF220">
        <v>11.4</v>
      </c>
      <c r="CA220" t="str">
        <f t="shared" si="32"/>
        <v>FemalePacific232</v>
      </c>
      <c r="CB220" t="s">
        <v>8</v>
      </c>
      <c r="CC220" t="s">
        <v>79</v>
      </c>
      <c r="CD220">
        <v>23</v>
      </c>
      <c r="CE220">
        <v>2</v>
      </c>
      <c r="CF220">
        <v>0</v>
      </c>
      <c r="CG220">
        <v>0</v>
      </c>
      <c r="CJ220" t="str">
        <f t="shared" si="33"/>
        <v>FemaleOther23Other</v>
      </c>
      <c r="CK220" t="s">
        <v>8</v>
      </c>
      <c r="CL220" t="s">
        <v>45</v>
      </c>
      <c r="CM220" t="s">
        <v>45</v>
      </c>
      <c r="CN220">
        <v>23</v>
      </c>
      <c r="CO220">
        <v>6</v>
      </c>
      <c r="CP220">
        <v>151</v>
      </c>
      <c r="CQ220">
        <v>4</v>
      </c>
    </row>
    <row r="221" spans="1:95">
      <c r="A221" t="str">
        <f t="shared" si="28"/>
        <v>1996FemaleNon-Maori24</v>
      </c>
      <c r="B221">
        <v>1996</v>
      </c>
      <c r="C221" t="s">
        <v>8</v>
      </c>
      <c r="D221" t="s">
        <v>19</v>
      </c>
      <c r="E221">
        <v>24</v>
      </c>
      <c r="F221">
        <v>19</v>
      </c>
      <c r="G221">
        <v>5.5746266467153696</v>
      </c>
      <c r="H221">
        <v>2.5</v>
      </c>
      <c r="J221" s="340" t="str">
        <f t="shared" si="29"/>
        <v>2012AllSexNon-Maori193</v>
      </c>
      <c r="K221">
        <v>2012</v>
      </c>
      <c r="L221" t="s">
        <v>17</v>
      </c>
      <c r="M221" t="s">
        <v>19</v>
      </c>
      <c r="N221">
        <v>19</v>
      </c>
      <c r="O221">
        <v>3</v>
      </c>
      <c r="P221">
        <v>100</v>
      </c>
      <c r="Q221">
        <v>12.2450346228781</v>
      </c>
      <c r="R221">
        <v>2.4</v>
      </c>
      <c r="T221" s="340" t="str">
        <f t="shared" si="31"/>
        <v>1997AllSexAllEth25Hanging, strangulation and suffocation</v>
      </c>
      <c r="U221">
        <v>1997</v>
      </c>
      <c r="V221" t="s">
        <v>17</v>
      </c>
      <c r="W221" t="s">
        <v>27</v>
      </c>
      <c r="X221">
        <v>25</v>
      </c>
      <c r="Y221" t="s">
        <v>43</v>
      </c>
      <c r="Z221">
        <v>14</v>
      </c>
      <c r="AA221">
        <v>54</v>
      </c>
      <c r="AB221">
        <v>25.9</v>
      </c>
      <c r="AY221" t="str">
        <f t="shared" si="30"/>
        <v>2012AllSexUrban22</v>
      </c>
      <c r="AZ221">
        <v>2012</v>
      </c>
      <c r="BA221" t="s">
        <v>17</v>
      </c>
      <c r="BB221" t="s">
        <v>97</v>
      </c>
      <c r="BC221">
        <v>22</v>
      </c>
      <c r="BD221">
        <v>131</v>
      </c>
      <c r="BE221">
        <v>23.693682287615999</v>
      </c>
      <c r="BF221">
        <v>4.0999999999999996</v>
      </c>
      <c r="CA221" t="str">
        <f t="shared" si="32"/>
        <v>FemalePacific233</v>
      </c>
      <c r="CB221" t="s">
        <v>8</v>
      </c>
      <c r="CC221" t="s">
        <v>79</v>
      </c>
      <c r="CD221">
        <v>23</v>
      </c>
      <c r="CE221">
        <v>3</v>
      </c>
      <c r="CF221">
        <v>1</v>
      </c>
      <c r="CG221">
        <v>4.1795965867773699</v>
      </c>
      <c r="CH221">
        <v>8.1999999999999993</v>
      </c>
      <c r="CJ221" t="str">
        <f t="shared" si="33"/>
        <v>FemaleOther24Other</v>
      </c>
      <c r="CK221" t="s">
        <v>8</v>
      </c>
      <c r="CL221" t="s">
        <v>45</v>
      </c>
      <c r="CM221" t="s">
        <v>45</v>
      </c>
      <c r="CN221">
        <v>24</v>
      </c>
      <c r="CO221">
        <v>10</v>
      </c>
      <c r="CP221">
        <v>188</v>
      </c>
      <c r="CQ221">
        <v>5.3</v>
      </c>
    </row>
    <row r="222" spans="1:95">
      <c r="A222" t="str">
        <f t="shared" si="28"/>
        <v>1996FemaleNon-Maori25</v>
      </c>
      <c r="B222">
        <v>1996</v>
      </c>
      <c r="C222" t="s">
        <v>8</v>
      </c>
      <c r="D222" t="s">
        <v>19</v>
      </c>
      <c r="E222">
        <v>25</v>
      </c>
      <c r="F222">
        <v>13</v>
      </c>
      <c r="G222">
        <v>5.5124454055887702</v>
      </c>
      <c r="H222">
        <v>3</v>
      </c>
      <c r="J222" s="340" t="str">
        <f t="shared" si="29"/>
        <v>2012AllSexNon-Maori194</v>
      </c>
      <c r="K222">
        <v>2012</v>
      </c>
      <c r="L222" t="s">
        <v>17</v>
      </c>
      <c r="M222" t="s">
        <v>19</v>
      </c>
      <c r="N222">
        <v>19</v>
      </c>
      <c r="O222">
        <v>4</v>
      </c>
      <c r="P222">
        <v>102</v>
      </c>
      <c r="Q222">
        <v>13.592609385810301</v>
      </c>
      <c r="R222">
        <v>2.6</v>
      </c>
      <c r="T222" s="340" t="str">
        <f t="shared" si="31"/>
        <v>1997AllSexAllEth22Jumping from a high place</v>
      </c>
      <c r="U222">
        <v>1997</v>
      </c>
      <c r="V222" t="s">
        <v>17</v>
      </c>
      <c r="W222" t="s">
        <v>27</v>
      </c>
      <c r="X222">
        <v>22</v>
      </c>
      <c r="Y222" t="s">
        <v>44</v>
      </c>
      <c r="Z222">
        <v>2</v>
      </c>
      <c r="AA222">
        <v>142</v>
      </c>
      <c r="AB222">
        <v>1.4</v>
      </c>
      <c r="AY222" t="str">
        <f t="shared" si="30"/>
        <v>2012AllSexRural23</v>
      </c>
      <c r="AZ222">
        <v>2012</v>
      </c>
      <c r="BA222" t="s">
        <v>17</v>
      </c>
      <c r="BB222" t="s">
        <v>96</v>
      </c>
      <c r="BC222">
        <v>23</v>
      </c>
      <c r="BD222">
        <v>23</v>
      </c>
      <c r="BE222">
        <v>15.891660333033901</v>
      </c>
      <c r="BF222">
        <v>6.5</v>
      </c>
      <c r="CA222" t="str">
        <f t="shared" si="32"/>
        <v>FemalePacific234</v>
      </c>
      <c r="CB222" t="s">
        <v>8</v>
      </c>
      <c r="CC222" t="s">
        <v>79</v>
      </c>
      <c r="CD222">
        <v>23</v>
      </c>
      <c r="CE222">
        <v>4</v>
      </c>
      <c r="CF222">
        <v>1</v>
      </c>
      <c r="CG222">
        <v>2.34499217890321</v>
      </c>
      <c r="CH222">
        <v>4.5999999999999996</v>
      </c>
      <c r="CJ222" t="str">
        <f t="shared" si="33"/>
        <v>FemaleOther25Other</v>
      </c>
      <c r="CK222" t="s">
        <v>8</v>
      </c>
      <c r="CL222" t="s">
        <v>45</v>
      </c>
      <c r="CM222" t="s">
        <v>45</v>
      </c>
      <c r="CN222">
        <v>25</v>
      </c>
      <c r="CO222">
        <v>2</v>
      </c>
      <c r="CP222">
        <v>55</v>
      </c>
      <c r="CQ222">
        <v>3.6</v>
      </c>
    </row>
    <row r="223" spans="1:95">
      <c r="A223" t="str">
        <f t="shared" si="28"/>
        <v>1996MaleAllEth21</v>
      </c>
      <c r="B223">
        <v>1996</v>
      </c>
      <c r="C223" t="s">
        <v>20</v>
      </c>
      <c r="D223" t="s">
        <v>27</v>
      </c>
      <c r="E223">
        <v>21</v>
      </c>
      <c r="F223">
        <v>3</v>
      </c>
      <c r="G223">
        <v>0.67825733083131701</v>
      </c>
      <c r="H223">
        <v>0.8</v>
      </c>
      <c r="J223" s="340" t="str">
        <f t="shared" si="29"/>
        <v>2012AllSexNon-Maori195</v>
      </c>
      <c r="K223">
        <v>2012</v>
      </c>
      <c r="L223" t="s">
        <v>17</v>
      </c>
      <c r="M223" t="s">
        <v>19</v>
      </c>
      <c r="N223">
        <v>19</v>
      </c>
      <c r="O223">
        <v>5</v>
      </c>
      <c r="P223">
        <v>86</v>
      </c>
      <c r="Q223">
        <v>13.792419367632601</v>
      </c>
      <c r="R223">
        <v>2.9</v>
      </c>
      <c r="T223" s="340" t="str">
        <f t="shared" si="31"/>
        <v>1997AllSexAllEth23Jumping from a high place</v>
      </c>
      <c r="U223">
        <v>1997</v>
      </c>
      <c r="V223" t="s">
        <v>17</v>
      </c>
      <c r="W223" t="s">
        <v>27</v>
      </c>
      <c r="X223">
        <v>23</v>
      </c>
      <c r="Y223" t="s">
        <v>44</v>
      </c>
      <c r="Z223">
        <v>8</v>
      </c>
      <c r="AA223">
        <v>256</v>
      </c>
      <c r="AB223">
        <v>3.1</v>
      </c>
      <c r="AY223" t="str">
        <f t="shared" si="30"/>
        <v>2012AllSexUrban23</v>
      </c>
      <c r="AZ223">
        <v>2012</v>
      </c>
      <c r="BA223" t="s">
        <v>17</v>
      </c>
      <c r="BB223" t="s">
        <v>97</v>
      </c>
      <c r="BC223">
        <v>23</v>
      </c>
      <c r="BD223">
        <v>161</v>
      </c>
      <c r="BE223">
        <v>16.103381710159098</v>
      </c>
      <c r="BF223">
        <v>2.5</v>
      </c>
      <c r="CA223" t="str">
        <f t="shared" si="32"/>
        <v>FemalePacific235</v>
      </c>
      <c r="CB223" t="s">
        <v>8</v>
      </c>
      <c r="CC223" t="s">
        <v>79</v>
      </c>
      <c r="CD223">
        <v>23</v>
      </c>
      <c r="CE223">
        <v>5</v>
      </c>
      <c r="CF223">
        <v>1</v>
      </c>
      <c r="CG223">
        <v>0.92112380985847597</v>
      </c>
      <c r="CH223">
        <v>1.8</v>
      </c>
      <c r="CJ223" t="str">
        <f t="shared" si="33"/>
        <v>FemaleOther22Poisoning by gases and vapours</v>
      </c>
      <c r="CK223" t="s">
        <v>8</v>
      </c>
      <c r="CL223" t="s">
        <v>45</v>
      </c>
      <c r="CM223" t="s">
        <v>46</v>
      </c>
      <c r="CN223">
        <v>22</v>
      </c>
      <c r="CO223">
        <v>2</v>
      </c>
      <c r="CP223">
        <v>63</v>
      </c>
      <c r="CQ223">
        <v>3.2</v>
      </c>
    </row>
    <row r="224" spans="1:95">
      <c r="A224" t="str">
        <f t="shared" si="28"/>
        <v>1996MaleAllEth22</v>
      </c>
      <c r="B224">
        <v>1996</v>
      </c>
      <c r="C224" t="s">
        <v>20</v>
      </c>
      <c r="D224" t="s">
        <v>27</v>
      </c>
      <c r="E224">
        <v>22</v>
      </c>
      <c r="F224">
        <v>105</v>
      </c>
      <c r="G224">
        <v>37.722292078318702</v>
      </c>
      <c r="H224">
        <v>7.2</v>
      </c>
      <c r="J224" s="340" t="str">
        <f t="shared" si="29"/>
        <v>2013AllSexNon-Maori191</v>
      </c>
      <c r="K224">
        <v>2013</v>
      </c>
      <c r="L224" t="s">
        <v>17</v>
      </c>
      <c r="M224" t="s">
        <v>19</v>
      </c>
      <c r="N224">
        <v>19</v>
      </c>
      <c r="O224">
        <v>1</v>
      </c>
      <c r="P224">
        <v>70</v>
      </c>
      <c r="Q224">
        <v>6.8863390180409496</v>
      </c>
      <c r="R224">
        <v>1.6</v>
      </c>
      <c r="T224" s="340" t="str">
        <f t="shared" si="31"/>
        <v>1997AllSexAllEth24Jumping from a high place</v>
      </c>
      <c r="U224">
        <v>1997</v>
      </c>
      <c r="V224" t="s">
        <v>17</v>
      </c>
      <c r="W224" t="s">
        <v>27</v>
      </c>
      <c r="X224">
        <v>24</v>
      </c>
      <c r="Y224" t="s">
        <v>44</v>
      </c>
      <c r="Z224">
        <v>1</v>
      </c>
      <c r="AA224">
        <v>102</v>
      </c>
      <c r="AB224">
        <v>1</v>
      </c>
      <c r="AY224" t="str">
        <f t="shared" si="30"/>
        <v>2012AllSexRural24</v>
      </c>
      <c r="AZ224">
        <v>2012</v>
      </c>
      <c r="BA224" t="s">
        <v>17</v>
      </c>
      <c r="BB224" t="s">
        <v>96</v>
      </c>
      <c r="BC224">
        <v>24</v>
      </c>
      <c r="BD224">
        <v>35</v>
      </c>
      <c r="BE224">
        <v>17.736786094359701</v>
      </c>
      <c r="BF224">
        <v>5.9</v>
      </c>
      <c r="CA224" t="str">
        <f t="shared" si="32"/>
        <v>FemaleAsian241</v>
      </c>
      <c r="CB224" t="s">
        <v>8</v>
      </c>
      <c r="CC224" t="s">
        <v>78</v>
      </c>
      <c r="CD224">
        <v>24</v>
      </c>
      <c r="CE224">
        <v>1</v>
      </c>
      <c r="CF224">
        <v>1</v>
      </c>
      <c r="CG224">
        <v>1.4157204472343701</v>
      </c>
      <c r="CH224">
        <v>2.8</v>
      </c>
      <c r="CJ224" t="str">
        <f t="shared" si="33"/>
        <v>FemaleOther23Poisoning by gases and vapours</v>
      </c>
      <c r="CK224" t="s">
        <v>8</v>
      </c>
      <c r="CL224" t="s">
        <v>45</v>
      </c>
      <c r="CM224" t="s">
        <v>46</v>
      </c>
      <c r="CN224">
        <v>23</v>
      </c>
      <c r="CO224">
        <v>9</v>
      </c>
      <c r="CP224">
        <v>151</v>
      </c>
      <c r="CQ224">
        <v>6</v>
      </c>
    </row>
    <row r="225" spans="1:95">
      <c r="A225" t="str">
        <f t="shared" si="28"/>
        <v>1996MaleAllEth23</v>
      </c>
      <c r="B225">
        <v>1996</v>
      </c>
      <c r="C225" t="s">
        <v>20</v>
      </c>
      <c r="D225" t="s">
        <v>27</v>
      </c>
      <c r="E225">
        <v>23</v>
      </c>
      <c r="F225">
        <v>188</v>
      </c>
      <c r="G225">
        <v>33.369424377429503</v>
      </c>
      <c r="H225">
        <v>4.8</v>
      </c>
      <c r="J225" s="340" t="str">
        <f t="shared" si="29"/>
        <v>2013AllSexNon-Maori192</v>
      </c>
      <c r="K225">
        <v>2013</v>
      </c>
      <c r="L225" t="s">
        <v>17</v>
      </c>
      <c r="M225" t="s">
        <v>19</v>
      </c>
      <c r="N225">
        <v>19</v>
      </c>
      <c r="O225">
        <v>2</v>
      </c>
      <c r="P225">
        <v>74</v>
      </c>
      <c r="Q225">
        <v>7.75061254391865</v>
      </c>
      <c r="R225">
        <v>1.8</v>
      </c>
      <c r="T225" s="340" t="str">
        <f t="shared" si="31"/>
        <v>1997AllSexAllEth22Other</v>
      </c>
      <c r="U225">
        <v>1997</v>
      </c>
      <c r="V225" t="s">
        <v>17</v>
      </c>
      <c r="W225" t="s">
        <v>27</v>
      </c>
      <c r="X225">
        <v>22</v>
      </c>
      <c r="Y225" t="s">
        <v>45</v>
      </c>
      <c r="Z225">
        <v>4</v>
      </c>
      <c r="AA225">
        <v>142</v>
      </c>
      <c r="AB225">
        <v>2.8</v>
      </c>
      <c r="AY225" t="str">
        <f t="shared" si="30"/>
        <v>2012AllSexUrban24</v>
      </c>
      <c r="AZ225">
        <v>2012</v>
      </c>
      <c r="BA225" t="s">
        <v>17</v>
      </c>
      <c r="BB225" t="s">
        <v>97</v>
      </c>
      <c r="BC225">
        <v>24</v>
      </c>
      <c r="BD225">
        <v>111</v>
      </c>
      <c r="BE225">
        <v>11.9447314049587</v>
      </c>
      <c r="BF225">
        <v>2.2000000000000002</v>
      </c>
      <c r="CA225" t="str">
        <f t="shared" si="32"/>
        <v>FemaleAsian242</v>
      </c>
      <c r="CB225" t="s">
        <v>8</v>
      </c>
      <c r="CC225" t="s">
        <v>78</v>
      </c>
      <c r="CD225">
        <v>24</v>
      </c>
      <c r="CE225">
        <v>2</v>
      </c>
      <c r="CF225">
        <v>5</v>
      </c>
      <c r="CG225">
        <v>6.4597020843870503</v>
      </c>
      <c r="CH225">
        <v>5.7</v>
      </c>
      <c r="CJ225" t="str">
        <f t="shared" si="33"/>
        <v>FemaleOther24Poisoning by gases and vapours</v>
      </c>
      <c r="CK225" t="s">
        <v>8</v>
      </c>
      <c r="CL225" t="s">
        <v>45</v>
      </c>
      <c r="CM225" t="s">
        <v>46</v>
      </c>
      <c r="CN225">
        <v>24</v>
      </c>
      <c r="CO225">
        <v>24</v>
      </c>
      <c r="CP225">
        <v>188</v>
      </c>
      <c r="CQ225">
        <v>12.8</v>
      </c>
    </row>
    <row r="226" spans="1:95">
      <c r="A226" t="str">
        <f t="shared" si="28"/>
        <v>1996MaleAllEth24</v>
      </c>
      <c r="B226">
        <v>1996</v>
      </c>
      <c r="C226" t="s">
        <v>20</v>
      </c>
      <c r="D226" t="s">
        <v>27</v>
      </c>
      <c r="E226">
        <v>24</v>
      </c>
      <c r="F226">
        <v>80</v>
      </c>
      <c r="G226">
        <v>21.494975549465298</v>
      </c>
      <c r="H226">
        <v>4.7</v>
      </c>
      <c r="J226" s="340" t="str">
        <f t="shared" si="29"/>
        <v>2013AllSexNon-Maori193</v>
      </c>
      <c r="K226">
        <v>2013</v>
      </c>
      <c r="L226" t="s">
        <v>17</v>
      </c>
      <c r="M226" t="s">
        <v>19</v>
      </c>
      <c r="N226">
        <v>19</v>
      </c>
      <c r="O226">
        <v>3</v>
      </c>
      <c r="P226">
        <v>87</v>
      </c>
      <c r="Q226">
        <v>9.7238612561748106</v>
      </c>
      <c r="R226">
        <v>2</v>
      </c>
      <c r="T226" s="340" t="str">
        <f t="shared" si="31"/>
        <v>1997AllSexAllEth23Other</v>
      </c>
      <c r="U226">
        <v>1997</v>
      </c>
      <c r="V226" t="s">
        <v>17</v>
      </c>
      <c r="W226" t="s">
        <v>27</v>
      </c>
      <c r="X226">
        <v>23</v>
      </c>
      <c r="Y226" t="s">
        <v>45</v>
      </c>
      <c r="Z226">
        <v>8</v>
      </c>
      <c r="AA226">
        <v>256</v>
      </c>
      <c r="AB226">
        <v>3.1</v>
      </c>
      <c r="AY226" t="str">
        <f t="shared" si="30"/>
        <v>2012AllSexRural25</v>
      </c>
      <c r="AZ226">
        <v>2012</v>
      </c>
      <c r="BA226" t="s">
        <v>17</v>
      </c>
      <c r="BB226" t="s">
        <v>96</v>
      </c>
      <c r="BC226">
        <v>25</v>
      </c>
      <c r="BD226">
        <v>6</v>
      </c>
      <c r="BE226">
        <v>7.3260073260073302</v>
      </c>
      <c r="BF226">
        <v>5.9</v>
      </c>
      <c r="CA226" t="str">
        <f t="shared" si="32"/>
        <v>FemaleAsian243</v>
      </c>
      <c r="CB226" t="s">
        <v>8</v>
      </c>
      <c r="CC226" t="s">
        <v>78</v>
      </c>
      <c r="CD226">
        <v>24</v>
      </c>
      <c r="CE226">
        <v>3</v>
      </c>
      <c r="CF226">
        <v>1</v>
      </c>
      <c r="CG226">
        <v>1.42619901000329</v>
      </c>
      <c r="CH226">
        <v>2.8</v>
      </c>
      <c r="CJ226" t="str">
        <f t="shared" si="33"/>
        <v>FemaleOther25Poisoning by gases and vapours</v>
      </c>
      <c r="CK226" t="s">
        <v>8</v>
      </c>
      <c r="CL226" t="s">
        <v>45</v>
      </c>
      <c r="CM226" t="s">
        <v>46</v>
      </c>
      <c r="CN226">
        <v>25</v>
      </c>
      <c r="CO226">
        <v>3</v>
      </c>
      <c r="CP226">
        <v>55</v>
      </c>
      <c r="CQ226">
        <v>5.5</v>
      </c>
    </row>
    <row r="227" spans="1:95">
      <c r="A227" t="str">
        <f t="shared" si="28"/>
        <v>1996MaleAllEth25</v>
      </c>
      <c r="B227">
        <v>1996</v>
      </c>
      <c r="C227" t="s">
        <v>20</v>
      </c>
      <c r="D227" t="s">
        <v>27</v>
      </c>
      <c r="E227">
        <v>25</v>
      </c>
      <c r="F227">
        <v>53</v>
      </c>
      <c r="G227">
        <v>28.5529576554251</v>
      </c>
      <c r="H227">
        <v>7.7</v>
      </c>
      <c r="J227" s="340" t="str">
        <f t="shared" si="29"/>
        <v>2013AllSexNon-Maori194</v>
      </c>
      <c r="K227">
        <v>2013</v>
      </c>
      <c r="L227" t="s">
        <v>17</v>
      </c>
      <c r="M227" t="s">
        <v>19</v>
      </c>
      <c r="N227">
        <v>19</v>
      </c>
      <c r="O227">
        <v>4</v>
      </c>
      <c r="P227">
        <v>71</v>
      </c>
      <c r="Q227">
        <v>9.19443356923286</v>
      </c>
      <c r="R227">
        <v>2.1</v>
      </c>
      <c r="T227" s="340" t="str">
        <f t="shared" si="31"/>
        <v>1997AllSexAllEth24Other</v>
      </c>
      <c r="U227">
        <v>1997</v>
      </c>
      <c r="V227" t="s">
        <v>17</v>
      </c>
      <c r="W227" t="s">
        <v>27</v>
      </c>
      <c r="X227">
        <v>24</v>
      </c>
      <c r="Y227" t="s">
        <v>45</v>
      </c>
      <c r="Z227">
        <v>2</v>
      </c>
      <c r="AA227">
        <v>102</v>
      </c>
      <c r="AB227">
        <v>2</v>
      </c>
      <c r="AY227" t="str">
        <f t="shared" si="30"/>
        <v>2012AllSexUrban25</v>
      </c>
      <c r="AZ227">
        <v>2012</v>
      </c>
      <c r="BA227" t="s">
        <v>17</v>
      </c>
      <c r="BB227" t="s">
        <v>97</v>
      </c>
      <c r="BC227">
        <v>25</v>
      </c>
      <c r="BD227">
        <v>51</v>
      </c>
      <c r="BE227">
        <v>9.7896191646191593</v>
      </c>
      <c r="BF227">
        <v>2.7</v>
      </c>
      <c r="CA227" t="str">
        <f t="shared" si="32"/>
        <v>FemaleAsian244</v>
      </c>
      <c r="CB227" t="s">
        <v>8</v>
      </c>
      <c r="CC227" t="s">
        <v>78</v>
      </c>
      <c r="CD227">
        <v>24</v>
      </c>
      <c r="CE227">
        <v>4</v>
      </c>
      <c r="CF227">
        <v>4</v>
      </c>
      <c r="CG227">
        <v>6.3392412517554702</v>
      </c>
      <c r="CH227">
        <v>6.2</v>
      </c>
      <c r="CJ227" t="str">
        <f t="shared" si="33"/>
        <v>FemaleOther22Poisoning by solids and liquids</v>
      </c>
      <c r="CK227" t="s">
        <v>8</v>
      </c>
      <c r="CL227" t="s">
        <v>45</v>
      </c>
      <c r="CM227" t="s">
        <v>47</v>
      </c>
      <c r="CN227">
        <v>22</v>
      </c>
      <c r="CO227">
        <v>5</v>
      </c>
      <c r="CP227">
        <v>63</v>
      </c>
      <c r="CQ227">
        <v>7.9</v>
      </c>
    </row>
    <row r="228" spans="1:95">
      <c r="A228" t="str">
        <f t="shared" si="28"/>
        <v>1996MaleMaori21</v>
      </c>
      <c r="B228">
        <v>1996</v>
      </c>
      <c r="C228" t="s">
        <v>20</v>
      </c>
      <c r="D228" t="s">
        <v>18</v>
      </c>
      <c r="E228">
        <v>21</v>
      </c>
      <c r="F228">
        <v>1</v>
      </c>
      <c r="G228">
        <v>0.99324592769169595</v>
      </c>
      <c r="H228">
        <v>1.9</v>
      </c>
      <c r="J228" s="340" t="str">
        <f t="shared" si="29"/>
        <v>2013AllSexNon-Maori195</v>
      </c>
      <c r="K228">
        <v>2013</v>
      </c>
      <c r="L228" t="s">
        <v>17</v>
      </c>
      <c r="M228" t="s">
        <v>19</v>
      </c>
      <c r="N228">
        <v>19</v>
      </c>
      <c r="O228">
        <v>5</v>
      </c>
      <c r="P228">
        <v>80</v>
      </c>
      <c r="Q228">
        <v>13.1094925994683</v>
      </c>
      <c r="R228">
        <v>2.9</v>
      </c>
      <c r="T228" s="340" t="str">
        <f t="shared" si="31"/>
        <v>1997AllSexAllEth25Other</v>
      </c>
      <c r="U228">
        <v>1997</v>
      </c>
      <c r="V228" t="s">
        <v>17</v>
      </c>
      <c r="W228" t="s">
        <v>27</v>
      </c>
      <c r="X228">
        <v>25</v>
      </c>
      <c r="Y228" t="s">
        <v>45</v>
      </c>
      <c r="Z228">
        <v>2</v>
      </c>
      <c r="AA228">
        <v>54</v>
      </c>
      <c r="AB228">
        <v>3.7</v>
      </c>
      <c r="AY228" t="str">
        <f t="shared" si="30"/>
        <v>2012FemaleRural22</v>
      </c>
      <c r="AZ228">
        <v>2012</v>
      </c>
      <c r="BA228" t="s">
        <v>8</v>
      </c>
      <c r="BB228" t="s">
        <v>96</v>
      </c>
      <c r="BC228">
        <v>22</v>
      </c>
      <c r="BD228">
        <v>7</v>
      </c>
      <c r="BE228">
        <v>21.374045801526702</v>
      </c>
      <c r="BF228">
        <v>15.8</v>
      </c>
      <c r="CA228" t="str">
        <f t="shared" si="32"/>
        <v>FemaleAsian245</v>
      </c>
      <c r="CB228" t="s">
        <v>8</v>
      </c>
      <c r="CC228" t="s">
        <v>78</v>
      </c>
      <c r="CD228">
        <v>24</v>
      </c>
      <c r="CE228">
        <v>5</v>
      </c>
      <c r="CF228">
        <v>5</v>
      </c>
      <c r="CG228">
        <v>10.4707044199988</v>
      </c>
      <c r="CH228">
        <v>9.1999999999999993</v>
      </c>
      <c r="CJ228" t="str">
        <f t="shared" si="33"/>
        <v>FemaleOther23Poisoning by solids and liquids</v>
      </c>
      <c r="CK228" t="s">
        <v>8</v>
      </c>
      <c r="CL228" t="s">
        <v>45</v>
      </c>
      <c r="CM228" t="s">
        <v>47</v>
      </c>
      <c r="CN228">
        <v>23</v>
      </c>
      <c r="CO228">
        <v>37</v>
      </c>
      <c r="CP228">
        <v>151</v>
      </c>
      <c r="CQ228">
        <v>24.5</v>
      </c>
    </row>
    <row r="229" spans="1:95">
      <c r="A229" t="str">
        <f t="shared" si="28"/>
        <v>1996MaleMaori22</v>
      </c>
      <c r="B229">
        <v>1996</v>
      </c>
      <c r="C229" t="s">
        <v>20</v>
      </c>
      <c r="D229" t="s">
        <v>18</v>
      </c>
      <c r="E229">
        <v>22</v>
      </c>
      <c r="F229">
        <v>30</v>
      </c>
      <c r="G229">
        <v>58.59375</v>
      </c>
      <c r="H229">
        <v>21</v>
      </c>
      <c r="J229" s="340" t="str">
        <f t="shared" si="29"/>
        <v>2014AllSexNon-Maori191</v>
      </c>
      <c r="K229">
        <v>2014</v>
      </c>
      <c r="L229" t="s">
        <v>17</v>
      </c>
      <c r="M229" t="s">
        <v>19</v>
      </c>
      <c r="N229">
        <v>19</v>
      </c>
      <c r="O229">
        <v>1</v>
      </c>
      <c r="P229">
        <v>55</v>
      </c>
      <c r="Q229">
        <v>5.7323671865219996</v>
      </c>
      <c r="R229">
        <v>1.5</v>
      </c>
      <c r="T229" s="340" t="str">
        <f t="shared" si="31"/>
        <v>1997AllSexAllEth22Poisoning by gases and vapours</v>
      </c>
      <c r="U229">
        <v>1997</v>
      </c>
      <c r="V229" t="s">
        <v>17</v>
      </c>
      <c r="W229" t="s">
        <v>27</v>
      </c>
      <c r="X229">
        <v>22</v>
      </c>
      <c r="Y229" t="s">
        <v>46</v>
      </c>
      <c r="Z229">
        <v>36</v>
      </c>
      <c r="AA229">
        <v>142</v>
      </c>
      <c r="AB229">
        <v>25.4</v>
      </c>
      <c r="AY229" t="str">
        <f t="shared" si="30"/>
        <v>2012FemaleUrban22</v>
      </c>
      <c r="AZ229">
        <v>2012</v>
      </c>
      <c r="BA229" t="s">
        <v>8</v>
      </c>
      <c r="BB229" t="s">
        <v>97</v>
      </c>
      <c r="BC229">
        <v>22</v>
      </c>
      <c r="BD229">
        <v>34</v>
      </c>
      <c r="BE229">
        <v>12.3857054387818</v>
      </c>
      <c r="BF229">
        <v>4.2</v>
      </c>
      <c r="CA229" t="str">
        <f t="shared" si="32"/>
        <v>FemaleMaori241</v>
      </c>
      <c r="CB229" t="s">
        <v>8</v>
      </c>
      <c r="CC229" t="s">
        <v>18</v>
      </c>
      <c r="CD229">
        <v>24</v>
      </c>
      <c r="CE229">
        <v>1</v>
      </c>
      <c r="CF229">
        <v>0</v>
      </c>
      <c r="CG229">
        <v>0</v>
      </c>
      <c r="CJ229" t="str">
        <f t="shared" si="33"/>
        <v>FemaleOther24Poisoning by solids and liquids</v>
      </c>
      <c r="CK229" t="s">
        <v>8</v>
      </c>
      <c r="CL229" t="s">
        <v>45</v>
      </c>
      <c r="CM229" t="s">
        <v>47</v>
      </c>
      <c r="CN229">
        <v>24</v>
      </c>
      <c r="CO229">
        <v>74</v>
      </c>
      <c r="CP229">
        <v>188</v>
      </c>
      <c r="CQ229">
        <v>39.4</v>
      </c>
    </row>
    <row r="230" spans="1:95">
      <c r="A230" t="str">
        <f t="shared" si="28"/>
        <v>1996MaleMaori23</v>
      </c>
      <c r="B230">
        <v>1996</v>
      </c>
      <c r="C230" t="s">
        <v>20</v>
      </c>
      <c r="D230" t="s">
        <v>18</v>
      </c>
      <c r="E230">
        <v>23</v>
      </c>
      <c r="F230">
        <v>36</v>
      </c>
      <c r="G230">
        <v>50.811573747353599</v>
      </c>
      <c r="H230">
        <v>16.600000000000001</v>
      </c>
      <c r="J230" s="340" t="str">
        <f t="shared" si="29"/>
        <v>2014AllSexNon-Maori192</v>
      </c>
      <c r="K230">
        <v>2014</v>
      </c>
      <c r="L230" t="s">
        <v>17</v>
      </c>
      <c r="M230" t="s">
        <v>19</v>
      </c>
      <c r="N230">
        <v>19</v>
      </c>
      <c r="O230">
        <v>2</v>
      </c>
      <c r="P230">
        <v>68</v>
      </c>
      <c r="Q230">
        <v>7.6072288012468299</v>
      </c>
      <c r="R230">
        <v>1.8</v>
      </c>
      <c r="T230" s="340" t="str">
        <f t="shared" si="31"/>
        <v>1997AllSexAllEth23Poisoning by gases and vapours</v>
      </c>
      <c r="U230">
        <v>1997</v>
      </c>
      <c r="V230" t="s">
        <v>17</v>
      </c>
      <c r="W230" t="s">
        <v>27</v>
      </c>
      <c r="X230">
        <v>23</v>
      </c>
      <c r="Y230" t="s">
        <v>46</v>
      </c>
      <c r="Z230">
        <v>82</v>
      </c>
      <c r="AA230">
        <v>256</v>
      </c>
      <c r="AB230">
        <v>32</v>
      </c>
      <c r="AY230" t="str">
        <f t="shared" si="30"/>
        <v>2012FemaleRural23</v>
      </c>
      <c r="AZ230">
        <v>2012</v>
      </c>
      <c r="BA230" t="s">
        <v>8</v>
      </c>
      <c r="BB230" t="s">
        <v>96</v>
      </c>
      <c r="BC230">
        <v>23</v>
      </c>
      <c r="BD230">
        <v>7</v>
      </c>
      <c r="BE230">
        <v>9.4658553076403003</v>
      </c>
      <c r="BF230">
        <v>7</v>
      </c>
      <c r="CA230" t="str">
        <f t="shared" si="32"/>
        <v>FemaleMaori242</v>
      </c>
      <c r="CB230" t="s">
        <v>8</v>
      </c>
      <c r="CC230" t="s">
        <v>18</v>
      </c>
      <c r="CD230">
        <v>24</v>
      </c>
      <c r="CE230">
        <v>2</v>
      </c>
      <c r="CF230">
        <v>0</v>
      </c>
      <c r="CG230">
        <v>0</v>
      </c>
      <c r="CJ230" t="str">
        <f t="shared" si="33"/>
        <v>FemaleOther25Poisoning by solids and liquids</v>
      </c>
      <c r="CK230" t="s">
        <v>8</v>
      </c>
      <c r="CL230" t="s">
        <v>45</v>
      </c>
      <c r="CM230" t="s">
        <v>47</v>
      </c>
      <c r="CN230">
        <v>25</v>
      </c>
      <c r="CO230">
        <v>30</v>
      </c>
      <c r="CP230">
        <v>55</v>
      </c>
      <c r="CQ230">
        <v>54.5</v>
      </c>
    </row>
    <row r="231" spans="1:95">
      <c r="A231" t="str">
        <f t="shared" si="28"/>
        <v>1996MaleMaori24</v>
      </c>
      <c r="B231">
        <v>1996</v>
      </c>
      <c r="C231" t="s">
        <v>20</v>
      </c>
      <c r="D231" t="s">
        <v>18</v>
      </c>
      <c r="E231">
        <v>24</v>
      </c>
      <c r="F231">
        <v>5</v>
      </c>
      <c r="G231">
        <v>16.103059581320501</v>
      </c>
      <c r="H231">
        <v>14.1</v>
      </c>
      <c r="J231" s="340" t="str">
        <f t="shared" si="29"/>
        <v>2014AllSexNon-Maori193</v>
      </c>
      <c r="K231">
        <v>2014</v>
      </c>
      <c r="L231" t="s">
        <v>17</v>
      </c>
      <c r="M231" t="s">
        <v>19</v>
      </c>
      <c r="N231">
        <v>19</v>
      </c>
      <c r="O231">
        <v>3</v>
      </c>
      <c r="P231">
        <v>76</v>
      </c>
      <c r="Q231">
        <v>9.05209822465598</v>
      </c>
      <c r="R231">
        <v>2</v>
      </c>
      <c r="T231" s="340" t="str">
        <f t="shared" si="31"/>
        <v>1997AllSexAllEth24Poisoning by gases and vapours</v>
      </c>
      <c r="U231">
        <v>1997</v>
      </c>
      <c r="V231" t="s">
        <v>17</v>
      </c>
      <c r="W231" t="s">
        <v>27</v>
      </c>
      <c r="X231">
        <v>24</v>
      </c>
      <c r="Y231" t="s">
        <v>46</v>
      </c>
      <c r="Z231">
        <v>23</v>
      </c>
      <c r="AA231">
        <v>102</v>
      </c>
      <c r="AB231">
        <v>22.5</v>
      </c>
      <c r="AY231" t="str">
        <f t="shared" si="30"/>
        <v>2012FemaleUrban23</v>
      </c>
      <c r="AZ231">
        <v>2012</v>
      </c>
      <c r="BA231" t="s">
        <v>8</v>
      </c>
      <c r="BB231" t="s">
        <v>97</v>
      </c>
      <c r="BC231">
        <v>23</v>
      </c>
      <c r="BD231">
        <v>35</v>
      </c>
      <c r="BE231">
        <v>6.6956172402578797</v>
      </c>
      <c r="BF231">
        <v>2.2000000000000002</v>
      </c>
      <c r="CA231" t="str">
        <f t="shared" si="32"/>
        <v>FemaleMaori243</v>
      </c>
      <c r="CB231" t="s">
        <v>8</v>
      </c>
      <c r="CC231" t="s">
        <v>18</v>
      </c>
      <c r="CD231">
        <v>24</v>
      </c>
      <c r="CE231">
        <v>3</v>
      </c>
      <c r="CF231">
        <v>8</v>
      </c>
      <c r="CG231">
        <v>14.6421604850609</v>
      </c>
      <c r="CH231">
        <v>10.1</v>
      </c>
      <c r="CJ231" t="str">
        <f t="shared" si="33"/>
        <v>FemaleOther22Sharp object</v>
      </c>
      <c r="CK231" t="s">
        <v>8</v>
      </c>
      <c r="CL231" t="s">
        <v>45</v>
      </c>
      <c r="CM231" t="s">
        <v>48</v>
      </c>
      <c r="CN231">
        <v>22</v>
      </c>
      <c r="CO231">
        <v>2</v>
      </c>
      <c r="CP231">
        <v>63</v>
      </c>
      <c r="CQ231">
        <v>3.2</v>
      </c>
    </row>
    <row r="232" spans="1:95">
      <c r="A232" t="str">
        <f t="shared" si="28"/>
        <v>1996MaleMaori25</v>
      </c>
      <c r="B232">
        <v>1996</v>
      </c>
      <c r="C232" t="s">
        <v>20</v>
      </c>
      <c r="D232" t="s">
        <v>18</v>
      </c>
      <c r="E232">
        <v>25</v>
      </c>
      <c r="F232">
        <v>1</v>
      </c>
      <c r="G232">
        <v>14.5985401459854</v>
      </c>
      <c r="H232">
        <v>28.6</v>
      </c>
      <c r="J232" s="340" t="str">
        <f t="shared" si="29"/>
        <v>2014AllSexNon-Maori194</v>
      </c>
      <c r="K232">
        <v>2014</v>
      </c>
      <c r="L232" t="s">
        <v>17</v>
      </c>
      <c r="M232" t="s">
        <v>19</v>
      </c>
      <c r="N232">
        <v>19</v>
      </c>
      <c r="O232">
        <v>4</v>
      </c>
      <c r="P232">
        <v>101</v>
      </c>
      <c r="Q232">
        <v>12.3127259713626</v>
      </c>
      <c r="R232">
        <v>2.4</v>
      </c>
      <c r="T232" s="340" t="str">
        <f t="shared" si="31"/>
        <v>1997AllSexAllEth25Poisoning by gases and vapours</v>
      </c>
      <c r="U232">
        <v>1997</v>
      </c>
      <c r="V232" t="s">
        <v>17</v>
      </c>
      <c r="W232" t="s">
        <v>27</v>
      </c>
      <c r="X232">
        <v>25</v>
      </c>
      <c r="Y232" t="s">
        <v>46</v>
      </c>
      <c r="Z232">
        <v>16</v>
      </c>
      <c r="AA232">
        <v>54</v>
      </c>
      <c r="AB232">
        <v>29.6</v>
      </c>
      <c r="AY232" t="str">
        <f t="shared" si="30"/>
        <v>2012FemaleRural24</v>
      </c>
      <c r="AZ232">
        <v>2012</v>
      </c>
      <c r="BA232" t="s">
        <v>8</v>
      </c>
      <c r="BB232" t="s">
        <v>96</v>
      </c>
      <c r="BC232">
        <v>24</v>
      </c>
      <c r="BD232">
        <v>7</v>
      </c>
      <c r="BE232">
        <v>7.2023870768597602</v>
      </c>
      <c r="BF232">
        <v>5.3</v>
      </c>
      <c r="CA232" t="str">
        <f t="shared" si="32"/>
        <v>FemaleMaori244</v>
      </c>
      <c r="CB232" t="s">
        <v>8</v>
      </c>
      <c r="CC232" t="s">
        <v>18</v>
      </c>
      <c r="CD232">
        <v>24</v>
      </c>
      <c r="CE232">
        <v>4</v>
      </c>
      <c r="CF232">
        <v>2</v>
      </c>
      <c r="CG232">
        <v>2.5676610559054001</v>
      </c>
      <c r="CH232">
        <v>3.6</v>
      </c>
      <c r="CJ232" t="str">
        <f t="shared" si="33"/>
        <v>FemaleOther23Sharp object</v>
      </c>
      <c r="CK232" t="s">
        <v>8</v>
      </c>
      <c r="CL232" t="s">
        <v>45</v>
      </c>
      <c r="CM232" t="s">
        <v>48</v>
      </c>
      <c r="CN232">
        <v>23</v>
      </c>
      <c r="CO232">
        <v>1</v>
      </c>
      <c r="CP232">
        <v>151</v>
      </c>
      <c r="CQ232">
        <v>0.7</v>
      </c>
    </row>
    <row r="233" spans="1:95">
      <c r="A233" t="str">
        <f t="shared" si="28"/>
        <v>1996MaleNon-Maori21</v>
      </c>
      <c r="B233">
        <v>1996</v>
      </c>
      <c r="C233" t="s">
        <v>20</v>
      </c>
      <c r="D233" t="s">
        <v>19</v>
      </c>
      <c r="E233">
        <v>21</v>
      </c>
      <c r="F233">
        <v>2</v>
      </c>
      <c r="G233">
        <v>0.58542868015104099</v>
      </c>
      <c r="H233">
        <v>0.8</v>
      </c>
      <c r="J233" s="340" t="str">
        <f t="shared" si="29"/>
        <v>2014AllSexNon-Maori195</v>
      </c>
      <c r="K233">
        <v>2014</v>
      </c>
      <c r="L233" t="s">
        <v>17</v>
      </c>
      <c r="M233" t="s">
        <v>19</v>
      </c>
      <c r="N233">
        <v>19</v>
      </c>
      <c r="O233">
        <v>5</v>
      </c>
      <c r="P233">
        <v>101</v>
      </c>
      <c r="Q233">
        <v>15.6118360483781</v>
      </c>
      <c r="R233">
        <v>3</v>
      </c>
      <c r="T233" s="340" t="str">
        <f t="shared" si="31"/>
        <v>1997AllSexAllEth21Poisoning by solids and liquids</v>
      </c>
      <c r="U233">
        <v>1997</v>
      </c>
      <c r="V233" t="s">
        <v>17</v>
      </c>
      <c r="W233" t="s">
        <v>27</v>
      </c>
      <c r="X233">
        <v>21</v>
      </c>
      <c r="Y233" t="s">
        <v>47</v>
      </c>
      <c r="Z233">
        <v>1</v>
      </c>
      <c r="AA233">
        <v>8</v>
      </c>
      <c r="AB233">
        <v>12.5</v>
      </c>
      <c r="AY233" t="str">
        <f t="shared" si="30"/>
        <v>2012FemaleUrban24</v>
      </c>
      <c r="AZ233">
        <v>2012</v>
      </c>
      <c r="BA233" t="s">
        <v>8</v>
      </c>
      <c r="BB233" t="s">
        <v>97</v>
      </c>
      <c r="BC233">
        <v>24</v>
      </c>
      <c r="BD233">
        <v>35</v>
      </c>
      <c r="BE233">
        <v>7.2571949904619704</v>
      </c>
      <c r="BF233">
        <v>2.4</v>
      </c>
      <c r="CA233" t="str">
        <f t="shared" si="32"/>
        <v>FemaleMaori245</v>
      </c>
      <c r="CB233" t="s">
        <v>8</v>
      </c>
      <c r="CC233" t="s">
        <v>18</v>
      </c>
      <c r="CD233">
        <v>24</v>
      </c>
      <c r="CE233">
        <v>5</v>
      </c>
      <c r="CF233">
        <v>10</v>
      </c>
      <c r="CG233">
        <v>7.0557100686288701</v>
      </c>
      <c r="CH233">
        <v>4.4000000000000004</v>
      </c>
      <c r="CJ233" t="str">
        <f t="shared" si="33"/>
        <v>FemaleOther24Sharp object</v>
      </c>
      <c r="CK233" t="s">
        <v>8</v>
      </c>
      <c r="CL233" t="s">
        <v>45</v>
      </c>
      <c r="CM233" t="s">
        <v>48</v>
      </c>
      <c r="CN233">
        <v>24</v>
      </c>
      <c r="CO233">
        <v>3</v>
      </c>
      <c r="CP233">
        <v>188</v>
      </c>
      <c r="CQ233">
        <v>1.6</v>
      </c>
    </row>
    <row r="234" spans="1:95">
      <c r="A234" t="str">
        <f t="shared" si="28"/>
        <v>1996MaleNon-Maori22</v>
      </c>
      <c r="B234">
        <v>1996</v>
      </c>
      <c r="C234" t="s">
        <v>20</v>
      </c>
      <c r="D234" t="s">
        <v>19</v>
      </c>
      <c r="E234">
        <v>22</v>
      </c>
      <c r="F234">
        <v>75</v>
      </c>
      <c r="G234">
        <v>33.017829627999099</v>
      </c>
      <c r="H234">
        <v>7.5</v>
      </c>
      <c r="J234" s="340" t="str">
        <f t="shared" si="29"/>
        <v>2015AllSexNon-Maori191</v>
      </c>
      <c r="K234">
        <v>2015</v>
      </c>
      <c r="L234" t="s">
        <v>17</v>
      </c>
      <c r="M234" t="s">
        <v>19</v>
      </c>
      <c r="N234">
        <v>19</v>
      </c>
      <c r="O234">
        <v>1</v>
      </c>
      <c r="P234">
        <v>78</v>
      </c>
      <c r="Q234">
        <v>8.2228761833545203</v>
      </c>
      <c r="R234">
        <v>1.8</v>
      </c>
      <c r="T234" s="340" t="str">
        <f t="shared" si="31"/>
        <v>1997AllSexAllEth22Poisoning by solids and liquids</v>
      </c>
      <c r="U234">
        <v>1997</v>
      </c>
      <c r="V234" t="s">
        <v>17</v>
      </c>
      <c r="W234" t="s">
        <v>27</v>
      </c>
      <c r="X234">
        <v>22</v>
      </c>
      <c r="Y234" t="s">
        <v>47</v>
      </c>
      <c r="Z234">
        <v>9</v>
      </c>
      <c r="AA234">
        <v>142</v>
      </c>
      <c r="AB234">
        <v>6.3</v>
      </c>
      <c r="AY234" t="str">
        <f t="shared" si="30"/>
        <v>2012FemaleRural25</v>
      </c>
      <c r="AZ234">
        <v>2012</v>
      </c>
      <c r="BA234" t="s">
        <v>8</v>
      </c>
      <c r="BB234" t="s">
        <v>96</v>
      </c>
      <c r="BC234">
        <v>25</v>
      </c>
      <c r="BD234">
        <v>0</v>
      </c>
      <c r="BE234">
        <v>0</v>
      </c>
      <c r="CA234" t="str">
        <f t="shared" si="32"/>
        <v>FemaleOther241</v>
      </c>
      <c r="CB234" t="s">
        <v>8</v>
      </c>
      <c r="CC234" t="s">
        <v>45</v>
      </c>
      <c r="CD234">
        <v>24</v>
      </c>
      <c r="CE234">
        <v>1</v>
      </c>
      <c r="CF234">
        <v>31</v>
      </c>
      <c r="CG234">
        <v>5.1508095585874401</v>
      </c>
      <c r="CH234">
        <v>1.8</v>
      </c>
      <c r="CJ234" t="str">
        <f t="shared" si="33"/>
        <v>FemaleOther25Sharp object</v>
      </c>
      <c r="CK234" t="s">
        <v>8</v>
      </c>
      <c r="CL234" t="s">
        <v>45</v>
      </c>
      <c r="CM234" t="s">
        <v>48</v>
      </c>
      <c r="CN234">
        <v>25</v>
      </c>
      <c r="CO234">
        <v>1</v>
      </c>
      <c r="CP234">
        <v>55</v>
      </c>
      <c r="CQ234">
        <v>1.8</v>
      </c>
    </row>
    <row r="235" spans="1:95">
      <c r="A235" t="str">
        <f t="shared" si="28"/>
        <v>1996MaleNon-Maori23</v>
      </c>
      <c r="B235">
        <v>1996</v>
      </c>
      <c r="C235" t="s">
        <v>20</v>
      </c>
      <c r="D235" t="s">
        <v>19</v>
      </c>
      <c r="E235">
        <v>23</v>
      </c>
      <c r="F235">
        <v>152</v>
      </c>
      <c r="G235">
        <v>30.860437730945701</v>
      </c>
      <c r="H235">
        <v>4.9000000000000004</v>
      </c>
      <c r="J235" s="340" t="str">
        <f t="shared" si="29"/>
        <v>2015AllSexNon-Maori192</v>
      </c>
      <c r="K235">
        <v>2015</v>
      </c>
      <c r="L235" t="s">
        <v>17</v>
      </c>
      <c r="M235" t="s">
        <v>19</v>
      </c>
      <c r="N235">
        <v>19</v>
      </c>
      <c r="O235">
        <v>2</v>
      </c>
      <c r="P235">
        <v>80</v>
      </c>
      <c r="Q235">
        <v>8.2412621593162996</v>
      </c>
      <c r="R235">
        <v>1.8</v>
      </c>
      <c r="T235" s="340" t="str">
        <f t="shared" si="31"/>
        <v>1997AllSexAllEth23Poisoning by solids and liquids</v>
      </c>
      <c r="U235">
        <v>1997</v>
      </c>
      <c r="V235" t="s">
        <v>17</v>
      </c>
      <c r="W235" t="s">
        <v>27</v>
      </c>
      <c r="X235">
        <v>23</v>
      </c>
      <c r="Y235" t="s">
        <v>47</v>
      </c>
      <c r="Z235">
        <v>27</v>
      </c>
      <c r="AA235">
        <v>256</v>
      </c>
      <c r="AB235">
        <v>10.5</v>
      </c>
      <c r="AY235" t="str">
        <f t="shared" si="30"/>
        <v>2012FemaleUrban25</v>
      </c>
      <c r="AZ235">
        <v>2012</v>
      </c>
      <c r="BA235" t="s">
        <v>8</v>
      </c>
      <c r="BB235" t="s">
        <v>97</v>
      </c>
      <c r="BC235">
        <v>25</v>
      </c>
      <c r="BD235">
        <v>14</v>
      </c>
      <c r="BE235">
        <v>4.8641512056146201</v>
      </c>
      <c r="BF235">
        <v>2.5</v>
      </c>
      <c r="CA235" t="str">
        <f t="shared" si="32"/>
        <v>FemaleOther242</v>
      </c>
      <c r="CB235" t="s">
        <v>8</v>
      </c>
      <c r="CC235" t="s">
        <v>45</v>
      </c>
      <c r="CD235">
        <v>24</v>
      </c>
      <c r="CE235">
        <v>2</v>
      </c>
      <c r="CF235">
        <v>45</v>
      </c>
      <c r="CG235">
        <v>8.7751649810977206</v>
      </c>
      <c r="CH235">
        <v>2.6</v>
      </c>
      <c r="CJ235" t="str">
        <f t="shared" si="33"/>
        <v>FemaleOther22Submersion (drowning)</v>
      </c>
      <c r="CK235" t="s">
        <v>8</v>
      </c>
      <c r="CL235" t="s">
        <v>45</v>
      </c>
      <c r="CM235" t="s">
        <v>49</v>
      </c>
      <c r="CN235">
        <v>22</v>
      </c>
      <c r="CO235">
        <v>3</v>
      </c>
      <c r="CP235">
        <v>63</v>
      </c>
      <c r="CQ235">
        <v>4.8</v>
      </c>
    </row>
    <row r="236" spans="1:95">
      <c r="A236" t="str">
        <f t="shared" si="28"/>
        <v>1996MaleNon-Maori24</v>
      </c>
      <c r="B236">
        <v>1996</v>
      </c>
      <c r="C236" t="s">
        <v>20</v>
      </c>
      <c r="D236" t="s">
        <v>19</v>
      </c>
      <c r="E236">
        <v>24</v>
      </c>
      <c r="F236">
        <v>75</v>
      </c>
      <c r="G236">
        <v>21.985753231905701</v>
      </c>
      <c r="H236">
        <v>5</v>
      </c>
      <c r="J236" s="340" t="str">
        <f t="shared" si="29"/>
        <v>2015AllSexNon-Maori193</v>
      </c>
      <c r="K236">
        <v>2015</v>
      </c>
      <c r="L236" t="s">
        <v>17</v>
      </c>
      <c r="M236" t="s">
        <v>19</v>
      </c>
      <c r="N236">
        <v>19</v>
      </c>
      <c r="O236">
        <v>3</v>
      </c>
      <c r="P236">
        <v>74</v>
      </c>
      <c r="Q236">
        <v>8.3806808558893309</v>
      </c>
      <c r="R236">
        <v>1.9</v>
      </c>
      <c r="T236" s="340" t="str">
        <f t="shared" si="31"/>
        <v>1997AllSexAllEth24Poisoning by solids and liquids</v>
      </c>
      <c r="U236">
        <v>1997</v>
      </c>
      <c r="V236" t="s">
        <v>17</v>
      </c>
      <c r="W236" t="s">
        <v>27</v>
      </c>
      <c r="X236">
        <v>24</v>
      </c>
      <c r="Y236" t="s">
        <v>47</v>
      </c>
      <c r="Z236">
        <v>14</v>
      </c>
      <c r="AA236">
        <v>102</v>
      </c>
      <c r="AB236">
        <v>13.7</v>
      </c>
      <c r="AY236" t="str">
        <f t="shared" si="30"/>
        <v>2012MaleRural22</v>
      </c>
      <c r="AZ236">
        <v>2012</v>
      </c>
      <c r="BA236" t="s">
        <v>20</v>
      </c>
      <c r="BB236" t="s">
        <v>96</v>
      </c>
      <c r="BC236">
        <v>22</v>
      </c>
      <c r="BD236">
        <v>10</v>
      </c>
      <c r="BE236">
        <v>26.441036488630399</v>
      </c>
      <c r="BF236">
        <v>16.399999999999999</v>
      </c>
      <c r="CA236" t="str">
        <f t="shared" si="32"/>
        <v>FemaleOther243</v>
      </c>
      <c r="CB236" t="s">
        <v>8</v>
      </c>
      <c r="CC236" t="s">
        <v>45</v>
      </c>
      <c r="CD236">
        <v>24</v>
      </c>
      <c r="CE236">
        <v>3</v>
      </c>
      <c r="CF236">
        <v>34</v>
      </c>
      <c r="CG236">
        <v>7.6558340031077297</v>
      </c>
      <c r="CH236">
        <v>2.6</v>
      </c>
      <c r="CJ236" t="str">
        <f t="shared" si="33"/>
        <v>FemaleOther23Submersion (drowning)</v>
      </c>
      <c r="CK236" t="s">
        <v>8</v>
      </c>
      <c r="CL236" t="s">
        <v>45</v>
      </c>
      <c r="CM236" t="s">
        <v>49</v>
      </c>
      <c r="CN236">
        <v>23</v>
      </c>
      <c r="CO236">
        <v>3</v>
      </c>
      <c r="CP236">
        <v>151</v>
      </c>
      <c r="CQ236">
        <v>2</v>
      </c>
    </row>
    <row r="237" spans="1:95">
      <c r="A237" t="str">
        <f t="shared" si="28"/>
        <v>1996MaleNon-Maori25</v>
      </c>
      <c r="B237">
        <v>1996</v>
      </c>
      <c r="C237" t="s">
        <v>20</v>
      </c>
      <c r="D237" t="s">
        <v>19</v>
      </c>
      <c r="E237">
        <v>25</v>
      </c>
      <c r="F237">
        <v>52</v>
      </c>
      <c r="G237">
        <v>29.087654528164698</v>
      </c>
      <c r="H237">
        <v>7.9</v>
      </c>
      <c r="J237" s="340" t="str">
        <f t="shared" si="29"/>
        <v>2015AllSexNon-Maori194</v>
      </c>
      <c r="K237">
        <v>2015</v>
      </c>
      <c r="L237" t="s">
        <v>17</v>
      </c>
      <c r="M237" t="s">
        <v>19</v>
      </c>
      <c r="N237">
        <v>19</v>
      </c>
      <c r="O237">
        <v>4</v>
      </c>
      <c r="P237">
        <v>91</v>
      </c>
      <c r="Q237">
        <v>11.200531176064599</v>
      </c>
      <c r="R237">
        <v>2.2999999999999998</v>
      </c>
      <c r="T237" s="340" t="str">
        <f t="shared" si="31"/>
        <v>1997AllSexAllEth25Poisoning by solids and liquids</v>
      </c>
      <c r="U237">
        <v>1997</v>
      </c>
      <c r="V237" t="s">
        <v>17</v>
      </c>
      <c r="W237" t="s">
        <v>27</v>
      </c>
      <c r="X237">
        <v>25</v>
      </c>
      <c r="Y237" t="s">
        <v>47</v>
      </c>
      <c r="Z237">
        <v>8</v>
      </c>
      <c r="AA237">
        <v>54</v>
      </c>
      <c r="AB237">
        <v>14.8</v>
      </c>
      <c r="AY237" t="str">
        <f t="shared" si="30"/>
        <v>2012MaleUrban22</v>
      </c>
      <c r="AZ237">
        <v>2012</v>
      </c>
      <c r="BA237" t="s">
        <v>20</v>
      </c>
      <c r="BB237" t="s">
        <v>97</v>
      </c>
      <c r="BC237">
        <v>22</v>
      </c>
      <c r="BD237">
        <v>97</v>
      </c>
      <c r="BE237">
        <v>34.8469607702256</v>
      </c>
      <c r="BF237">
        <v>6.9</v>
      </c>
      <c r="CA237" t="str">
        <f t="shared" si="32"/>
        <v>FemaleOther244</v>
      </c>
      <c r="CB237" t="s">
        <v>8</v>
      </c>
      <c r="CC237" t="s">
        <v>45</v>
      </c>
      <c r="CD237">
        <v>24</v>
      </c>
      <c r="CE237">
        <v>4</v>
      </c>
      <c r="CF237">
        <v>36</v>
      </c>
      <c r="CG237">
        <v>9.8672018098539898</v>
      </c>
      <c r="CH237">
        <v>3.2</v>
      </c>
      <c r="CJ237" t="str">
        <f t="shared" si="33"/>
        <v>FemaleOther24Submersion (drowning)</v>
      </c>
      <c r="CK237" t="s">
        <v>8</v>
      </c>
      <c r="CL237" t="s">
        <v>45</v>
      </c>
      <c r="CM237" t="s">
        <v>49</v>
      </c>
      <c r="CN237">
        <v>24</v>
      </c>
      <c r="CO237">
        <v>8</v>
      </c>
      <c r="CP237">
        <v>188</v>
      </c>
      <c r="CQ237">
        <v>4.3</v>
      </c>
    </row>
    <row r="238" spans="1:95">
      <c r="A238" t="str">
        <f t="shared" si="28"/>
        <v>1997AllSexAllEth21</v>
      </c>
      <c r="B238">
        <v>1997</v>
      </c>
      <c r="C238" t="s">
        <v>17</v>
      </c>
      <c r="D238" t="s">
        <v>27</v>
      </c>
      <c r="E238">
        <v>21</v>
      </c>
      <c r="F238">
        <v>8</v>
      </c>
      <c r="G238">
        <v>0.91994204365124999</v>
      </c>
      <c r="H238">
        <v>0.6</v>
      </c>
      <c r="J238" s="340" t="str">
        <f t="shared" si="29"/>
        <v>2015AllSexNon-Maori195</v>
      </c>
      <c r="K238">
        <v>2015</v>
      </c>
      <c r="L238" t="s">
        <v>17</v>
      </c>
      <c r="M238" t="s">
        <v>19</v>
      </c>
      <c r="N238">
        <v>19</v>
      </c>
      <c r="O238">
        <v>5</v>
      </c>
      <c r="P238">
        <v>82</v>
      </c>
      <c r="Q238">
        <v>12.470200233423901</v>
      </c>
      <c r="R238">
        <v>2.7</v>
      </c>
      <c r="T238" s="340" t="str">
        <f t="shared" si="31"/>
        <v>1997AllSexAllEth23Sharp object</v>
      </c>
      <c r="U238">
        <v>1997</v>
      </c>
      <c r="V238" t="s">
        <v>17</v>
      </c>
      <c r="W238" t="s">
        <v>27</v>
      </c>
      <c r="X238">
        <v>23</v>
      </c>
      <c r="Y238" t="s">
        <v>48</v>
      </c>
      <c r="Z238">
        <v>5</v>
      </c>
      <c r="AA238">
        <v>256</v>
      </c>
      <c r="AB238">
        <v>2</v>
      </c>
      <c r="AY238" t="str">
        <f t="shared" si="30"/>
        <v>2012MaleRural23</v>
      </c>
      <c r="AZ238">
        <v>2012</v>
      </c>
      <c r="BA238" t="s">
        <v>20</v>
      </c>
      <c r="BB238" t="s">
        <v>96</v>
      </c>
      <c r="BC238">
        <v>23</v>
      </c>
      <c r="BD238">
        <v>16</v>
      </c>
      <c r="BE238">
        <v>22.611644997173499</v>
      </c>
      <c r="BF238">
        <v>11.1</v>
      </c>
      <c r="CA238" t="str">
        <f t="shared" si="32"/>
        <v>FemaleOther245</v>
      </c>
      <c r="CB238" t="s">
        <v>8</v>
      </c>
      <c r="CC238" t="s">
        <v>45</v>
      </c>
      <c r="CD238">
        <v>24</v>
      </c>
      <c r="CE238">
        <v>5</v>
      </c>
      <c r="CF238">
        <v>37</v>
      </c>
      <c r="CG238">
        <v>15.900198387934401</v>
      </c>
      <c r="CH238">
        <v>5.0999999999999996</v>
      </c>
      <c r="CJ238" t="str">
        <f t="shared" si="33"/>
        <v>FemaleOther25Submersion (drowning)</v>
      </c>
      <c r="CK238" t="s">
        <v>8</v>
      </c>
      <c r="CL238" t="s">
        <v>45</v>
      </c>
      <c r="CM238" t="s">
        <v>49</v>
      </c>
      <c r="CN238">
        <v>25</v>
      </c>
      <c r="CO238">
        <v>2</v>
      </c>
      <c r="CP238">
        <v>55</v>
      </c>
      <c r="CQ238">
        <v>3.6</v>
      </c>
    </row>
    <row r="239" spans="1:95">
      <c r="A239" t="str">
        <f t="shared" si="28"/>
        <v>1997AllSexAllEth22</v>
      </c>
      <c r="B239">
        <v>1997</v>
      </c>
      <c r="C239" t="s">
        <v>17</v>
      </c>
      <c r="D239" t="s">
        <v>27</v>
      </c>
      <c r="E239">
        <v>22</v>
      </c>
      <c r="F239">
        <v>142</v>
      </c>
      <c r="G239">
        <v>26.072267920093999</v>
      </c>
      <c r="H239">
        <v>4.3</v>
      </c>
      <c r="J239" s="340" t="str">
        <f t="shared" si="29"/>
        <v>2016AllSexNon-Maori191</v>
      </c>
      <c r="K239">
        <v>2016</v>
      </c>
      <c r="L239" t="s">
        <v>17</v>
      </c>
      <c r="M239" t="s">
        <v>19</v>
      </c>
      <c r="N239">
        <v>19</v>
      </c>
      <c r="O239">
        <v>1</v>
      </c>
      <c r="P239">
        <v>70</v>
      </c>
      <c r="Q239">
        <v>7.2380403122927603</v>
      </c>
      <c r="R239">
        <v>1.7</v>
      </c>
      <c r="T239" s="340" t="str">
        <f t="shared" si="31"/>
        <v>1997AllSexAllEth24Sharp object</v>
      </c>
      <c r="U239">
        <v>1997</v>
      </c>
      <c r="V239" t="s">
        <v>17</v>
      </c>
      <c r="W239" t="s">
        <v>27</v>
      </c>
      <c r="X239">
        <v>24</v>
      </c>
      <c r="Y239" t="s">
        <v>48</v>
      </c>
      <c r="Z239">
        <v>5</v>
      </c>
      <c r="AA239">
        <v>102</v>
      </c>
      <c r="AB239">
        <v>4.9000000000000004</v>
      </c>
      <c r="AY239" t="str">
        <f t="shared" si="30"/>
        <v>2012MaleUrban23</v>
      </c>
      <c r="AZ239">
        <v>2012</v>
      </c>
      <c r="BA239" t="s">
        <v>20</v>
      </c>
      <c r="BB239" t="s">
        <v>97</v>
      </c>
      <c r="BC239">
        <v>23</v>
      </c>
      <c r="BD239">
        <v>126</v>
      </c>
      <c r="BE239">
        <v>26.4106648780079</v>
      </c>
      <c r="BF239">
        <v>4.5999999999999996</v>
      </c>
      <c r="CA239" t="str">
        <f t="shared" si="32"/>
        <v>FemalePacific241</v>
      </c>
      <c r="CB239" t="s">
        <v>8</v>
      </c>
      <c r="CC239" t="s">
        <v>79</v>
      </c>
      <c r="CD239">
        <v>24</v>
      </c>
      <c r="CE239">
        <v>1</v>
      </c>
      <c r="CF239">
        <v>0</v>
      </c>
      <c r="CG239">
        <v>0</v>
      </c>
      <c r="CJ239" t="str">
        <f t="shared" si="33"/>
        <v>FemalePacific21Hanging, strangulation and suffocation</v>
      </c>
      <c r="CK239" t="s">
        <v>8</v>
      </c>
      <c r="CL239" t="s">
        <v>79</v>
      </c>
      <c r="CM239" t="s">
        <v>43</v>
      </c>
      <c r="CN239">
        <v>21</v>
      </c>
      <c r="CO239">
        <v>4</v>
      </c>
      <c r="CP239">
        <v>5</v>
      </c>
      <c r="CQ239">
        <v>80</v>
      </c>
    </row>
    <row r="240" spans="1:95">
      <c r="A240" t="str">
        <f t="shared" si="28"/>
        <v>1997AllSexAllEth23</v>
      </c>
      <c r="B240">
        <v>1997</v>
      </c>
      <c r="C240" t="s">
        <v>17</v>
      </c>
      <c r="D240" t="s">
        <v>27</v>
      </c>
      <c r="E240">
        <v>23</v>
      </c>
      <c r="F240">
        <v>256</v>
      </c>
      <c r="G240">
        <v>21.971419988842602</v>
      </c>
      <c r="H240">
        <v>2.7</v>
      </c>
      <c r="J240" s="340" t="str">
        <f t="shared" si="29"/>
        <v>2016AllSexNon-Maori192</v>
      </c>
      <c r="K240">
        <v>2016</v>
      </c>
      <c r="L240" t="s">
        <v>17</v>
      </c>
      <c r="M240" t="s">
        <v>19</v>
      </c>
      <c r="N240">
        <v>19</v>
      </c>
      <c r="O240">
        <v>2</v>
      </c>
      <c r="P240">
        <v>65</v>
      </c>
      <c r="Q240">
        <v>6.6096317313835504</v>
      </c>
      <c r="R240">
        <v>1.6</v>
      </c>
      <c r="T240" s="340" t="str">
        <f t="shared" si="31"/>
        <v>1997AllSexAllEth25Sharp object</v>
      </c>
      <c r="U240">
        <v>1997</v>
      </c>
      <c r="V240" t="s">
        <v>17</v>
      </c>
      <c r="W240" t="s">
        <v>27</v>
      </c>
      <c r="X240">
        <v>25</v>
      </c>
      <c r="Y240" t="s">
        <v>48</v>
      </c>
      <c r="Z240">
        <v>4</v>
      </c>
      <c r="AA240">
        <v>54</v>
      </c>
      <c r="AB240">
        <v>7.4</v>
      </c>
      <c r="AY240" t="str">
        <f t="shared" si="30"/>
        <v>2012MaleRural24</v>
      </c>
      <c r="AZ240">
        <v>2012</v>
      </c>
      <c r="BA240" t="s">
        <v>20</v>
      </c>
      <c r="BB240" t="s">
        <v>96</v>
      </c>
      <c r="BC240">
        <v>24</v>
      </c>
      <c r="BD240">
        <v>28</v>
      </c>
      <c r="BE240">
        <v>27.955271565495199</v>
      </c>
      <c r="BF240">
        <v>10.4</v>
      </c>
      <c r="CA240" t="str">
        <f t="shared" si="32"/>
        <v>FemalePacific242</v>
      </c>
      <c r="CB240" t="s">
        <v>8</v>
      </c>
      <c r="CC240" t="s">
        <v>79</v>
      </c>
      <c r="CD240">
        <v>24</v>
      </c>
      <c r="CE240">
        <v>2</v>
      </c>
      <c r="CF240">
        <v>1</v>
      </c>
      <c r="CG240">
        <v>8.5590769268602607</v>
      </c>
      <c r="CH240">
        <v>16.8</v>
      </c>
      <c r="CJ240" t="str">
        <f t="shared" si="33"/>
        <v>FemalePacific22Hanging, strangulation and suffocation</v>
      </c>
      <c r="CK240" t="s">
        <v>8</v>
      </c>
      <c r="CL240" t="s">
        <v>79</v>
      </c>
      <c r="CM240" t="s">
        <v>43</v>
      </c>
      <c r="CN240">
        <v>22</v>
      </c>
      <c r="CO240">
        <v>12</v>
      </c>
      <c r="CP240">
        <v>14</v>
      </c>
      <c r="CQ240">
        <v>85.7</v>
      </c>
    </row>
    <row r="241" spans="1:95">
      <c r="A241" t="str">
        <f t="shared" si="28"/>
        <v>1997AllSexAllEth24</v>
      </c>
      <c r="B241">
        <v>1997</v>
      </c>
      <c r="C241" t="s">
        <v>17</v>
      </c>
      <c r="D241" t="s">
        <v>27</v>
      </c>
      <c r="E241">
        <v>24</v>
      </c>
      <c r="F241">
        <v>102</v>
      </c>
      <c r="G241">
        <v>13.2947524829905</v>
      </c>
      <c r="H241">
        <v>2.6</v>
      </c>
      <c r="J241" s="340" t="str">
        <f t="shared" si="29"/>
        <v>2016AllSexNon-Maori193</v>
      </c>
      <c r="K241">
        <v>2016</v>
      </c>
      <c r="L241" t="s">
        <v>17</v>
      </c>
      <c r="M241" t="s">
        <v>19</v>
      </c>
      <c r="N241">
        <v>19</v>
      </c>
      <c r="O241">
        <v>3</v>
      </c>
      <c r="P241">
        <v>85</v>
      </c>
      <c r="Q241">
        <v>8.9536734505989806</v>
      </c>
      <c r="R241">
        <v>1.9</v>
      </c>
      <c r="T241" s="340" t="str">
        <f t="shared" si="31"/>
        <v>1997AllSexAllEth22Submersion (drowning)</v>
      </c>
      <c r="U241">
        <v>1997</v>
      </c>
      <c r="V241" t="s">
        <v>17</v>
      </c>
      <c r="W241" t="s">
        <v>27</v>
      </c>
      <c r="X241">
        <v>22</v>
      </c>
      <c r="Y241" t="s">
        <v>49</v>
      </c>
      <c r="Z241">
        <v>1</v>
      </c>
      <c r="AA241">
        <v>142</v>
      </c>
      <c r="AB241">
        <v>0.7</v>
      </c>
      <c r="AY241" t="str">
        <f t="shared" si="30"/>
        <v>2012MaleUrban24</v>
      </c>
      <c r="AZ241">
        <v>2012</v>
      </c>
      <c r="BA241" t="s">
        <v>20</v>
      </c>
      <c r="BB241" t="s">
        <v>97</v>
      </c>
      <c r="BC241">
        <v>24</v>
      </c>
      <c r="BD241">
        <v>76</v>
      </c>
      <c r="BE241">
        <v>17.001856781727501</v>
      </c>
      <c r="BF241">
        <v>3.8</v>
      </c>
      <c r="CA241" t="str">
        <f t="shared" si="32"/>
        <v>FemalePacific243</v>
      </c>
      <c r="CB241" t="s">
        <v>8</v>
      </c>
      <c r="CC241" t="s">
        <v>79</v>
      </c>
      <c r="CD241">
        <v>24</v>
      </c>
      <c r="CE241">
        <v>3</v>
      </c>
      <c r="CF241">
        <v>0</v>
      </c>
      <c r="CG241">
        <v>0</v>
      </c>
      <c r="CJ241" t="str">
        <f t="shared" si="33"/>
        <v>FemalePacific23Hanging, strangulation and suffocation</v>
      </c>
      <c r="CK241" t="s">
        <v>8</v>
      </c>
      <c r="CL241" t="s">
        <v>79</v>
      </c>
      <c r="CM241" t="s">
        <v>43</v>
      </c>
      <c r="CN241">
        <v>23</v>
      </c>
      <c r="CO241">
        <v>3</v>
      </c>
      <c r="CP241">
        <v>3</v>
      </c>
      <c r="CQ241">
        <v>100</v>
      </c>
    </row>
    <row r="242" spans="1:95">
      <c r="A242" t="str">
        <f t="shared" si="28"/>
        <v>1997AllSexAllEth25</v>
      </c>
      <c r="B242">
        <v>1997</v>
      </c>
      <c r="C242" t="s">
        <v>17</v>
      </c>
      <c r="D242" t="s">
        <v>27</v>
      </c>
      <c r="E242">
        <v>25</v>
      </c>
      <c r="F242">
        <v>54</v>
      </c>
      <c r="G242">
        <v>12.387594053954899</v>
      </c>
      <c r="H242">
        <v>3.3</v>
      </c>
      <c r="J242" s="340" t="str">
        <f t="shared" si="29"/>
        <v>2016AllSexNon-Maori194</v>
      </c>
      <c r="K242">
        <v>2016</v>
      </c>
      <c r="L242" t="s">
        <v>17</v>
      </c>
      <c r="M242" t="s">
        <v>19</v>
      </c>
      <c r="N242">
        <v>19</v>
      </c>
      <c r="O242">
        <v>4</v>
      </c>
      <c r="P242">
        <v>115</v>
      </c>
      <c r="Q242">
        <v>14.119167990118701</v>
      </c>
      <c r="R242">
        <v>2.6</v>
      </c>
      <c r="T242" s="340" t="str">
        <f t="shared" si="31"/>
        <v>1997AllSexAllEth23Submersion (drowning)</v>
      </c>
      <c r="U242">
        <v>1997</v>
      </c>
      <c r="V242" t="s">
        <v>17</v>
      </c>
      <c r="W242" t="s">
        <v>27</v>
      </c>
      <c r="X242">
        <v>23</v>
      </c>
      <c r="Y242" t="s">
        <v>49</v>
      </c>
      <c r="Z242">
        <v>6</v>
      </c>
      <c r="AA242">
        <v>256</v>
      </c>
      <c r="AB242">
        <v>2.2999999999999998</v>
      </c>
      <c r="AY242" t="str">
        <f t="shared" si="30"/>
        <v>2012MaleRural25</v>
      </c>
      <c r="AZ242">
        <v>2012</v>
      </c>
      <c r="BA242" t="s">
        <v>20</v>
      </c>
      <c r="BB242" t="s">
        <v>96</v>
      </c>
      <c r="BC242">
        <v>25</v>
      </c>
      <c r="BD242">
        <v>6</v>
      </c>
      <c r="BE242">
        <v>13.7362637362637</v>
      </c>
      <c r="BF242">
        <v>11</v>
      </c>
      <c r="CA242" t="str">
        <f t="shared" si="32"/>
        <v>FemalePacific244</v>
      </c>
      <c r="CB242" t="s">
        <v>8</v>
      </c>
      <c r="CC242" t="s">
        <v>79</v>
      </c>
      <c r="CD242">
        <v>24</v>
      </c>
      <c r="CE242">
        <v>4</v>
      </c>
      <c r="CF242">
        <v>1</v>
      </c>
      <c r="CG242">
        <v>3.6155851949273399</v>
      </c>
      <c r="CH242">
        <v>7.1</v>
      </c>
      <c r="CJ242" t="str">
        <f t="shared" si="33"/>
        <v>FemalePacific24Hanging, strangulation and suffocation</v>
      </c>
      <c r="CK242" t="s">
        <v>8</v>
      </c>
      <c r="CL242" t="s">
        <v>79</v>
      </c>
      <c r="CM242" t="s">
        <v>43</v>
      </c>
      <c r="CN242">
        <v>24</v>
      </c>
      <c r="CO242">
        <v>3</v>
      </c>
      <c r="CP242">
        <v>5</v>
      </c>
      <c r="CQ242">
        <v>60</v>
      </c>
    </row>
    <row r="243" spans="1:95">
      <c r="A243" t="str">
        <f t="shared" si="28"/>
        <v>1997AllSexMaori21</v>
      </c>
      <c r="B243">
        <v>1997</v>
      </c>
      <c r="C243" t="s">
        <v>17</v>
      </c>
      <c r="D243" t="s">
        <v>18</v>
      </c>
      <c r="E243">
        <v>21</v>
      </c>
      <c r="F243">
        <v>4</v>
      </c>
      <c r="G243">
        <v>1.98599870910084</v>
      </c>
      <c r="H243">
        <v>1.9</v>
      </c>
      <c r="J243" s="340" t="str">
        <f t="shared" si="29"/>
        <v>2016AllSexNon-Maori195</v>
      </c>
      <c r="K243">
        <v>2016</v>
      </c>
      <c r="L243" t="s">
        <v>17</v>
      </c>
      <c r="M243" t="s">
        <v>19</v>
      </c>
      <c r="N243">
        <v>19</v>
      </c>
      <c r="O243">
        <v>5</v>
      </c>
      <c r="P243">
        <v>82</v>
      </c>
      <c r="Q243">
        <v>12.177398547017299</v>
      </c>
      <c r="R243">
        <v>2.6</v>
      </c>
      <c r="T243" s="340" t="str">
        <f t="shared" si="31"/>
        <v>1997AllSexAllEth24Submersion (drowning)</v>
      </c>
      <c r="U243">
        <v>1997</v>
      </c>
      <c r="V243" t="s">
        <v>17</v>
      </c>
      <c r="W243" t="s">
        <v>27</v>
      </c>
      <c r="X243">
        <v>24</v>
      </c>
      <c r="Y243" t="s">
        <v>49</v>
      </c>
      <c r="Z243">
        <v>5</v>
      </c>
      <c r="AA243">
        <v>102</v>
      </c>
      <c r="AB243">
        <v>4.9000000000000004</v>
      </c>
      <c r="AY243" t="str">
        <f t="shared" si="30"/>
        <v>2012MaleUrban25</v>
      </c>
      <c r="AZ243">
        <v>2012</v>
      </c>
      <c r="BA243" t="s">
        <v>20</v>
      </c>
      <c r="BB243" t="s">
        <v>97</v>
      </c>
      <c r="BC243">
        <v>25</v>
      </c>
      <c r="BD243">
        <v>37</v>
      </c>
      <c r="BE243">
        <v>15.8716540837337</v>
      </c>
      <c r="BF243">
        <v>5.0999999999999996</v>
      </c>
      <c r="CA243" t="str">
        <f t="shared" si="32"/>
        <v>FemalePacific245</v>
      </c>
      <c r="CB243" t="s">
        <v>8</v>
      </c>
      <c r="CC243" t="s">
        <v>79</v>
      </c>
      <c r="CD243">
        <v>24</v>
      </c>
      <c r="CE243">
        <v>5</v>
      </c>
      <c r="CF243">
        <v>3</v>
      </c>
      <c r="CG243">
        <v>4.06899511584583</v>
      </c>
      <c r="CH243">
        <v>4.5999999999999996</v>
      </c>
      <c r="CJ243" t="str">
        <f t="shared" si="33"/>
        <v>FemalePacific25Hanging, strangulation and suffocation</v>
      </c>
      <c r="CK243" t="s">
        <v>8</v>
      </c>
      <c r="CL243" t="s">
        <v>79</v>
      </c>
      <c r="CM243" t="s">
        <v>43</v>
      </c>
      <c r="CN243">
        <v>25</v>
      </c>
      <c r="CO243">
        <v>1</v>
      </c>
      <c r="CP243">
        <v>1</v>
      </c>
      <c r="CQ243">
        <v>100</v>
      </c>
    </row>
    <row r="244" spans="1:95">
      <c r="A244" t="str">
        <f t="shared" si="28"/>
        <v>1997AllSexMaori22</v>
      </c>
      <c r="B244">
        <v>1997</v>
      </c>
      <c r="C244" t="s">
        <v>17</v>
      </c>
      <c r="D244" t="s">
        <v>18</v>
      </c>
      <c r="E244">
        <v>22</v>
      </c>
      <c r="F244">
        <v>38</v>
      </c>
      <c r="G244">
        <v>36.496350364963497</v>
      </c>
      <c r="H244">
        <v>11.6</v>
      </c>
      <c r="J244" s="340" t="str">
        <f t="shared" si="29"/>
        <v>2001FemaleAllEth191</v>
      </c>
      <c r="K244">
        <v>2001</v>
      </c>
      <c r="L244" t="s">
        <v>8</v>
      </c>
      <c r="M244" t="s">
        <v>27</v>
      </c>
      <c r="N244">
        <v>19</v>
      </c>
      <c r="O244">
        <v>1</v>
      </c>
      <c r="P244">
        <v>16</v>
      </c>
      <c r="Q244">
        <v>5.1582565725393197</v>
      </c>
      <c r="R244">
        <v>2.5</v>
      </c>
      <c r="T244" s="340" t="str">
        <f t="shared" si="31"/>
        <v>1997AllSexAllEth25Submersion (drowning)</v>
      </c>
      <c r="U244">
        <v>1997</v>
      </c>
      <c r="V244" t="s">
        <v>17</v>
      </c>
      <c r="W244" t="s">
        <v>27</v>
      </c>
      <c r="X244">
        <v>25</v>
      </c>
      <c r="Y244" t="s">
        <v>49</v>
      </c>
      <c r="Z244">
        <v>5</v>
      </c>
      <c r="AA244">
        <v>54</v>
      </c>
      <c r="AB244">
        <v>9.3000000000000007</v>
      </c>
      <c r="AY244" t="str">
        <f t="shared" si="30"/>
        <v>2013AllSexRural22</v>
      </c>
      <c r="AZ244">
        <v>2013</v>
      </c>
      <c r="BA244" t="s">
        <v>17</v>
      </c>
      <c r="BB244" t="s">
        <v>96</v>
      </c>
      <c r="BC244">
        <v>22</v>
      </c>
      <c r="BD244">
        <v>16</v>
      </c>
      <c r="BE244">
        <v>22.873481057898498</v>
      </c>
      <c r="BF244">
        <v>11.2</v>
      </c>
      <c r="CA244" t="str">
        <f t="shared" si="32"/>
        <v>FemaleAsian251</v>
      </c>
      <c r="CB244" t="s">
        <v>8</v>
      </c>
      <c r="CC244" t="s">
        <v>78</v>
      </c>
      <c r="CD244">
        <v>25</v>
      </c>
      <c r="CE244">
        <v>1</v>
      </c>
      <c r="CF244">
        <v>2</v>
      </c>
      <c r="CG244">
        <v>10.618176375339001</v>
      </c>
      <c r="CH244">
        <v>14.7</v>
      </c>
      <c r="CJ244" t="str">
        <f t="shared" si="33"/>
        <v>FemalePacific21Other</v>
      </c>
      <c r="CK244" t="s">
        <v>8</v>
      </c>
      <c r="CL244" t="s">
        <v>79</v>
      </c>
      <c r="CM244" t="s">
        <v>45</v>
      </c>
      <c r="CN244">
        <v>21</v>
      </c>
      <c r="CO244">
        <v>1</v>
      </c>
      <c r="CP244">
        <v>5</v>
      </c>
      <c r="CQ244">
        <v>20</v>
      </c>
    </row>
    <row r="245" spans="1:95">
      <c r="A245" t="str">
        <f t="shared" si="28"/>
        <v>1997AllSexMaori23</v>
      </c>
      <c r="B245">
        <v>1997</v>
      </c>
      <c r="C245" t="s">
        <v>17</v>
      </c>
      <c r="D245" t="s">
        <v>18</v>
      </c>
      <c r="E245">
        <v>23</v>
      </c>
      <c r="F245">
        <v>56</v>
      </c>
      <c r="G245">
        <v>36.558297427862598</v>
      </c>
      <c r="H245">
        <v>9.6</v>
      </c>
      <c r="J245" s="340" t="str">
        <f t="shared" si="29"/>
        <v>2001FemaleAllEth192</v>
      </c>
      <c r="K245">
        <v>2001</v>
      </c>
      <c r="L245" t="s">
        <v>8</v>
      </c>
      <c r="M245" t="s">
        <v>27</v>
      </c>
      <c r="N245">
        <v>19</v>
      </c>
      <c r="O245">
        <v>2</v>
      </c>
      <c r="P245">
        <v>17</v>
      </c>
      <c r="Q245">
        <v>4.2441968928107396</v>
      </c>
      <c r="R245">
        <v>2</v>
      </c>
      <c r="T245" s="340" t="str">
        <f t="shared" si="31"/>
        <v>1997AllSexMaori22Firearms and explosives</v>
      </c>
      <c r="U245">
        <v>1997</v>
      </c>
      <c r="V245" t="s">
        <v>17</v>
      </c>
      <c r="W245" t="s">
        <v>18</v>
      </c>
      <c r="X245">
        <v>22</v>
      </c>
      <c r="Y245" t="s">
        <v>42</v>
      </c>
      <c r="Z245">
        <v>1</v>
      </c>
      <c r="AA245">
        <v>38</v>
      </c>
      <c r="AB245">
        <v>2.6</v>
      </c>
      <c r="AY245" t="str">
        <f t="shared" si="30"/>
        <v>2013AllSexUrban22</v>
      </c>
      <c r="AZ245">
        <v>2013</v>
      </c>
      <c r="BA245" t="s">
        <v>17</v>
      </c>
      <c r="BB245" t="s">
        <v>97</v>
      </c>
      <c r="BC245">
        <v>22</v>
      </c>
      <c r="BD245">
        <v>95</v>
      </c>
      <c r="BE245">
        <v>17.043110098491201</v>
      </c>
      <c r="BF245">
        <v>3.4</v>
      </c>
      <c r="CA245" t="str">
        <f t="shared" si="32"/>
        <v>FemaleAsian252</v>
      </c>
      <c r="CB245" t="s">
        <v>8</v>
      </c>
      <c r="CC245" t="s">
        <v>78</v>
      </c>
      <c r="CD245">
        <v>25</v>
      </c>
      <c r="CE245">
        <v>2</v>
      </c>
      <c r="CF245">
        <v>1</v>
      </c>
      <c r="CG245">
        <v>4.5860548885360002</v>
      </c>
      <c r="CH245">
        <v>9</v>
      </c>
      <c r="CJ245" t="str">
        <f t="shared" si="33"/>
        <v>FemalePacific22Poisoning by solids and liquids</v>
      </c>
      <c r="CK245" t="s">
        <v>8</v>
      </c>
      <c r="CL245" t="s">
        <v>79</v>
      </c>
      <c r="CM245" t="s">
        <v>47</v>
      </c>
      <c r="CN245">
        <v>22</v>
      </c>
      <c r="CO245">
        <v>2</v>
      </c>
      <c r="CP245">
        <v>14</v>
      </c>
      <c r="CQ245">
        <v>14.3</v>
      </c>
    </row>
    <row r="246" spans="1:95">
      <c r="A246" t="str">
        <f t="shared" si="28"/>
        <v>1997AllSexMaori24</v>
      </c>
      <c r="B246">
        <v>1997</v>
      </c>
      <c r="C246" t="s">
        <v>17</v>
      </c>
      <c r="D246" t="s">
        <v>18</v>
      </c>
      <c r="E246">
        <v>24</v>
      </c>
      <c r="F246">
        <v>7</v>
      </c>
      <c r="G246">
        <v>10.644768856447699</v>
      </c>
      <c r="H246">
        <v>7.9</v>
      </c>
      <c r="J246" s="340" t="str">
        <f t="shared" si="29"/>
        <v>2001FemaleAllEth193</v>
      </c>
      <c r="K246">
        <v>2001</v>
      </c>
      <c r="L246" t="s">
        <v>8</v>
      </c>
      <c r="M246" t="s">
        <v>27</v>
      </c>
      <c r="N246">
        <v>19</v>
      </c>
      <c r="O246">
        <v>3</v>
      </c>
      <c r="P246">
        <v>27</v>
      </c>
      <c r="Q246">
        <v>6.3400490043583</v>
      </c>
      <c r="R246">
        <v>2.4</v>
      </c>
      <c r="T246" s="340" t="str">
        <f t="shared" si="31"/>
        <v>1997AllSexMaori23Firearms and explosives</v>
      </c>
      <c r="U246">
        <v>1997</v>
      </c>
      <c r="V246" t="s">
        <v>17</v>
      </c>
      <c r="W246" t="s">
        <v>18</v>
      </c>
      <c r="X246">
        <v>23</v>
      </c>
      <c r="Y246" t="s">
        <v>42</v>
      </c>
      <c r="Z246">
        <v>6</v>
      </c>
      <c r="AA246">
        <v>56</v>
      </c>
      <c r="AB246">
        <v>10.7</v>
      </c>
      <c r="AY246" t="str">
        <f t="shared" si="30"/>
        <v>2013AllSexRural23</v>
      </c>
      <c r="AZ246">
        <v>2013</v>
      </c>
      <c r="BA246" t="s">
        <v>17</v>
      </c>
      <c r="BB246" t="s">
        <v>96</v>
      </c>
      <c r="BC246">
        <v>23</v>
      </c>
      <c r="BD246">
        <v>25</v>
      </c>
      <c r="BE246">
        <v>17.618040873854799</v>
      </c>
      <c r="BF246">
        <v>6.9</v>
      </c>
      <c r="CA246" t="str">
        <f t="shared" si="32"/>
        <v>FemaleAsian253</v>
      </c>
      <c r="CB246" t="s">
        <v>8</v>
      </c>
      <c r="CC246" t="s">
        <v>78</v>
      </c>
      <c r="CD246">
        <v>25</v>
      </c>
      <c r="CE246">
        <v>3</v>
      </c>
      <c r="CF246">
        <v>0</v>
      </c>
      <c r="CG246">
        <v>0</v>
      </c>
      <c r="CJ246" t="str">
        <f t="shared" si="33"/>
        <v>FemalePacific24Poisoning by solids and liquids</v>
      </c>
      <c r="CK246" t="s">
        <v>8</v>
      </c>
      <c r="CL246" t="s">
        <v>79</v>
      </c>
      <c r="CM246" t="s">
        <v>47</v>
      </c>
      <c r="CN246">
        <v>24</v>
      </c>
      <c r="CO246">
        <v>1</v>
      </c>
      <c r="CP246">
        <v>5</v>
      </c>
      <c r="CQ246">
        <v>20</v>
      </c>
    </row>
    <row r="247" spans="1:95">
      <c r="A247" t="str">
        <f t="shared" si="28"/>
        <v>1997AllSexMaori25</v>
      </c>
      <c r="B247">
        <v>1997</v>
      </c>
      <c r="C247" t="s">
        <v>17</v>
      </c>
      <c r="D247" t="s">
        <v>18</v>
      </c>
      <c r="E247">
        <v>25</v>
      </c>
      <c r="F247">
        <v>1</v>
      </c>
      <c r="G247">
        <v>6.2111801242236</v>
      </c>
      <c r="H247">
        <v>12.2</v>
      </c>
      <c r="J247" s="340" t="str">
        <f t="shared" si="29"/>
        <v>2001FemaleAllEth194</v>
      </c>
      <c r="K247">
        <v>2001</v>
      </c>
      <c r="L247" t="s">
        <v>8</v>
      </c>
      <c r="M247" t="s">
        <v>27</v>
      </c>
      <c r="N247">
        <v>19</v>
      </c>
      <c r="O247">
        <v>4</v>
      </c>
      <c r="P247">
        <v>22</v>
      </c>
      <c r="Q247">
        <v>4.8209604072903298</v>
      </c>
      <c r="R247">
        <v>2</v>
      </c>
      <c r="T247" s="340" t="str">
        <f t="shared" si="31"/>
        <v>1997AllSexMaori24Firearms and explosives</v>
      </c>
      <c r="U247">
        <v>1997</v>
      </c>
      <c r="V247" t="s">
        <v>17</v>
      </c>
      <c r="W247" t="s">
        <v>18</v>
      </c>
      <c r="X247">
        <v>24</v>
      </c>
      <c r="Y247" t="s">
        <v>42</v>
      </c>
      <c r="Z247">
        <v>1</v>
      </c>
      <c r="AA247">
        <v>7</v>
      </c>
      <c r="AB247">
        <v>14.3</v>
      </c>
      <c r="AY247" t="str">
        <f t="shared" si="30"/>
        <v>2013AllSexUrban23</v>
      </c>
      <c r="AZ247">
        <v>2013</v>
      </c>
      <c r="BA247" t="s">
        <v>17</v>
      </c>
      <c r="BB247" t="s">
        <v>97</v>
      </c>
      <c r="BC247">
        <v>23</v>
      </c>
      <c r="BD247">
        <v>136</v>
      </c>
      <c r="BE247">
        <v>13.606939539164999</v>
      </c>
      <c r="BF247">
        <v>2.2999999999999998</v>
      </c>
      <c r="CA247" t="str">
        <f t="shared" si="32"/>
        <v>FemaleAsian254</v>
      </c>
      <c r="CB247" t="s">
        <v>8</v>
      </c>
      <c r="CC247" t="s">
        <v>78</v>
      </c>
      <c r="CD247">
        <v>25</v>
      </c>
      <c r="CE247">
        <v>4</v>
      </c>
      <c r="CF247">
        <v>1</v>
      </c>
      <c r="CG247">
        <v>5.2787598064972201</v>
      </c>
      <c r="CH247">
        <v>10.3</v>
      </c>
      <c r="CJ247" t="str">
        <f t="shared" si="33"/>
        <v>FemalePacific24Sharp object</v>
      </c>
      <c r="CK247" t="s">
        <v>8</v>
      </c>
      <c r="CL247" t="s">
        <v>79</v>
      </c>
      <c r="CM247" t="s">
        <v>48</v>
      </c>
      <c r="CN247">
        <v>24</v>
      </c>
      <c r="CO247">
        <v>1</v>
      </c>
      <c r="CP247">
        <v>5</v>
      </c>
      <c r="CQ247">
        <v>20</v>
      </c>
    </row>
    <row r="248" spans="1:95">
      <c r="A248" t="str">
        <f t="shared" si="28"/>
        <v>1997AllSexNon-Maori21</v>
      </c>
      <c r="B248">
        <v>1997</v>
      </c>
      <c r="C248" t="s">
        <v>17</v>
      </c>
      <c r="D248" t="s">
        <v>19</v>
      </c>
      <c r="E248">
        <v>21</v>
      </c>
      <c r="F248">
        <v>4</v>
      </c>
      <c r="G248">
        <v>0.59861420810822896</v>
      </c>
      <c r="H248">
        <v>0.6</v>
      </c>
      <c r="J248" s="340" t="str">
        <f t="shared" si="29"/>
        <v>2001FemaleAllEth195</v>
      </c>
      <c r="K248">
        <v>2001</v>
      </c>
      <c r="L248" t="s">
        <v>8</v>
      </c>
      <c r="M248" t="s">
        <v>27</v>
      </c>
      <c r="N248">
        <v>19</v>
      </c>
      <c r="O248">
        <v>5</v>
      </c>
      <c r="P248">
        <v>28</v>
      </c>
      <c r="Q248">
        <v>6.8888098856377402</v>
      </c>
      <c r="R248">
        <v>2.6</v>
      </c>
      <c r="T248" s="340" t="str">
        <f t="shared" si="31"/>
        <v>1997AllSexMaori21Hanging, strangulation and suffocation</v>
      </c>
      <c r="U248">
        <v>1997</v>
      </c>
      <c r="V248" t="s">
        <v>17</v>
      </c>
      <c r="W248" t="s">
        <v>18</v>
      </c>
      <c r="X248">
        <v>21</v>
      </c>
      <c r="Y248" t="s">
        <v>43</v>
      </c>
      <c r="Z248">
        <v>3</v>
      </c>
      <c r="AA248">
        <v>4</v>
      </c>
      <c r="AB248">
        <v>75</v>
      </c>
      <c r="AY248" t="str">
        <f t="shared" si="30"/>
        <v>2013AllSexRural24</v>
      </c>
      <c r="AZ248">
        <v>2013</v>
      </c>
      <c r="BA248" t="s">
        <v>17</v>
      </c>
      <c r="BB248" t="s">
        <v>96</v>
      </c>
      <c r="BC248">
        <v>24</v>
      </c>
      <c r="BD248">
        <v>32</v>
      </c>
      <c r="BE248">
        <v>16.1812297734628</v>
      </c>
      <c r="BF248">
        <v>5.6</v>
      </c>
      <c r="CA248" t="str">
        <f t="shared" si="32"/>
        <v>FemaleAsian255</v>
      </c>
      <c r="CB248" t="s">
        <v>8</v>
      </c>
      <c r="CC248" t="s">
        <v>78</v>
      </c>
      <c r="CD248">
        <v>25</v>
      </c>
      <c r="CE248">
        <v>5</v>
      </c>
      <c r="CF248">
        <v>1</v>
      </c>
      <c r="CG248">
        <v>6.1939835179679799</v>
      </c>
      <c r="CH248">
        <v>12.1</v>
      </c>
      <c r="CJ248" t="str">
        <f t="shared" si="33"/>
        <v>MaleAllEth21Firearms and explosives</v>
      </c>
      <c r="CK248" t="s">
        <v>20</v>
      </c>
      <c r="CL248" t="s">
        <v>27</v>
      </c>
      <c r="CM248" t="s">
        <v>42</v>
      </c>
      <c r="CN248">
        <v>21</v>
      </c>
      <c r="CO248">
        <v>2</v>
      </c>
      <c r="CP248">
        <v>18</v>
      </c>
      <c r="CQ248">
        <v>11.1</v>
      </c>
    </row>
    <row r="249" spans="1:95">
      <c r="A249" t="str">
        <f t="shared" si="28"/>
        <v>1997AllSexNon-Maori22</v>
      </c>
      <c r="B249">
        <v>1997</v>
      </c>
      <c r="C249" t="s">
        <v>17</v>
      </c>
      <c r="D249" t="s">
        <v>19</v>
      </c>
      <c r="E249">
        <v>22</v>
      </c>
      <c r="F249">
        <v>104</v>
      </c>
      <c r="G249">
        <v>23.608462725869401</v>
      </c>
      <c r="H249">
        <v>4.5</v>
      </c>
      <c r="J249" s="340" t="str">
        <f t="shared" si="29"/>
        <v>2002FemaleAllEth191</v>
      </c>
      <c r="K249">
        <v>2002</v>
      </c>
      <c r="L249" t="s">
        <v>8</v>
      </c>
      <c r="M249" t="s">
        <v>27</v>
      </c>
      <c r="N249">
        <v>19</v>
      </c>
      <c r="O249">
        <v>1</v>
      </c>
      <c r="P249">
        <v>18</v>
      </c>
      <c r="Q249">
        <v>4.4579493128011896</v>
      </c>
      <c r="R249">
        <v>2.1</v>
      </c>
      <c r="T249" s="340" t="str">
        <f t="shared" si="31"/>
        <v>1997AllSexMaori22Hanging, strangulation and suffocation</v>
      </c>
      <c r="U249">
        <v>1997</v>
      </c>
      <c r="V249" t="s">
        <v>17</v>
      </c>
      <c r="W249" t="s">
        <v>18</v>
      </c>
      <c r="X249">
        <v>22</v>
      </c>
      <c r="Y249" t="s">
        <v>43</v>
      </c>
      <c r="Z249">
        <v>27</v>
      </c>
      <c r="AA249">
        <v>38</v>
      </c>
      <c r="AB249">
        <v>71.099999999999994</v>
      </c>
      <c r="AY249" t="str">
        <f t="shared" si="30"/>
        <v>2013AllSexUrban24</v>
      </c>
      <c r="AZ249">
        <v>2013</v>
      </c>
      <c r="BA249" t="s">
        <v>17</v>
      </c>
      <c r="BB249" t="s">
        <v>97</v>
      </c>
      <c r="BC249">
        <v>24</v>
      </c>
      <c r="BD249">
        <v>151</v>
      </c>
      <c r="BE249">
        <v>16.059387828898402</v>
      </c>
      <c r="BF249">
        <v>2.6</v>
      </c>
      <c r="CA249" t="str">
        <f t="shared" si="32"/>
        <v>FemaleMaori251</v>
      </c>
      <c r="CB249" t="s">
        <v>8</v>
      </c>
      <c r="CC249" t="s">
        <v>18</v>
      </c>
      <c r="CD249">
        <v>25</v>
      </c>
      <c r="CE249">
        <v>1</v>
      </c>
      <c r="CF249">
        <v>0</v>
      </c>
      <c r="CG249">
        <v>0</v>
      </c>
      <c r="CJ249" t="str">
        <f t="shared" si="33"/>
        <v>MaleAllEth22Firearms and explosives</v>
      </c>
      <c r="CK249" t="s">
        <v>20</v>
      </c>
      <c r="CL249" t="s">
        <v>27</v>
      </c>
      <c r="CM249" t="s">
        <v>42</v>
      </c>
      <c r="CN249">
        <v>22</v>
      </c>
      <c r="CO249">
        <v>21</v>
      </c>
      <c r="CP249">
        <v>404</v>
      </c>
      <c r="CQ249">
        <v>5.2</v>
      </c>
    </row>
    <row r="250" spans="1:95">
      <c r="A250" t="str">
        <f t="shared" si="28"/>
        <v>1997AllSexNon-Maori23</v>
      </c>
      <c r="B250">
        <v>1997</v>
      </c>
      <c r="C250" t="s">
        <v>17</v>
      </c>
      <c r="D250" t="s">
        <v>19</v>
      </c>
      <c r="E250">
        <v>23</v>
      </c>
      <c r="F250">
        <v>200</v>
      </c>
      <c r="G250">
        <v>19.763431722284299</v>
      </c>
      <c r="H250">
        <v>2.7</v>
      </c>
      <c r="J250" s="340" t="str">
        <f t="shared" si="29"/>
        <v>2002FemaleAllEth192</v>
      </c>
      <c r="K250">
        <v>2002</v>
      </c>
      <c r="L250" t="s">
        <v>8</v>
      </c>
      <c r="M250" t="s">
        <v>27</v>
      </c>
      <c r="N250">
        <v>19</v>
      </c>
      <c r="O250">
        <v>2</v>
      </c>
      <c r="P250">
        <v>14</v>
      </c>
      <c r="Q250">
        <v>3.5745795723654101</v>
      </c>
      <c r="R250">
        <v>1.9</v>
      </c>
      <c r="T250" s="340" t="str">
        <f t="shared" si="31"/>
        <v>1997AllSexMaori23Hanging, strangulation and suffocation</v>
      </c>
      <c r="U250">
        <v>1997</v>
      </c>
      <c r="V250" t="s">
        <v>17</v>
      </c>
      <c r="W250" t="s">
        <v>18</v>
      </c>
      <c r="X250">
        <v>23</v>
      </c>
      <c r="Y250" t="s">
        <v>43</v>
      </c>
      <c r="Z250">
        <v>36</v>
      </c>
      <c r="AA250">
        <v>56</v>
      </c>
      <c r="AB250">
        <v>64.3</v>
      </c>
      <c r="AY250" t="str">
        <f t="shared" si="30"/>
        <v>2013AllSexRural25</v>
      </c>
      <c r="AZ250">
        <v>2013</v>
      </c>
      <c r="BA250" t="s">
        <v>17</v>
      </c>
      <c r="BB250" t="s">
        <v>96</v>
      </c>
      <c r="BC250">
        <v>25</v>
      </c>
      <c r="BD250">
        <v>6</v>
      </c>
      <c r="BE250">
        <v>6.9629801555065596</v>
      </c>
      <c r="BF250">
        <v>5.6</v>
      </c>
      <c r="CA250" t="str">
        <f t="shared" si="32"/>
        <v>FemaleMaori252</v>
      </c>
      <c r="CB250" t="s">
        <v>8</v>
      </c>
      <c r="CC250" t="s">
        <v>18</v>
      </c>
      <c r="CD250">
        <v>25</v>
      </c>
      <c r="CE250">
        <v>2</v>
      </c>
      <c r="CF250">
        <v>0</v>
      </c>
      <c r="CG250">
        <v>0</v>
      </c>
      <c r="CJ250" t="str">
        <f t="shared" si="33"/>
        <v>MaleAllEth23Firearms and explosives</v>
      </c>
      <c r="CK250" t="s">
        <v>20</v>
      </c>
      <c r="CL250" t="s">
        <v>27</v>
      </c>
      <c r="CM250" t="s">
        <v>42</v>
      </c>
      <c r="CN250">
        <v>23</v>
      </c>
      <c r="CO250">
        <v>41</v>
      </c>
      <c r="CP250">
        <v>677</v>
      </c>
      <c r="CQ250">
        <v>6.1</v>
      </c>
    </row>
    <row r="251" spans="1:95">
      <c r="A251" t="str">
        <f t="shared" si="28"/>
        <v>1997AllSexNon-Maori24</v>
      </c>
      <c r="B251">
        <v>1997</v>
      </c>
      <c r="C251" t="s">
        <v>17</v>
      </c>
      <c r="D251" t="s">
        <v>19</v>
      </c>
      <c r="E251">
        <v>24</v>
      </c>
      <c r="F251">
        <v>95</v>
      </c>
      <c r="G251">
        <v>13.5431813645824</v>
      </c>
      <c r="H251">
        <v>2.7</v>
      </c>
      <c r="J251" s="340" t="str">
        <f t="shared" si="29"/>
        <v>2002FemaleAllEth193</v>
      </c>
      <c r="K251">
        <v>2002</v>
      </c>
      <c r="L251" t="s">
        <v>8</v>
      </c>
      <c r="M251" t="s">
        <v>27</v>
      </c>
      <c r="N251">
        <v>19</v>
      </c>
      <c r="O251">
        <v>3</v>
      </c>
      <c r="P251">
        <v>18</v>
      </c>
      <c r="Q251">
        <v>4.7896784448386001</v>
      </c>
      <c r="R251">
        <v>2.2000000000000002</v>
      </c>
      <c r="T251" s="340" t="str">
        <f t="shared" si="31"/>
        <v>1997AllSexMaori24Hanging, strangulation and suffocation</v>
      </c>
      <c r="U251">
        <v>1997</v>
      </c>
      <c r="V251" t="s">
        <v>17</v>
      </c>
      <c r="W251" t="s">
        <v>18</v>
      </c>
      <c r="X251">
        <v>24</v>
      </c>
      <c r="Y251" t="s">
        <v>43</v>
      </c>
      <c r="Z251">
        <v>4</v>
      </c>
      <c r="AA251">
        <v>7</v>
      </c>
      <c r="AB251">
        <v>57.1</v>
      </c>
      <c r="AY251" t="str">
        <f t="shared" si="30"/>
        <v>2013AllSexUrban25</v>
      </c>
      <c r="AZ251">
        <v>2013</v>
      </c>
      <c r="BA251" t="s">
        <v>17</v>
      </c>
      <c r="BB251" t="s">
        <v>97</v>
      </c>
      <c r="BC251">
        <v>25</v>
      </c>
      <c r="BD251">
        <v>49</v>
      </c>
      <c r="BE251">
        <v>9.0799592328360994</v>
      </c>
      <c r="BF251">
        <v>2.5</v>
      </c>
      <c r="CA251" t="str">
        <f t="shared" si="32"/>
        <v>FemaleMaori253</v>
      </c>
      <c r="CB251" t="s">
        <v>8</v>
      </c>
      <c r="CC251" t="s">
        <v>18</v>
      </c>
      <c r="CD251">
        <v>25</v>
      </c>
      <c r="CE251">
        <v>3</v>
      </c>
      <c r="CF251">
        <v>0</v>
      </c>
      <c r="CG251">
        <v>0</v>
      </c>
      <c r="CJ251" t="str">
        <f t="shared" si="33"/>
        <v>MaleAllEth24Firearms and explosives</v>
      </c>
      <c r="CK251" t="s">
        <v>20</v>
      </c>
      <c r="CL251" t="s">
        <v>27</v>
      </c>
      <c r="CM251" t="s">
        <v>42</v>
      </c>
      <c r="CN251">
        <v>24</v>
      </c>
      <c r="CO251">
        <v>82</v>
      </c>
      <c r="CP251">
        <v>607</v>
      </c>
      <c r="CQ251">
        <v>13.5</v>
      </c>
    </row>
    <row r="252" spans="1:95">
      <c r="A252" t="str">
        <f t="shared" si="28"/>
        <v>1997AllSexNon-Maori25</v>
      </c>
      <c r="B252">
        <v>1997</v>
      </c>
      <c r="C252" t="s">
        <v>17</v>
      </c>
      <c r="D252" t="s">
        <v>19</v>
      </c>
      <c r="E252">
        <v>25</v>
      </c>
      <c r="F252">
        <v>53</v>
      </c>
      <c r="G252">
        <v>12.6244581010909</v>
      </c>
      <c r="H252">
        <v>3.4</v>
      </c>
      <c r="J252" s="340" t="str">
        <f t="shared" si="29"/>
        <v>2002FemaleAllEth194</v>
      </c>
      <c r="K252">
        <v>2002</v>
      </c>
      <c r="L252" t="s">
        <v>8</v>
      </c>
      <c r="M252" t="s">
        <v>27</v>
      </c>
      <c r="N252">
        <v>19</v>
      </c>
      <c r="O252">
        <v>4</v>
      </c>
      <c r="P252">
        <v>27</v>
      </c>
      <c r="Q252">
        <v>6.50052438195305</v>
      </c>
      <c r="R252">
        <v>2.5</v>
      </c>
      <c r="T252" s="340" t="str">
        <f t="shared" si="31"/>
        <v>1997AllSexMaori23Jumping from a high place</v>
      </c>
      <c r="U252">
        <v>1997</v>
      </c>
      <c r="V252" t="s">
        <v>17</v>
      </c>
      <c r="W252" t="s">
        <v>18</v>
      </c>
      <c r="X252">
        <v>23</v>
      </c>
      <c r="Y252" t="s">
        <v>44</v>
      </c>
      <c r="Z252">
        <v>1</v>
      </c>
      <c r="AA252">
        <v>56</v>
      </c>
      <c r="AB252">
        <v>1.8</v>
      </c>
      <c r="AY252" t="str">
        <f t="shared" si="30"/>
        <v>2013FemaleRural22</v>
      </c>
      <c r="AZ252">
        <v>2013</v>
      </c>
      <c r="BA252" t="s">
        <v>8</v>
      </c>
      <c r="BB252" t="s">
        <v>96</v>
      </c>
      <c r="BC252">
        <v>22</v>
      </c>
      <c r="BD252">
        <v>7</v>
      </c>
      <c r="BE252">
        <v>21.665119158155399</v>
      </c>
      <c r="BF252">
        <v>16</v>
      </c>
      <c r="CA252" t="str">
        <f t="shared" si="32"/>
        <v>FemaleMaori254</v>
      </c>
      <c r="CB252" t="s">
        <v>8</v>
      </c>
      <c r="CC252" t="s">
        <v>18</v>
      </c>
      <c r="CD252">
        <v>25</v>
      </c>
      <c r="CE252">
        <v>4</v>
      </c>
      <c r="CF252">
        <v>0</v>
      </c>
      <c r="CG252">
        <v>0</v>
      </c>
      <c r="CJ252" t="str">
        <f t="shared" si="33"/>
        <v>MaleAllEth25Firearms and explosives</v>
      </c>
      <c r="CK252" t="s">
        <v>20</v>
      </c>
      <c r="CL252" t="s">
        <v>27</v>
      </c>
      <c r="CM252" t="s">
        <v>42</v>
      </c>
      <c r="CN252">
        <v>25</v>
      </c>
      <c r="CO252">
        <v>55</v>
      </c>
      <c r="CP252">
        <v>240</v>
      </c>
      <c r="CQ252">
        <v>22.9</v>
      </c>
    </row>
    <row r="253" spans="1:95">
      <c r="A253" t="str">
        <f t="shared" si="28"/>
        <v>1997FemaleAllEth21</v>
      </c>
      <c r="B253">
        <v>1997</v>
      </c>
      <c r="C253" t="s">
        <v>8</v>
      </c>
      <c r="D253" t="s">
        <v>27</v>
      </c>
      <c r="E253">
        <v>21</v>
      </c>
      <c r="F253">
        <v>3</v>
      </c>
      <c r="G253">
        <v>0.70952178231871699</v>
      </c>
      <c r="H253">
        <v>0.8</v>
      </c>
      <c r="J253" s="340" t="str">
        <f t="shared" si="29"/>
        <v>2002FemaleAllEth195</v>
      </c>
      <c r="K253">
        <v>2002</v>
      </c>
      <c r="L253" t="s">
        <v>8</v>
      </c>
      <c r="M253" t="s">
        <v>27</v>
      </c>
      <c r="N253">
        <v>19</v>
      </c>
      <c r="O253">
        <v>5</v>
      </c>
      <c r="P253">
        <v>27</v>
      </c>
      <c r="Q253">
        <v>6.56763093266221</v>
      </c>
      <c r="R253">
        <v>2.5</v>
      </c>
      <c r="T253" s="340" t="str">
        <f t="shared" si="31"/>
        <v>1997AllSexMaori22Other</v>
      </c>
      <c r="U253">
        <v>1997</v>
      </c>
      <c r="V253" t="s">
        <v>17</v>
      </c>
      <c r="W253" t="s">
        <v>18</v>
      </c>
      <c r="X253">
        <v>22</v>
      </c>
      <c r="Y253" t="s">
        <v>45</v>
      </c>
      <c r="Z253">
        <v>1</v>
      </c>
      <c r="AA253">
        <v>38</v>
      </c>
      <c r="AB253">
        <v>2.6</v>
      </c>
      <c r="AY253" t="str">
        <f t="shared" si="30"/>
        <v>2013FemaleUrban22</v>
      </c>
      <c r="AZ253">
        <v>2013</v>
      </c>
      <c r="BA253" t="s">
        <v>8</v>
      </c>
      <c r="BB253" t="s">
        <v>97</v>
      </c>
      <c r="BC253">
        <v>22</v>
      </c>
      <c r="BD253">
        <v>31</v>
      </c>
      <c r="BE253">
        <v>11.2416594139832</v>
      </c>
      <c r="BF253">
        <v>4</v>
      </c>
      <c r="CA253" t="str">
        <f t="shared" si="32"/>
        <v>FemaleMaori255</v>
      </c>
      <c r="CB253" t="s">
        <v>8</v>
      </c>
      <c r="CC253" t="s">
        <v>18</v>
      </c>
      <c r="CD253">
        <v>25</v>
      </c>
      <c r="CE253">
        <v>5</v>
      </c>
      <c r="CF253">
        <v>0</v>
      </c>
      <c r="CG253">
        <v>0</v>
      </c>
      <c r="CJ253" t="str">
        <f t="shared" si="33"/>
        <v>MaleAllEth21Hanging, strangulation and suffocation</v>
      </c>
      <c r="CK253" t="s">
        <v>20</v>
      </c>
      <c r="CL253" t="s">
        <v>27</v>
      </c>
      <c r="CM253" t="s">
        <v>43</v>
      </c>
      <c r="CN253">
        <v>21</v>
      </c>
      <c r="CO253">
        <v>15</v>
      </c>
      <c r="CP253">
        <v>18</v>
      </c>
      <c r="CQ253">
        <v>83.3</v>
      </c>
    </row>
    <row r="254" spans="1:95">
      <c r="A254" t="str">
        <f t="shared" si="28"/>
        <v>1997FemaleAllEth22</v>
      </c>
      <c r="B254">
        <v>1997</v>
      </c>
      <c r="C254" t="s">
        <v>8</v>
      </c>
      <c r="D254" t="s">
        <v>27</v>
      </c>
      <c r="E254">
        <v>22</v>
      </c>
      <c r="F254">
        <v>29</v>
      </c>
      <c r="G254">
        <v>10.7694592988711</v>
      </c>
      <c r="H254">
        <v>3.9</v>
      </c>
      <c r="J254" s="340" t="str">
        <f t="shared" si="29"/>
        <v>2003FemaleAllEth191</v>
      </c>
      <c r="K254">
        <v>2003</v>
      </c>
      <c r="L254" t="s">
        <v>8</v>
      </c>
      <c r="M254" t="s">
        <v>27</v>
      </c>
      <c r="N254">
        <v>19</v>
      </c>
      <c r="O254">
        <v>1</v>
      </c>
      <c r="P254">
        <v>15</v>
      </c>
      <c r="Q254">
        <v>3.82640798239132</v>
      </c>
      <c r="R254">
        <v>1.9</v>
      </c>
      <c r="T254" s="340" t="str">
        <f t="shared" si="31"/>
        <v>1997AllSexMaori23Other</v>
      </c>
      <c r="U254">
        <v>1997</v>
      </c>
      <c r="V254" t="s">
        <v>17</v>
      </c>
      <c r="W254" t="s">
        <v>18</v>
      </c>
      <c r="X254">
        <v>23</v>
      </c>
      <c r="Y254" t="s">
        <v>45</v>
      </c>
      <c r="Z254">
        <v>3</v>
      </c>
      <c r="AA254">
        <v>56</v>
      </c>
      <c r="AB254">
        <v>5.4</v>
      </c>
      <c r="AY254" t="str">
        <f t="shared" si="30"/>
        <v>2013FemaleRural23</v>
      </c>
      <c r="AZ254">
        <v>2013</v>
      </c>
      <c r="BA254" t="s">
        <v>8</v>
      </c>
      <c r="BB254" t="s">
        <v>96</v>
      </c>
      <c r="BC254">
        <v>23</v>
      </c>
      <c r="BD254">
        <v>8</v>
      </c>
      <c r="BE254">
        <v>11.026878015162</v>
      </c>
      <c r="BF254">
        <v>7.6</v>
      </c>
      <c r="CA254" t="str">
        <f t="shared" si="32"/>
        <v>FemaleOther251</v>
      </c>
      <c r="CB254" t="s">
        <v>8</v>
      </c>
      <c r="CC254" t="s">
        <v>45</v>
      </c>
      <c r="CD254">
        <v>25</v>
      </c>
      <c r="CE254">
        <v>1</v>
      </c>
      <c r="CF254">
        <v>9</v>
      </c>
      <c r="CG254">
        <v>2.8444449403432999</v>
      </c>
      <c r="CH254">
        <v>1.9</v>
      </c>
      <c r="CJ254" t="str">
        <f t="shared" si="33"/>
        <v>MaleAllEth22Hanging, strangulation and suffocation</v>
      </c>
      <c r="CK254" t="s">
        <v>20</v>
      </c>
      <c r="CL254" t="s">
        <v>27</v>
      </c>
      <c r="CM254" t="s">
        <v>43</v>
      </c>
      <c r="CN254">
        <v>22</v>
      </c>
      <c r="CO254">
        <v>334</v>
      </c>
      <c r="CP254">
        <v>404</v>
      </c>
      <c r="CQ254">
        <v>82.7</v>
      </c>
    </row>
    <row r="255" spans="1:95">
      <c r="A255" t="str">
        <f t="shared" si="28"/>
        <v>1997FemaleAllEth23</v>
      </c>
      <c r="B255">
        <v>1997</v>
      </c>
      <c r="C255" t="s">
        <v>8</v>
      </c>
      <c r="D255" t="s">
        <v>27</v>
      </c>
      <c r="E255">
        <v>23</v>
      </c>
      <c r="F255">
        <v>55</v>
      </c>
      <c r="G255">
        <v>9.2497603471182792</v>
      </c>
      <c r="H255">
        <v>2.4</v>
      </c>
      <c r="J255" s="340" t="str">
        <f t="shared" si="29"/>
        <v>2003FemaleAllEth192</v>
      </c>
      <c r="K255">
        <v>2003</v>
      </c>
      <c r="L255" t="s">
        <v>8</v>
      </c>
      <c r="M255" t="s">
        <v>27</v>
      </c>
      <c r="N255">
        <v>19</v>
      </c>
      <c r="O255">
        <v>2</v>
      </c>
      <c r="P255">
        <v>16</v>
      </c>
      <c r="Q255">
        <v>3.6539267135674001</v>
      </c>
      <c r="R255">
        <v>1.8</v>
      </c>
      <c r="T255" s="340" t="str">
        <f t="shared" si="31"/>
        <v>1997AllSexMaori24Other</v>
      </c>
      <c r="U255">
        <v>1997</v>
      </c>
      <c r="V255" t="s">
        <v>17</v>
      </c>
      <c r="W255" t="s">
        <v>18</v>
      </c>
      <c r="X255">
        <v>24</v>
      </c>
      <c r="Y255" t="s">
        <v>45</v>
      </c>
      <c r="Z255">
        <v>1</v>
      </c>
      <c r="AA255">
        <v>7</v>
      </c>
      <c r="AB255">
        <v>14.3</v>
      </c>
      <c r="AY255" t="str">
        <f t="shared" si="30"/>
        <v>2013FemaleUrban23</v>
      </c>
      <c r="AZ255">
        <v>2013</v>
      </c>
      <c r="BA255" t="s">
        <v>8</v>
      </c>
      <c r="BB255" t="s">
        <v>97</v>
      </c>
      <c r="BC255">
        <v>23</v>
      </c>
      <c r="BD255">
        <v>39</v>
      </c>
      <c r="BE255">
        <v>7.4655436447166901</v>
      </c>
      <c r="BF255">
        <v>2.2999999999999998</v>
      </c>
      <c r="CA255" t="str">
        <f t="shared" si="32"/>
        <v>FemaleOther252</v>
      </c>
      <c r="CB255" t="s">
        <v>8</v>
      </c>
      <c r="CC255" t="s">
        <v>45</v>
      </c>
      <c r="CD255">
        <v>25</v>
      </c>
      <c r="CE255">
        <v>2</v>
      </c>
      <c r="CF255">
        <v>7</v>
      </c>
      <c r="CG255">
        <v>2.1899131172223898</v>
      </c>
      <c r="CH255">
        <v>1.6</v>
      </c>
      <c r="CJ255" t="str">
        <f t="shared" si="33"/>
        <v>MaleAllEth23Hanging, strangulation and suffocation</v>
      </c>
      <c r="CK255" t="s">
        <v>20</v>
      </c>
      <c r="CL255" t="s">
        <v>27</v>
      </c>
      <c r="CM255" t="s">
        <v>43</v>
      </c>
      <c r="CN255">
        <v>23</v>
      </c>
      <c r="CO255">
        <v>471</v>
      </c>
      <c r="CP255">
        <v>677</v>
      </c>
      <c r="CQ255">
        <v>69.599999999999994</v>
      </c>
    </row>
    <row r="256" spans="1:95">
      <c r="A256" t="str">
        <f t="shared" si="28"/>
        <v>1997FemaleAllEth24</v>
      </c>
      <c r="B256">
        <v>1997</v>
      </c>
      <c r="C256" t="s">
        <v>8</v>
      </c>
      <c r="D256" t="s">
        <v>27</v>
      </c>
      <c r="E256">
        <v>24</v>
      </c>
      <c r="F256">
        <v>26</v>
      </c>
      <c r="G256">
        <v>6.7625562462610898</v>
      </c>
      <c r="H256">
        <v>2.6</v>
      </c>
      <c r="J256" s="340" t="str">
        <f t="shared" si="29"/>
        <v>2003FemaleAllEth193</v>
      </c>
      <c r="K256">
        <v>2003</v>
      </c>
      <c r="L256" t="s">
        <v>8</v>
      </c>
      <c r="M256" t="s">
        <v>27</v>
      </c>
      <c r="N256">
        <v>19</v>
      </c>
      <c r="O256">
        <v>3</v>
      </c>
      <c r="P256">
        <v>33</v>
      </c>
      <c r="Q256">
        <v>7.6911121663073496</v>
      </c>
      <c r="R256">
        <v>2.6</v>
      </c>
      <c r="T256" s="340" t="str">
        <f t="shared" si="31"/>
        <v>1997AllSexMaori22Poisoning by gases and vapours</v>
      </c>
      <c r="U256">
        <v>1997</v>
      </c>
      <c r="V256" t="s">
        <v>17</v>
      </c>
      <c r="W256" t="s">
        <v>18</v>
      </c>
      <c r="X256">
        <v>22</v>
      </c>
      <c r="Y256" t="s">
        <v>46</v>
      </c>
      <c r="Z256">
        <v>4</v>
      </c>
      <c r="AA256">
        <v>38</v>
      </c>
      <c r="AB256">
        <v>10.5</v>
      </c>
      <c r="AY256" t="str">
        <f t="shared" si="30"/>
        <v>2013FemaleRural24</v>
      </c>
      <c r="AZ256">
        <v>2013</v>
      </c>
      <c r="BA256" t="s">
        <v>8</v>
      </c>
      <c r="BB256" t="s">
        <v>96</v>
      </c>
      <c r="BC256">
        <v>24</v>
      </c>
      <c r="BD256">
        <v>9</v>
      </c>
      <c r="BE256">
        <v>9.2109303039606996</v>
      </c>
      <c r="BF256">
        <v>6</v>
      </c>
      <c r="CA256" t="str">
        <f t="shared" si="32"/>
        <v>FemaleOther253</v>
      </c>
      <c r="CB256" t="s">
        <v>8</v>
      </c>
      <c r="CC256" t="s">
        <v>45</v>
      </c>
      <c r="CD256">
        <v>25</v>
      </c>
      <c r="CE256">
        <v>3</v>
      </c>
      <c r="CF256">
        <v>21</v>
      </c>
      <c r="CG256">
        <v>6.5951985018489001</v>
      </c>
      <c r="CH256">
        <v>2.8</v>
      </c>
      <c r="CJ256" t="str">
        <f t="shared" si="33"/>
        <v>MaleAllEth24Hanging, strangulation and suffocation</v>
      </c>
      <c r="CK256" t="s">
        <v>20</v>
      </c>
      <c r="CL256" t="s">
        <v>27</v>
      </c>
      <c r="CM256" t="s">
        <v>43</v>
      </c>
      <c r="CN256">
        <v>24</v>
      </c>
      <c r="CO256">
        <v>312</v>
      </c>
      <c r="CP256">
        <v>607</v>
      </c>
      <c r="CQ256">
        <v>51.4</v>
      </c>
    </row>
    <row r="257" spans="1:95">
      <c r="A257" t="str">
        <f t="shared" si="28"/>
        <v>1997FemaleAllEth25</v>
      </c>
      <c r="B257">
        <v>1997</v>
      </c>
      <c r="C257" t="s">
        <v>8</v>
      </c>
      <c r="D257" t="s">
        <v>27</v>
      </c>
      <c r="E257">
        <v>25</v>
      </c>
      <c r="F257">
        <v>8</v>
      </c>
      <c r="G257">
        <v>3.2375556454876602</v>
      </c>
      <c r="H257">
        <v>2.2000000000000002</v>
      </c>
      <c r="J257" s="340" t="str">
        <f t="shared" si="29"/>
        <v>2003FemaleAllEth194</v>
      </c>
      <c r="K257">
        <v>2003</v>
      </c>
      <c r="L257" t="s">
        <v>8</v>
      </c>
      <c r="M257" t="s">
        <v>27</v>
      </c>
      <c r="N257">
        <v>19</v>
      </c>
      <c r="O257">
        <v>4</v>
      </c>
      <c r="P257">
        <v>27</v>
      </c>
      <c r="Q257">
        <v>6.1399591072496698</v>
      </c>
      <c r="R257">
        <v>2.2999999999999998</v>
      </c>
      <c r="T257" s="340" t="str">
        <f t="shared" si="31"/>
        <v>1997AllSexMaori23Poisoning by gases and vapours</v>
      </c>
      <c r="U257">
        <v>1997</v>
      </c>
      <c r="V257" t="s">
        <v>17</v>
      </c>
      <c r="W257" t="s">
        <v>18</v>
      </c>
      <c r="X257">
        <v>23</v>
      </c>
      <c r="Y257" t="s">
        <v>46</v>
      </c>
      <c r="Z257">
        <v>4</v>
      </c>
      <c r="AA257">
        <v>56</v>
      </c>
      <c r="AB257">
        <v>7.1</v>
      </c>
      <c r="AY257" t="str">
        <f t="shared" si="30"/>
        <v>2013FemaleUrban24</v>
      </c>
      <c r="AZ257">
        <v>2013</v>
      </c>
      <c r="BA257" t="s">
        <v>8</v>
      </c>
      <c r="BB257" t="s">
        <v>97</v>
      </c>
      <c r="BC257">
        <v>24</v>
      </c>
      <c r="BD257">
        <v>44</v>
      </c>
      <c r="BE257">
        <v>9.0029259509340491</v>
      </c>
      <c r="BF257">
        <v>2.7</v>
      </c>
      <c r="CA257" t="str">
        <f t="shared" si="32"/>
        <v>FemaleOther254</v>
      </c>
      <c r="CB257" t="s">
        <v>8</v>
      </c>
      <c r="CC257" t="s">
        <v>45</v>
      </c>
      <c r="CD257">
        <v>25</v>
      </c>
      <c r="CE257">
        <v>4</v>
      </c>
      <c r="CF257">
        <v>9</v>
      </c>
      <c r="CG257">
        <v>2.7983732145350801</v>
      </c>
      <c r="CH257">
        <v>1.8</v>
      </c>
      <c r="CJ257" t="str">
        <f t="shared" si="33"/>
        <v>MaleAllEth25Hanging, strangulation and suffocation</v>
      </c>
      <c r="CK257" t="s">
        <v>20</v>
      </c>
      <c r="CL257" t="s">
        <v>27</v>
      </c>
      <c r="CM257" t="s">
        <v>43</v>
      </c>
      <c r="CN257">
        <v>25</v>
      </c>
      <c r="CO257">
        <v>92</v>
      </c>
      <c r="CP257">
        <v>240</v>
      </c>
      <c r="CQ257">
        <v>38.299999999999997</v>
      </c>
    </row>
    <row r="258" spans="1:95">
      <c r="A258" t="str">
        <f t="shared" si="28"/>
        <v>1997FemaleMaori21</v>
      </c>
      <c r="B258">
        <v>1997</v>
      </c>
      <c r="C258" t="s">
        <v>8</v>
      </c>
      <c r="D258" t="s">
        <v>18</v>
      </c>
      <c r="E258">
        <v>21</v>
      </c>
      <c r="F258">
        <v>1</v>
      </c>
      <c r="G258">
        <v>1.0126582278481</v>
      </c>
      <c r="H258">
        <v>2</v>
      </c>
      <c r="J258" s="340" t="str">
        <f t="shared" si="29"/>
        <v>2003FemaleAllEth195</v>
      </c>
      <c r="K258">
        <v>2003</v>
      </c>
      <c r="L258" t="s">
        <v>8</v>
      </c>
      <c r="M258" t="s">
        <v>27</v>
      </c>
      <c r="N258">
        <v>19</v>
      </c>
      <c r="O258">
        <v>5</v>
      </c>
      <c r="P258">
        <v>39</v>
      </c>
      <c r="Q258">
        <v>9.2123736313424303</v>
      </c>
      <c r="R258">
        <v>2.9</v>
      </c>
      <c r="T258" s="340" t="str">
        <f t="shared" si="31"/>
        <v>1997AllSexMaori21Poisoning by solids and liquids</v>
      </c>
      <c r="U258">
        <v>1997</v>
      </c>
      <c r="V258" t="s">
        <v>17</v>
      </c>
      <c r="W258" t="s">
        <v>18</v>
      </c>
      <c r="X258">
        <v>21</v>
      </c>
      <c r="Y258" t="s">
        <v>47</v>
      </c>
      <c r="Z258">
        <v>1</v>
      </c>
      <c r="AA258">
        <v>4</v>
      </c>
      <c r="AB258">
        <v>25</v>
      </c>
      <c r="AY258" t="str">
        <f t="shared" si="30"/>
        <v>2013FemaleRural25</v>
      </c>
      <c r="AZ258">
        <v>2013</v>
      </c>
      <c r="BA258" t="s">
        <v>8</v>
      </c>
      <c r="BB258" t="s">
        <v>96</v>
      </c>
      <c r="BC258">
        <v>25</v>
      </c>
      <c r="BD258">
        <v>0</v>
      </c>
      <c r="BE258">
        <v>0</v>
      </c>
      <c r="CA258" t="str">
        <f t="shared" si="32"/>
        <v>FemaleOther255</v>
      </c>
      <c r="CB258" t="s">
        <v>8</v>
      </c>
      <c r="CC258" t="s">
        <v>45</v>
      </c>
      <c r="CD258">
        <v>25</v>
      </c>
      <c r="CE258">
        <v>5</v>
      </c>
      <c r="CF258">
        <v>8</v>
      </c>
      <c r="CG258">
        <v>3.7321572758294299</v>
      </c>
      <c r="CH258">
        <v>2.6</v>
      </c>
      <c r="CJ258" t="str">
        <f t="shared" si="33"/>
        <v>MaleAllEth22Jumping from a high place</v>
      </c>
      <c r="CK258" t="s">
        <v>20</v>
      </c>
      <c r="CL258" t="s">
        <v>27</v>
      </c>
      <c r="CM258" t="s">
        <v>44</v>
      </c>
      <c r="CN258">
        <v>22</v>
      </c>
      <c r="CO258">
        <v>13</v>
      </c>
      <c r="CP258">
        <v>404</v>
      </c>
      <c r="CQ258">
        <v>3.2</v>
      </c>
    </row>
    <row r="259" spans="1:95">
      <c r="A259" t="str">
        <f t="shared" si="28"/>
        <v>1997FemaleMaori22</v>
      </c>
      <c r="B259">
        <v>1997</v>
      </c>
      <c r="C259" t="s">
        <v>8</v>
      </c>
      <c r="D259" t="s">
        <v>18</v>
      </c>
      <c r="E259">
        <v>22</v>
      </c>
      <c r="F259">
        <v>9</v>
      </c>
      <c r="G259">
        <v>17.0680826853783</v>
      </c>
      <c r="H259">
        <v>11.2</v>
      </c>
      <c r="J259" s="340" t="str">
        <f t="shared" si="29"/>
        <v>2004FemaleAllEth191</v>
      </c>
      <c r="K259">
        <v>2004</v>
      </c>
      <c r="L259" t="s">
        <v>8</v>
      </c>
      <c r="M259" t="s">
        <v>27</v>
      </c>
      <c r="N259">
        <v>19</v>
      </c>
      <c r="O259">
        <v>1</v>
      </c>
      <c r="P259">
        <v>4</v>
      </c>
      <c r="Q259">
        <v>1.19661890525868</v>
      </c>
      <c r="R259">
        <v>1.2</v>
      </c>
      <c r="T259" s="340" t="str">
        <f t="shared" si="31"/>
        <v>1997AllSexMaori22Poisoning by solids and liquids</v>
      </c>
      <c r="U259">
        <v>1997</v>
      </c>
      <c r="V259" t="s">
        <v>17</v>
      </c>
      <c r="W259" t="s">
        <v>18</v>
      </c>
      <c r="X259">
        <v>22</v>
      </c>
      <c r="Y259" t="s">
        <v>47</v>
      </c>
      <c r="Z259">
        <v>5</v>
      </c>
      <c r="AA259">
        <v>38</v>
      </c>
      <c r="AB259">
        <v>13.2</v>
      </c>
      <c r="AY259" t="str">
        <f t="shared" si="30"/>
        <v>2013FemaleUrban25</v>
      </c>
      <c r="AZ259">
        <v>2013</v>
      </c>
      <c r="BA259" t="s">
        <v>8</v>
      </c>
      <c r="BB259" t="s">
        <v>97</v>
      </c>
      <c r="BC259">
        <v>25</v>
      </c>
      <c r="BD259">
        <v>8</v>
      </c>
      <c r="BE259">
        <v>2.6923335801305801</v>
      </c>
      <c r="BF259">
        <v>1.9</v>
      </c>
      <c r="CA259" t="str">
        <f t="shared" si="32"/>
        <v>FemalePacific251</v>
      </c>
      <c r="CB259" t="s">
        <v>8</v>
      </c>
      <c r="CC259" t="s">
        <v>79</v>
      </c>
      <c r="CD259">
        <v>25</v>
      </c>
      <c r="CE259">
        <v>1</v>
      </c>
      <c r="CF259">
        <v>1</v>
      </c>
      <c r="CG259">
        <v>35.169451284393404</v>
      </c>
      <c r="CH259">
        <v>68.900000000000006</v>
      </c>
      <c r="CJ259" t="str">
        <f t="shared" si="33"/>
        <v>MaleAllEth23Jumping from a high place</v>
      </c>
      <c r="CK259" t="s">
        <v>20</v>
      </c>
      <c r="CL259" t="s">
        <v>27</v>
      </c>
      <c r="CM259" t="s">
        <v>44</v>
      </c>
      <c r="CN259">
        <v>23</v>
      </c>
      <c r="CO259">
        <v>24</v>
      </c>
      <c r="CP259">
        <v>677</v>
      </c>
      <c r="CQ259">
        <v>3.5</v>
      </c>
    </row>
    <row r="260" spans="1:95">
      <c r="A260" t="str">
        <f t="shared" ref="A260:A323" si="34">B260&amp;C260&amp;D260&amp;E260</f>
        <v>1997FemaleMaori23</v>
      </c>
      <c r="B260">
        <v>1997</v>
      </c>
      <c r="C260" t="s">
        <v>8</v>
      </c>
      <c r="D260" t="s">
        <v>18</v>
      </c>
      <c r="E260">
        <v>23</v>
      </c>
      <c r="F260">
        <v>15</v>
      </c>
      <c r="G260">
        <v>18.649757553151801</v>
      </c>
      <c r="H260">
        <v>9.4</v>
      </c>
      <c r="J260" s="340" t="str">
        <f t="shared" ref="J260:J323" si="35">K260&amp;L260&amp;M260&amp;N260&amp;O260</f>
        <v>2004FemaleAllEth192</v>
      </c>
      <c r="K260">
        <v>2004</v>
      </c>
      <c r="L260" t="s">
        <v>8</v>
      </c>
      <c r="M260" t="s">
        <v>27</v>
      </c>
      <c r="N260">
        <v>19</v>
      </c>
      <c r="O260">
        <v>2</v>
      </c>
      <c r="P260">
        <v>16</v>
      </c>
      <c r="Q260">
        <v>3.8651389081266099</v>
      </c>
      <c r="R260">
        <v>1.9</v>
      </c>
      <c r="T260" s="340" t="str">
        <f t="shared" si="31"/>
        <v>1997AllSexMaori23Poisoning by solids and liquids</v>
      </c>
      <c r="U260">
        <v>1997</v>
      </c>
      <c r="V260" t="s">
        <v>17</v>
      </c>
      <c r="W260" t="s">
        <v>18</v>
      </c>
      <c r="X260">
        <v>23</v>
      </c>
      <c r="Y260" t="s">
        <v>47</v>
      </c>
      <c r="Z260">
        <v>5</v>
      </c>
      <c r="AA260">
        <v>56</v>
      </c>
      <c r="AB260">
        <v>8.9</v>
      </c>
      <c r="AY260" t="str">
        <f t="shared" ref="AY260:AY323" si="36">AZ260&amp;BA260&amp;BB260&amp;BC260</f>
        <v>2013MaleRural22</v>
      </c>
      <c r="AZ260">
        <v>2013</v>
      </c>
      <c r="BA260" t="s">
        <v>20</v>
      </c>
      <c r="BB260" t="s">
        <v>96</v>
      </c>
      <c r="BC260">
        <v>22</v>
      </c>
      <c r="BD260">
        <v>9</v>
      </c>
      <c r="BE260">
        <v>23.9170874302418</v>
      </c>
      <c r="BF260">
        <v>15.6</v>
      </c>
      <c r="CA260" t="str">
        <f t="shared" si="32"/>
        <v>FemalePacific252</v>
      </c>
      <c r="CB260" t="s">
        <v>8</v>
      </c>
      <c r="CC260" t="s">
        <v>79</v>
      </c>
      <c r="CD260">
        <v>25</v>
      </c>
      <c r="CE260">
        <v>2</v>
      </c>
      <c r="CF260">
        <v>0</v>
      </c>
      <c r="CG260">
        <v>0</v>
      </c>
      <c r="CJ260" t="str">
        <f t="shared" si="33"/>
        <v>MaleAllEth24Jumping from a high place</v>
      </c>
      <c r="CK260" t="s">
        <v>20</v>
      </c>
      <c r="CL260" t="s">
        <v>27</v>
      </c>
      <c r="CM260" t="s">
        <v>44</v>
      </c>
      <c r="CN260">
        <v>24</v>
      </c>
      <c r="CO260">
        <v>21</v>
      </c>
      <c r="CP260">
        <v>607</v>
      </c>
      <c r="CQ260">
        <v>3.5</v>
      </c>
    </row>
    <row r="261" spans="1:95">
      <c r="A261" t="str">
        <f t="shared" si="34"/>
        <v>1997FemaleMaori24</v>
      </c>
      <c r="B261">
        <v>1997</v>
      </c>
      <c r="C261" t="s">
        <v>8</v>
      </c>
      <c r="D261" t="s">
        <v>18</v>
      </c>
      <c r="E261">
        <v>24</v>
      </c>
      <c r="F261">
        <v>0</v>
      </c>
      <c r="G261">
        <v>0</v>
      </c>
      <c r="J261" s="340" t="str">
        <f t="shared" si="35"/>
        <v>2004FemaleAllEth193</v>
      </c>
      <c r="K261">
        <v>2004</v>
      </c>
      <c r="L261" t="s">
        <v>8</v>
      </c>
      <c r="M261" t="s">
        <v>27</v>
      </c>
      <c r="N261">
        <v>19</v>
      </c>
      <c r="O261">
        <v>3</v>
      </c>
      <c r="P261">
        <v>26</v>
      </c>
      <c r="Q261">
        <v>6.0549324228786503</v>
      </c>
      <c r="R261">
        <v>2.2999999999999998</v>
      </c>
      <c r="T261" s="340" t="str">
        <f t="shared" ref="T261:T324" si="37">U261&amp;V261&amp;W261&amp;X261&amp;Y261</f>
        <v>1997AllSexMaori24Sharp object</v>
      </c>
      <c r="U261">
        <v>1997</v>
      </c>
      <c r="V261" t="s">
        <v>17</v>
      </c>
      <c r="W261" t="s">
        <v>18</v>
      </c>
      <c r="X261">
        <v>24</v>
      </c>
      <c r="Y261" t="s">
        <v>48</v>
      </c>
      <c r="Z261">
        <v>1</v>
      </c>
      <c r="AA261">
        <v>7</v>
      </c>
      <c r="AB261">
        <v>14.3</v>
      </c>
      <c r="AY261" t="str">
        <f t="shared" si="36"/>
        <v>2013MaleUrban22</v>
      </c>
      <c r="AZ261">
        <v>2013</v>
      </c>
      <c r="BA261" t="s">
        <v>20</v>
      </c>
      <c r="BB261" t="s">
        <v>97</v>
      </c>
      <c r="BC261">
        <v>22</v>
      </c>
      <c r="BD261">
        <v>64</v>
      </c>
      <c r="BE261">
        <v>22.721624596158598</v>
      </c>
      <c r="BF261">
        <v>5.6</v>
      </c>
      <c r="CA261" t="str">
        <f t="shared" ref="CA261:CA324" si="38">CB261&amp;CC261&amp;CD261&amp;CE261</f>
        <v>FemalePacific253</v>
      </c>
      <c r="CB261" t="s">
        <v>8</v>
      </c>
      <c r="CC261" t="s">
        <v>79</v>
      </c>
      <c r="CD261">
        <v>25</v>
      </c>
      <c r="CE261">
        <v>3</v>
      </c>
      <c r="CF261">
        <v>0</v>
      </c>
      <c r="CG261">
        <v>0</v>
      </c>
      <c r="CJ261" t="str">
        <f t="shared" ref="CJ261:CJ324" si="39">CK261&amp;CL261&amp;CN261&amp;CM261</f>
        <v>MaleAllEth25Jumping from a high place</v>
      </c>
      <c r="CK261" t="s">
        <v>20</v>
      </c>
      <c r="CL261" t="s">
        <v>27</v>
      </c>
      <c r="CM261" t="s">
        <v>44</v>
      </c>
      <c r="CN261">
        <v>25</v>
      </c>
      <c r="CO261">
        <v>5</v>
      </c>
      <c r="CP261">
        <v>240</v>
      </c>
      <c r="CQ261">
        <v>2.1</v>
      </c>
    </row>
    <row r="262" spans="1:95">
      <c r="A262" t="str">
        <f t="shared" si="34"/>
        <v>1997FemaleMaori25</v>
      </c>
      <c r="B262">
        <v>1997</v>
      </c>
      <c r="C262" t="s">
        <v>8</v>
      </c>
      <c r="D262" t="s">
        <v>18</v>
      </c>
      <c r="E262">
        <v>25</v>
      </c>
      <c r="F262">
        <v>1</v>
      </c>
      <c r="G262">
        <v>11.2485939257593</v>
      </c>
      <c r="H262">
        <v>22</v>
      </c>
      <c r="J262" s="340" t="str">
        <f t="shared" si="35"/>
        <v>2004FemaleAllEth194</v>
      </c>
      <c r="K262">
        <v>2004</v>
      </c>
      <c r="L262" t="s">
        <v>8</v>
      </c>
      <c r="M262" t="s">
        <v>27</v>
      </c>
      <c r="N262">
        <v>19</v>
      </c>
      <c r="O262">
        <v>4</v>
      </c>
      <c r="P262">
        <v>27</v>
      </c>
      <c r="Q262">
        <v>6.3841599638995996</v>
      </c>
      <c r="R262">
        <v>2.4</v>
      </c>
      <c r="T262" s="340" t="str">
        <f t="shared" si="37"/>
        <v>1997AllSexMaori23Submersion (drowning)</v>
      </c>
      <c r="U262">
        <v>1997</v>
      </c>
      <c r="V262" t="s">
        <v>17</v>
      </c>
      <c r="W262" t="s">
        <v>18</v>
      </c>
      <c r="X262">
        <v>23</v>
      </c>
      <c r="Y262" t="s">
        <v>49</v>
      </c>
      <c r="Z262">
        <v>1</v>
      </c>
      <c r="AA262">
        <v>56</v>
      </c>
      <c r="AB262">
        <v>1.8</v>
      </c>
      <c r="AY262" t="str">
        <f t="shared" si="36"/>
        <v>2013MaleRural23</v>
      </c>
      <c r="AZ262">
        <v>2013</v>
      </c>
      <c r="BA262" t="s">
        <v>20</v>
      </c>
      <c r="BB262" t="s">
        <v>96</v>
      </c>
      <c r="BC262">
        <v>23</v>
      </c>
      <c r="BD262">
        <v>17</v>
      </c>
      <c r="BE262">
        <v>24.516873377559801</v>
      </c>
      <c r="BF262">
        <v>11.7</v>
      </c>
      <c r="CA262" t="str">
        <f t="shared" si="38"/>
        <v>FemalePacific254</v>
      </c>
      <c r="CB262" t="s">
        <v>8</v>
      </c>
      <c r="CC262" t="s">
        <v>79</v>
      </c>
      <c r="CD262">
        <v>25</v>
      </c>
      <c r="CE262">
        <v>4</v>
      </c>
      <c r="CF262">
        <v>0</v>
      </c>
      <c r="CG262">
        <v>0</v>
      </c>
      <c r="CJ262" t="str">
        <f t="shared" si="39"/>
        <v>MaleAllEth22Other</v>
      </c>
      <c r="CK262" t="s">
        <v>20</v>
      </c>
      <c r="CL262" t="s">
        <v>27</v>
      </c>
      <c r="CM262" t="s">
        <v>45</v>
      </c>
      <c r="CN262">
        <v>22</v>
      </c>
      <c r="CO262">
        <v>12</v>
      </c>
      <c r="CP262">
        <v>404</v>
      </c>
      <c r="CQ262">
        <v>3</v>
      </c>
    </row>
    <row r="263" spans="1:95">
      <c r="A263" t="str">
        <f t="shared" si="34"/>
        <v>1997FemaleNon-Maori21</v>
      </c>
      <c r="B263">
        <v>1997</v>
      </c>
      <c r="C263" t="s">
        <v>8</v>
      </c>
      <c r="D263" t="s">
        <v>19</v>
      </c>
      <c r="E263">
        <v>21</v>
      </c>
      <c r="F263">
        <v>2</v>
      </c>
      <c r="G263">
        <v>0.61715061560773898</v>
      </c>
      <c r="H263">
        <v>0.9</v>
      </c>
      <c r="J263" s="340" t="str">
        <f t="shared" si="35"/>
        <v>2004FemaleAllEth195</v>
      </c>
      <c r="K263">
        <v>2004</v>
      </c>
      <c r="L263" t="s">
        <v>8</v>
      </c>
      <c r="M263" t="s">
        <v>27</v>
      </c>
      <c r="N263">
        <v>19</v>
      </c>
      <c r="O263">
        <v>5</v>
      </c>
      <c r="P263">
        <v>34</v>
      </c>
      <c r="Q263">
        <v>8.2025452813377999</v>
      </c>
      <c r="R263">
        <v>2.8</v>
      </c>
      <c r="T263" s="340" t="str">
        <f t="shared" si="37"/>
        <v>1997AllSexMaori25Submersion (drowning)</v>
      </c>
      <c r="U263">
        <v>1997</v>
      </c>
      <c r="V263" t="s">
        <v>17</v>
      </c>
      <c r="W263" t="s">
        <v>18</v>
      </c>
      <c r="X263">
        <v>25</v>
      </c>
      <c r="Y263" t="s">
        <v>49</v>
      </c>
      <c r="Z263">
        <v>1</v>
      </c>
      <c r="AA263">
        <v>1</v>
      </c>
      <c r="AB263">
        <v>100</v>
      </c>
      <c r="AY263" t="str">
        <f t="shared" si="36"/>
        <v>2013MaleUrban23</v>
      </c>
      <c r="AZ263">
        <v>2013</v>
      </c>
      <c r="BA263" t="s">
        <v>20</v>
      </c>
      <c r="BB263" t="s">
        <v>97</v>
      </c>
      <c r="BC263">
        <v>23</v>
      </c>
      <c r="BD263">
        <v>97</v>
      </c>
      <c r="BE263">
        <v>20.331167470132002</v>
      </c>
      <c r="BF263">
        <v>4</v>
      </c>
      <c r="CA263" t="str">
        <f t="shared" si="38"/>
        <v>FemalePacific255</v>
      </c>
      <c r="CB263" t="s">
        <v>8</v>
      </c>
      <c r="CC263" t="s">
        <v>79</v>
      </c>
      <c r="CD263">
        <v>25</v>
      </c>
      <c r="CE263">
        <v>5</v>
      </c>
      <c r="CF263">
        <v>0</v>
      </c>
      <c r="CG263">
        <v>0</v>
      </c>
      <c r="CJ263" t="str">
        <f t="shared" si="39"/>
        <v>MaleAllEth23Other</v>
      </c>
      <c r="CK263" t="s">
        <v>20</v>
      </c>
      <c r="CL263" t="s">
        <v>27</v>
      </c>
      <c r="CM263" t="s">
        <v>45</v>
      </c>
      <c r="CN263">
        <v>23</v>
      </c>
      <c r="CO263">
        <v>21</v>
      </c>
      <c r="CP263">
        <v>677</v>
      </c>
      <c r="CQ263">
        <v>3.1</v>
      </c>
    </row>
    <row r="264" spans="1:95">
      <c r="A264" t="str">
        <f t="shared" si="34"/>
        <v>1997FemaleNon-Maori22</v>
      </c>
      <c r="B264">
        <v>1997</v>
      </c>
      <c r="C264" t="s">
        <v>8</v>
      </c>
      <c r="D264" t="s">
        <v>19</v>
      </c>
      <c r="E264">
        <v>22</v>
      </c>
      <c r="F264">
        <v>20</v>
      </c>
      <c r="G264">
        <v>9.2357423227891893</v>
      </c>
      <c r="H264">
        <v>4</v>
      </c>
      <c r="J264" s="340" t="str">
        <f t="shared" si="35"/>
        <v>2005FemaleAllEth191</v>
      </c>
      <c r="K264">
        <v>2005</v>
      </c>
      <c r="L264" t="s">
        <v>8</v>
      </c>
      <c r="M264" t="s">
        <v>27</v>
      </c>
      <c r="N264">
        <v>19</v>
      </c>
      <c r="O264">
        <v>1</v>
      </c>
      <c r="P264">
        <v>23</v>
      </c>
      <c r="Q264">
        <v>5.1286859019061399</v>
      </c>
      <c r="R264">
        <v>2.1</v>
      </c>
      <c r="T264" s="340" t="str">
        <f t="shared" si="37"/>
        <v>1997AllSexNon-Maori21Firearms and explosives</v>
      </c>
      <c r="U264">
        <v>1997</v>
      </c>
      <c r="V264" t="s">
        <v>17</v>
      </c>
      <c r="W264" t="s">
        <v>19</v>
      </c>
      <c r="X264">
        <v>21</v>
      </c>
      <c r="Y264" t="s">
        <v>42</v>
      </c>
      <c r="Z264">
        <v>1</v>
      </c>
      <c r="AA264">
        <v>4</v>
      </c>
      <c r="AB264">
        <v>25</v>
      </c>
      <c r="AY264" t="str">
        <f t="shared" si="36"/>
        <v>2013MaleRural24</v>
      </c>
      <c r="AZ264">
        <v>2013</v>
      </c>
      <c r="BA264" t="s">
        <v>20</v>
      </c>
      <c r="BB264" t="s">
        <v>96</v>
      </c>
      <c r="BC264">
        <v>24</v>
      </c>
      <c r="BD264">
        <v>23</v>
      </c>
      <c r="BE264">
        <v>22.9885057471264</v>
      </c>
      <c r="BF264">
        <v>9.4</v>
      </c>
      <c r="CA264" t="str">
        <f t="shared" si="38"/>
        <v>MaleAsian211</v>
      </c>
      <c r="CB264" t="s">
        <v>20</v>
      </c>
      <c r="CC264" t="s">
        <v>78</v>
      </c>
      <c r="CD264">
        <v>21</v>
      </c>
      <c r="CE264">
        <v>1</v>
      </c>
      <c r="CF264">
        <v>1</v>
      </c>
      <c r="CG264">
        <v>2.0626210113963999</v>
      </c>
      <c r="CH264">
        <v>4</v>
      </c>
      <c r="CJ264" t="str">
        <f t="shared" si="39"/>
        <v>MaleAllEth24Other</v>
      </c>
      <c r="CK264" t="s">
        <v>20</v>
      </c>
      <c r="CL264" t="s">
        <v>27</v>
      </c>
      <c r="CM264" t="s">
        <v>45</v>
      </c>
      <c r="CN264">
        <v>24</v>
      </c>
      <c r="CO264">
        <v>30</v>
      </c>
      <c r="CP264">
        <v>607</v>
      </c>
      <c r="CQ264">
        <v>4.9000000000000004</v>
      </c>
    </row>
    <row r="265" spans="1:95">
      <c r="A265" t="str">
        <f t="shared" si="34"/>
        <v>1997FemaleNon-Maori23</v>
      </c>
      <c r="B265">
        <v>1997</v>
      </c>
      <c r="C265" t="s">
        <v>8</v>
      </c>
      <c r="D265" t="s">
        <v>19</v>
      </c>
      <c r="E265">
        <v>23</v>
      </c>
      <c r="F265">
        <v>40</v>
      </c>
      <c r="G265">
        <v>7.77937687191256</v>
      </c>
      <c r="H265">
        <v>2.4</v>
      </c>
      <c r="J265" s="340" t="str">
        <f t="shared" si="35"/>
        <v>2005FemaleAllEth192</v>
      </c>
      <c r="K265">
        <v>2005</v>
      </c>
      <c r="L265" t="s">
        <v>8</v>
      </c>
      <c r="M265" t="s">
        <v>27</v>
      </c>
      <c r="N265">
        <v>19</v>
      </c>
      <c r="O265">
        <v>2</v>
      </c>
      <c r="P265">
        <v>13</v>
      </c>
      <c r="Q265">
        <v>3.06853570496102</v>
      </c>
      <c r="R265">
        <v>1.7</v>
      </c>
      <c r="T265" s="340" t="str">
        <f t="shared" si="37"/>
        <v>1997AllSexNon-Maori22Firearms and explosives</v>
      </c>
      <c r="U265">
        <v>1997</v>
      </c>
      <c r="V265" t="s">
        <v>17</v>
      </c>
      <c r="W265" t="s">
        <v>19</v>
      </c>
      <c r="X265">
        <v>22</v>
      </c>
      <c r="Y265" t="s">
        <v>42</v>
      </c>
      <c r="Z265">
        <v>12</v>
      </c>
      <c r="AA265">
        <v>104</v>
      </c>
      <c r="AB265">
        <v>11.5</v>
      </c>
      <c r="AY265" t="str">
        <f t="shared" si="36"/>
        <v>2013MaleUrban24</v>
      </c>
      <c r="AZ265">
        <v>2013</v>
      </c>
      <c r="BA265" t="s">
        <v>20</v>
      </c>
      <c r="BB265" t="s">
        <v>97</v>
      </c>
      <c r="BC265">
        <v>24</v>
      </c>
      <c r="BD265">
        <v>107</v>
      </c>
      <c r="BE265">
        <v>23.696682464455002</v>
      </c>
      <c r="BF265">
        <v>4.5</v>
      </c>
      <c r="CA265" t="str">
        <f t="shared" si="38"/>
        <v>MaleAsian212</v>
      </c>
      <c r="CB265" t="s">
        <v>20</v>
      </c>
      <c r="CC265" t="s">
        <v>78</v>
      </c>
      <c r="CD265">
        <v>21</v>
      </c>
      <c r="CE265">
        <v>2</v>
      </c>
      <c r="CF265">
        <v>0</v>
      </c>
      <c r="CG265">
        <v>0</v>
      </c>
      <c r="CJ265" t="str">
        <f t="shared" si="39"/>
        <v>MaleAllEth25Other</v>
      </c>
      <c r="CK265" t="s">
        <v>20</v>
      </c>
      <c r="CL265" t="s">
        <v>27</v>
      </c>
      <c r="CM265" t="s">
        <v>45</v>
      </c>
      <c r="CN265">
        <v>25</v>
      </c>
      <c r="CO265">
        <v>10</v>
      </c>
      <c r="CP265">
        <v>240</v>
      </c>
      <c r="CQ265">
        <v>4.2</v>
      </c>
    </row>
    <row r="266" spans="1:95">
      <c r="A266" t="str">
        <f t="shared" si="34"/>
        <v>1997FemaleNon-Maori24</v>
      </c>
      <c r="B266">
        <v>1997</v>
      </c>
      <c r="C266" t="s">
        <v>8</v>
      </c>
      <c r="D266" t="s">
        <v>19</v>
      </c>
      <c r="E266">
        <v>24</v>
      </c>
      <c r="F266">
        <v>26</v>
      </c>
      <c r="G266">
        <v>7.4063523714570598</v>
      </c>
      <c r="H266">
        <v>2.8</v>
      </c>
      <c r="J266" s="340" t="str">
        <f t="shared" si="35"/>
        <v>2005FemaleAllEth193</v>
      </c>
      <c r="K266">
        <v>2005</v>
      </c>
      <c r="L266" t="s">
        <v>8</v>
      </c>
      <c r="M266" t="s">
        <v>27</v>
      </c>
      <c r="N266">
        <v>19</v>
      </c>
      <c r="O266">
        <v>3</v>
      </c>
      <c r="P266">
        <v>26</v>
      </c>
      <c r="Q266">
        <v>5.6044522098723002</v>
      </c>
      <c r="R266">
        <v>2.2000000000000002</v>
      </c>
      <c r="T266" s="340" t="str">
        <f t="shared" si="37"/>
        <v>1997AllSexNon-Maori23Firearms and explosives</v>
      </c>
      <c r="U266">
        <v>1997</v>
      </c>
      <c r="V266" t="s">
        <v>17</v>
      </c>
      <c r="W266" t="s">
        <v>19</v>
      </c>
      <c r="X266">
        <v>23</v>
      </c>
      <c r="Y266" t="s">
        <v>42</v>
      </c>
      <c r="Z266">
        <v>17</v>
      </c>
      <c r="AA266">
        <v>200</v>
      </c>
      <c r="AB266">
        <v>8.5</v>
      </c>
      <c r="AY266" t="str">
        <f t="shared" si="36"/>
        <v>2013MaleRural25</v>
      </c>
      <c r="AZ266">
        <v>2013</v>
      </c>
      <c r="BA266" t="s">
        <v>20</v>
      </c>
      <c r="BB266" t="s">
        <v>96</v>
      </c>
      <c r="BC266">
        <v>25</v>
      </c>
      <c r="BD266">
        <v>6</v>
      </c>
      <c r="BE266">
        <v>13.057671381936901</v>
      </c>
      <c r="BF266">
        <v>10.4</v>
      </c>
      <c r="CA266" t="str">
        <f t="shared" si="38"/>
        <v>MaleAsian213</v>
      </c>
      <c r="CB266" t="s">
        <v>20</v>
      </c>
      <c r="CC266" t="s">
        <v>78</v>
      </c>
      <c r="CD266">
        <v>21</v>
      </c>
      <c r="CE266">
        <v>3</v>
      </c>
      <c r="CF266">
        <v>0</v>
      </c>
      <c r="CG266">
        <v>0</v>
      </c>
      <c r="CJ266" t="str">
        <f t="shared" si="39"/>
        <v>MaleAllEth22Poisoning by gases and vapours</v>
      </c>
      <c r="CK266" t="s">
        <v>20</v>
      </c>
      <c r="CL266" t="s">
        <v>27</v>
      </c>
      <c r="CM266" t="s">
        <v>46</v>
      </c>
      <c r="CN266">
        <v>22</v>
      </c>
      <c r="CO266">
        <v>14</v>
      </c>
      <c r="CP266">
        <v>404</v>
      </c>
      <c r="CQ266">
        <v>3.5</v>
      </c>
    </row>
    <row r="267" spans="1:95">
      <c r="A267" t="str">
        <f t="shared" si="34"/>
        <v>1997FemaleNon-Maori25</v>
      </c>
      <c r="B267">
        <v>1997</v>
      </c>
      <c r="C267" t="s">
        <v>8</v>
      </c>
      <c r="D267" t="s">
        <v>19</v>
      </c>
      <c r="E267">
        <v>25</v>
      </c>
      <c r="F267">
        <v>7</v>
      </c>
      <c r="G267">
        <v>2.9385836027034999</v>
      </c>
      <c r="H267">
        <v>2.2000000000000002</v>
      </c>
      <c r="J267" s="340" t="str">
        <f t="shared" si="35"/>
        <v>2005FemaleAllEth194</v>
      </c>
      <c r="K267">
        <v>2005</v>
      </c>
      <c r="L267" t="s">
        <v>8</v>
      </c>
      <c r="M267" t="s">
        <v>27</v>
      </c>
      <c r="N267">
        <v>19</v>
      </c>
      <c r="O267">
        <v>4</v>
      </c>
      <c r="P267">
        <v>38</v>
      </c>
      <c r="Q267">
        <v>8.7928011540217295</v>
      </c>
      <c r="R267">
        <v>2.8</v>
      </c>
      <c r="T267" s="340" t="str">
        <f t="shared" si="37"/>
        <v>1997AllSexNon-Maori24Firearms and explosives</v>
      </c>
      <c r="U267">
        <v>1997</v>
      </c>
      <c r="V267" t="s">
        <v>17</v>
      </c>
      <c r="W267" t="s">
        <v>19</v>
      </c>
      <c r="X267">
        <v>24</v>
      </c>
      <c r="Y267" t="s">
        <v>42</v>
      </c>
      <c r="Z267">
        <v>13</v>
      </c>
      <c r="AA267">
        <v>95</v>
      </c>
      <c r="AB267">
        <v>13.7</v>
      </c>
      <c r="AY267" t="str">
        <f t="shared" si="36"/>
        <v>2013MaleUrban25</v>
      </c>
      <c r="AZ267">
        <v>2013</v>
      </c>
      <c r="BA267" t="s">
        <v>20</v>
      </c>
      <c r="BB267" t="s">
        <v>97</v>
      </c>
      <c r="BC267">
        <v>25</v>
      </c>
      <c r="BD267">
        <v>41</v>
      </c>
      <c r="BE267">
        <v>16.9072164948454</v>
      </c>
      <c r="BF267">
        <v>5.2</v>
      </c>
      <c r="CA267" t="str">
        <f t="shared" si="38"/>
        <v>MaleAsian214</v>
      </c>
      <c r="CB267" t="s">
        <v>20</v>
      </c>
      <c r="CC267" t="s">
        <v>78</v>
      </c>
      <c r="CD267">
        <v>21</v>
      </c>
      <c r="CE267">
        <v>4</v>
      </c>
      <c r="CF267">
        <v>0</v>
      </c>
      <c r="CG267">
        <v>0</v>
      </c>
      <c r="CJ267" t="str">
        <f t="shared" si="39"/>
        <v>MaleAllEth23Poisoning by gases and vapours</v>
      </c>
      <c r="CK267" t="s">
        <v>20</v>
      </c>
      <c r="CL267" t="s">
        <v>27</v>
      </c>
      <c r="CM267" t="s">
        <v>46</v>
      </c>
      <c r="CN267">
        <v>23</v>
      </c>
      <c r="CO267">
        <v>70</v>
      </c>
      <c r="CP267">
        <v>677</v>
      </c>
      <c r="CQ267">
        <v>10.3</v>
      </c>
    </row>
    <row r="268" spans="1:95">
      <c r="A268" t="str">
        <f t="shared" si="34"/>
        <v>1997MaleAllEth21</v>
      </c>
      <c r="B268">
        <v>1997</v>
      </c>
      <c r="C268" t="s">
        <v>20</v>
      </c>
      <c r="D268" t="s">
        <v>27</v>
      </c>
      <c r="E268">
        <v>21</v>
      </c>
      <c r="F268">
        <v>5</v>
      </c>
      <c r="G268">
        <v>1.11911902949998</v>
      </c>
      <c r="H268">
        <v>1</v>
      </c>
      <c r="J268" s="340" t="str">
        <f t="shared" si="35"/>
        <v>2005FemaleAllEth195</v>
      </c>
      <c r="K268">
        <v>2005</v>
      </c>
      <c r="L268" t="s">
        <v>8</v>
      </c>
      <c r="M268" t="s">
        <v>27</v>
      </c>
      <c r="N268">
        <v>19</v>
      </c>
      <c r="O268">
        <v>5</v>
      </c>
      <c r="P268">
        <v>26</v>
      </c>
      <c r="Q268">
        <v>6.3735189706331496</v>
      </c>
      <c r="R268">
        <v>2.4</v>
      </c>
      <c r="T268" s="340" t="str">
        <f t="shared" si="37"/>
        <v>1997AllSexNon-Maori25Firearms and explosives</v>
      </c>
      <c r="U268">
        <v>1997</v>
      </c>
      <c r="V268" t="s">
        <v>17</v>
      </c>
      <c r="W268" t="s">
        <v>19</v>
      </c>
      <c r="X268">
        <v>25</v>
      </c>
      <c r="Y268" t="s">
        <v>42</v>
      </c>
      <c r="Z268">
        <v>5</v>
      </c>
      <c r="AA268">
        <v>53</v>
      </c>
      <c r="AB268">
        <v>9.4</v>
      </c>
      <c r="AY268" t="str">
        <f t="shared" si="36"/>
        <v>2014AllSexRural22</v>
      </c>
      <c r="AZ268">
        <v>2014</v>
      </c>
      <c r="BA268" t="s">
        <v>17</v>
      </c>
      <c r="BB268" t="s">
        <v>96</v>
      </c>
      <c r="BC268">
        <v>22</v>
      </c>
      <c r="BD268">
        <v>8</v>
      </c>
      <c r="BE268">
        <v>11.160714285714301</v>
      </c>
      <c r="BF268">
        <v>7.7</v>
      </c>
      <c r="CA268" t="str">
        <f t="shared" si="38"/>
        <v>MaleAsian215</v>
      </c>
      <c r="CB268" t="s">
        <v>20</v>
      </c>
      <c r="CC268" t="s">
        <v>78</v>
      </c>
      <c r="CD268">
        <v>21</v>
      </c>
      <c r="CE268">
        <v>5</v>
      </c>
      <c r="CF268">
        <v>0</v>
      </c>
      <c r="CG268">
        <v>0</v>
      </c>
      <c r="CJ268" t="str">
        <f t="shared" si="39"/>
        <v>MaleAllEth24Poisoning by gases and vapours</v>
      </c>
      <c r="CK268" t="s">
        <v>20</v>
      </c>
      <c r="CL268" t="s">
        <v>27</v>
      </c>
      <c r="CM268" t="s">
        <v>46</v>
      </c>
      <c r="CN268">
        <v>24</v>
      </c>
      <c r="CO268">
        <v>73</v>
      </c>
      <c r="CP268">
        <v>607</v>
      </c>
      <c r="CQ268">
        <v>12</v>
      </c>
    </row>
    <row r="269" spans="1:95">
      <c r="A269" t="str">
        <f t="shared" si="34"/>
        <v>1997MaleAllEth22</v>
      </c>
      <c r="B269">
        <v>1997</v>
      </c>
      <c r="C269" t="s">
        <v>20</v>
      </c>
      <c r="D269" t="s">
        <v>27</v>
      </c>
      <c r="E269">
        <v>22</v>
      </c>
      <c r="F269">
        <v>113</v>
      </c>
      <c r="G269">
        <v>41.037187681580498</v>
      </c>
      <c r="H269">
        <v>7.6</v>
      </c>
      <c r="J269" s="340" t="str">
        <f t="shared" si="35"/>
        <v>2006FemaleAllEth191</v>
      </c>
      <c r="K269">
        <v>2006</v>
      </c>
      <c r="L269" t="s">
        <v>8</v>
      </c>
      <c r="M269" t="s">
        <v>27</v>
      </c>
      <c r="N269">
        <v>19</v>
      </c>
      <c r="O269">
        <v>1</v>
      </c>
      <c r="P269">
        <v>18</v>
      </c>
      <c r="Q269">
        <v>3.91928161789447</v>
      </c>
      <c r="R269">
        <v>1.8</v>
      </c>
      <c r="T269" s="340" t="str">
        <f t="shared" si="37"/>
        <v>1997AllSexNon-Maori21Hanging, strangulation and suffocation</v>
      </c>
      <c r="U269">
        <v>1997</v>
      </c>
      <c r="V269" t="s">
        <v>17</v>
      </c>
      <c r="W269" t="s">
        <v>19</v>
      </c>
      <c r="X269">
        <v>21</v>
      </c>
      <c r="Y269" t="s">
        <v>43</v>
      </c>
      <c r="Z269">
        <v>3</v>
      </c>
      <c r="AA269">
        <v>4</v>
      </c>
      <c r="AB269">
        <v>75</v>
      </c>
      <c r="AY269" t="str">
        <f t="shared" si="36"/>
        <v>2014AllSexUrban22</v>
      </c>
      <c r="AZ269">
        <v>2014</v>
      </c>
      <c r="BA269" t="s">
        <v>17</v>
      </c>
      <c r="BB269" t="s">
        <v>97</v>
      </c>
      <c r="BC269">
        <v>22</v>
      </c>
      <c r="BD269">
        <v>81</v>
      </c>
      <c r="BE269">
        <v>14.272876248876701</v>
      </c>
      <c r="BF269">
        <v>3.1</v>
      </c>
      <c r="CA269" t="str">
        <f t="shared" si="38"/>
        <v>MaleMaori211</v>
      </c>
      <c r="CB269" t="s">
        <v>20</v>
      </c>
      <c r="CC269" t="s">
        <v>18</v>
      </c>
      <c r="CD269">
        <v>21</v>
      </c>
      <c r="CE269">
        <v>1</v>
      </c>
      <c r="CF269">
        <v>0</v>
      </c>
      <c r="CG269">
        <v>0</v>
      </c>
      <c r="CJ269" t="str">
        <f t="shared" si="39"/>
        <v>MaleAllEth25Poisoning by gases and vapours</v>
      </c>
      <c r="CK269" t="s">
        <v>20</v>
      </c>
      <c r="CL269" t="s">
        <v>27</v>
      </c>
      <c r="CM269" t="s">
        <v>46</v>
      </c>
      <c r="CN269">
        <v>25</v>
      </c>
      <c r="CO269">
        <v>20</v>
      </c>
      <c r="CP269">
        <v>240</v>
      </c>
      <c r="CQ269">
        <v>8.3000000000000007</v>
      </c>
    </row>
    <row r="270" spans="1:95">
      <c r="A270" t="str">
        <f t="shared" si="34"/>
        <v>1997MaleAllEth23</v>
      </c>
      <c r="B270">
        <v>1997</v>
      </c>
      <c r="C270" t="s">
        <v>20</v>
      </c>
      <c r="D270" t="s">
        <v>27</v>
      </c>
      <c r="E270">
        <v>23</v>
      </c>
      <c r="F270">
        <v>201</v>
      </c>
      <c r="G270">
        <v>35.230399803691299</v>
      </c>
      <c r="H270">
        <v>4.9000000000000004</v>
      </c>
      <c r="J270" s="340" t="str">
        <f t="shared" si="35"/>
        <v>2006FemaleAllEth192</v>
      </c>
      <c r="K270">
        <v>2006</v>
      </c>
      <c r="L270" t="s">
        <v>8</v>
      </c>
      <c r="M270" t="s">
        <v>27</v>
      </c>
      <c r="N270">
        <v>19</v>
      </c>
      <c r="O270">
        <v>2</v>
      </c>
      <c r="P270">
        <v>24</v>
      </c>
      <c r="Q270">
        <v>5.3220540822637998</v>
      </c>
      <c r="R270">
        <v>2.1</v>
      </c>
      <c r="T270" s="340" t="str">
        <f t="shared" si="37"/>
        <v>1997AllSexNon-Maori22Hanging, strangulation and suffocation</v>
      </c>
      <c r="U270">
        <v>1997</v>
      </c>
      <c r="V270" t="s">
        <v>17</v>
      </c>
      <c r="W270" t="s">
        <v>19</v>
      </c>
      <c r="X270">
        <v>22</v>
      </c>
      <c r="Y270" t="s">
        <v>43</v>
      </c>
      <c r="Z270">
        <v>50</v>
      </c>
      <c r="AA270">
        <v>104</v>
      </c>
      <c r="AB270">
        <v>48.1</v>
      </c>
      <c r="AY270" t="str">
        <f t="shared" si="36"/>
        <v>2014AllSexRural23</v>
      </c>
      <c r="AZ270">
        <v>2014</v>
      </c>
      <c r="BA270" t="s">
        <v>17</v>
      </c>
      <c r="BB270" t="s">
        <v>96</v>
      </c>
      <c r="BC270">
        <v>23</v>
      </c>
      <c r="BD270">
        <v>23</v>
      </c>
      <c r="BE270">
        <v>16.524175587326699</v>
      </c>
      <c r="BF270">
        <v>6.8</v>
      </c>
      <c r="CA270" t="str">
        <f t="shared" si="38"/>
        <v>MaleMaori212</v>
      </c>
      <c r="CB270" t="s">
        <v>20</v>
      </c>
      <c r="CC270" t="s">
        <v>18</v>
      </c>
      <c r="CD270">
        <v>21</v>
      </c>
      <c r="CE270">
        <v>2</v>
      </c>
      <c r="CF270">
        <v>1</v>
      </c>
      <c r="CG270">
        <v>1.4349560674886099</v>
      </c>
      <c r="CH270">
        <v>2.8</v>
      </c>
      <c r="CJ270" t="str">
        <f t="shared" si="39"/>
        <v>MaleAllEth21Poisoning by solids and liquids</v>
      </c>
      <c r="CK270" t="s">
        <v>20</v>
      </c>
      <c r="CL270" t="s">
        <v>27</v>
      </c>
      <c r="CM270" t="s">
        <v>47</v>
      </c>
      <c r="CN270">
        <v>21</v>
      </c>
      <c r="CO270">
        <v>1</v>
      </c>
      <c r="CP270">
        <v>18</v>
      </c>
      <c r="CQ270">
        <v>5.6</v>
      </c>
    </row>
    <row r="271" spans="1:95">
      <c r="A271" t="str">
        <f t="shared" si="34"/>
        <v>1997MaleAllEth24</v>
      </c>
      <c r="B271">
        <v>1997</v>
      </c>
      <c r="C271" t="s">
        <v>20</v>
      </c>
      <c r="D271" t="s">
        <v>27</v>
      </c>
      <c r="E271">
        <v>24</v>
      </c>
      <c r="F271">
        <v>76</v>
      </c>
      <c r="G271">
        <v>19.856303069889002</v>
      </c>
      <c r="H271">
        <v>4.5</v>
      </c>
      <c r="J271" s="340" t="str">
        <f t="shared" si="35"/>
        <v>2006FemaleAllEth193</v>
      </c>
      <c r="K271">
        <v>2006</v>
      </c>
      <c r="L271" t="s">
        <v>8</v>
      </c>
      <c r="M271" t="s">
        <v>27</v>
      </c>
      <c r="N271">
        <v>19</v>
      </c>
      <c r="O271">
        <v>3</v>
      </c>
      <c r="P271">
        <v>25</v>
      </c>
      <c r="Q271">
        <v>5.4993855608744502</v>
      </c>
      <c r="R271">
        <v>2.2000000000000002</v>
      </c>
      <c r="T271" s="340" t="str">
        <f t="shared" si="37"/>
        <v>1997AllSexNon-Maori23Hanging, strangulation and suffocation</v>
      </c>
      <c r="U271">
        <v>1997</v>
      </c>
      <c r="V271" t="s">
        <v>17</v>
      </c>
      <c r="W271" t="s">
        <v>19</v>
      </c>
      <c r="X271">
        <v>23</v>
      </c>
      <c r="Y271" t="s">
        <v>43</v>
      </c>
      <c r="Z271">
        <v>61</v>
      </c>
      <c r="AA271">
        <v>200</v>
      </c>
      <c r="AB271">
        <v>30.5</v>
      </c>
      <c r="AY271" t="str">
        <f t="shared" si="36"/>
        <v>2014AllSexUrban23</v>
      </c>
      <c r="AZ271">
        <v>2014</v>
      </c>
      <c r="BA271" t="s">
        <v>17</v>
      </c>
      <c r="BB271" t="s">
        <v>97</v>
      </c>
      <c r="BC271">
        <v>23</v>
      </c>
      <c r="BD271">
        <v>165</v>
      </c>
      <c r="BE271">
        <v>16.2368014485195</v>
      </c>
      <c r="BF271">
        <v>2.5</v>
      </c>
      <c r="CA271" t="str">
        <f t="shared" si="38"/>
        <v>MaleMaori213</v>
      </c>
      <c r="CB271" t="s">
        <v>20</v>
      </c>
      <c r="CC271" t="s">
        <v>18</v>
      </c>
      <c r="CD271">
        <v>21</v>
      </c>
      <c r="CE271">
        <v>3</v>
      </c>
      <c r="CF271">
        <v>2</v>
      </c>
      <c r="CG271">
        <v>2.0752571054061</v>
      </c>
      <c r="CH271">
        <v>2.9</v>
      </c>
      <c r="CJ271" t="str">
        <f t="shared" si="39"/>
        <v>MaleAllEth22Poisoning by solids and liquids</v>
      </c>
      <c r="CK271" t="s">
        <v>20</v>
      </c>
      <c r="CL271" t="s">
        <v>27</v>
      </c>
      <c r="CM271" t="s">
        <v>47</v>
      </c>
      <c r="CN271">
        <v>22</v>
      </c>
      <c r="CO271">
        <v>7</v>
      </c>
      <c r="CP271">
        <v>404</v>
      </c>
      <c r="CQ271">
        <v>1.7</v>
      </c>
    </row>
    <row r="272" spans="1:95">
      <c r="A272" t="str">
        <f t="shared" si="34"/>
        <v>1997MaleAllEth25</v>
      </c>
      <c r="B272">
        <v>1997</v>
      </c>
      <c r="C272" t="s">
        <v>20</v>
      </c>
      <c r="D272" t="s">
        <v>27</v>
      </c>
      <c r="E272">
        <v>25</v>
      </c>
      <c r="F272">
        <v>46</v>
      </c>
      <c r="G272">
        <v>24.361826077745999</v>
      </c>
      <c r="H272">
        <v>7</v>
      </c>
      <c r="J272" s="340" t="str">
        <f t="shared" si="35"/>
        <v>2006FemaleAllEth194</v>
      </c>
      <c r="K272">
        <v>2006</v>
      </c>
      <c r="L272" t="s">
        <v>8</v>
      </c>
      <c r="M272" t="s">
        <v>27</v>
      </c>
      <c r="N272">
        <v>19</v>
      </c>
      <c r="O272">
        <v>4</v>
      </c>
      <c r="P272">
        <v>24</v>
      </c>
      <c r="Q272">
        <v>5.3830777309068196</v>
      </c>
      <c r="R272">
        <v>2.2000000000000002</v>
      </c>
      <c r="T272" s="340" t="str">
        <f t="shared" si="37"/>
        <v>1997AllSexNon-Maori24Hanging, strangulation and suffocation</v>
      </c>
      <c r="U272">
        <v>1997</v>
      </c>
      <c r="V272" t="s">
        <v>17</v>
      </c>
      <c r="W272" t="s">
        <v>19</v>
      </c>
      <c r="X272">
        <v>24</v>
      </c>
      <c r="Y272" t="s">
        <v>43</v>
      </c>
      <c r="Z272">
        <v>34</v>
      </c>
      <c r="AA272">
        <v>95</v>
      </c>
      <c r="AB272">
        <v>35.799999999999997</v>
      </c>
      <c r="AY272" t="str">
        <f t="shared" si="36"/>
        <v>2014AllSexRural24</v>
      </c>
      <c r="AZ272">
        <v>2014</v>
      </c>
      <c r="BA272" t="s">
        <v>17</v>
      </c>
      <c r="BB272" t="s">
        <v>96</v>
      </c>
      <c r="BC272">
        <v>24</v>
      </c>
      <c r="BD272">
        <v>31</v>
      </c>
      <c r="BE272">
        <v>15.630514798568001</v>
      </c>
      <c r="BF272">
        <v>5.5</v>
      </c>
      <c r="CA272" t="str">
        <f t="shared" si="38"/>
        <v>MaleMaori214</v>
      </c>
      <c r="CB272" t="s">
        <v>20</v>
      </c>
      <c r="CC272" t="s">
        <v>18</v>
      </c>
      <c r="CD272">
        <v>21</v>
      </c>
      <c r="CE272">
        <v>4</v>
      </c>
      <c r="CF272">
        <v>5</v>
      </c>
      <c r="CG272">
        <v>3.6766098063666099</v>
      </c>
      <c r="CH272">
        <v>3.2</v>
      </c>
      <c r="CJ272" t="str">
        <f t="shared" si="39"/>
        <v>MaleAllEth23Poisoning by solids and liquids</v>
      </c>
      <c r="CK272" t="s">
        <v>20</v>
      </c>
      <c r="CL272" t="s">
        <v>27</v>
      </c>
      <c r="CM272" t="s">
        <v>47</v>
      </c>
      <c r="CN272">
        <v>23</v>
      </c>
      <c r="CO272">
        <v>31</v>
      </c>
      <c r="CP272">
        <v>677</v>
      </c>
      <c r="CQ272">
        <v>4.5999999999999996</v>
      </c>
    </row>
    <row r="273" spans="1:95">
      <c r="A273" t="str">
        <f t="shared" si="34"/>
        <v>1997MaleMaori21</v>
      </c>
      <c r="B273">
        <v>1997</v>
      </c>
      <c r="C273" t="s">
        <v>20</v>
      </c>
      <c r="D273" t="s">
        <v>18</v>
      </c>
      <c r="E273">
        <v>21</v>
      </c>
      <c r="F273">
        <v>3</v>
      </c>
      <c r="G273">
        <v>2.92226767971946</v>
      </c>
      <c r="H273">
        <v>3.3</v>
      </c>
      <c r="J273" s="340" t="str">
        <f t="shared" si="35"/>
        <v>2006FemaleAllEth195</v>
      </c>
      <c r="K273">
        <v>2006</v>
      </c>
      <c r="L273" t="s">
        <v>8</v>
      </c>
      <c r="M273" t="s">
        <v>27</v>
      </c>
      <c r="N273">
        <v>19</v>
      </c>
      <c r="O273">
        <v>5</v>
      </c>
      <c r="P273">
        <v>35</v>
      </c>
      <c r="Q273">
        <v>8.3867177720886303</v>
      </c>
      <c r="R273">
        <v>2.8</v>
      </c>
      <c r="T273" s="340" t="str">
        <f t="shared" si="37"/>
        <v>1997AllSexNon-Maori25Hanging, strangulation and suffocation</v>
      </c>
      <c r="U273">
        <v>1997</v>
      </c>
      <c r="V273" t="s">
        <v>17</v>
      </c>
      <c r="W273" t="s">
        <v>19</v>
      </c>
      <c r="X273">
        <v>25</v>
      </c>
      <c r="Y273" t="s">
        <v>43</v>
      </c>
      <c r="Z273">
        <v>14</v>
      </c>
      <c r="AA273">
        <v>53</v>
      </c>
      <c r="AB273">
        <v>26.4</v>
      </c>
      <c r="AY273" t="str">
        <f t="shared" si="36"/>
        <v>2014AllSexUrban24</v>
      </c>
      <c r="AZ273">
        <v>2014</v>
      </c>
      <c r="BA273" t="s">
        <v>17</v>
      </c>
      <c r="BB273" t="s">
        <v>97</v>
      </c>
      <c r="BC273">
        <v>24</v>
      </c>
      <c r="BD273">
        <v>130</v>
      </c>
      <c r="BE273">
        <v>13.616129876931099</v>
      </c>
      <c r="BF273">
        <v>2.2999999999999998</v>
      </c>
      <c r="CA273" t="str">
        <f t="shared" si="38"/>
        <v>MaleMaori215</v>
      </c>
      <c r="CB273" t="s">
        <v>20</v>
      </c>
      <c r="CC273" t="s">
        <v>18</v>
      </c>
      <c r="CD273">
        <v>21</v>
      </c>
      <c r="CE273">
        <v>5</v>
      </c>
      <c r="CF273">
        <v>2</v>
      </c>
      <c r="CG273">
        <v>0.79029285503710101</v>
      </c>
      <c r="CH273">
        <v>1.1000000000000001</v>
      </c>
      <c r="CJ273" t="str">
        <f t="shared" si="39"/>
        <v>MaleAllEth24Poisoning by solids and liquids</v>
      </c>
      <c r="CK273" t="s">
        <v>20</v>
      </c>
      <c r="CL273" t="s">
        <v>27</v>
      </c>
      <c r="CM273" t="s">
        <v>47</v>
      </c>
      <c r="CN273">
        <v>24</v>
      </c>
      <c r="CO273">
        <v>59</v>
      </c>
      <c r="CP273">
        <v>607</v>
      </c>
      <c r="CQ273">
        <v>9.6999999999999993</v>
      </c>
    </row>
    <row r="274" spans="1:95">
      <c r="A274" t="str">
        <f t="shared" si="34"/>
        <v>1997MaleMaori22</v>
      </c>
      <c r="B274">
        <v>1997</v>
      </c>
      <c r="C274" t="s">
        <v>20</v>
      </c>
      <c r="D274" t="s">
        <v>18</v>
      </c>
      <c r="E274">
        <v>22</v>
      </c>
      <c r="F274">
        <v>29</v>
      </c>
      <c r="G274">
        <v>56.431212298112499</v>
      </c>
      <c r="H274">
        <v>20.5</v>
      </c>
      <c r="J274" s="340" t="str">
        <f t="shared" si="35"/>
        <v>2007FemaleAllEth191</v>
      </c>
      <c r="K274">
        <v>2007</v>
      </c>
      <c r="L274" t="s">
        <v>8</v>
      </c>
      <c r="M274" t="s">
        <v>27</v>
      </c>
      <c r="N274">
        <v>19</v>
      </c>
      <c r="O274">
        <v>1</v>
      </c>
      <c r="P274">
        <v>17</v>
      </c>
      <c r="Q274">
        <v>3.21939072200857</v>
      </c>
      <c r="R274">
        <v>1.5</v>
      </c>
      <c r="T274" s="340" t="str">
        <f t="shared" si="37"/>
        <v>1997AllSexNon-Maori22Jumping from a high place</v>
      </c>
      <c r="U274">
        <v>1997</v>
      </c>
      <c r="V274" t="s">
        <v>17</v>
      </c>
      <c r="W274" t="s">
        <v>19</v>
      </c>
      <c r="X274">
        <v>22</v>
      </c>
      <c r="Y274" t="s">
        <v>44</v>
      </c>
      <c r="Z274">
        <v>2</v>
      </c>
      <c r="AA274">
        <v>104</v>
      </c>
      <c r="AB274">
        <v>1.9</v>
      </c>
      <c r="AY274" t="str">
        <f t="shared" si="36"/>
        <v>2014AllSexRural25</v>
      </c>
      <c r="AZ274">
        <v>2014</v>
      </c>
      <c r="BA274" t="s">
        <v>17</v>
      </c>
      <c r="BB274" t="s">
        <v>96</v>
      </c>
      <c r="BC274">
        <v>25</v>
      </c>
      <c r="BD274">
        <v>7</v>
      </c>
      <c r="BE274">
        <v>7.7846975088967998</v>
      </c>
      <c r="BF274">
        <v>5.8</v>
      </c>
      <c r="CA274" t="str">
        <f t="shared" si="38"/>
        <v>MaleOther211</v>
      </c>
      <c r="CB274" t="s">
        <v>20</v>
      </c>
      <c r="CC274" t="s">
        <v>45</v>
      </c>
      <c r="CD274">
        <v>21</v>
      </c>
      <c r="CE274">
        <v>1</v>
      </c>
      <c r="CF274">
        <v>1</v>
      </c>
      <c r="CG274">
        <v>0.28049343519402598</v>
      </c>
      <c r="CH274">
        <v>0.5</v>
      </c>
      <c r="CJ274" t="str">
        <f t="shared" si="39"/>
        <v>MaleAllEth25Poisoning by solids and liquids</v>
      </c>
      <c r="CK274" t="s">
        <v>20</v>
      </c>
      <c r="CL274" t="s">
        <v>27</v>
      </c>
      <c r="CM274" t="s">
        <v>47</v>
      </c>
      <c r="CN274">
        <v>25</v>
      </c>
      <c r="CO274">
        <v>32</v>
      </c>
      <c r="CP274">
        <v>240</v>
      </c>
      <c r="CQ274">
        <v>13.3</v>
      </c>
    </row>
    <row r="275" spans="1:95">
      <c r="A275" t="str">
        <f t="shared" si="34"/>
        <v>1997MaleMaori23</v>
      </c>
      <c r="B275">
        <v>1997</v>
      </c>
      <c r="C275" t="s">
        <v>20</v>
      </c>
      <c r="D275" t="s">
        <v>18</v>
      </c>
      <c r="E275">
        <v>23</v>
      </c>
      <c r="F275">
        <v>41</v>
      </c>
      <c r="G275">
        <v>56.365136101182301</v>
      </c>
      <c r="H275">
        <v>17.3</v>
      </c>
      <c r="J275" s="340" t="str">
        <f t="shared" si="35"/>
        <v>2007FemaleAllEth192</v>
      </c>
      <c r="K275">
        <v>2007</v>
      </c>
      <c r="L275" t="s">
        <v>8</v>
      </c>
      <c r="M275" t="s">
        <v>27</v>
      </c>
      <c r="N275">
        <v>19</v>
      </c>
      <c r="O275">
        <v>2</v>
      </c>
      <c r="P275">
        <v>21</v>
      </c>
      <c r="Q275">
        <v>4.3903552637485497</v>
      </c>
      <c r="R275">
        <v>1.9</v>
      </c>
      <c r="T275" s="340" t="str">
        <f t="shared" si="37"/>
        <v>1997AllSexNon-Maori23Jumping from a high place</v>
      </c>
      <c r="U275">
        <v>1997</v>
      </c>
      <c r="V275" t="s">
        <v>17</v>
      </c>
      <c r="W275" t="s">
        <v>19</v>
      </c>
      <c r="X275">
        <v>23</v>
      </c>
      <c r="Y275" t="s">
        <v>44</v>
      </c>
      <c r="Z275">
        <v>7</v>
      </c>
      <c r="AA275">
        <v>200</v>
      </c>
      <c r="AB275">
        <v>3.5</v>
      </c>
      <c r="AY275" t="str">
        <f t="shared" si="36"/>
        <v>2014AllSexUrban25</v>
      </c>
      <c r="AZ275">
        <v>2014</v>
      </c>
      <c r="BA275" t="s">
        <v>17</v>
      </c>
      <c r="BB275" t="s">
        <v>97</v>
      </c>
      <c r="BC275">
        <v>25</v>
      </c>
      <c r="BD275">
        <v>53</v>
      </c>
      <c r="BE275">
        <v>9.4587118305284399</v>
      </c>
      <c r="BF275">
        <v>2.5</v>
      </c>
      <c r="CA275" t="str">
        <f t="shared" si="38"/>
        <v>MaleOther212</v>
      </c>
      <c r="CB275" t="s">
        <v>20</v>
      </c>
      <c r="CC275" t="s">
        <v>45</v>
      </c>
      <c r="CD275">
        <v>21</v>
      </c>
      <c r="CE275">
        <v>2</v>
      </c>
      <c r="CF275">
        <v>2</v>
      </c>
      <c r="CG275">
        <v>0.66992368840085004</v>
      </c>
      <c r="CH275">
        <v>0.9</v>
      </c>
      <c r="CJ275" t="str">
        <f t="shared" si="39"/>
        <v>MaleAllEth22Sharp object</v>
      </c>
      <c r="CK275" t="s">
        <v>20</v>
      </c>
      <c r="CL275" t="s">
        <v>27</v>
      </c>
      <c r="CM275" t="s">
        <v>48</v>
      </c>
      <c r="CN275">
        <v>22</v>
      </c>
      <c r="CO275">
        <v>1</v>
      </c>
      <c r="CP275">
        <v>404</v>
      </c>
      <c r="CQ275">
        <v>0.2</v>
      </c>
    </row>
    <row r="276" spans="1:95">
      <c r="A276" t="str">
        <f t="shared" si="34"/>
        <v>1997MaleMaori24</v>
      </c>
      <c r="B276">
        <v>1997</v>
      </c>
      <c r="C276" t="s">
        <v>20</v>
      </c>
      <c r="D276" t="s">
        <v>18</v>
      </c>
      <c r="E276">
        <v>24</v>
      </c>
      <c r="F276">
        <v>7</v>
      </c>
      <c r="G276">
        <v>21.6450216450216</v>
      </c>
      <c r="H276">
        <v>16</v>
      </c>
      <c r="J276" s="340" t="str">
        <f t="shared" si="35"/>
        <v>2007FemaleAllEth193</v>
      </c>
      <c r="K276">
        <v>2007</v>
      </c>
      <c r="L276" t="s">
        <v>8</v>
      </c>
      <c r="M276" t="s">
        <v>27</v>
      </c>
      <c r="N276">
        <v>19</v>
      </c>
      <c r="O276">
        <v>3</v>
      </c>
      <c r="P276">
        <v>25</v>
      </c>
      <c r="Q276">
        <v>5.7446892212915204</v>
      </c>
      <c r="R276">
        <v>2.2999999999999998</v>
      </c>
      <c r="T276" s="340" t="str">
        <f t="shared" si="37"/>
        <v>1997AllSexNon-Maori24Jumping from a high place</v>
      </c>
      <c r="U276">
        <v>1997</v>
      </c>
      <c r="V276" t="s">
        <v>17</v>
      </c>
      <c r="W276" t="s">
        <v>19</v>
      </c>
      <c r="X276">
        <v>24</v>
      </c>
      <c r="Y276" t="s">
        <v>44</v>
      </c>
      <c r="Z276">
        <v>1</v>
      </c>
      <c r="AA276">
        <v>95</v>
      </c>
      <c r="AB276">
        <v>1.1000000000000001</v>
      </c>
      <c r="AY276" t="str">
        <f t="shared" si="36"/>
        <v>2014FemaleRural22</v>
      </c>
      <c r="AZ276">
        <v>2014</v>
      </c>
      <c r="BA276" t="s">
        <v>8</v>
      </c>
      <c r="BB276" t="s">
        <v>96</v>
      </c>
      <c r="BC276">
        <v>22</v>
      </c>
      <c r="BD276">
        <v>1</v>
      </c>
      <c r="BE276">
        <v>3.0441400304414001</v>
      </c>
      <c r="BF276">
        <v>6</v>
      </c>
      <c r="CA276" t="str">
        <f t="shared" si="38"/>
        <v>MaleOther213</v>
      </c>
      <c r="CB276" t="s">
        <v>20</v>
      </c>
      <c r="CC276" t="s">
        <v>45</v>
      </c>
      <c r="CD276">
        <v>21</v>
      </c>
      <c r="CE276">
        <v>3</v>
      </c>
      <c r="CF276">
        <v>0</v>
      </c>
      <c r="CG276">
        <v>0</v>
      </c>
      <c r="CJ276" t="str">
        <f t="shared" si="39"/>
        <v>MaleAllEth23Sharp object</v>
      </c>
      <c r="CK276" t="s">
        <v>20</v>
      </c>
      <c r="CL276" t="s">
        <v>27</v>
      </c>
      <c r="CM276" t="s">
        <v>48</v>
      </c>
      <c r="CN276">
        <v>23</v>
      </c>
      <c r="CO276">
        <v>15</v>
      </c>
      <c r="CP276">
        <v>677</v>
      </c>
      <c r="CQ276">
        <v>2.2000000000000002</v>
      </c>
    </row>
    <row r="277" spans="1:95">
      <c r="A277" t="str">
        <f t="shared" si="34"/>
        <v>1997MaleMaori25</v>
      </c>
      <c r="B277">
        <v>1997</v>
      </c>
      <c r="C277" t="s">
        <v>20</v>
      </c>
      <c r="D277" t="s">
        <v>18</v>
      </c>
      <c r="E277">
        <v>25</v>
      </c>
      <c r="F277">
        <v>0</v>
      </c>
      <c r="G277">
        <v>0</v>
      </c>
      <c r="J277" s="340" t="str">
        <f t="shared" si="35"/>
        <v>2007FemaleAllEth194</v>
      </c>
      <c r="K277">
        <v>2007</v>
      </c>
      <c r="L277" t="s">
        <v>8</v>
      </c>
      <c r="M277" t="s">
        <v>27</v>
      </c>
      <c r="N277">
        <v>19</v>
      </c>
      <c r="O277">
        <v>4</v>
      </c>
      <c r="P277">
        <v>22</v>
      </c>
      <c r="Q277">
        <v>4.9567640127175396</v>
      </c>
      <c r="R277">
        <v>2.1</v>
      </c>
      <c r="T277" s="340" t="str">
        <f t="shared" si="37"/>
        <v>1997AllSexNon-Maori22Other</v>
      </c>
      <c r="U277">
        <v>1997</v>
      </c>
      <c r="V277" t="s">
        <v>17</v>
      </c>
      <c r="W277" t="s">
        <v>19</v>
      </c>
      <c r="X277">
        <v>22</v>
      </c>
      <c r="Y277" t="s">
        <v>45</v>
      </c>
      <c r="Z277">
        <v>3</v>
      </c>
      <c r="AA277">
        <v>104</v>
      </c>
      <c r="AB277">
        <v>2.9</v>
      </c>
      <c r="AY277" t="str">
        <f t="shared" si="36"/>
        <v>2014FemaleUrban22</v>
      </c>
      <c r="AZ277">
        <v>2014</v>
      </c>
      <c r="BA277" t="s">
        <v>8</v>
      </c>
      <c r="BB277" t="s">
        <v>97</v>
      </c>
      <c r="BC277">
        <v>22</v>
      </c>
      <c r="BD277">
        <v>20</v>
      </c>
      <c r="BE277">
        <v>7.1782355896920498</v>
      </c>
      <c r="BF277">
        <v>3.1</v>
      </c>
      <c r="CA277" t="str">
        <f t="shared" si="38"/>
        <v>MaleOther214</v>
      </c>
      <c r="CB277" t="s">
        <v>20</v>
      </c>
      <c r="CC277" t="s">
        <v>45</v>
      </c>
      <c r="CD277">
        <v>21</v>
      </c>
      <c r="CE277">
        <v>4</v>
      </c>
      <c r="CF277">
        <v>1</v>
      </c>
      <c r="CG277">
        <v>0.497458098619529</v>
      </c>
      <c r="CH277">
        <v>1</v>
      </c>
      <c r="CJ277" t="str">
        <f t="shared" si="39"/>
        <v>MaleAllEth24Sharp object</v>
      </c>
      <c r="CK277" t="s">
        <v>20</v>
      </c>
      <c r="CL277" t="s">
        <v>27</v>
      </c>
      <c r="CM277" t="s">
        <v>48</v>
      </c>
      <c r="CN277">
        <v>24</v>
      </c>
      <c r="CO277">
        <v>18</v>
      </c>
      <c r="CP277">
        <v>607</v>
      </c>
      <c r="CQ277">
        <v>3</v>
      </c>
    </row>
    <row r="278" spans="1:95">
      <c r="A278" t="str">
        <f t="shared" si="34"/>
        <v>1997MaleNon-Maori21</v>
      </c>
      <c r="B278">
        <v>1997</v>
      </c>
      <c r="C278" t="s">
        <v>20</v>
      </c>
      <c r="D278" t="s">
        <v>19</v>
      </c>
      <c r="E278">
        <v>21</v>
      </c>
      <c r="F278">
        <v>2</v>
      </c>
      <c r="G278">
        <v>0.58119260723003596</v>
      </c>
      <c r="H278">
        <v>0.8</v>
      </c>
      <c r="J278" s="340" t="str">
        <f t="shared" si="35"/>
        <v>2007FemaleAllEth195</v>
      </c>
      <c r="K278">
        <v>2007</v>
      </c>
      <c r="L278" t="s">
        <v>8</v>
      </c>
      <c r="M278" t="s">
        <v>27</v>
      </c>
      <c r="N278">
        <v>19</v>
      </c>
      <c r="O278">
        <v>5</v>
      </c>
      <c r="P278">
        <v>30</v>
      </c>
      <c r="Q278">
        <v>6.78604023432323</v>
      </c>
      <c r="R278">
        <v>2.4</v>
      </c>
      <c r="T278" s="340" t="str">
        <f t="shared" si="37"/>
        <v>1997AllSexNon-Maori23Other</v>
      </c>
      <c r="U278">
        <v>1997</v>
      </c>
      <c r="V278" t="s">
        <v>17</v>
      </c>
      <c r="W278" t="s">
        <v>19</v>
      </c>
      <c r="X278">
        <v>23</v>
      </c>
      <c r="Y278" t="s">
        <v>45</v>
      </c>
      <c r="Z278">
        <v>5</v>
      </c>
      <c r="AA278">
        <v>200</v>
      </c>
      <c r="AB278">
        <v>2.5</v>
      </c>
      <c r="AY278" t="str">
        <f t="shared" si="36"/>
        <v>2014FemaleRural23</v>
      </c>
      <c r="AZ278">
        <v>2014</v>
      </c>
      <c r="BA278" t="s">
        <v>8</v>
      </c>
      <c r="BB278" t="s">
        <v>96</v>
      </c>
      <c r="BC278">
        <v>23</v>
      </c>
      <c r="BD278">
        <v>5</v>
      </c>
      <c r="BE278">
        <v>7.0952178231871699</v>
      </c>
      <c r="BF278">
        <v>6.2</v>
      </c>
      <c r="CA278" t="str">
        <f t="shared" si="38"/>
        <v>MaleOther215</v>
      </c>
      <c r="CB278" t="s">
        <v>20</v>
      </c>
      <c r="CC278" t="s">
        <v>45</v>
      </c>
      <c r="CD278">
        <v>21</v>
      </c>
      <c r="CE278">
        <v>5</v>
      </c>
      <c r="CF278">
        <v>1</v>
      </c>
      <c r="CG278">
        <v>0.79062078838864802</v>
      </c>
      <c r="CH278">
        <v>1.5</v>
      </c>
      <c r="CJ278" t="str">
        <f t="shared" si="39"/>
        <v>MaleAllEth25Sharp object</v>
      </c>
      <c r="CK278" t="s">
        <v>20</v>
      </c>
      <c r="CL278" t="s">
        <v>27</v>
      </c>
      <c r="CM278" t="s">
        <v>48</v>
      </c>
      <c r="CN278">
        <v>25</v>
      </c>
      <c r="CO278">
        <v>9</v>
      </c>
      <c r="CP278">
        <v>240</v>
      </c>
      <c r="CQ278">
        <v>3.8</v>
      </c>
    </row>
    <row r="279" spans="1:95">
      <c r="A279" t="str">
        <f t="shared" si="34"/>
        <v>1997MaleNon-Maori22</v>
      </c>
      <c r="B279">
        <v>1997</v>
      </c>
      <c r="C279" t="s">
        <v>20</v>
      </c>
      <c r="D279" t="s">
        <v>19</v>
      </c>
      <c r="E279">
        <v>22</v>
      </c>
      <c r="F279">
        <v>84</v>
      </c>
      <c r="G279">
        <v>37.505022994150998</v>
      </c>
      <c r="H279">
        <v>8</v>
      </c>
      <c r="J279" s="340" t="str">
        <f t="shared" si="35"/>
        <v>2008FemaleAllEth191</v>
      </c>
      <c r="K279">
        <v>2008</v>
      </c>
      <c r="L279" t="s">
        <v>8</v>
      </c>
      <c r="M279" t="s">
        <v>27</v>
      </c>
      <c r="N279">
        <v>19</v>
      </c>
      <c r="O279">
        <v>1</v>
      </c>
      <c r="P279">
        <v>21</v>
      </c>
      <c r="Q279">
        <v>4.8919643634299597</v>
      </c>
      <c r="R279">
        <v>2.1</v>
      </c>
      <c r="T279" s="340" t="str">
        <f t="shared" si="37"/>
        <v>1997AllSexNon-Maori24Other</v>
      </c>
      <c r="U279">
        <v>1997</v>
      </c>
      <c r="V279" t="s">
        <v>17</v>
      </c>
      <c r="W279" t="s">
        <v>19</v>
      </c>
      <c r="X279">
        <v>24</v>
      </c>
      <c r="Y279" t="s">
        <v>45</v>
      </c>
      <c r="Z279">
        <v>1</v>
      </c>
      <c r="AA279">
        <v>95</v>
      </c>
      <c r="AB279">
        <v>1.1000000000000001</v>
      </c>
      <c r="AY279" t="str">
        <f t="shared" si="36"/>
        <v>2014FemaleUrban23</v>
      </c>
      <c r="AZ279">
        <v>2014</v>
      </c>
      <c r="BA279" t="s">
        <v>8</v>
      </c>
      <c r="BB279" t="s">
        <v>97</v>
      </c>
      <c r="BC279">
        <v>23</v>
      </c>
      <c r="BD279">
        <v>45</v>
      </c>
      <c r="BE279">
        <v>8.5011523784335203</v>
      </c>
      <c r="BF279">
        <v>2.5</v>
      </c>
      <c r="CA279" t="str">
        <f t="shared" si="38"/>
        <v>MalePacific211</v>
      </c>
      <c r="CB279" t="s">
        <v>20</v>
      </c>
      <c r="CC279" t="s">
        <v>79</v>
      </c>
      <c r="CD279">
        <v>21</v>
      </c>
      <c r="CE279">
        <v>1</v>
      </c>
      <c r="CF279">
        <v>0</v>
      </c>
      <c r="CG279">
        <v>0</v>
      </c>
      <c r="CJ279" t="str">
        <f t="shared" si="39"/>
        <v>MaleAllEth22Submersion (drowning)</v>
      </c>
      <c r="CK279" t="s">
        <v>20</v>
      </c>
      <c r="CL279" t="s">
        <v>27</v>
      </c>
      <c r="CM279" t="s">
        <v>49</v>
      </c>
      <c r="CN279">
        <v>22</v>
      </c>
      <c r="CO279">
        <v>2</v>
      </c>
      <c r="CP279">
        <v>404</v>
      </c>
      <c r="CQ279">
        <v>0.5</v>
      </c>
    </row>
    <row r="280" spans="1:95">
      <c r="A280" t="str">
        <f t="shared" si="34"/>
        <v>1997MaleNon-Maori23</v>
      </c>
      <c r="B280">
        <v>1997</v>
      </c>
      <c r="C280" t="s">
        <v>20</v>
      </c>
      <c r="D280" t="s">
        <v>19</v>
      </c>
      <c r="E280">
        <v>23</v>
      </c>
      <c r="F280">
        <v>160</v>
      </c>
      <c r="G280">
        <v>32.142067940296101</v>
      </c>
      <c r="H280">
        <v>5</v>
      </c>
      <c r="J280" s="340" t="str">
        <f t="shared" si="35"/>
        <v>2008FemaleAllEth192</v>
      </c>
      <c r="K280">
        <v>2008</v>
      </c>
      <c r="L280" t="s">
        <v>8</v>
      </c>
      <c r="M280" t="s">
        <v>27</v>
      </c>
      <c r="N280">
        <v>19</v>
      </c>
      <c r="O280">
        <v>2</v>
      </c>
      <c r="P280">
        <v>24</v>
      </c>
      <c r="Q280">
        <v>4.92960345088603</v>
      </c>
      <c r="R280">
        <v>2</v>
      </c>
      <c r="T280" s="340" t="str">
        <f t="shared" si="37"/>
        <v>1997AllSexNon-Maori25Other</v>
      </c>
      <c r="U280">
        <v>1997</v>
      </c>
      <c r="V280" t="s">
        <v>17</v>
      </c>
      <c r="W280" t="s">
        <v>19</v>
      </c>
      <c r="X280">
        <v>25</v>
      </c>
      <c r="Y280" t="s">
        <v>45</v>
      </c>
      <c r="Z280">
        <v>2</v>
      </c>
      <c r="AA280">
        <v>53</v>
      </c>
      <c r="AB280">
        <v>3.8</v>
      </c>
      <c r="AY280" t="str">
        <f t="shared" si="36"/>
        <v>2014FemaleRural24</v>
      </c>
      <c r="AZ280">
        <v>2014</v>
      </c>
      <c r="BA280" t="s">
        <v>8</v>
      </c>
      <c r="BB280" t="s">
        <v>96</v>
      </c>
      <c r="BC280">
        <v>24</v>
      </c>
      <c r="BD280">
        <v>12</v>
      </c>
      <c r="BE280">
        <v>12.233662962585401</v>
      </c>
      <c r="BF280">
        <v>6.9</v>
      </c>
      <c r="CA280" t="str">
        <f t="shared" si="38"/>
        <v>MalePacific212</v>
      </c>
      <c r="CB280" t="s">
        <v>20</v>
      </c>
      <c r="CC280" t="s">
        <v>79</v>
      </c>
      <c r="CD280">
        <v>21</v>
      </c>
      <c r="CE280">
        <v>2</v>
      </c>
      <c r="CF280">
        <v>0</v>
      </c>
      <c r="CG280">
        <v>0</v>
      </c>
      <c r="CJ280" t="str">
        <f t="shared" si="39"/>
        <v>MaleAllEth23Submersion (drowning)</v>
      </c>
      <c r="CK280" t="s">
        <v>20</v>
      </c>
      <c r="CL280" t="s">
        <v>27</v>
      </c>
      <c r="CM280" t="s">
        <v>49</v>
      </c>
      <c r="CN280">
        <v>23</v>
      </c>
      <c r="CO280">
        <v>4</v>
      </c>
      <c r="CP280">
        <v>677</v>
      </c>
      <c r="CQ280">
        <v>0.6</v>
      </c>
    </row>
    <row r="281" spans="1:95">
      <c r="A281" t="str">
        <f t="shared" si="34"/>
        <v>1997MaleNon-Maori24</v>
      </c>
      <c r="B281">
        <v>1997</v>
      </c>
      <c r="C281" t="s">
        <v>20</v>
      </c>
      <c r="D281" t="s">
        <v>19</v>
      </c>
      <c r="E281">
        <v>24</v>
      </c>
      <c r="F281">
        <v>69</v>
      </c>
      <c r="G281">
        <v>19.691218857909298</v>
      </c>
      <c r="H281">
        <v>4.5999999999999996</v>
      </c>
      <c r="J281" s="340" t="str">
        <f t="shared" si="35"/>
        <v>2008FemaleAllEth193</v>
      </c>
      <c r="K281">
        <v>2008</v>
      </c>
      <c r="L281" t="s">
        <v>8</v>
      </c>
      <c r="M281" t="s">
        <v>27</v>
      </c>
      <c r="N281">
        <v>19</v>
      </c>
      <c r="O281">
        <v>3</v>
      </c>
      <c r="P281">
        <v>33</v>
      </c>
      <c r="Q281">
        <v>7.5691748656037197</v>
      </c>
      <c r="R281">
        <v>2.6</v>
      </c>
      <c r="T281" s="340" t="str">
        <f t="shared" si="37"/>
        <v>1997AllSexNon-Maori22Poisoning by gases and vapours</v>
      </c>
      <c r="U281">
        <v>1997</v>
      </c>
      <c r="V281" t="s">
        <v>17</v>
      </c>
      <c r="W281" t="s">
        <v>19</v>
      </c>
      <c r="X281">
        <v>22</v>
      </c>
      <c r="Y281" t="s">
        <v>46</v>
      </c>
      <c r="Z281">
        <v>32</v>
      </c>
      <c r="AA281">
        <v>104</v>
      </c>
      <c r="AB281">
        <v>30.8</v>
      </c>
      <c r="AY281" t="str">
        <f t="shared" si="36"/>
        <v>2014FemaleUrban24</v>
      </c>
      <c r="AZ281">
        <v>2014</v>
      </c>
      <c r="BA281" t="s">
        <v>8</v>
      </c>
      <c r="BB281" t="s">
        <v>97</v>
      </c>
      <c r="BC281">
        <v>24</v>
      </c>
      <c r="BD281">
        <v>32</v>
      </c>
      <c r="BE281">
        <v>6.4386317907444699</v>
      </c>
      <c r="BF281">
        <v>2.2000000000000002</v>
      </c>
      <c r="CA281" t="str">
        <f t="shared" si="38"/>
        <v>MalePacific213</v>
      </c>
      <c r="CB281" t="s">
        <v>20</v>
      </c>
      <c r="CC281" t="s">
        <v>79</v>
      </c>
      <c r="CD281">
        <v>21</v>
      </c>
      <c r="CE281">
        <v>3</v>
      </c>
      <c r="CF281">
        <v>0</v>
      </c>
      <c r="CG281">
        <v>0</v>
      </c>
      <c r="CJ281" t="str">
        <f t="shared" si="39"/>
        <v>MaleAllEth24Submersion (drowning)</v>
      </c>
      <c r="CK281" t="s">
        <v>20</v>
      </c>
      <c r="CL281" t="s">
        <v>27</v>
      </c>
      <c r="CM281" t="s">
        <v>49</v>
      </c>
      <c r="CN281">
        <v>24</v>
      </c>
      <c r="CO281">
        <v>12</v>
      </c>
      <c r="CP281">
        <v>607</v>
      </c>
      <c r="CQ281">
        <v>2</v>
      </c>
    </row>
    <row r="282" spans="1:95">
      <c r="A282" t="str">
        <f t="shared" si="34"/>
        <v>1997MaleNon-Maori25</v>
      </c>
      <c r="B282">
        <v>1997</v>
      </c>
      <c r="C282" t="s">
        <v>20</v>
      </c>
      <c r="D282" t="s">
        <v>19</v>
      </c>
      <c r="E282">
        <v>25</v>
      </c>
      <c r="F282">
        <v>46</v>
      </c>
      <c r="G282">
        <v>25.3290017069545</v>
      </c>
      <c r="H282">
        <v>7.3</v>
      </c>
      <c r="J282" s="340" t="str">
        <f t="shared" si="35"/>
        <v>2008FemaleAllEth194</v>
      </c>
      <c r="K282">
        <v>2008</v>
      </c>
      <c r="L282" t="s">
        <v>8</v>
      </c>
      <c r="M282" t="s">
        <v>27</v>
      </c>
      <c r="N282">
        <v>19</v>
      </c>
      <c r="O282">
        <v>4</v>
      </c>
      <c r="P282">
        <v>22</v>
      </c>
      <c r="Q282">
        <v>4.8262497491326304</v>
      </c>
      <c r="R282">
        <v>2</v>
      </c>
      <c r="T282" s="340" t="str">
        <f t="shared" si="37"/>
        <v>1997AllSexNon-Maori23Poisoning by gases and vapours</v>
      </c>
      <c r="U282">
        <v>1997</v>
      </c>
      <c r="V282" t="s">
        <v>17</v>
      </c>
      <c r="W282" t="s">
        <v>19</v>
      </c>
      <c r="X282">
        <v>23</v>
      </c>
      <c r="Y282" t="s">
        <v>46</v>
      </c>
      <c r="Z282">
        <v>78</v>
      </c>
      <c r="AA282">
        <v>200</v>
      </c>
      <c r="AB282">
        <v>39</v>
      </c>
      <c r="AY282" t="str">
        <f t="shared" si="36"/>
        <v>2014FemaleRural25</v>
      </c>
      <c r="AZ282">
        <v>2014</v>
      </c>
      <c r="BA282" t="s">
        <v>8</v>
      </c>
      <c r="BB282" t="s">
        <v>96</v>
      </c>
      <c r="BC282">
        <v>25</v>
      </c>
      <c r="BD282">
        <v>1</v>
      </c>
      <c r="BE282">
        <v>2.3529411764705901</v>
      </c>
      <c r="BF282">
        <v>4.5999999999999996</v>
      </c>
      <c r="CA282" t="str">
        <f t="shared" si="38"/>
        <v>MalePacific214</v>
      </c>
      <c r="CB282" t="s">
        <v>20</v>
      </c>
      <c r="CC282" t="s">
        <v>79</v>
      </c>
      <c r="CD282">
        <v>21</v>
      </c>
      <c r="CE282">
        <v>4</v>
      </c>
      <c r="CF282">
        <v>0</v>
      </c>
      <c r="CG282">
        <v>0</v>
      </c>
      <c r="CJ282" t="str">
        <f t="shared" si="39"/>
        <v>MaleAllEth25Submersion (drowning)</v>
      </c>
      <c r="CK282" t="s">
        <v>20</v>
      </c>
      <c r="CL282" t="s">
        <v>27</v>
      </c>
      <c r="CM282" t="s">
        <v>49</v>
      </c>
      <c r="CN282">
        <v>25</v>
      </c>
      <c r="CO282">
        <v>17</v>
      </c>
      <c r="CP282">
        <v>240</v>
      </c>
      <c r="CQ282">
        <v>7.1</v>
      </c>
    </row>
    <row r="283" spans="1:95">
      <c r="A283" t="str">
        <f t="shared" si="34"/>
        <v>1998AllSexAllEth21</v>
      </c>
      <c r="B283">
        <v>1998</v>
      </c>
      <c r="C283" t="s">
        <v>17</v>
      </c>
      <c r="D283" t="s">
        <v>27</v>
      </c>
      <c r="E283">
        <v>21</v>
      </c>
      <c r="F283">
        <v>12</v>
      </c>
      <c r="G283">
        <v>1.3700506918755999</v>
      </c>
      <c r="H283">
        <v>0.8</v>
      </c>
      <c r="J283" s="340" t="str">
        <f t="shared" si="35"/>
        <v>2008FemaleAllEth195</v>
      </c>
      <c r="K283">
        <v>2008</v>
      </c>
      <c r="L283" t="s">
        <v>8</v>
      </c>
      <c r="M283" t="s">
        <v>27</v>
      </c>
      <c r="N283">
        <v>19</v>
      </c>
      <c r="O283">
        <v>5</v>
      </c>
      <c r="P283">
        <v>30</v>
      </c>
      <c r="Q283">
        <v>6.8810283175385996</v>
      </c>
      <c r="R283">
        <v>2.5</v>
      </c>
      <c r="T283" s="340" t="str">
        <f t="shared" si="37"/>
        <v>1997AllSexNon-Maori24Poisoning by gases and vapours</v>
      </c>
      <c r="U283">
        <v>1997</v>
      </c>
      <c r="V283" t="s">
        <v>17</v>
      </c>
      <c r="W283" t="s">
        <v>19</v>
      </c>
      <c r="X283">
        <v>24</v>
      </c>
      <c r="Y283" t="s">
        <v>46</v>
      </c>
      <c r="Z283">
        <v>23</v>
      </c>
      <c r="AA283">
        <v>95</v>
      </c>
      <c r="AB283">
        <v>24.2</v>
      </c>
      <c r="AY283" t="str">
        <f t="shared" si="36"/>
        <v>2014FemaleUrban25</v>
      </c>
      <c r="AZ283">
        <v>2014</v>
      </c>
      <c r="BA283" t="s">
        <v>8</v>
      </c>
      <c r="BB283" t="s">
        <v>97</v>
      </c>
      <c r="BC283">
        <v>25</v>
      </c>
      <c r="BD283">
        <v>10</v>
      </c>
      <c r="BE283">
        <v>3.2577534532186601</v>
      </c>
      <c r="BF283">
        <v>2</v>
      </c>
      <c r="CA283" t="str">
        <f t="shared" si="38"/>
        <v>MalePacific215</v>
      </c>
      <c r="CB283" t="s">
        <v>20</v>
      </c>
      <c r="CC283" t="s">
        <v>79</v>
      </c>
      <c r="CD283">
        <v>21</v>
      </c>
      <c r="CE283">
        <v>5</v>
      </c>
      <c r="CF283">
        <v>2</v>
      </c>
      <c r="CG283">
        <v>1.5291601532019401</v>
      </c>
      <c r="CH283">
        <v>2.1</v>
      </c>
      <c r="CJ283" t="str">
        <f t="shared" si="39"/>
        <v>MaleAsian22Firearms and explosives</v>
      </c>
      <c r="CK283" t="s">
        <v>20</v>
      </c>
      <c r="CL283" t="s">
        <v>78</v>
      </c>
      <c r="CM283" t="s">
        <v>42</v>
      </c>
      <c r="CN283">
        <v>22</v>
      </c>
      <c r="CO283">
        <v>1</v>
      </c>
      <c r="CP283">
        <v>24</v>
      </c>
      <c r="CQ283">
        <v>4.2</v>
      </c>
    </row>
    <row r="284" spans="1:95">
      <c r="A284" t="str">
        <f t="shared" si="34"/>
        <v>1998AllSexAllEth22</v>
      </c>
      <c r="B284">
        <v>1998</v>
      </c>
      <c r="C284" t="s">
        <v>17</v>
      </c>
      <c r="D284" t="s">
        <v>27</v>
      </c>
      <c r="E284">
        <v>22</v>
      </c>
      <c r="F284">
        <v>139</v>
      </c>
      <c r="G284">
        <v>25.885507840142999</v>
      </c>
      <c r="H284">
        <v>4.3</v>
      </c>
      <c r="J284" s="340" t="str">
        <f t="shared" si="35"/>
        <v>2009FemaleAllEth191</v>
      </c>
      <c r="K284">
        <v>2009</v>
      </c>
      <c r="L284" t="s">
        <v>8</v>
      </c>
      <c r="M284" t="s">
        <v>27</v>
      </c>
      <c r="N284">
        <v>19</v>
      </c>
      <c r="O284">
        <v>1</v>
      </c>
      <c r="P284">
        <v>12</v>
      </c>
      <c r="Q284">
        <v>2.38907362919592</v>
      </c>
      <c r="R284">
        <v>1.4</v>
      </c>
      <c r="T284" s="340" t="str">
        <f t="shared" si="37"/>
        <v>1997AllSexNon-Maori25Poisoning by gases and vapours</v>
      </c>
      <c r="U284">
        <v>1997</v>
      </c>
      <c r="V284" t="s">
        <v>17</v>
      </c>
      <c r="W284" t="s">
        <v>19</v>
      </c>
      <c r="X284">
        <v>25</v>
      </c>
      <c r="Y284" t="s">
        <v>46</v>
      </c>
      <c r="Z284">
        <v>16</v>
      </c>
      <c r="AA284">
        <v>53</v>
      </c>
      <c r="AB284">
        <v>30.2</v>
      </c>
      <c r="AY284" t="str">
        <f t="shared" si="36"/>
        <v>2014MaleRural22</v>
      </c>
      <c r="AZ284">
        <v>2014</v>
      </c>
      <c r="BA284" t="s">
        <v>20</v>
      </c>
      <c r="BB284" t="s">
        <v>96</v>
      </c>
      <c r="BC284">
        <v>22</v>
      </c>
      <c r="BD284">
        <v>7</v>
      </c>
      <c r="BE284">
        <v>18.027298480556301</v>
      </c>
      <c r="BF284">
        <v>13.4</v>
      </c>
      <c r="CA284" t="str">
        <f t="shared" si="38"/>
        <v>MaleAsian221</v>
      </c>
      <c r="CB284" t="s">
        <v>20</v>
      </c>
      <c r="CC284" t="s">
        <v>78</v>
      </c>
      <c r="CD284">
        <v>22</v>
      </c>
      <c r="CE284">
        <v>1</v>
      </c>
      <c r="CF284">
        <v>5</v>
      </c>
      <c r="CG284">
        <v>13.0484065448581</v>
      </c>
      <c r="CH284">
        <v>11.4</v>
      </c>
      <c r="CJ284" t="str">
        <f t="shared" si="39"/>
        <v>MaleAsian21Hanging, strangulation and suffocation</v>
      </c>
      <c r="CK284" t="s">
        <v>20</v>
      </c>
      <c r="CL284" t="s">
        <v>78</v>
      </c>
      <c r="CM284" t="s">
        <v>43</v>
      </c>
      <c r="CN284">
        <v>21</v>
      </c>
      <c r="CO284">
        <v>1</v>
      </c>
      <c r="CP284">
        <v>1</v>
      </c>
      <c r="CQ284">
        <v>100</v>
      </c>
    </row>
    <row r="285" spans="1:95">
      <c r="A285" t="str">
        <f t="shared" si="34"/>
        <v>1998AllSexAllEth23</v>
      </c>
      <c r="B285">
        <v>1998</v>
      </c>
      <c r="C285" t="s">
        <v>17</v>
      </c>
      <c r="D285" t="s">
        <v>27</v>
      </c>
      <c r="E285">
        <v>23</v>
      </c>
      <c r="F285">
        <v>249</v>
      </c>
      <c r="G285">
        <v>21.256978947907601</v>
      </c>
      <c r="H285">
        <v>2.6</v>
      </c>
      <c r="J285" s="340" t="str">
        <f t="shared" si="35"/>
        <v>2009FemaleAllEth192</v>
      </c>
      <c r="K285">
        <v>2009</v>
      </c>
      <c r="L285" t="s">
        <v>8</v>
      </c>
      <c r="M285" t="s">
        <v>27</v>
      </c>
      <c r="N285">
        <v>19</v>
      </c>
      <c r="O285">
        <v>2</v>
      </c>
      <c r="P285">
        <v>18</v>
      </c>
      <c r="Q285">
        <v>3.6586615219409002</v>
      </c>
      <c r="R285">
        <v>1.7</v>
      </c>
      <c r="T285" s="340" t="str">
        <f t="shared" si="37"/>
        <v>1997AllSexNon-Maori22Poisoning by solids and liquids</v>
      </c>
      <c r="U285">
        <v>1997</v>
      </c>
      <c r="V285" t="s">
        <v>17</v>
      </c>
      <c r="W285" t="s">
        <v>19</v>
      </c>
      <c r="X285">
        <v>22</v>
      </c>
      <c r="Y285" t="s">
        <v>47</v>
      </c>
      <c r="Z285">
        <v>4</v>
      </c>
      <c r="AA285">
        <v>104</v>
      </c>
      <c r="AB285">
        <v>3.8</v>
      </c>
      <c r="AY285" t="str">
        <f t="shared" si="36"/>
        <v>2014MaleUrban22</v>
      </c>
      <c r="AZ285">
        <v>2014</v>
      </c>
      <c r="BA285" t="s">
        <v>20</v>
      </c>
      <c r="BB285" t="s">
        <v>97</v>
      </c>
      <c r="BC285">
        <v>22</v>
      </c>
      <c r="BD285">
        <v>61</v>
      </c>
      <c r="BE285">
        <v>21.114572516441701</v>
      </c>
      <c r="BF285">
        <v>5.3</v>
      </c>
      <c r="CA285" t="str">
        <f t="shared" si="38"/>
        <v>MaleAsian222</v>
      </c>
      <c r="CB285" t="s">
        <v>20</v>
      </c>
      <c r="CC285" t="s">
        <v>78</v>
      </c>
      <c r="CD285">
        <v>22</v>
      </c>
      <c r="CE285">
        <v>2</v>
      </c>
      <c r="CF285">
        <v>2</v>
      </c>
      <c r="CG285">
        <v>4.0674624362097802</v>
      </c>
      <c r="CH285">
        <v>5.6</v>
      </c>
      <c r="CJ285" t="str">
        <f t="shared" si="39"/>
        <v>MaleAsian22Hanging, strangulation and suffocation</v>
      </c>
      <c r="CK285" t="s">
        <v>20</v>
      </c>
      <c r="CL285" t="s">
        <v>78</v>
      </c>
      <c r="CM285" t="s">
        <v>43</v>
      </c>
      <c r="CN285">
        <v>22</v>
      </c>
      <c r="CO285">
        <v>16</v>
      </c>
      <c r="CP285">
        <v>24</v>
      </c>
      <c r="CQ285">
        <v>66.7</v>
      </c>
    </row>
    <row r="286" spans="1:95">
      <c r="A286" t="str">
        <f t="shared" si="34"/>
        <v>1998AllSexAllEth24</v>
      </c>
      <c r="B286">
        <v>1998</v>
      </c>
      <c r="C286" t="s">
        <v>17</v>
      </c>
      <c r="D286" t="s">
        <v>27</v>
      </c>
      <c r="E286">
        <v>24</v>
      </c>
      <c r="F286">
        <v>114</v>
      </c>
      <c r="G286">
        <v>14.4382385348987</v>
      </c>
      <c r="H286">
        <v>2.7</v>
      </c>
      <c r="J286" s="340" t="str">
        <f t="shared" si="35"/>
        <v>2009FemaleAllEth193</v>
      </c>
      <c r="K286">
        <v>2009</v>
      </c>
      <c r="L286" t="s">
        <v>8</v>
      </c>
      <c r="M286" t="s">
        <v>27</v>
      </c>
      <c r="N286">
        <v>19</v>
      </c>
      <c r="O286">
        <v>3</v>
      </c>
      <c r="P286">
        <v>24</v>
      </c>
      <c r="Q286">
        <v>5.2206184166965404</v>
      </c>
      <c r="R286">
        <v>2.1</v>
      </c>
      <c r="T286" s="340" t="str">
        <f t="shared" si="37"/>
        <v>1997AllSexNon-Maori23Poisoning by solids and liquids</v>
      </c>
      <c r="U286">
        <v>1997</v>
      </c>
      <c r="V286" t="s">
        <v>17</v>
      </c>
      <c r="W286" t="s">
        <v>19</v>
      </c>
      <c r="X286">
        <v>23</v>
      </c>
      <c r="Y286" t="s">
        <v>47</v>
      </c>
      <c r="Z286">
        <v>22</v>
      </c>
      <c r="AA286">
        <v>200</v>
      </c>
      <c r="AB286">
        <v>11</v>
      </c>
      <c r="AY286" t="str">
        <f t="shared" si="36"/>
        <v>2014MaleRural23</v>
      </c>
      <c r="AZ286">
        <v>2014</v>
      </c>
      <c r="BA286" t="s">
        <v>20</v>
      </c>
      <c r="BB286" t="s">
        <v>96</v>
      </c>
      <c r="BC286">
        <v>23</v>
      </c>
      <c r="BD286">
        <v>18</v>
      </c>
      <c r="BE286">
        <v>26.197060107698999</v>
      </c>
      <c r="BF286">
        <v>12.1</v>
      </c>
      <c r="CA286" t="str">
        <f t="shared" si="38"/>
        <v>MaleAsian223</v>
      </c>
      <c r="CB286" t="s">
        <v>20</v>
      </c>
      <c r="CC286" t="s">
        <v>78</v>
      </c>
      <c r="CD286">
        <v>22</v>
      </c>
      <c r="CE286">
        <v>3</v>
      </c>
      <c r="CF286">
        <v>3</v>
      </c>
      <c r="CG286">
        <v>5.8705365850945599</v>
      </c>
      <c r="CH286">
        <v>6.6</v>
      </c>
      <c r="CJ286" t="str">
        <f t="shared" si="39"/>
        <v>MaleAsian23Hanging, strangulation and suffocation</v>
      </c>
      <c r="CK286" t="s">
        <v>20</v>
      </c>
      <c r="CL286" t="s">
        <v>78</v>
      </c>
      <c r="CM286" t="s">
        <v>43</v>
      </c>
      <c r="CN286">
        <v>23</v>
      </c>
      <c r="CO286">
        <v>25</v>
      </c>
      <c r="CP286">
        <v>33</v>
      </c>
      <c r="CQ286">
        <v>75.8</v>
      </c>
    </row>
    <row r="287" spans="1:95">
      <c r="A287" t="str">
        <f t="shared" si="34"/>
        <v>1998AllSexAllEth25</v>
      </c>
      <c r="B287">
        <v>1998</v>
      </c>
      <c r="C287" t="s">
        <v>17</v>
      </c>
      <c r="D287" t="s">
        <v>27</v>
      </c>
      <c r="E287">
        <v>25</v>
      </c>
      <c r="F287">
        <v>64</v>
      </c>
      <c r="G287">
        <v>14.481603837625</v>
      </c>
      <c r="H287">
        <v>3.5</v>
      </c>
      <c r="J287" s="340" t="str">
        <f t="shared" si="35"/>
        <v>2009FemaleAllEth194</v>
      </c>
      <c r="K287">
        <v>2009</v>
      </c>
      <c r="L287" t="s">
        <v>8</v>
      </c>
      <c r="M287" t="s">
        <v>27</v>
      </c>
      <c r="N287">
        <v>19</v>
      </c>
      <c r="O287">
        <v>4</v>
      </c>
      <c r="P287">
        <v>34</v>
      </c>
      <c r="Q287">
        <v>7.3510824533927499</v>
      </c>
      <c r="R287">
        <v>2.5</v>
      </c>
      <c r="T287" s="340" t="str">
        <f t="shared" si="37"/>
        <v>1997AllSexNon-Maori24Poisoning by solids and liquids</v>
      </c>
      <c r="U287">
        <v>1997</v>
      </c>
      <c r="V287" t="s">
        <v>17</v>
      </c>
      <c r="W287" t="s">
        <v>19</v>
      </c>
      <c r="X287">
        <v>24</v>
      </c>
      <c r="Y287" t="s">
        <v>47</v>
      </c>
      <c r="Z287">
        <v>14</v>
      </c>
      <c r="AA287">
        <v>95</v>
      </c>
      <c r="AB287">
        <v>14.7</v>
      </c>
      <c r="AY287" t="str">
        <f t="shared" si="36"/>
        <v>2014MaleUrban23</v>
      </c>
      <c r="AZ287">
        <v>2014</v>
      </c>
      <c r="BA287" t="s">
        <v>20</v>
      </c>
      <c r="BB287" t="s">
        <v>97</v>
      </c>
      <c r="BC287">
        <v>23</v>
      </c>
      <c r="BD287">
        <v>120</v>
      </c>
      <c r="BE287">
        <v>24.647742677566399</v>
      </c>
      <c r="BF287">
        <v>4.4000000000000004</v>
      </c>
      <c r="CA287" t="str">
        <f t="shared" si="38"/>
        <v>MaleAsian224</v>
      </c>
      <c r="CB287" t="s">
        <v>20</v>
      </c>
      <c r="CC287" t="s">
        <v>78</v>
      </c>
      <c r="CD287">
        <v>22</v>
      </c>
      <c r="CE287">
        <v>4</v>
      </c>
      <c r="CF287">
        <v>8</v>
      </c>
      <c r="CG287">
        <v>13.608996885222</v>
      </c>
      <c r="CH287">
        <v>9.4</v>
      </c>
      <c r="CJ287" t="str">
        <f t="shared" si="39"/>
        <v>MaleAsian24Hanging, strangulation and suffocation</v>
      </c>
      <c r="CK287" t="s">
        <v>20</v>
      </c>
      <c r="CL287" t="s">
        <v>78</v>
      </c>
      <c r="CM287" t="s">
        <v>43</v>
      </c>
      <c r="CN287">
        <v>24</v>
      </c>
      <c r="CO287">
        <v>15</v>
      </c>
      <c r="CP287">
        <v>23</v>
      </c>
      <c r="CQ287">
        <v>65.2</v>
      </c>
    </row>
    <row r="288" spans="1:95">
      <c r="A288" t="str">
        <f t="shared" si="34"/>
        <v>1998AllSexMaori21</v>
      </c>
      <c r="B288">
        <v>1998</v>
      </c>
      <c r="C288" t="s">
        <v>17</v>
      </c>
      <c r="D288" t="s">
        <v>18</v>
      </c>
      <c r="E288">
        <v>21</v>
      </c>
      <c r="F288">
        <v>9</v>
      </c>
      <c r="G288">
        <v>4.3795620437956204</v>
      </c>
      <c r="H288">
        <v>2.9</v>
      </c>
      <c r="J288" s="340" t="str">
        <f t="shared" si="35"/>
        <v>2009FemaleAllEth195</v>
      </c>
      <c r="K288">
        <v>2009</v>
      </c>
      <c r="L288" t="s">
        <v>8</v>
      </c>
      <c r="M288" t="s">
        <v>27</v>
      </c>
      <c r="N288">
        <v>19</v>
      </c>
      <c r="O288">
        <v>5</v>
      </c>
      <c r="P288">
        <v>28</v>
      </c>
      <c r="Q288">
        <v>6.5983231739770396</v>
      </c>
      <c r="R288">
        <v>2.4</v>
      </c>
      <c r="T288" s="340" t="str">
        <f t="shared" si="37"/>
        <v>1997AllSexNon-Maori25Poisoning by solids and liquids</v>
      </c>
      <c r="U288">
        <v>1997</v>
      </c>
      <c r="V288" t="s">
        <v>17</v>
      </c>
      <c r="W288" t="s">
        <v>19</v>
      </c>
      <c r="X288">
        <v>25</v>
      </c>
      <c r="Y288" t="s">
        <v>47</v>
      </c>
      <c r="Z288">
        <v>8</v>
      </c>
      <c r="AA288">
        <v>53</v>
      </c>
      <c r="AB288">
        <v>15.1</v>
      </c>
      <c r="AY288" t="str">
        <f t="shared" si="36"/>
        <v>2014MaleRural24</v>
      </c>
      <c r="AZ288">
        <v>2014</v>
      </c>
      <c r="BA288" t="s">
        <v>20</v>
      </c>
      <c r="BB288" t="s">
        <v>96</v>
      </c>
      <c r="BC288">
        <v>24</v>
      </c>
      <c r="BD288">
        <v>19</v>
      </c>
      <c r="BE288">
        <v>18.954509177972898</v>
      </c>
      <c r="BF288">
        <v>8.5</v>
      </c>
      <c r="CA288" t="str">
        <f t="shared" si="38"/>
        <v>MaleAsian225</v>
      </c>
      <c r="CB288" t="s">
        <v>20</v>
      </c>
      <c r="CC288" t="s">
        <v>78</v>
      </c>
      <c r="CD288">
        <v>22</v>
      </c>
      <c r="CE288">
        <v>5</v>
      </c>
      <c r="CF288">
        <v>6</v>
      </c>
      <c r="CG288">
        <v>10.5773946796701</v>
      </c>
      <c r="CH288">
        <v>8.5</v>
      </c>
      <c r="CJ288" t="str">
        <f t="shared" si="39"/>
        <v>MaleAsian25Hanging, strangulation and suffocation</v>
      </c>
      <c r="CK288" t="s">
        <v>20</v>
      </c>
      <c r="CL288" t="s">
        <v>78</v>
      </c>
      <c r="CM288" t="s">
        <v>43</v>
      </c>
      <c r="CN288">
        <v>25</v>
      </c>
      <c r="CO288">
        <v>4</v>
      </c>
      <c r="CP288">
        <v>6</v>
      </c>
      <c r="CQ288">
        <v>66.7</v>
      </c>
    </row>
    <row r="289" spans="1:95">
      <c r="A289" t="str">
        <f t="shared" si="34"/>
        <v>1998AllSexMaori22</v>
      </c>
      <c r="B289">
        <v>1998</v>
      </c>
      <c r="C289" t="s">
        <v>17</v>
      </c>
      <c r="D289" t="s">
        <v>18</v>
      </c>
      <c r="E289">
        <v>22</v>
      </c>
      <c r="F289">
        <v>42</v>
      </c>
      <c r="G289">
        <v>40.520984081042002</v>
      </c>
      <c r="H289">
        <v>12.3</v>
      </c>
      <c r="J289" s="340" t="str">
        <f t="shared" si="35"/>
        <v>2010FemaleAllEth191</v>
      </c>
      <c r="K289">
        <v>2010</v>
      </c>
      <c r="L289" t="s">
        <v>8</v>
      </c>
      <c r="M289" t="s">
        <v>27</v>
      </c>
      <c r="N289">
        <v>19</v>
      </c>
      <c r="O289">
        <v>1</v>
      </c>
      <c r="P289">
        <v>30</v>
      </c>
      <c r="Q289">
        <v>6.2730726130140999</v>
      </c>
      <c r="R289">
        <v>2.2000000000000002</v>
      </c>
      <c r="T289" s="340" t="str">
        <f t="shared" si="37"/>
        <v>1997AllSexNon-Maori23Sharp object</v>
      </c>
      <c r="U289">
        <v>1997</v>
      </c>
      <c r="V289" t="s">
        <v>17</v>
      </c>
      <c r="W289" t="s">
        <v>19</v>
      </c>
      <c r="X289">
        <v>23</v>
      </c>
      <c r="Y289" t="s">
        <v>48</v>
      </c>
      <c r="Z289">
        <v>5</v>
      </c>
      <c r="AA289">
        <v>200</v>
      </c>
      <c r="AB289">
        <v>2.5</v>
      </c>
      <c r="AY289" t="str">
        <f t="shared" si="36"/>
        <v>2014MaleUrban24</v>
      </c>
      <c r="AZ289">
        <v>2014</v>
      </c>
      <c r="BA289" t="s">
        <v>20</v>
      </c>
      <c r="BB289" t="s">
        <v>97</v>
      </c>
      <c r="BC289">
        <v>24</v>
      </c>
      <c r="BD289">
        <v>98</v>
      </c>
      <c r="BE289">
        <v>21.4095337964783</v>
      </c>
      <c r="BF289">
        <v>4.2</v>
      </c>
      <c r="CA289" t="str">
        <f t="shared" si="38"/>
        <v>MaleMaori221</v>
      </c>
      <c r="CB289" t="s">
        <v>20</v>
      </c>
      <c r="CC289" t="s">
        <v>18</v>
      </c>
      <c r="CD289">
        <v>22</v>
      </c>
      <c r="CE289">
        <v>1</v>
      </c>
      <c r="CF289">
        <v>4</v>
      </c>
      <c r="CG289">
        <v>13.8499130867116</v>
      </c>
      <c r="CH289">
        <v>13.6</v>
      </c>
      <c r="CJ289" t="str">
        <f t="shared" si="39"/>
        <v>MaleAsian22Jumping from a high place</v>
      </c>
      <c r="CK289" t="s">
        <v>20</v>
      </c>
      <c r="CL289" t="s">
        <v>78</v>
      </c>
      <c r="CM289" t="s">
        <v>44</v>
      </c>
      <c r="CN289">
        <v>22</v>
      </c>
      <c r="CO289">
        <v>4</v>
      </c>
      <c r="CP289">
        <v>24</v>
      </c>
      <c r="CQ289">
        <v>16.7</v>
      </c>
    </row>
    <row r="290" spans="1:95">
      <c r="A290" t="str">
        <f t="shared" si="34"/>
        <v>1998AllSexMaori23</v>
      </c>
      <c r="B290">
        <v>1998</v>
      </c>
      <c r="C290" t="s">
        <v>17</v>
      </c>
      <c r="D290" t="s">
        <v>18</v>
      </c>
      <c r="E290">
        <v>23</v>
      </c>
      <c r="F290">
        <v>47</v>
      </c>
      <c r="G290">
        <v>29.862125929220401</v>
      </c>
      <c r="H290">
        <v>8.5</v>
      </c>
      <c r="J290" s="340" t="str">
        <f t="shared" si="35"/>
        <v>2010FemaleAllEth192</v>
      </c>
      <c r="K290">
        <v>2010</v>
      </c>
      <c r="L290" t="s">
        <v>8</v>
      </c>
      <c r="M290" t="s">
        <v>27</v>
      </c>
      <c r="N290">
        <v>19</v>
      </c>
      <c r="O290">
        <v>2</v>
      </c>
      <c r="P290">
        <v>27</v>
      </c>
      <c r="Q290">
        <v>6.4808380547622102</v>
      </c>
      <c r="R290">
        <v>2.4</v>
      </c>
      <c r="T290" s="340" t="str">
        <f t="shared" si="37"/>
        <v>1997AllSexNon-Maori24Sharp object</v>
      </c>
      <c r="U290">
        <v>1997</v>
      </c>
      <c r="V290" t="s">
        <v>17</v>
      </c>
      <c r="W290" t="s">
        <v>19</v>
      </c>
      <c r="X290">
        <v>24</v>
      </c>
      <c r="Y290" t="s">
        <v>48</v>
      </c>
      <c r="Z290">
        <v>4</v>
      </c>
      <c r="AA290">
        <v>95</v>
      </c>
      <c r="AB290">
        <v>4.2</v>
      </c>
      <c r="AY290" t="str">
        <f t="shared" si="36"/>
        <v>2014MaleRural25</v>
      </c>
      <c r="AZ290">
        <v>2014</v>
      </c>
      <c r="BA290" t="s">
        <v>20</v>
      </c>
      <c r="BB290" t="s">
        <v>96</v>
      </c>
      <c r="BC290">
        <v>25</v>
      </c>
      <c r="BD290">
        <v>6</v>
      </c>
      <c r="BE290">
        <v>12.6528890763391</v>
      </c>
      <c r="BF290">
        <v>10.1</v>
      </c>
      <c r="CA290" t="str">
        <f t="shared" si="38"/>
        <v>MaleMaori222</v>
      </c>
      <c r="CB290" t="s">
        <v>20</v>
      </c>
      <c r="CC290" t="s">
        <v>18</v>
      </c>
      <c r="CD290">
        <v>22</v>
      </c>
      <c r="CE290">
        <v>2</v>
      </c>
      <c r="CF290">
        <v>10</v>
      </c>
      <c r="CG290">
        <v>25.888715914925601</v>
      </c>
      <c r="CH290">
        <v>16</v>
      </c>
      <c r="CJ290" t="str">
        <f t="shared" si="39"/>
        <v>MaleAsian23Jumping from a high place</v>
      </c>
      <c r="CK290" t="s">
        <v>20</v>
      </c>
      <c r="CL290" t="s">
        <v>78</v>
      </c>
      <c r="CM290" t="s">
        <v>44</v>
      </c>
      <c r="CN290">
        <v>23</v>
      </c>
      <c r="CO290">
        <v>2</v>
      </c>
      <c r="CP290">
        <v>33</v>
      </c>
      <c r="CQ290">
        <v>6.1</v>
      </c>
    </row>
    <row r="291" spans="1:95">
      <c r="A291" t="str">
        <f t="shared" si="34"/>
        <v>1998AllSexMaori24</v>
      </c>
      <c r="B291">
        <v>1998</v>
      </c>
      <c r="C291" t="s">
        <v>17</v>
      </c>
      <c r="D291" t="s">
        <v>18</v>
      </c>
      <c r="E291">
        <v>24</v>
      </c>
      <c r="F291">
        <v>12</v>
      </c>
      <c r="G291">
        <v>17.528483786152499</v>
      </c>
      <c r="H291">
        <v>9.9</v>
      </c>
      <c r="J291" s="340" t="str">
        <f t="shared" si="35"/>
        <v>2010FemaleAllEth193</v>
      </c>
      <c r="K291">
        <v>2010</v>
      </c>
      <c r="L291" t="s">
        <v>8</v>
      </c>
      <c r="M291" t="s">
        <v>27</v>
      </c>
      <c r="N291">
        <v>19</v>
      </c>
      <c r="O291">
        <v>3</v>
      </c>
      <c r="P291">
        <v>24</v>
      </c>
      <c r="Q291">
        <v>5.2396119815643303</v>
      </c>
      <c r="R291">
        <v>2.1</v>
      </c>
      <c r="T291" s="340" t="str">
        <f t="shared" si="37"/>
        <v>1997AllSexNon-Maori25Sharp object</v>
      </c>
      <c r="U291">
        <v>1997</v>
      </c>
      <c r="V291" t="s">
        <v>17</v>
      </c>
      <c r="W291" t="s">
        <v>19</v>
      </c>
      <c r="X291">
        <v>25</v>
      </c>
      <c r="Y291" t="s">
        <v>48</v>
      </c>
      <c r="Z291">
        <v>4</v>
      </c>
      <c r="AA291">
        <v>53</v>
      </c>
      <c r="AB291">
        <v>7.5</v>
      </c>
      <c r="AY291" t="str">
        <f t="shared" si="36"/>
        <v>2014MaleUrban25</v>
      </c>
      <c r="AZ291">
        <v>2014</v>
      </c>
      <c r="BA291" t="s">
        <v>20</v>
      </c>
      <c r="BB291" t="s">
        <v>97</v>
      </c>
      <c r="BC291">
        <v>25</v>
      </c>
      <c r="BD291">
        <v>43</v>
      </c>
      <c r="BE291">
        <v>16.969888314456</v>
      </c>
      <c r="BF291">
        <v>5.0999999999999996</v>
      </c>
      <c r="CA291" t="str">
        <f t="shared" si="38"/>
        <v>MaleMaori223</v>
      </c>
      <c r="CB291" t="s">
        <v>20</v>
      </c>
      <c r="CC291" t="s">
        <v>18</v>
      </c>
      <c r="CD291">
        <v>22</v>
      </c>
      <c r="CE291">
        <v>3</v>
      </c>
      <c r="CF291">
        <v>23</v>
      </c>
      <c r="CG291">
        <v>41.576049272244902</v>
      </c>
      <c r="CH291">
        <v>17</v>
      </c>
      <c r="CJ291" t="str">
        <f t="shared" si="39"/>
        <v>MaleAsian24Jumping from a high place</v>
      </c>
      <c r="CK291" t="s">
        <v>20</v>
      </c>
      <c r="CL291" t="s">
        <v>78</v>
      </c>
      <c r="CM291" t="s">
        <v>44</v>
      </c>
      <c r="CN291">
        <v>24</v>
      </c>
      <c r="CO291">
        <v>1</v>
      </c>
      <c r="CP291">
        <v>23</v>
      </c>
      <c r="CQ291">
        <v>4.3</v>
      </c>
    </row>
    <row r="292" spans="1:95">
      <c r="A292" t="str">
        <f t="shared" si="34"/>
        <v>1998AllSexMaori25</v>
      </c>
      <c r="B292">
        <v>1998</v>
      </c>
      <c r="C292" t="s">
        <v>17</v>
      </c>
      <c r="D292" t="s">
        <v>18</v>
      </c>
      <c r="E292">
        <v>25</v>
      </c>
      <c r="F292">
        <v>2</v>
      </c>
      <c r="G292">
        <v>11.7577895355673</v>
      </c>
      <c r="H292">
        <v>16.3</v>
      </c>
      <c r="J292" s="340" t="str">
        <f t="shared" si="35"/>
        <v>2010FemaleAllEth194</v>
      </c>
      <c r="K292">
        <v>2010</v>
      </c>
      <c r="L292" t="s">
        <v>8</v>
      </c>
      <c r="M292" t="s">
        <v>27</v>
      </c>
      <c r="N292">
        <v>19</v>
      </c>
      <c r="O292">
        <v>4</v>
      </c>
      <c r="P292">
        <v>27</v>
      </c>
      <c r="Q292">
        <v>5.6067155020755699</v>
      </c>
      <c r="R292">
        <v>2.1</v>
      </c>
      <c r="T292" s="340" t="str">
        <f t="shared" si="37"/>
        <v>1997AllSexNon-Maori22Submersion (drowning)</v>
      </c>
      <c r="U292">
        <v>1997</v>
      </c>
      <c r="V292" t="s">
        <v>17</v>
      </c>
      <c r="W292" t="s">
        <v>19</v>
      </c>
      <c r="X292">
        <v>22</v>
      </c>
      <c r="Y292" t="s">
        <v>49</v>
      </c>
      <c r="Z292">
        <v>1</v>
      </c>
      <c r="AA292">
        <v>104</v>
      </c>
      <c r="AB292">
        <v>1</v>
      </c>
      <c r="AY292" t="str">
        <f t="shared" si="36"/>
        <v>2015AllSexRural22</v>
      </c>
      <c r="AZ292">
        <v>2015</v>
      </c>
      <c r="BA292" t="s">
        <v>17</v>
      </c>
      <c r="BB292" t="s">
        <v>96</v>
      </c>
      <c r="BC292">
        <v>22</v>
      </c>
      <c r="BD292">
        <v>10</v>
      </c>
      <c r="BE292">
        <v>13.5043889264011</v>
      </c>
      <c r="BF292">
        <v>8.4</v>
      </c>
      <c r="CA292" t="str">
        <f t="shared" si="38"/>
        <v>MaleMaori224</v>
      </c>
      <c r="CB292" t="s">
        <v>20</v>
      </c>
      <c r="CC292" t="s">
        <v>18</v>
      </c>
      <c r="CD292">
        <v>22</v>
      </c>
      <c r="CE292">
        <v>4</v>
      </c>
      <c r="CF292">
        <v>42</v>
      </c>
      <c r="CG292">
        <v>53.760994841170302</v>
      </c>
      <c r="CH292">
        <v>16.3</v>
      </c>
      <c r="CJ292" t="str">
        <f t="shared" si="39"/>
        <v>MaleAsian22Other</v>
      </c>
      <c r="CK292" t="s">
        <v>20</v>
      </c>
      <c r="CL292" t="s">
        <v>78</v>
      </c>
      <c r="CM292" t="s">
        <v>45</v>
      </c>
      <c r="CN292">
        <v>22</v>
      </c>
      <c r="CO292">
        <v>1</v>
      </c>
      <c r="CP292">
        <v>24</v>
      </c>
      <c r="CQ292">
        <v>4.2</v>
      </c>
    </row>
    <row r="293" spans="1:95">
      <c r="A293" t="str">
        <f t="shared" si="34"/>
        <v>1998AllSexNon-Maori21</v>
      </c>
      <c r="B293">
        <v>1998</v>
      </c>
      <c r="C293" t="s">
        <v>17</v>
      </c>
      <c r="D293" t="s">
        <v>19</v>
      </c>
      <c r="E293">
        <v>21</v>
      </c>
      <c r="F293">
        <v>3</v>
      </c>
      <c r="G293">
        <v>0.44750738387183397</v>
      </c>
      <c r="H293">
        <v>0.5</v>
      </c>
      <c r="J293" s="340" t="str">
        <f t="shared" si="35"/>
        <v>2010FemaleAllEth195</v>
      </c>
      <c r="K293">
        <v>2010</v>
      </c>
      <c r="L293" t="s">
        <v>8</v>
      </c>
      <c r="M293" t="s">
        <v>27</v>
      </c>
      <c r="N293">
        <v>19</v>
      </c>
      <c r="O293">
        <v>5</v>
      </c>
      <c r="P293">
        <v>37</v>
      </c>
      <c r="Q293">
        <v>8.3546213274244803</v>
      </c>
      <c r="R293">
        <v>2.7</v>
      </c>
      <c r="T293" s="340" t="str">
        <f t="shared" si="37"/>
        <v>1997AllSexNon-Maori23Submersion (drowning)</v>
      </c>
      <c r="U293">
        <v>1997</v>
      </c>
      <c r="V293" t="s">
        <v>17</v>
      </c>
      <c r="W293" t="s">
        <v>19</v>
      </c>
      <c r="X293">
        <v>23</v>
      </c>
      <c r="Y293" t="s">
        <v>49</v>
      </c>
      <c r="Z293">
        <v>5</v>
      </c>
      <c r="AA293">
        <v>200</v>
      </c>
      <c r="AB293">
        <v>2.5</v>
      </c>
      <c r="AY293" t="str">
        <f t="shared" si="36"/>
        <v>2015AllSexUrban22</v>
      </c>
      <c r="AZ293">
        <v>2015</v>
      </c>
      <c r="BA293" t="s">
        <v>17</v>
      </c>
      <c r="BB293" t="s">
        <v>97</v>
      </c>
      <c r="BC293">
        <v>22</v>
      </c>
      <c r="BD293">
        <v>101</v>
      </c>
      <c r="BE293">
        <v>17.372159823870401</v>
      </c>
      <c r="BF293">
        <v>3.4</v>
      </c>
      <c r="CA293" t="str">
        <f t="shared" si="38"/>
        <v>MaleMaori225</v>
      </c>
      <c r="CB293" t="s">
        <v>20</v>
      </c>
      <c r="CC293" t="s">
        <v>18</v>
      </c>
      <c r="CD293">
        <v>22</v>
      </c>
      <c r="CE293">
        <v>5</v>
      </c>
      <c r="CF293">
        <v>60</v>
      </c>
      <c r="CG293">
        <v>46.226850647617702</v>
      </c>
      <c r="CH293">
        <v>11.7</v>
      </c>
      <c r="CJ293" t="str">
        <f t="shared" si="39"/>
        <v>MaleAsian23Other</v>
      </c>
      <c r="CK293" t="s">
        <v>20</v>
      </c>
      <c r="CL293" t="s">
        <v>78</v>
      </c>
      <c r="CM293" t="s">
        <v>45</v>
      </c>
      <c r="CN293">
        <v>23</v>
      </c>
      <c r="CO293">
        <v>1</v>
      </c>
      <c r="CP293">
        <v>33</v>
      </c>
      <c r="CQ293">
        <v>3</v>
      </c>
    </row>
    <row r="294" spans="1:95">
      <c r="A294" t="str">
        <f t="shared" si="34"/>
        <v>1998AllSexNon-Maori22</v>
      </c>
      <c r="B294">
        <v>1998</v>
      </c>
      <c r="C294" t="s">
        <v>17</v>
      </c>
      <c r="D294" t="s">
        <v>19</v>
      </c>
      <c r="E294">
        <v>22</v>
      </c>
      <c r="F294">
        <v>97</v>
      </c>
      <c r="G294">
        <v>22.384787575289</v>
      </c>
      <c r="H294">
        <v>4.5</v>
      </c>
      <c r="J294" s="340" t="str">
        <f t="shared" si="35"/>
        <v>2011FemaleAllEth191</v>
      </c>
      <c r="K294">
        <v>2011</v>
      </c>
      <c r="L294" t="s">
        <v>8</v>
      </c>
      <c r="M294" t="s">
        <v>27</v>
      </c>
      <c r="N294">
        <v>19</v>
      </c>
      <c r="O294">
        <v>1</v>
      </c>
      <c r="P294">
        <v>18</v>
      </c>
      <c r="Q294">
        <v>3.1724695276464998</v>
      </c>
      <c r="R294">
        <v>1.5</v>
      </c>
      <c r="T294" s="340" t="str">
        <f t="shared" si="37"/>
        <v>1997AllSexNon-Maori24Submersion (drowning)</v>
      </c>
      <c r="U294">
        <v>1997</v>
      </c>
      <c r="V294" t="s">
        <v>17</v>
      </c>
      <c r="W294" t="s">
        <v>19</v>
      </c>
      <c r="X294">
        <v>24</v>
      </c>
      <c r="Y294" t="s">
        <v>49</v>
      </c>
      <c r="Z294">
        <v>5</v>
      </c>
      <c r="AA294">
        <v>95</v>
      </c>
      <c r="AB294">
        <v>5.3</v>
      </c>
      <c r="AY294" t="str">
        <f t="shared" si="36"/>
        <v>2015AllSexRural23</v>
      </c>
      <c r="AZ294">
        <v>2015</v>
      </c>
      <c r="BA294" t="s">
        <v>17</v>
      </c>
      <c r="BB294" t="s">
        <v>96</v>
      </c>
      <c r="BC294">
        <v>23</v>
      </c>
      <c r="BD294">
        <v>27</v>
      </c>
      <c r="BE294">
        <v>19.4230630889864</v>
      </c>
      <c r="BF294">
        <v>7.3</v>
      </c>
      <c r="CA294" t="str">
        <f t="shared" si="38"/>
        <v>MaleOther221</v>
      </c>
      <c r="CB294" t="s">
        <v>20</v>
      </c>
      <c r="CC294" t="s">
        <v>45</v>
      </c>
      <c r="CD294">
        <v>22</v>
      </c>
      <c r="CE294">
        <v>1</v>
      </c>
      <c r="CF294">
        <v>41</v>
      </c>
      <c r="CG294">
        <v>18.590408062760101</v>
      </c>
      <c r="CH294">
        <v>5.7</v>
      </c>
      <c r="CJ294" t="str">
        <f t="shared" si="39"/>
        <v>MaleAsian24Other</v>
      </c>
      <c r="CK294" t="s">
        <v>20</v>
      </c>
      <c r="CL294" t="s">
        <v>78</v>
      </c>
      <c r="CM294" t="s">
        <v>45</v>
      </c>
      <c r="CN294">
        <v>24</v>
      </c>
      <c r="CO294">
        <v>3</v>
      </c>
      <c r="CP294">
        <v>23</v>
      </c>
      <c r="CQ294">
        <v>13</v>
      </c>
    </row>
    <row r="295" spans="1:95">
      <c r="A295" t="str">
        <f t="shared" si="34"/>
        <v>1998AllSexNon-Maori23</v>
      </c>
      <c r="B295">
        <v>1998</v>
      </c>
      <c r="C295" t="s">
        <v>17</v>
      </c>
      <c r="D295" t="s">
        <v>19</v>
      </c>
      <c r="E295">
        <v>23</v>
      </c>
      <c r="F295">
        <v>202</v>
      </c>
      <c r="G295">
        <v>19.9213009990237</v>
      </c>
      <c r="H295">
        <v>2.7</v>
      </c>
      <c r="J295" s="340" t="str">
        <f t="shared" si="35"/>
        <v>2011FemaleAllEth192</v>
      </c>
      <c r="K295">
        <v>2011</v>
      </c>
      <c r="L295" t="s">
        <v>8</v>
      </c>
      <c r="M295" t="s">
        <v>27</v>
      </c>
      <c r="N295">
        <v>19</v>
      </c>
      <c r="O295">
        <v>2</v>
      </c>
      <c r="P295">
        <v>14</v>
      </c>
      <c r="Q295">
        <v>2.9406434228190901</v>
      </c>
      <c r="R295">
        <v>1.5</v>
      </c>
      <c r="T295" s="340" t="str">
        <f t="shared" si="37"/>
        <v>1997AllSexNon-Maori25Submersion (drowning)</v>
      </c>
      <c r="U295">
        <v>1997</v>
      </c>
      <c r="V295" t="s">
        <v>17</v>
      </c>
      <c r="W295" t="s">
        <v>19</v>
      </c>
      <c r="X295">
        <v>25</v>
      </c>
      <c r="Y295" t="s">
        <v>49</v>
      </c>
      <c r="Z295">
        <v>4</v>
      </c>
      <c r="AA295">
        <v>53</v>
      </c>
      <c r="AB295">
        <v>7.5</v>
      </c>
      <c r="AY295" t="str">
        <f t="shared" si="36"/>
        <v>2015AllSexUrban23</v>
      </c>
      <c r="AZ295">
        <v>2015</v>
      </c>
      <c r="BA295" t="s">
        <v>17</v>
      </c>
      <c r="BB295" t="s">
        <v>97</v>
      </c>
      <c r="BC295">
        <v>23</v>
      </c>
      <c r="BD295">
        <v>145</v>
      </c>
      <c r="BE295">
        <v>13.8994066391235</v>
      </c>
      <c r="BF295">
        <v>2.2999999999999998</v>
      </c>
      <c r="CA295" t="str">
        <f t="shared" si="38"/>
        <v>MaleOther222</v>
      </c>
      <c r="CB295" t="s">
        <v>20</v>
      </c>
      <c r="CC295" t="s">
        <v>45</v>
      </c>
      <c r="CD295">
        <v>22</v>
      </c>
      <c r="CE295">
        <v>2</v>
      </c>
      <c r="CF295">
        <v>33</v>
      </c>
      <c r="CG295">
        <v>16.470130922614199</v>
      </c>
      <c r="CH295">
        <v>5.6</v>
      </c>
      <c r="CJ295" t="str">
        <f t="shared" si="39"/>
        <v>MaleAsian25Other</v>
      </c>
      <c r="CK295" t="s">
        <v>20</v>
      </c>
      <c r="CL295" t="s">
        <v>78</v>
      </c>
      <c r="CM295" t="s">
        <v>45</v>
      </c>
      <c r="CN295">
        <v>25</v>
      </c>
      <c r="CO295">
        <v>1</v>
      </c>
      <c r="CP295">
        <v>6</v>
      </c>
      <c r="CQ295">
        <v>16.7</v>
      </c>
    </row>
    <row r="296" spans="1:95">
      <c r="A296" t="str">
        <f t="shared" si="34"/>
        <v>1998AllSexNon-Maori24</v>
      </c>
      <c r="B296">
        <v>1998</v>
      </c>
      <c r="C296" t="s">
        <v>17</v>
      </c>
      <c r="D296" t="s">
        <v>19</v>
      </c>
      <c r="E296">
        <v>24</v>
      </c>
      <c r="F296">
        <v>102</v>
      </c>
      <c r="G296">
        <v>14.1448600074885</v>
      </c>
      <c r="H296">
        <v>2.7</v>
      </c>
      <c r="J296" s="340" t="str">
        <f t="shared" si="35"/>
        <v>2011FemaleAllEth193</v>
      </c>
      <c r="K296">
        <v>2011</v>
      </c>
      <c r="L296" t="s">
        <v>8</v>
      </c>
      <c r="M296" t="s">
        <v>27</v>
      </c>
      <c r="N296">
        <v>19</v>
      </c>
      <c r="O296">
        <v>3</v>
      </c>
      <c r="P296">
        <v>17</v>
      </c>
      <c r="Q296">
        <v>3.8279008266893402</v>
      </c>
      <c r="R296">
        <v>1.8</v>
      </c>
      <c r="T296" s="340" t="str">
        <f t="shared" si="37"/>
        <v>1997FemaleAllEth21Firearms and explosives</v>
      </c>
      <c r="U296">
        <v>1997</v>
      </c>
      <c r="V296" t="s">
        <v>8</v>
      </c>
      <c r="W296" t="s">
        <v>27</v>
      </c>
      <c r="X296">
        <v>21</v>
      </c>
      <c r="Y296" t="s">
        <v>42</v>
      </c>
      <c r="Z296">
        <v>1</v>
      </c>
      <c r="AA296">
        <v>3</v>
      </c>
      <c r="AB296">
        <v>33.299999999999997</v>
      </c>
      <c r="AY296" t="str">
        <f t="shared" si="36"/>
        <v>2015AllSexRural24</v>
      </c>
      <c r="AZ296">
        <v>2015</v>
      </c>
      <c r="BA296" t="s">
        <v>17</v>
      </c>
      <c r="BB296" t="s">
        <v>96</v>
      </c>
      <c r="BC296">
        <v>24</v>
      </c>
      <c r="BD296">
        <v>42</v>
      </c>
      <c r="BE296">
        <v>20.842638082477301</v>
      </c>
      <c r="BF296">
        <v>6.3</v>
      </c>
      <c r="CA296" t="str">
        <f t="shared" si="38"/>
        <v>MaleOther223</v>
      </c>
      <c r="CB296" t="s">
        <v>20</v>
      </c>
      <c r="CC296" t="s">
        <v>45</v>
      </c>
      <c r="CD296">
        <v>22</v>
      </c>
      <c r="CE296">
        <v>3</v>
      </c>
      <c r="CF296">
        <v>43</v>
      </c>
      <c r="CG296">
        <v>22.169952319402402</v>
      </c>
      <c r="CH296">
        <v>6.6</v>
      </c>
      <c r="CJ296" t="str">
        <f t="shared" si="39"/>
        <v>MaleAsian22Poisoning by gases and vapours</v>
      </c>
      <c r="CK296" t="s">
        <v>20</v>
      </c>
      <c r="CL296" t="s">
        <v>78</v>
      </c>
      <c r="CM296" t="s">
        <v>46</v>
      </c>
      <c r="CN296">
        <v>22</v>
      </c>
      <c r="CO296">
        <v>1</v>
      </c>
      <c r="CP296">
        <v>24</v>
      </c>
      <c r="CQ296">
        <v>4.2</v>
      </c>
    </row>
    <row r="297" spans="1:95">
      <c r="A297" t="str">
        <f t="shared" si="34"/>
        <v>1998AllSexNon-Maori25</v>
      </c>
      <c r="B297">
        <v>1998</v>
      </c>
      <c r="C297" t="s">
        <v>17</v>
      </c>
      <c r="D297" t="s">
        <v>19</v>
      </c>
      <c r="E297">
        <v>25</v>
      </c>
      <c r="F297">
        <v>62</v>
      </c>
      <c r="G297">
        <v>14.590638458099001</v>
      </c>
      <c r="H297">
        <v>3.6</v>
      </c>
      <c r="J297" s="340" t="str">
        <f t="shared" si="35"/>
        <v>2011FemaleAllEth194</v>
      </c>
      <c r="K297">
        <v>2011</v>
      </c>
      <c r="L297" t="s">
        <v>8</v>
      </c>
      <c r="M297" t="s">
        <v>27</v>
      </c>
      <c r="N297">
        <v>19</v>
      </c>
      <c r="O297">
        <v>4</v>
      </c>
      <c r="P297">
        <v>23</v>
      </c>
      <c r="Q297">
        <v>5.1852837425382301</v>
      </c>
      <c r="R297">
        <v>2.1</v>
      </c>
      <c r="T297" s="340" t="str">
        <f t="shared" si="37"/>
        <v>1997FemaleAllEth22Firearms and explosives</v>
      </c>
      <c r="U297">
        <v>1997</v>
      </c>
      <c r="V297" t="s">
        <v>8</v>
      </c>
      <c r="W297" t="s">
        <v>27</v>
      </c>
      <c r="X297">
        <v>22</v>
      </c>
      <c r="Y297" t="s">
        <v>42</v>
      </c>
      <c r="Z297">
        <v>1</v>
      </c>
      <c r="AA297">
        <v>29</v>
      </c>
      <c r="AB297">
        <v>3.4</v>
      </c>
      <c r="AY297" t="str">
        <f t="shared" si="36"/>
        <v>2015AllSexUrban24</v>
      </c>
      <c r="AZ297">
        <v>2015</v>
      </c>
      <c r="BA297" t="s">
        <v>17</v>
      </c>
      <c r="BB297" t="s">
        <v>97</v>
      </c>
      <c r="BC297">
        <v>24</v>
      </c>
      <c r="BD297">
        <v>130</v>
      </c>
      <c r="BE297">
        <v>13.4386371154482</v>
      </c>
      <c r="BF297">
        <v>2.2999999999999998</v>
      </c>
      <c r="CA297" t="str">
        <f t="shared" si="38"/>
        <v>MaleOther224</v>
      </c>
      <c r="CB297" t="s">
        <v>20</v>
      </c>
      <c r="CC297" t="s">
        <v>45</v>
      </c>
      <c r="CD297">
        <v>22</v>
      </c>
      <c r="CE297">
        <v>4</v>
      </c>
      <c r="CF297">
        <v>46</v>
      </c>
      <c r="CG297">
        <v>25.166795369212899</v>
      </c>
      <c r="CH297">
        <v>7.3</v>
      </c>
      <c r="CJ297" t="str">
        <f t="shared" si="39"/>
        <v>MaleAsian23Poisoning by gases and vapours</v>
      </c>
      <c r="CK297" t="s">
        <v>20</v>
      </c>
      <c r="CL297" t="s">
        <v>78</v>
      </c>
      <c r="CM297" t="s">
        <v>46</v>
      </c>
      <c r="CN297">
        <v>23</v>
      </c>
      <c r="CO297">
        <v>4</v>
      </c>
      <c r="CP297">
        <v>33</v>
      </c>
      <c r="CQ297">
        <v>12.1</v>
      </c>
    </row>
    <row r="298" spans="1:95">
      <c r="A298" t="str">
        <f t="shared" si="34"/>
        <v>1998FemaleAllEth21</v>
      </c>
      <c r="B298">
        <v>1998</v>
      </c>
      <c r="C298" t="s">
        <v>8</v>
      </c>
      <c r="D298" t="s">
        <v>27</v>
      </c>
      <c r="E298">
        <v>21</v>
      </c>
      <c r="F298">
        <v>4</v>
      </c>
      <c r="G298">
        <v>0.93863663029449695</v>
      </c>
      <c r="H298">
        <v>0.9</v>
      </c>
      <c r="J298" s="340" t="str">
        <f t="shared" si="35"/>
        <v>2011FemaleAllEth195</v>
      </c>
      <c r="K298">
        <v>2011</v>
      </c>
      <c r="L298" t="s">
        <v>8</v>
      </c>
      <c r="M298" t="s">
        <v>27</v>
      </c>
      <c r="N298">
        <v>19</v>
      </c>
      <c r="O298">
        <v>5</v>
      </c>
      <c r="P298">
        <v>45</v>
      </c>
      <c r="Q298">
        <v>10.1980809872877</v>
      </c>
      <c r="R298">
        <v>3</v>
      </c>
      <c r="T298" s="340" t="str">
        <f t="shared" si="37"/>
        <v>1997FemaleAllEth23Firearms and explosives</v>
      </c>
      <c r="U298">
        <v>1997</v>
      </c>
      <c r="V298" t="s">
        <v>8</v>
      </c>
      <c r="W298" t="s">
        <v>27</v>
      </c>
      <c r="X298">
        <v>23</v>
      </c>
      <c r="Y298" t="s">
        <v>42</v>
      </c>
      <c r="Z298">
        <v>2</v>
      </c>
      <c r="AA298">
        <v>55</v>
      </c>
      <c r="AB298">
        <v>3.6</v>
      </c>
      <c r="AY298" t="str">
        <f t="shared" si="36"/>
        <v>2015AllSexRural25</v>
      </c>
      <c r="AZ298">
        <v>2015</v>
      </c>
      <c r="BA298" t="s">
        <v>17</v>
      </c>
      <c r="BB298" t="s">
        <v>96</v>
      </c>
      <c r="BC298">
        <v>25</v>
      </c>
      <c r="BD298">
        <v>11</v>
      </c>
      <c r="BE298">
        <v>11.413156256484699</v>
      </c>
      <c r="BF298">
        <v>6.7</v>
      </c>
      <c r="CA298" t="str">
        <f t="shared" si="38"/>
        <v>MaleOther225</v>
      </c>
      <c r="CB298" t="s">
        <v>20</v>
      </c>
      <c r="CC298" t="s">
        <v>45</v>
      </c>
      <c r="CD298">
        <v>22</v>
      </c>
      <c r="CE298">
        <v>5</v>
      </c>
      <c r="CF298">
        <v>36</v>
      </c>
      <c r="CG298">
        <v>28.594711867376599</v>
      </c>
      <c r="CH298">
        <v>9.3000000000000007</v>
      </c>
      <c r="CJ298" t="str">
        <f t="shared" si="39"/>
        <v>MaleAsian24Poisoning by gases and vapours</v>
      </c>
      <c r="CK298" t="s">
        <v>20</v>
      </c>
      <c r="CL298" t="s">
        <v>78</v>
      </c>
      <c r="CM298" t="s">
        <v>46</v>
      </c>
      <c r="CN298">
        <v>24</v>
      </c>
      <c r="CO298">
        <v>1</v>
      </c>
      <c r="CP298">
        <v>23</v>
      </c>
      <c r="CQ298">
        <v>4.3</v>
      </c>
    </row>
    <row r="299" spans="1:95">
      <c r="A299" t="str">
        <f t="shared" si="34"/>
        <v>1998FemaleAllEth22</v>
      </c>
      <c r="B299">
        <v>1998</v>
      </c>
      <c r="C299" t="s">
        <v>8</v>
      </c>
      <c r="D299" t="s">
        <v>27</v>
      </c>
      <c r="E299">
        <v>22</v>
      </c>
      <c r="F299">
        <v>35</v>
      </c>
      <c r="G299">
        <v>13.1757265472067</v>
      </c>
      <c r="H299">
        <v>4.4000000000000004</v>
      </c>
      <c r="J299" s="340" t="str">
        <f t="shared" si="35"/>
        <v>2012FemaleAllEth191</v>
      </c>
      <c r="K299">
        <v>2012</v>
      </c>
      <c r="L299" t="s">
        <v>8</v>
      </c>
      <c r="M299" t="s">
        <v>27</v>
      </c>
      <c r="N299">
        <v>19</v>
      </c>
      <c r="O299">
        <v>1</v>
      </c>
      <c r="P299">
        <v>8</v>
      </c>
      <c r="Q299">
        <v>1.6745010318739699</v>
      </c>
      <c r="R299">
        <v>1.2</v>
      </c>
      <c r="T299" s="340" t="str">
        <f t="shared" si="37"/>
        <v>1997FemaleAllEth21Hanging, strangulation and suffocation</v>
      </c>
      <c r="U299">
        <v>1997</v>
      </c>
      <c r="V299" t="s">
        <v>8</v>
      </c>
      <c r="W299" t="s">
        <v>27</v>
      </c>
      <c r="X299">
        <v>21</v>
      </c>
      <c r="Y299" t="s">
        <v>43</v>
      </c>
      <c r="Z299">
        <v>1</v>
      </c>
      <c r="AA299">
        <v>3</v>
      </c>
      <c r="AB299">
        <v>33.299999999999997</v>
      </c>
      <c r="AY299" t="str">
        <f t="shared" si="36"/>
        <v>2015AllSexUrban25</v>
      </c>
      <c r="AZ299">
        <v>2015</v>
      </c>
      <c r="BA299" t="s">
        <v>17</v>
      </c>
      <c r="BB299" t="s">
        <v>97</v>
      </c>
      <c r="BC299">
        <v>25</v>
      </c>
      <c r="BD299">
        <v>54</v>
      </c>
      <c r="BE299">
        <v>9.34660320207702</v>
      </c>
      <c r="BF299">
        <v>2.5</v>
      </c>
      <c r="CA299" t="str">
        <f t="shared" si="38"/>
        <v>MalePacific221</v>
      </c>
      <c r="CB299" t="s">
        <v>20</v>
      </c>
      <c r="CC299" t="s">
        <v>79</v>
      </c>
      <c r="CD299">
        <v>22</v>
      </c>
      <c r="CE299">
        <v>1</v>
      </c>
      <c r="CF299">
        <v>1</v>
      </c>
      <c r="CG299">
        <v>14.570128282333901</v>
      </c>
      <c r="CH299">
        <v>28.6</v>
      </c>
      <c r="CJ299" t="str">
        <f t="shared" si="39"/>
        <v>MaleAsian22Poisoning by solids and liquids</v>
      </c>
      <c r="CK299" t="s">
        <v>20</v>
      </c>
      <c r="CL299" t="s">
        <v>78</v>
      </c>
      <c r="CM299" t="s">
        <v>47</v>
      </c>
      <c r="CN299">
        <v>22</v>
      </c>
      <c r="CO299">
        <v>1</v>
      </c>
      <c r="CP299">
        <v>24</v>
      </c>
      <c r="CQ299">
        <v>4.2</v>
      </c>
    </row>
    <row r="300" spans="1:95">
      <c r="A300" t="str">
        <f t="shared" si="34"/>
        <v>1998FemaleAllEth23</v>
      </c>
      <c r="B300">
        <v>1998</v>
      </c>
      <c r="C300" t="s">
        <v>8</v>
      </c>
      <c r="D300" t="s">
        <v>27</v>
      </c>
      <c r="E300">
        <v>23</v>
      </c>
      <c r="F300">
        <v>54</v>
      </c>
      <c r="G300">
        <v>9.0082575694386495</v>
      </c>
      <c r="H300">
        <v>2.4</v>
      </c>
      <c r="J300" s="340" t="str">
        <f t="shared" si="35"/>
        <v>2012FemaleAllEth192</v>
      </c>
      <c r="K300">
        <v>2012</v>
      </c>
      <c r="L300" t="s">
        <v>8</v>
      </c>
      <c r="M300" t="s">
        <v>27</v>
      </c>
      <c r="N300">
        <v>19</v>
      </c>
      <c r="O300">
        <v>2</v>
      </c>
      <c r="P300">
        <v>24</v>
      </c>
      <c r="Q300">
        <v>5.1035643666233099</v>
      </c>
      <c r="R300">
        <v>2</v>
      </c>
      <c r="T300" s="340" t="str">
        <f t="shared" si="37"/>
        <v>1997FemaleAllEth22Hanging, strangulation and suffocation</v>
      </c>
      <c r="U300">
        <v>1997</v>
      </c>
      <c r="V300" t="s">
        <v>8</v>
      </c>
      <c r="W300" t="s">
        <v>27</v>
      </c>
      <c r="X300">
        <v>22</v>
      </c>
      <c r="Y300" t="s">
        <v>43</v>
      </c>
      <c r="Z300">
        <v>23</v>
      </c>
      <c r="AA300">
        <v>29</v>
      </c>
      <c r="AB300">
        <v>79.3</v>
      </c>
      <c r="AY300" t="str">
        <f t="shared" si="36"/>
        <v>2015FemaleRural22</v>
      </c>
      <c r="AZ300">
        <v>2015</v>
      </c>
      <c r="BA300" t="s">
        <v>8</v>
      </c>
      <c r="BB300" t="s">
        <v>96</v>
      </c>
      <c r="BC300">
        <v>22</v>
      </c>
      <c r="BD300">
        <v>4</v>
      </c>
      <c r="BE300">
        <v>11.7994100294985</v>
      </c>
      <c r="BF300">
        <v>11.6</v>
      </c>
      <c r="CA300" t="str">
        <f t="shared" si="38"/>
        <v>MalePacific222</v>
      </c>
      <c r="CB300" t="s">
        <v>20</v>
      </c>
      <c r="CC300" t="s">
        <v>79</v>
      </c>
      <c r="CD300">
        <v>22</v>
      </c>
      <c r="CE300">
        <v>2</v>
      </c>
      <c r="CF300">
        <v>0</v>
      </c>
      <c r="CG300">
        <v>0</v>
      </c>
      <c r="CJ300" t="str">
        <f t="shared" si="39"/>
        <v>MaleAsian24Poisoning by solids and liquids</v>
      </c>
      <c r="CK300" t="s">
        <v>20</v>
      </c>
      <c r="CL300" t="s">
        <v>78</v>
      </c>
      <c r="CM300" t="s">
        <v>47</v>
      </c>
      <c r="CN300">
        <v>24</v>
      </c>
      <c r="CO300">
        <v>3</v>
      </c>
      <c r="CP300">
        <v>23</v>
      </c>
      <c r="CQ300">
        <v>13</v>
      </c>
    </row>
    <row r="301" spans="1:95">
      <c r="A301" t="str">
        <f t="shared" si="34"/>
        <v>1998FemaleAllEth24</v>
      </c>
      <c r="B301">
        <v>1998</v>
      </c>
      <c r="C301" t="s">
        <v>8</v>
      </c>
      <c r="D301" t="s">
        <v>27</v>
      </c>
      <c r="E301">
        <v>24</v>
      </c>
      <c r="F301">
        <v>24</v>
      </c>
      <c r="G301">
        <v>6.05540697381036</v>
      </c>
      <c r="H301">
        <v>2.4</v>
      </c>
      <c r="J301" s="340" t="str">
        <f t="shared" si="35"/>
        <v>2012FemaleAllEth193</v>
      </c>
      <c r="K301">
        <v>2012</v>
      </c>
      <c r="L301" t="s">
        <v>8</v>
      </c>
      <c r="M301" t="s">
        <v>27</v>
      </c>
      <c r="N301">
        <v>19</v>
      </c>
      <c r="O301">
        <v>3</v>
      </c>
      <c r="P301">
        <v>21</v>
      </c>
      <c r="Q301">
        <v>4.4674700999259302</v>
      </c>
      <c r="R301">
        <v>1.9</v>
      </c>
      <c r="T301" s="340" t="str">
        <f t="shared" si="37"/>
        <v>1997FemaleAllEth23Hanging, strangulation and suffocation</v>
      </c>
      <c r="U301">
        <v>1997</v>
      </c>
      <c r="V301" t="s">
        <v>8</v>
      </c>
      <c r="W301" t="s">
        <v>27</v>
      </c>
      <c r="X301">
        <v>23</v>
      </c>
      <c r="Y301" t="s">
        <v>43</v>
      </c>
      <c r="Z301">
        <v>13</v>
      </c>
      <c r="AA301">
        <v>55</v>
      </c>
      <c r="AB301">
        <v>23.6</v>
      </c>
      <c r="AY301" t="str">
        <f t="shared" si="36"/>
        <v>2015FemaleUrban22</v>
      </c>
      <c r="AZ301">
        <v>2015</v>
      </c>
      <c r="BA301" t="s">
        <v>8</v>
      </c>
      <c r="BB301" t="s">
        <v>97</v>
      </c>
      <c r="BC301">
        <v>22</v>
      </c>
      <c r="BD301">
        <v>37</v>
      </c>
      <c r="BE301">
        <v>13.0917840209469</v>
      </c>
      <c r="BF301">
        <v>4.2</v>
      </c>
      <c r="CA301" t="str">
        <f t="shared" si="38"/>
        <v>MalePacific223</v>
      </c>
      <c r="CB301" t="s">
        <v>20</v>
      </c>
      <c r="CC301" t="s">
        <v>79</v>
      </c>
      <c r="CD301">
        <v>22</v>
      </c>
      <c r="CE301">
        <v>3</v>
      </c>
      <c r="CF301">
        <v>3</v>
      </c>
      <c r="CG301">
        <v>19.575895224209599</v>
      </c>
      <c r="CH301">
        <v>22.2</v>
      </c>
      <c r="CJ301" t="str">
        <f t="shared" si="39"/>
        <v>MaleAsian23Sharp object</v>
      </c>
      <c r="CK301" t="s">
        <v>20</v>
      </c>
      <c r="CL301" t="s">
        <v>78</v>
      </c>
      <c r="CM301" t="s">
        <v>48</v>
      </c>
      <c r="CN301">
        <v>23</v>
      </c>
      <c r="CO301">
        <v>1</v>
      </c>
      <c r="CP301">
        <v>33</v>
      </c>
      <c r="CQ301">
        <v>3</v>
      </c>
    </row>
    <row r="302" spans="1:95">
      <c r="A302" t="str">
        <f t="shared" si="34"/>
        <v>1998FemaleAllEth25</v>
      </c>
      <c r="B302">
        <v>1998</v>
      </c>
      <c r="C302" t="s">
        <v>8</v>
      </c>
      <c r="D302" t="s">
        <v>27</v>
      </c>
      <c r="E302">
        <v>25</v>
      </c>
      <c r="F302">
        <v>16</v>
      </c>
      <c r="G302">
        <v>6.3979526551503501</v>
      </c>
      <c r="H302">
        <v>3.1</v>
      </c>
      <c r="J302" s="340" t="str">
        <f t="shared" si="35"/>
        <v>2012FemaleAllEth194</v>
      </c>
      <c r="K302">
        <v>2012</v>
      </c>
      <c r="L302" t="s">
        <v>8</v>
      </c>
      <c r="M302" t="s">
        <v>27</v>
      </c>
      <c r="N302">
        <v>19</v>
      </c>
      <c r="O302">
        <v>4</v>
      </c>
      <c r="P302">
        <v>41</v>
      </c>
      <c r="Q302">
        <v>8.9298192148046898</v>
      </c>
      <c r="R302">
        <v>2.7</v>
      </c>
      <c r="T302" s="340" t="str">
        <f t="shared" si="37"/>
        <v>1997FemaleAllEth24Hanging, strangulation and suffocation</v>
      </c>
      <c r="U302">
        <v>1997</v>
      </c>
      <c r="V302" t="s">
        <v>8</v>
      </c>
      <c r="W302" t="s">
        <v>27</v>
      </c>
      <c r="X302">
        <v>24</v>
      </c>
      <c r="Y302" t="s">
        <v>43</v>
      </c>
      <c r="Z302">
        <v>9</v>
      </c>
      <c r="AA302">
        <v>26</v>
      </c>
      <c r="AB302">
        <v>34.6</v>
      </c>
      <c r="AY302" t="str">
        <f t="shared" si="36"/>
        <v>2015FemaleRural23</v>
      </c>
      <c r="AZ302">
        <v>2015</v>
      </c>
      <c r="BA302" t="s">
        <v>8</v>
      </c>
      <c r="BB302" t="s">
        <v>96</v>
      </c>
      <c r="BC302">
        <v>23</v>
      </c>
      <c r="BD302">
        <v>8</v>
      </c>
      <c r="BE302">
        <v>11.3765642775882</v>
      </c>
      <c r="BF302">
        <v>7.9</v>
      </c>
      <c r="CA302" t="str">
        <f t="shared" si="38"/>
        <v>MalePacific224</v>
      </c>
      <c r="CB302" t="s">
        <v>20</v>
      </c>
      <c r="CC302" t="s">
        <v>79</v>
      </c>
      <c r="CD302">
        <v>22</v>
      </c>
      <c r="CE302">
        <v>4</v>
      </c>
      <c r="CF302">
        <v>8</v>
      </c>
      <c r="CG302">
        <v>28.148541847408101</v>
      </c>
      <c r="CH302">
        <v>19.5</v>
      </c>
      <c r="CJ302" t="str">
        <f t="shared" si="39"/>
        <v>MaleAsian25Sharp object</v>
      </c>
      <c r="CK302" t="s">
        <v>20</v>
      </c>
      <c r="CL302" t="s">
        <v>78</v>
      </c>
      <c r="CM302" t="s">
        <v>48</v>
      </c>
      <c r="CN302">
        <v>25</v>
      </c>
      <c r="CO302">
        <v>1</v>
      </c>
      <c r="CP302">
        <v>6</v>
      </c>
      <c r="CQ302">
        <v>16.7</v>
      </c>
    </row>
    <row r="303" spans="1:95">
      <c r="A303" t="str">
        <f t="shared" si="34"/>
        <v>1998FemaleMaori21</v>
      </c>
      <c r="B303">
        <v>1998</v>
      </c>
      <c r="C303" t="s">
        <v>8</v>
      </c>
      <c r="D303" t="s">
        <v>18</v>
      </c>
      <c r="E303">
        <v>21</v>
      </c>
      <c r="F303">
        <v>3</v>
      </c>
      <c r="G303">
        <v>2.9797377830750902</v>
      </c>
      <c r="H303">
        <v>3.4</v>
      </c>
      <c r="J303" s="340" t="str">
        <f t="shared" si="35"/>
        <v>2012FemaleAllEth195</v>
      </c>
      <c r="K303">
        <v>2012</v>
      </c>
      <c r="L303" t="s">
        <v>8</v>
      </c>
      <c r="M303" t="s">
        <v>27</v>
      </c>
      <c r="N303">
        <v>19</v>
      </c>
      <c r="O303">
        <v>5</v>
      </c>
      <c r="P303">
        <v>43</v>
      </c>
      <c r="Q303">
        <v>9.4963410912357702</v>
      </c>
      <c r="R303">
        <v>2.8</v>
      </c>
      <c r="T303" s="340" t="str">
        <f t="shared" si="37"/>
        <v>1997FemaleAllEth25Hanging, strangulation and suffocation</v>
      </c>
      <c r="U303">
        <v>1997</v>
      </c>
      <c r="V303" t="s">
        <v>8</v>
      </c>
      <c r="W303" t="s">
        <v>27</v>
      </c>
      <c r="X303">
        <v>25</v>
      </c>
      <c r="Y303" t="s">
        <v>43</v>
      </c>
      <c r="Z303">
        <v>1</v>
      </c>
      <c r="AA303">
        <v>8</v>
      </c>
      <c r="AB303">
        <v>12.5</v>
      </c>
      <c r="AY303" t="str">
        <f t="shared" si="36"/>
        <v>2015FemaleUrban23</v>
      </c>
      <c r="AZ303">
        <v>2015</v>
      </c>
      <c r="BA303" t="s">
        <v>8</v>
      </c>
      <c r="BB303" t="s">
        <v>97</v>
      </c>
      <c r="BC303">
        <v>23</v>
      </c>
      <c r="BD303">
        <v>28</v>
      </c>
      <c r="BE303">
        <v>5.18364928909953</v>
      </c>
      <c r="BF303">
        <v>1.9</v>
      </c>
      <c r="CA303" t="str">
        <f t="shared" si="38"/>
        <v>MalePacific225</v>
      </c>
      <c r="CB303" t="s">
        <v>20</v>
      </c>
      <c r="CC303" t="s">
        <v>79</v>
      </c>
      <c r="CD303">
        <v>22</v>
      </c>
      <c r="CE303">
        <v>5</v>
      </c>
      <c r="CF303">
        <v>20</v>
      </c>
      <c r="CG303">
        <v>26.153167011053</v>
      </c>
      <c r="CH303">
        <v>11.5</v>
      </c>
      <c r="CJ303" t="str">
        <f t="shared" si="39"/>
        <v>MaleMaori21Firearms and explosives</v>
      </c>
      <c r="CK303" t="s">
        <v>20</v>
      </c>
      <c r="CL303" t="s">
        <v>18</v>
      </c>
      <c r="CM303" t="s">
        <v>42</v>
      </c>
      <c r="CN303">
        <v>21</v>
      </c>
      <c r="CO303">
        <v>2</v>
      </c>
      <c r="CP303">
        <v>10</v>
      </c>
      <c r="CQ303">
        <v>20</v>
      </c>
    </row>
    <row r="304" spans="1:95">
      <c r="A304" t="str">
        <f t="shared" si="34"/>
        <v>1998FemaleMaori22</v>
      </c>
      <c r="B304">
        <v>1998</v>
      </c>
      <c r="C304" t="s">
        <v>8</v>
      </c>
      <c r="D304" t="s">
        <v>18</v>
      </c>
      <c r="E304">
        <v>22</v>
      </c>
      <c r="F304">
        <v>13</v>
      </c>
      <c r="G304">
        <v>24.823372159633401</v>
      </c>
      <c r="H304">
        <v>13.5</v>
      </c>
      <c r="J304" s="340" t="str">
        <f t="shared" si="35"/>
        <v>2013FemaleAllEth191</v>
      </c>
      <c r="K304">
        <v>2013</v>
      </c>
      <c r="L304" t="s">
        <v>8</v>
      </c>
      <c r="M304" t="s">
        <v>27</v>
      </c>
      <c r="N304">
        <v>19</v>
      </c>
      <c r="O304">
        <v>1</v>
      </c>
      <c r="P304">
        <v>19</v>
      </c>
      <c r="Q304">
        <v>3.4168305432326198</v>
      </c>
      <c r="R304">
        <v>1.5</v>
      </c>
      <c r="T304" s="340" t="str">
        <f t="shared" si="37"/>
        <v>1997FemaleAllEth23Jumping from a high place</v>
      </c>
      <c r="U304">
        <v>1997</v>
      </c>
      <c r="V304" t="s">
        <v>8</v>
      </c>
      <c r="W304" t="s">
        <v>27</v>
      </c>
      <c r="X304">
        <v>23</v>
      </c>
      <c r="Y304" t="s">
        <v>44</v>
      </c>
      <c r="Z304">
        <v>2</v>
      </c>
      <c r="AA304">
        <v>55</v>
      </c>
      <c r="AB304">
        <v>3.6</v>
      </c>
      <c r="AY304" t="str">
        <f t="shared" si="36"/>
        <v>2015FemaleRural24</v>
      </c>
      <c r="AZ304">
        <v>2015</v>
      </c>
      <c r="BA304" t="s">
        <v>8</v>
      </c>
      <c r="BB304" t="s">
        <v>96</v>
      </c>
      <c r="BC304">
        <v>24</v>
      </c>
      <c r="BD304">
        <v>12</v>
      </c>
      <c r="BE304">
        <v>11.9796346211441</v>
      </c>
      <c r="BF304">
        <v>6.8</v>
      </c>
      <c r="CA304" t="str">
        <f t="shared" si="38"/>
        <v>MaleAsian231</v>
      </c>
      <c r="CB304" t="s">
        <v>20</v>
      </c>
      <c r="CC304" t="s">
        <v>78</v>
      </c>
      <c r="CD304">
        <v>23</v>
      </c>
      <c r="CE304">
        <v>1</v>
      </c>
      <c r="CF304">
        <v>1</v>
      </c>
      <c r="CG304">
        <v>1.4076302775003999</v>
      </c>
      <c r="CH304">
        <v>2.8</v>
      </c>
      <c r="CJ304" t="str">
        <f t="shared" si="39"/>
        <v>MaleMaori22Firearms and explosives</v>
      </c>
      <c r="CK304" t="s">
        <v>20</v>
      </c>
      <c r="CL304" t="s">
        <v>18</v>
      </c>
      <c r="CM304" t="s">
        <v>42</v>
      </c>
      <c r="CN304">
        <v>22</v>
      </c>
      <c r="CO304">
        <v>4</v>
      </c>
      <c r="CP304">
        <v>140</v>
      </c>
      <c r="CQ304">
        <v>2.9</v>
      </c>
    </row>
    <row r="305" spans="1:95">
      <c r="A305" t="str">
        <f t="shared" si="34"/>
        <v>1998FemaleMaori23</v>
      </c>
      <c r="B305">
        <v>1998</v>
      </c>
      <c r="C305" t="s">
        <v>8</v>
      </c>
      <c r="D305" t="s">
        <v>18</v>
      </c>
      <c r="E305">
        <v>23</v>
      </c>
      <c r="F305">
        <v>7</v>
      </c>
      <c r="G305">
        <v>8.4622823984526097</v>
      </c>
      <c r="H305">
        <v>6.3</v>
      </c>
      <c r="J305" s="340" t="str">
        <f t="shared" si="35"/>
        <v>2013FemaleAllEth192</v>
      </c>
      <c r="K305">
        <v>2013</v>
      </c>
      <c r="L305" t="s">
        <v>8</v>
      </c>
      <c r="M305" t="s">
        <v>27</v>
      </c>
      <c r="N305">
        <v>19</v>
      </c>
      <c r="O305">
        <v>2</v>
      </c>
      <c r="P305">
        <v>28</v>
      </c>
      <c r="Q305">
        <v>5.2973793210445397</v>
      </c>
      <c r="R305">
        <v>2</v>
      </c>
      <c r="T305" s="340" t="str">
        <f t="shared" si="37"/>
        <v>1997FemaleAllEth22Other</v>
      </c>
      <c r="U305">
        <v>1997</v>
      </c>
      <c r="V305" t="s">
        <v>8</v>
      </c>
      <c r="W305" t="s">
        <v>27</v>
      </c>
      <c r="X305">
        <v>22</v>
      </c>
      <c r="Y305" t="s">
        <v>45</v>
      </c>
      <c r="Z305">
        <v>1</v>
      </c>
      <c r="AA305">
        <v>29</v>
      </c>
      <c r="AB305">
        <v>3.4</v>
      </c>
      <c r="AY305" t="str">
        <f t="shared" si="36"/>
        <v>2015FemaleUrban24</v>
      </c>
      <c r="AZ305">
        <v>2015</v>
      </c>
      <c r="BA305" t="s">
        <v>8</v>
      </c>
      <c r="BB305" t="s">
        <v>97</v>
      </c>
      <c r="BC305">
        <v>24</v>
      </c>
      <c r="BD305">
        <v>35</v>
      </c>
      <c r="BE305">
        <v>6.9465118586881003</v>
      </c>
      <c r="BF305">
        <v>2.2999999999999998</v>
      </c>
      <c r="CA305" t="str">
        <f t="shared" si="38"/>
        <v>MaleAsian232</v>
      </c>
      <c r="CB305" t="s">
        <v>20</v>
      </c>
      <c r="CC305" t="s">
        <v>78</v>
      </c>
      <c r="CD305">
        <v>23</v>
      </c>
      <c r="CE305">
        <v>2</v>
      </c>
      <c r="CF305">
        <v>5</v>
      </c>
      <c r="CG305">
        <v>5.2241208600567699</v>
      </c>
      <c r="CH305">
        <v>4.5999999999999996</v>
      </c>
      <c r="CJ305" t="str">
        <f t="shared" si="39"/>
        <v>MaleMaori23Firearms and explosives</v>
      </c>
      <c r="CK305" t="s">
        <v>20</v>
      </c>
      <c r="CL305" t="s">
        <v>18</v>
      </c>
      <c r="CM305" t="s">
        <v>42</v>
      </c>
      <c r="CN305">
        <v>23</v>
      </c>
      <c r="CO305">
        <v>3</v>
      </c>
      <c r="CP305">
        <v>181</v>
      </c>
      <c r="CQ305">
        <v>1.7</v>
      </c>
    </row>
    <row r="306" spans="1:95">
      <c r="A306" t="str">
        <f t="shared" si="34"/>
        <v>1998FemaleMaori24</v>
      </c>
      <c r="B306">
        <v>1998</v>
      </c>
      <c r="C306" t="s">
        <v>8</v>
      </c>
      <c r="D306" t="s">
        <v>18</v>
      </c>
      <c r="E306">
        <v>24</v>
      </c>
      <c r="F306">
        <v>2</v>
      </c>
      <c r="G306">
        <v>5.7355893318038396</v>
      </c>
      <c r="H306">
        <v>7.9</v>
      </c>
      <c r="J306" s="340" t="str">
        <f t="shared" si="35"/>
        <v>2013FemaleAllEth193</v>
      </c>
      <c r="K306">
        <v>2013</v>
      </c>
      <c r="L306" t="s">
        <v>8</v>
      </c>
      <c r="M306" t="s">
        <v>27</v>
      </c>
      <c r="N306">
        <v>19</v>
      </c>
      <c r="O306">
        <v>3</v>
      </c>
      <c r="P306">
        <v>25</v>
      </c>
      <c r="Q306">
        <v>5.5756498222800701</v>
      </c>
      <c r="R306">
        <v>2.2000000000000002</v>
      </c>
      <c r="T306" s="340" t="str">
        <f t="shared" si="37"/>
        <v>1997FemaleAllEth23Other</v>
      </c>
      <c r="U306">
        <v>1997</v>
      </c>
      <c r="V306" t="s">
        <v>8</v>
      </c>
      <c r="W306" t="s">
        <v>27</v>
      </c>
      <c r="X306">
        <v>23</v>
      </c>
      <c r="Y306" t="s">
        <v>45</v>
      </c>
      <c r="Z306">
        <v>2</v>
      </c>
      <c r="AA306">
        <v>55</v>
      </c>
      <c r="AB306">
        <v>3.6</v>
      </c>
      <c r="AY306" t="str">
        <f t="shared" si="36"/>
        <v>2015FemaleRural25</v>
      </c>
      <c r="AZ306">
        <v>2015</v>
      </c>
      <c r="BA306" t="s">
        <v>8</v>
      </c>
      <c r="BB306" t="s">
        <v>96</v>
      </c>
      <c r="BC306">
        <v>25</v>
      </c>
      <c r="BD306">
        <v>2</v>
      </c>
      <c r="BE306">
        <v>4.36205016357688</v>
      </c>
      <c r="BF306">
        <v>6</v>
      </c>
      <c r="CA306" t="str">
        <f t="shared" si="38"/>
        <v>MaleAsian233</v>
      </c>
      <c r="CB306" t="s">
        <v>20</v>
      </c>
      <c r="CC306" t="s">
        <v>78</v>
      </c>
      <c r="CD306">
        <v>23</v>
      </c>
      <c r="CE306">
        <v>3</v>
      </c>
      <c r="CF306">
        <v>11</v>
      </c>
      <c r="CG306">
        <v>10.3555325894618</v>
      </c>
      <c r="CH306">
        <v>6.1</v>
      </c>
      <c r="CJ306" t="str">
        <f t="shared" si="39"/>
        <v>MaleMaori24Firearms and explosives</v>
      </c>
      <c r="CK306" t="s">
        <v>20</v>
      </c>
      <c r="CL306" t="s">
        <v>18</v>
      </c>
      <c r="CM306" t="s">
        <v>42</v>
      </c>
      <c r="CN306">
        <v>24</v>
      </c>
      <c r="CO306">
        <v>2</v>
      </c>
      <c r="CP306">
        <v>53</v>
      </c>
      <c r="CQ306">
        <v>3.8</v>
      </c>
    </row>
    <row r="307" spans="1:95">
      <c r="A307" t="str">
        <f t="shared" si="34"/>
        <v>1998FemaleMaori25</v>
      </c>
      <c r="B307">
        <v>1998</v>
      </c>
      <c r="C307" t="s">
        <v>8</v>
      </c>
      <c r="D307" t="s">
        <v>18</v>
      </c>
      <c r="E307">
        <v>25</v>
      </c>
      <c r="F307">
        <v>0</v>
      </c>
      <c r="G307">
        <v>0</v>
      </c>
      <c r="J307" s="340" t="str">
        <f t="shared" si="35"/>
        <v>2013FemaleAllEth194</v>
      </c>
      <c r="K307">
        <v>2013</v>
      </c>
      <c r="L307" t="s">
        <v>8</v>
      </c>
      <c r="M307" t="s">
        <v>27</v>
      </c>
      <c r="N307">
        <v>19</v>
      </c>
      <c r="O307">
        <v>4</v>
      </c>
      <c r="P307">
        <v>23</v>
      </c>
      <c r="Q307">
        <v>5.5573244121361203</v>
      </c>
      <c r="R307">
        <v>2.2999999999999998</v>
      </c>
      <c r="T307" s="340" t="str">
        <f t="shared" si="37"/>
        <v>1997FemaleAllEth22Poisoning by gases and vapours</v>
      </c>
      <c r="U307">
        <v>1997</v>
      </c>
      <c r="V307" t="s">
        <v>8</v>
      </c>
      <c r="W307" t="s">
        <v>27</v>
      </c>
      <c r="X307">
        <v>22</v>
      </c>
      <c r="Y307" t="s">
        <v>46</v>
      </c>
      <c r="Z307">
        <v>1</v>
      </c>
      <c r="AA307">
        <v>29</v>
      </c>
      <c r="AB307">
        <v>3.4</v>
      </c>
      <c r="AY307" t="str">
        <f t="shared" si="36"/>
        <v>2015FemaleUrban25</v>
      </c>
      <c r="AZ307">
        <v>2015</v>
      </c>
      <c r="BA307" t="s">
        <v>8</v>
      </c>
      <c r="BB307" t="s">
        <v>97</v>
      </c>
      <c r="BC307">
        <v>25</v>
      </c>
      <c r="BD307">
        <v>14</v>
      </c>
      <c r="BE307">
        <v>4.4341684350552697</v>
      </c>
      <c r="BF307">
        <v>2.2999999999999998</v>
      </c>
      <c r="CA307" t="str">
        <f t="shared" si="38"/>
        <v>MaleAsian234</v>
      </c>
      <c r="CB307" t="s">
        <v>20</v>
      </c>
      <c r="CC307" t="s">
        <v>78</v>
      </c>
      <c r="CD307">
        <v>23</v>
      </c>
      <c r="CE307">
        <v>4</v>
      </c>
      <c r="CF307">
        <v>7</v>
      </c>
      <c r="CG307">
        <v>6.0390854341390199</v>
      </c>
      <c r="CH307">
        <v>4.5</v>
      </c>
      <c r="CJ307" t="str">
        <f t="shared" si="39"/>
        <v>MaleMaori21Hanging, strangulation and suffocation</v>
      </c>
      <c r="CK307" t="s">
        <v>20</v>
      </c>
      <c r="CL307" t="s">
        <v>18</v>
      </c>
      <c r="CM307" t="s">
        <v>43</v>
      </c>
      <c r="CN307">
        <v>21</v>
      </c>
      <c r="CO307">
        <v>8</v>
      </c>
      <c r="CP307">
        <v>10</v>
      </c>
      <c r="CQ307">
        <v>80</v>
      </c>
    </row>
    <row r="308" spans="1:95">
      <c r="A308" t="str">
        <f t="shared" si="34"/>
        <v>1998FemaleNon-Maori21</v>
      </c>
      <c r="B308">
        <v>1998</v>
      </c>
      <c r="C308" t="s">
        <v>8</v>
      </c>
      <c r="D308" t="s">
        <v>19</v>
      </c>
      <c r="E308">
        <v>21</v>
      </c>
      <c r="F308">
        <v>1</v>
      </c>
      <c r="G308">
        <v>0.307247979844533</v>
      </c>
      <c r="H308">
        <v>0.6</v>
      </c>
      <c r="J308" s="340" t="str">
        <f t="shared" si="35"/>
        <v>2013FemaleAllEth195</v>
      </c>
      <c r="K308">
        <v>2013</v>
      </c>
      <c r="L308" t="s">
        <v>8</v>
      </c>
      <c r="M308" t="s">
        <v>27</v>
      </c>
      <c r="N308">
        <v>19</v>
      </c>
      <c r="O308">
        <v>5</v>
      </c>
      <c r="P308">
        <v>45</v>
      </c>
      <c r="Q308">
        <v>10.227777888353501</v>
      </c>
      <c r="R308">
        <v>3</v>
      </c>
      <c r="T308" s="340" t="str">
        <f t="shared" si="37"/>
        <v>1997FemaleAllEth23Poisoning by gases and vapours</v>
      </c>
      <c r="U308">
        <v>1997</v>
      </c>
      <c r="V308" t="s">
        <v>8</v>
      </c>
      <c r="W308" t="s">
        <v>27</v>
      </c>
      <c r="X308">
        <v>23</v>
      </c>
      <c r="Y308" t="s">
        <v>46</v>
      </c>
      <c r="Z308">
        <v>18</v>
      </c>
      <c r="AA308">
        <v>55</v>
      </c>
      <c r="AB308">
        <v>32.700000000000003</v>
      </c>
      <c r="AY308" t="str">
        <f t="shared" si="36"/>
        <v>2015MaleRural22</v>
      </c>
      <c r="AZ308">
        <v>2015</v>
      </c>
      <c r="BA308" t="s">
        <v>20</v>
      </c>
      <c r="BB308" t="s">
        <v>96</v>
      </c>
      <c r="BC308">
        <v>22</v>
      </c>
      <c r="BD308">
        <v>6</v>
      </c>
      <c r="BE308">
        <v>14.951407924246199</v>
      </c>
      <c r="BF308">
        <v>12</v>
      </c>
      <c r="CA308" t="str">
        <f t="shared" si="38"/>
        <v>MaleAsian235</v>
      </c>
      <c r="CB308" t="s">
        <v>20</v>
      </c>
      <c r="CC308" t="s">
        <v>78</v>
      </c>
      <c r="CD308">
        <v>23</v>
      </c>
      <c r="CE308">
        <v>5</v>
      </c>
      <c r="CF308">
        <v>7</v>
      </c>
      <c r="CG308">
        <v>7.5211770535734299</v>
      </c>
      <c r="CH308">
        <v>5.6</v>
      </c>
      <c r="CJ308" t="str">
        <f t="shared" si="39"/>
        <v>MaleMaori22Hanging, strangulation and suffocation</v>
      </c>
      <c r="CK308" t="s">
        <v>20</v>
      </c>
      <c r="CL308" t="s">
        <v>18</v>
      </c>
      <c r="CM308" t="s">
        <v>43</v>
      </c>
      <c r="CN308">
        <v>22</v>
      </c>
      <c r="CO308">
        <v>126</v>
      </c>
      <c r="CP308">
        <v>140</v>
      </c>
      <c r="CQ308">
        <v>90</v>
      </c>
    </row>
    <row r="309" spans="1:95">
      <c r="A309" t="str">
        <f t="shared" si="34"/>
        <v>1998FemaleNon-Maori22</v>
      </c>
      <c r="B309">
        <v>1998</v>
      </c>
      <c r="C309" t="s">
        <v>8</v>
      </c>
      <c r="D309" t="s">
        <v>19</v>
      </c>
      <c r="E309">
        <v>22</v>
      </c>
      <c r="F309">
        <v>22</v>
      </c>
      <c r="G309">
        <v>10.315562432597201</v>
      </c>
      <c r="H309">
        <v>4.3</v>
      </c>
      <c r="J309" s="340" t="str">
        <f t="shared" si="35"/>
        <v>2014FemaleAllEth191</v>
      </c>
      <c r="K309">
        <v>2014</v>
      </c>
      <c r="L309" t="s">
        <v>8</v>
      </c>
      <c r="M309" t="s">
        <v>27</v>
      </c>
      <c r="N309">
        <v>19</v>
      </c>
      <c r="O309">
        <v>1</v>
      </c>
      <c r="P309">
        <v>14</v>
      </c>
      <c r="Q309">
        <v>2.7543322496102798</v>
      </c>
      <c r="R309">
        <v>1.4</v>
      </c>
      <c r="T309" s="340" t="str">
        <f t="shared" si="37"/>
        <v>1997FemaleAllEth24Poisoning by gases and vapours</v>
      </c>
      <c r="U309">
        <v>1997</v>
      </c>
      <c r="V309" t="s">
        <v>8</v>
      </c>
      <c r="W309" t="s">
        <v>27</v>
      </c>
      <c r="X309">
        <v>24</v>
      </c>
      <c r="Y309" t="s">
        <v>46</v>
      </c>
      <c r="Z309">
        <v>4</v>
      </c>
      <c r="AA309">
        <v>26</v>
      </c>
      <c r="AB309">
        <v>15.4</v>
      </c>
      <c r="AY309" t="str">
        <f t="shared" si="36"/>
        <v>2015MaleUrban22</v>
      </c>
      <c r="AZ309">
        <v>2015</v>
      </c>
      <c r="BA309" t="s">
        <v>20</v>
      </c>
      <c r="BB309" t="s">
        <v>97</v>
      </c>
      <c r="BC309">
        <v>22</v>
      </c>
      <c r="BD309">
        <v>64</v>
      </c>
      <c r="BE309">
        <v>21.4211600897011</v>
      </c>
      <c r="BF309">
        <v>5.2</v>
      </c>
      <c r="CA309" t="str">
        <f t="shared" si="38"/>
        <v>MaleMaori231</v>
      </c>
      <c r="CB309" t="s">
        <v>20</v>
      </c>
      <c r="CC309" t="s">
        <v>18</v>
      </c>
      <c r="CD309">
        <v>23</v>
      </c>
      <c r="CE309">
        <v>1</v>
      </c>
      <c r="CF309">
        <v>6</v>
      </c>
      <c r="CG309">
        <v>16.2567534842497</v>
      </c>
      <c r="CH309">
        <v>13</v>
      </c>
      <c r="CJ309" t="str">
        <f t="shared" si="39"/>
        <v>MaleMaori23Hanging, strangulation and suffocation</v>
      </c>
      <c r="CK309" t="s">
        <v>20</v>
      </c>
      <c r="CL309" t="s">
        <v>18</v>
      </c>
      <c r="CM309" t="s">
        <v>43</v>
      </c>
      <c r="CN309">
        <v>23</v>
      </c>
      <c r="CO309">
        <v>154</v>
      </c>
      <c r="CP309">
        <v>181</v>
      </c>
      <c r="CQ309">
        <v>85.1</v>
      </c>
    </row>
    <row r="310" spans="1:95">
      <c r="A310" t="str">
        <f t="shared" si="34"/>
        <v>1998FemaleNon-Maori23</v>
      </c>
      <c r="B310">
        <v>1998</v>
      </c>
      <c r="C310" t="s">
        <v>8</v>
      </c>
      <c r="D310" t="s">
        <v>19</v>
      </c>
      <c r="E310">
        <v>23</v>
      </c>
      <c r="F310">
        <v>47</v>
      </c>
      <c r="G310">
        <v>9.0956592417703597</v>
      </c>
      <c r="H310">
        <v>2.6</v>
      </c>
      <c r="J310" s="340" t="str">
        <f t="shared" si="35"/>
        <v>2014FemaleAllEth192</v>
      </c>
      <c r="K310">
        <v>2014</v>
      </c>
      <c r="L310" t="s">
        <v>8</v>
      </c>
      <c r="M310" t="s">
        <v>27</v>
      </c>
      <c r="N310">
        <v>19</v>
      </c>
      <c r="O310">
        <v>2</v>
      </c>
      <c r="P310">
        <v>23</v>
      </c>
      <c r="Q310">
        <v>4.3764290323286197</v>
      </c>
      <c r="R310">
        <v>1.8</v>
      </c>
      <c r="T310" s="340" t="str">
        <f t="shared" si="37"/>
        <v>1997FemaleAllEth21Poisoning by solids and liquids</v>
      </c>
      <c r="U310">
        <v>1997</v>
      </c>
      <c r="V310" t="s">
        <v>8</v>
      </c>
      <c r="W310" t="s">
        <v>27</v>
      </c>
      <c r="X310">
        <v>21</v>
      </c>
      <c r="Y310" t="s">
        <v>47</v>
      </c>
      <c r="Z310">
        <v>1</v>
      </c>
      <c r="AA310">
        <v>3</v>
      </c>
      <c r="AB310">
        <v>33.299999999999997</v>
      </c>
      <c r="AY310" t="str">
        <f t="shared" si="36"/>
        <v>2015MaleRural23</v>
      </c>
      <c r="AZ310">
        <v>2015</v>
      </c>
      <c r="BA310" t="s">
        <v>20</v>
      </c>
      <c r="BB310" t="s">
        <v>96</v>
      </c>
      <c r="BC310">
        <v>23</v>
      </c>
      <c r="BD310">
        <v>19</v>
      </c>
      <c r="BE310">
        <v>27.668559778651499</v>
      </c>
      <c r="BF310">
        <v>12.4</v>
      </c>
      <c r="CA310" t="str">
        <f t="shared" si="38"/>
        <v>MaleMaori232</v>
      </c>
      <c r="CB310" t="s">
        <v>20</v>
      </c>
      <c r="CC310" t="s">
        <v>18</v>
      </c>
      <c r="CD310">
        <v>23</v>
      </c>
      <c r="CE310">
        <v>2</v>
      </c>
      <c r="CF310">
        <v>15</v>
      </c>
      <c r="CG310">
        <v>29.903693205943799</v>
      </c>
      <c r="CH310">
        <v>15.1</v>
      </c>
      <c r="CJ310" t="str">
        <f t="shared" si="39"/>
        <v>MaleMaori24Hanging, strangulation and suffocation</v>
      </c>
      <c r="CK310" t="s">
        <v>20</v>
      </c>
      <c r="CL310" t="s">
        <v>18</v>
      </c>
      <c r="CM310" t="s">
        <v>43</v>
      </c>
      <c r="CN310">
        <v>24</v>
      </c>
      <c r="CO310">
        <v>40</v>
      </c>
      <c r="CP310">
        <v>53</v>
      </c>
      <c r="CQ310">
        <v>75.5</v>
      </c>
    </row>
    <row r="311" spans="1:95">
      <c r="A311" t="str">
        <f t="shared" si="34"/>
        <v>1998FemaleNon-Maori24</v>
      </c>
      <c r="B311">
        <v>1998</v>
      </c>
      <c r="C311" t="s">
        <v>8</v>
      </c>
      <c r="D311" t="s">
        <v>19</v>
      </c>
      <c r="E311">
        <v>24</v>
      </c>
      <c r="F311">
        <v>22</v>
      </c>
      <c r="G311">
        <v>6.08625888732122</v>
      </c>
      <c r="H311">
        <v>2.5</v>
      </c>
      <c r="J311" s="340" t="str">
        <f t="shared" si="35"/>
        <v>2014FemaleAllEth193</v>
      </c>
      <c r="K311">
        <v>2014</v>
      </c>
      <c r="L311" t="s">
        <v>8</v>
      </c>
      <c r="M311" t="s">
        <v>27</v>
      </c>
      <c r="N311">
        <v>19</v>
      </c>
      <c r="O311">
        <v>3</v>
      </c>
      <c r="P311">
        <v>23</v>
      </c>
      <c r="Q311">
        <v>4.9801442476464199</v>
      </c>
      <c r="R311">
        <v>2</v>
      </c>
      <c r="T311" s="340" t="str">
        <f t="shared" si="37"/>
        <v>1997FemaleAllEth22Poisoning by solids and liquids</v>
      </c>
      <c r="U311">
        <v>1997</v>
      </c>
      <c r="V311" t="s">
        <v>8</v>
      </c>
      <c r="W311" t="s">
        <v>27</v>
      </c>
      <c r="X311">
        <v>22</v>
      </c>
      <c r="Y311" t="s">
        <v>47</v>
      </c>
      <c r="Z311">
        <v>3</v>
      </c>
      <c r="AA311">
        <v>29</v>
      </c>
      <c r="AB311">
        <v>10.3</v>
      </c>
      <c r="AY311" t="str">
        <f t="shared" si="36"/>
        <v>2015MaleUrban23</v>
      </c>
      <c r="AZ311">
        <v>2015</v>
      </c>
      <c r="BA311" t="s">
        <v>20</v>
      </c>
      <c r="BB311" t="s">
        <v>97</v>
      </c>
      <c r="BC311">
        <v>23</v>
      </c>
      <c r="BD311">
        <v>117</v>
      </c>
      <c r="BE311">
        <v>23.258587786259501</v>
      </c>
      <c r="BF311">
        <v>4.2</v>
      </c>
      <c r="CA311" t="str">
        <f t="shared" si="38"/>
        <v>MaleMaori233</v>
      </c>
      <c r="CB311" t="s">
        <v>20</v>
      </c>
      <c r="CC311" t="s">
        <v>18</v>
      </c>
      <c r="CD311">
        <v>23</v>
      </c>
      <c r="CE311">
        <v>3</v>
      </c>
      <c r="CF311">
        <v>26</v>
      </c>
      <c r="CG311">
        <v>37.262944805355801</v>
      </c>
      <c r="CH311">
        <v>14.3</v>
      </c>
      <c r="CJ311" t="str">
        <f t="shared" si="39"/>
        <v>MaleMaori25Hanging, strangulation and suffocation</v>
      </c>
      <c r="CK311" t="s">
        <v>20</v>
      </c>
      <c r="CL311" t="s">
        <v>18</v>
      </c>
      <c r="CM311" t="s">
        <v>43</v>
      </c>
      <c r="CN311">
        <v>25</v>
      </c>
      <c r="CO311">
        <v>4</v>
      </c>
      <c r="CP311">
        <v>4</v>
      </c>
      <c r="CQ311">
        <v>100</v>
      </c>
    </row>
    <row r="312" spans="1:95">
      <c r="A312" t="str">
        <f t="shared" si="34"/>
        <v>1998FemaleNon-Maori25</v>
      </c>
      <c r="B312">
        <v>1998</v>
      </c>
      <c r="C312" t="s">
        <v>8</v>
      </c>
      <c r="D312" t="s">
        <v>19</v>
      </c>
      <c r="E312">
        <v>25</v>
      </c>
      <c r="F312">
        <v>16</v>
      </c>
      <c r="G312">
        <v>6.6472787702534299</v>
      </c>
      <c r="H312">
        <v>3.3</v>
      </c>
      <c r="J312" s="340" t="str">
        <f t="shared" si="35"/>
        <v>2014FemaleAllEth194</v>
      </c>
      <c r="K312">
        <v>2014</v>
      </c>
      <c r="L312" t="s">
        <v>8</v>
      </c>
      <c r="M312" t="s">
        <v>27</v>
      </c>
      <c r="N312">
        <v>19</v>
      </c>
      <c r="O312">
        <v>4</v>
      </c>
      <c r="P312">
        <v>27</v>
      </c>
      <c r="Q312">
        <v>5.8326773788982802</v>
      </c>
      <c r="R312">
        <v>2.2000000000000002</v>
      </c>
      <c r="T312" s="340" t="str">
        <f t="shared" si="37"/>
        <v>1997FemaleAllEth23Poisoning by solids and liquids</v>
      </c>
      <c r="U312">
        <v>1997</v>
      </c>
      <c r="V312" t="s">
        <v>8</v>
      </c>
      <c r="W312" t="s">
        <v>27</v>
      </c>
      <c r="X312">
        <v>23</v>
      </c>
      <c r="Y312" t="s">
        <v>47</v>
      </c>
      <c r="Z312">
        <v>15</v>
      </c>
      <c r="AA312">
        <v>55</v>
      </c>
      <c r="AB312">
        <v>27.3</v>
      </c>
      <c r="AY312" t="str">
        <f t="shared" si="36"/>
        <v>2015MaleRural24</v>
      </c>
      <c r="AZ312">
        <v>2015</v>
      </c>
      <c r="BA312" t="s">
        <v>20</v>
      </c>
      <c r="BB312" t="s">
        <v>96</v>
      </c>
      <c r="BC312">
        <v>24</v>
      </c>
      <c r="BD312">
        <v>30</v>
      </c>
      <c r="BE312">
        <v>29.597474348855599</v>
      </c>
      <c r="BF312">
        <v>10.6</v>
      </c>
      <c r="CA312" t="str">
        <f t="shared" si="38"/>
        <v>MaleMaori234</v>
      </c>
      <c r="CB312" t="s">
        <v>20</v>
      </c>
      <c r="CC312" t="s">
        <v>18</v>
      </c>
      <c r="CD312">
        <v>23</v>
      </c>
      <c r="CE312">
        <v>4</v>
      </c>
      <c r="CF312">
        <v>50</v>
      </c>
      <c r="CG312">
        <v>52.8504883561558</v>
      </c>
      <c r="CH312">
        <v>14.6</v>
      </c>
      <c r="CJ312" t="str">
        <f t="shared" si="39"/>
        <v>MaleMaori22Jumping from a high place</v>
      </c>
      <c r="CK312" t="s">
        <v>20</v>
      </c>
      <c r="CL312" t="s">
        <v>18</v>
      </c>
      <c r="CM312" t="s">
        <v>44</v>
      </c>
      <c r="CN312">
        <v>22</v>
      </c>
      <c r="CO312">
        <v>3</v>
      </c>
      <c r="CP312">
        <v>140</v>
      </c>
      <c r="CQ312">
        <v>2.1</v>
      </c>
    </row>
    <row r="313" spans="1:95">
      <c r="A313" t="str">
        <f t="shared" si="34"/>
        <v>1998MaleAllEth21</v>
      </c>
      <c r="B313">
        <v>1998</v>
      </c>
      <c r="C313" t="s">
        <v>20</v>
      </c>
      <c r="D313" t="s">
        <v>27</v>
      </c>
      <c r="E313">
        <v>21</v>
      </c>
      <c r="F313">
        <v>8</v>
      </c>
      <c r="G313">
        <v>1.7788846393311399</v>
      </c>
      <c r="H313">
        <v>1.2</v>
      </c>
      <c r="J313" s="340" t="str">
        <f t="shared" si="35"/>
        <v>2014FemaleAllEth195</v>
      </c>
      <c r="K313">
        <v>2014</v>
      </c>
      <c r="L313" t="s">
        <v>8</v>
      </c>
      <c r="M313" t="s">
        <v>27</v>
      </c>
      <c r="N313">
        <v>19</v>
      </c>
      <c r="O313">
        <v>5</v>
      </c>
      <c r="P313">
        <v>40</v>
      </c>
      <c r="Q313">
        <v>8.9017753202935292</v>
      </c>
      <c r="R313">
        <v>2.8</v>
      </c>
      <c r="T313" s="340" t="str">
        <f t="shared" si="37"/>
        <v>1997FemaleAllEth24Poisoning by solids and liquids</v>
      </c>
      <c r="U313">
        <v>1997</v>
      </c>
      <c r="V313" t="s">
        <v>8</v>
      </c>
      <c r="W313" t="s">
        <v>27</v>
      </c>
      <c r="X313">
        <v>24</v>
      </c>
      <c r="Y313" t="s">
        <v>47</v>
      </c>
      <c r="Z313">
        <v>10</v>
      </c>
      <c r="AA313">
        <v>26</v>
      </c>
      <c r="AB313">
        <v>38.5</v>
      </c>
      <c r="AY313" t="str">
        <f t="shared" si="36"/>
        <v>2015MaleUrban24</v>
      </c>
      <c r="AZ313">
        <v>2015</v>
      </c>
      <c r="BA313" t="s">
        <v>20</v>
      </c>
      <c r="BB313" t="s">
        <v>97</v>
      </c>
      <c r="BC313">
        <v>24</v>
      </c>
      <c r="BD313">
        <v>95</v>
      </c>
      <c r="BE313">
        <v>20.497993354334799</v>
      </c>
      <c r="BF313">
        <v>4.0999999999999996</v>
      </c>
      <c r="CA313" t="str">
        <f t="shared" si="38"/>
        <v>MaleMaori235</v>
      </c>
      <c r="CB313" t="s">
        <v>20</v>
      </c>
      <c r="CC313" t="s">
        <v>18</v>
      </c>
      <c r="CD313">
        <v>23</v>
      </c>
      <c r="CE313">
        <v>5</v>
      </c>
      <c r="CF313">
        <v>82</v>
      </c>
      <c r="CG313">
        <v>58.0311037774879</v>
      </c>
      <c r="CH313">
        <v>12.6</v>
      </c>
      <c r="CJ313" t="str">
        <f t="shared" si="39"/>
        <v>MaleMaori23Jumping from a high place</v>
      </c>
      <c r="CK313" t="s">
        <v>20</v>
      </c>
      <c r="CL313" t="s">
        <v>18</v>
      </c>
      <c r="CM313" t="s">
        <v>44</v>
      </c>
      <c r="CN313">
        <v>23</v>
      </c>
      <c r="CO313">
        <v>3</v>
      </c>
      <c r="CP313">
        <v>181</v>
      </c>
      <c r="CQ313">
        <v>1.7</v>
      </c>
    </row>
    <row r="314" spans="1:95">
      <c r="A314" t="str">
        <f t="shared" si="34"/>
        <v>1998MaleAllEth22</v>
      </c>
      <c r="B314">
        <v>1998</v>
      </c>
      <c r="C314" t="s">
        <v>20</v>
      </c>
      <c r="D314" t="s">
        <v>27</v>
      </c>
      <c r="E314">
        <v>22</v>
      </c>
      <c r="F314">
        <v>104</v>
      </c>
      <c r="G314">
        <v>38.3282966020491</v>
      </c>
      <c r="H314">
        <v>7.4</v>
      </c>
      <c r="J314" s="340" t="str">
        <f t="shared" si="35"/>
        <v>2015FemaleAllEth191</v>
      </c>
      <c r="K314">
        <v>2015</v>
      </c>
      <c r="L314" t="s">
        <v>8</v>
      </c>
      <c r="M314" t="s">
        <v>27</v>
      </c>
      <c r="N314">
        <v>19</v>
      </c>
      <c r="O314">
        <v>1</v>
      </c>
      <c r="P314">
        <v>22</v>
      </c>
      <c r="Q314">
        <v>4.0757342154773699</v>
      </c>
      <c r="R314">
        <v>1.7</v>
      </c>
      <c r="T314" s="340" t="str">
        <f t="shared" si="37"/>
        <v>1997FemaleAllEth25Poisoning by solids and liquids</v>
      </c>
      <c r="U314">
        <v>1997</v>
      </c>
      <c r="V314" t="s">
        <v>8</v>
      </c>
      <c r="W314" t="s">
        <v>27</v>
      </c>
      <c r="X314">
        <v>25</v>
      </c>
      <c r="Y314" t="s">
        <v>47</v>
      </c>
      <c r="Z314">
        <v>4</v>
      </c>
      <c r="AA314">
        <v>8</v>
      </c>
      <c r="AB314">
        <v>50</v>
      </c>
      <c r="AY314" t="str">
        <f t="shared" si="36"/>
        <v>2015MaleRural25</v>
      </c>
      <c r="AZ314">
        <v>2015</v>
      </c>
      <c r="BA314" t="s">
        <v>20</v>
      </c>
      <c r="BB314" t="s">
        <v>96</v>
      </c>
      <c r="BC314">
        <v>25</v>
      </c>
      <c r="BD314">
        <v>9</v>
      </c>
      <c r="BE314">
        <v>17.8041543026706</v>
      </c>
      <c r="BF314">
        <v>11.6</v>
      </c>
      <c r="CA314" t="str">
        <f t="shared" si="38"/>
        <v>MaleOther231</v>
      </c>
      <c r="CB314" t="s">
        <v>20</v>
      </c>
      <c r="CC314" t="s">
        <v>45</v>
      </c>
      <c r="CD314">
        <v>23</v>
      </c>
      <c r="CE314">
        <v>1</v>
      </c>
      <c r="CF314">
        <v>60</v>
      </c>
      <c r="CG314">
        <v>14.765717612675299</v>
      </c>
      <c r="CH314">
        <v>3.7</v>
      </c>
      <c r="CJ314" t="str">
        <f t="shared" si="39"/>
        <v>MaleMaori22Other</v>
      </c>
      <c r="CK314" t="s">
        <v>20</v>
      </c>
      <c r="CL314" t="s">
        <v>18</v>
      </c>
      <c r="CM314" t="s">
        <v>45</v>
      </c>
      <c r="CN314">
        <v>22</v>
      </c>
      <c r="CO314">
        <v>3</v>
      </c>
      <c r="CP314">
        <v>140</v>
      </c>
      <c r="CQ314">
        <v>2.1</v>
      </c>
    </row>
    <row r="315" spans="1:95">
      <c r="A315" t="str">
        <f t="shared" si="34"/>
        <v>1998MaleAllEth23</v>
      </c>
      <c r="B315">
        <v>1998</v>
      </c>
      <c r="C315" t="s">
        <v>20</v>
      </c>
      <c r="D315" t="s">
        <v>27</v>
      </c>
      <c r="E315">
        <v>23</v>
      </c>
      <c r="F315">
        <v>195</v>
      </c>
      <c r="G315">
        <v>34.094485435535198</v>
      </c>
      <c r="H315">
        <v>4.8</v>
      </c>
      <c r="J315" s="340" t="str">
        <f t="shared" si="35"/>
        <v>2015FemaleAllEth192</v>
      </c>
      <c r="K315">
        <v>2015</v>
      </c>
      <c r="L315" t="s">
        <v>8</v>
      </c>
      <c r="M315" t="s">
        <v>27</v>
      </c>
      <c r="N315">
        <v>19</v>
      </c>
      <c r="O315">
        <v>2</v>
      </c>
      <c r="P315">
        <v>23</v>
      </c>
      <c r="Q315">
        <v>4.7713286172606804</v>
      </c>
      <c r="R315">
        <v>1.9</v>
      </c>
      <c r="T315" s="340" t="str">
        <f t="shared" si="37"/>
        <v>1997FemaleAllEth23Sharp object</v>
      </c>
      <c r="U315">
        <v>1997</v>
      </c>
      <c r="V315" t="s">
        <v>8</v>
      </c>
      <c r="W315" t="s">
        <v>27</v>
      </c>
      <c r="X315">
        <v>23</v>
      </c>
      <c r="Y315" t="s">
        <v>48</v>
      </c>
      <c r="Z315">
        <v>1</v>
      </c>
      <c r="AA315">
        <v>55</v>
      </c>
      <c r="AB315">
        <v>1.8</v>
      </c>
      <c r="AY315" t="str">
        <f t="shared" si="36"/>
        <v>2015MaleUrban25</v>
      </c>
      <c r="AZ315">
        <v>2015</v>
      </c>
      <c r="BA315" t="s">
        <v>20</v>
      </c>
      <c r="BB315" t="s">
        <v>97</v>
      </c>
      <c r="BC315">
        <v>25</v>
      </c>
      <c r="BD315">
        <v>40</v>
      </c>
      <c r="BE315">
        <v>15.2660102282269</v>
      </c>
      <c r="BF315">
        <v>4.7</v>
      </c>
      <c r="CA315" t="str">
        <f t="shared" si="38"/>
        <v>MaleOther232</v>
      </c>
      <c r="CB315" t="s">
        <v>20</v>
      </c>
      <c r="CC315" t="s">
        <v>45</v>
      </c>
      <c r="CD315">
        <v>23</v>
      </c>
      <c r="CE315">
        <v>2</v>
      </c>
      <c r="CF315">
        <v>76</v>
      </c>
      <c r="CG315">
        <v>18.296282423149002</v>
      </c>
      <c r="CH315">
        <v>4.0999999999999996</v>
      </c>
      <c r="CJ315" t="str">
        <f t="shared" si="39"/>
        <v>MaleMaori23Other</v>
      </c>
      <c r="CK315" t="s">
        <v>20</v>
      </c>
      <c r="CL315" t="s">
        <v>18</v>
      </c>
      <c r="CM315" t="s">
        <v>45</v>
      </c>
      <c r="CN315">
        <v>23</v>
      </c>
      <c r="CO315">
        <v>7</v>
      </c>
      <c r="CP315">
        <v>181</v>
      </c>
      <c r="CQ315">
        <v>3.9</v>
      </c>
    </row>
    <row r="316" spans="1:95">
      <c r="A316" t="str">
        <f t="shared" si="34"/>
        <v>1998MaleAllEth24</v>
      </c>
      <c r="B316">
        <v>1998</v>
      </c>
      <c r="C316" t="s">
        <v>20</v>
      </c>
      <c r="D316" t="s">
        <v>27</v>
      </c>
      <c r="E316">
        <v>24</v>
      </c>
      <c r="F316">
        <v>90</v>
      </c>
      <c r="G316">
        <v>22.886786695148</v>
      </c>
      <c r="H316">
        <v>4.7</v>
      </c>
      <c r="J316" s="340" t="str">
        <f t="shared" si="35"/>
        <v>2015FemaleAllEth193</v>
      </c>
      <c r="K316">
        <v>2015</v>
      </c>
      <c r="L316" t="s">
        <v>8</v>
      </c>
      <c r="M316" t="s">
        <v>27</v>
      </c>
      <c r="N316">
        <v>19</v>
      </c>
      <c r="O316">
        <v>3</v>
      </c>
      <c r="P316">
        <v>30</v>
      </c>
      <c r="Q316">
        <v>5.8139183761925199</v>
      </c>
      <c r="R316">
        <v>2.1</v>
      </c>
      <c r="T316" s="340" t="str">
        <f t="shared" si="37"/>
        <v>1997FemaleAllEth24Sharp object</v>
      </c>
      <c r="U316">
        <v>1997</v>
      </c>
      <c r="V316" t="s">
        <v>8</v>
      </c>
      <c r="W316" t="s">
        <v>27</v>
      </c>
      <c r="X316">
        <v>24</v>
      </c>
      <c r="Y316" t="s">
        <v>48</v>
      </c>
      <c r="Z316">
        <v>1</v>
      </c>
      <c r="AA316">
        <v>26</v>
      </c>
      <c r="AB316">
        <v>3.8</v>
      </c>
      <c r="AY316" t="str">
        <f t="shared" si="36"/>
        <v>2016AllSexRural22</v>
      </c>
      <c r="AZ316">
        <v>2016</v>
      </c>
      <c r="BA316" t="s">
        <v>17</v>
      </c>
      <c r="BB316" t="s">
        <v>96</v>
      </c>
      <c r="BC316">
        <v>22</v>
      </c>
      <c r="BD316">
        <v>16</v>
      </c>
      <c r="BE316">
        <v>21.1640211640212</v>
      </c>
      <c r="BF316">
        <v>10.4</v>
      </c>
      <c r="CA316" t="str">
        <f t="shared" si="38"/>
        <v>MaleOther233</v>
      </c>
      <c r="CB316" t="s">
        <v>20</v>
      </c>
      <c r="CC316" t="s">
        <v>45</v>
      </c>
      <c r="CD316">
        <v>23</v>
      </c>
      <c r="CE316">
        <v>3</v>
      </c>
      <c r="CF316">
        <v>84</v>
      </c>
      <c r="CG316">
        <v>21.1500151293145</v>
      </c>
      <c r="CH316">
        <v>4.5</v>
      </c>
      <c r="CJ316" t="str">
        <f t="shared" si="39"/>
        <v>MaleMaori24Other</v>
      </c>
      <c r="CK316" t="s">
        <v>20</v>
      </c>
      <c r="CL316" t="s">
        <v>18</v>
      </c>
      <c r="CM316" t="s">
        <v>45</v>
      </c>
      <c r="CN316">
        <v>24</v>
      </c>
      <c r="CO316">
        <v>2</v>
      </c>
      <c r="CP316">
        <v>53</v>
      </c>
      <c r="CQ316">
        <v>3.8</v>
      </c>
    </row>
    <row r="317" spans="1:95">
      <c r="A317" t="str">
        <f t="shared" si="34"/>
        <v>1998MaleAllEth25</v>
      </c>
      <c r="B317">
        <v>1998</v>
      </c>
      <c r="C317" t="s">
        <v>20</v>
      </c>
      <c r="D317" t="s">
        <v>27</v>
      </c>
      <c r="E317">
        <v>25</v>
      </c>
      <c r="F317">
        <v>48</v>
      </c>
      <c r="G317">
        <v>25.019546520719299</v>
      </c>
      <c r="H317">
        <v>7.1</v>
      </c>
      <c r="J317" s="340" t="str">
        <f t="shared" si="35"/>
        <v>2015FemaleAllEth194</v>
      </c>
      <c r="K317">
        <v>2015</v>
      </c>
      <c r="L317" t="s">
        <v>8</v>
      </c>
      <c r="M317" t="s">
        <v>27</v>
      </c>
      <c r="N317">
        <v>19</v>
      </c>
      <c r="O317">
        <v>4</v>
      </c>
      <c r="P317">
        <v>29</v>
      </c>
      <c r="Q317">
        <v>6.5254443714476604</v>
      </c>
      <c r="R317">
        <v>2.4</v>
      </c>
      <c r="T317" s="340" t="str">
        <f t="shared" si="37"/>
        <v>1997FemaleAllEth25Sharp object</v>
      </c>
      <c r="U317">
        <v>1997</v>
      </c>
      <c r="V317" t="s">
        <v>8</v>
      </c>
      <c r="W317" t="s">
        <v>27</v>
      </c>
      <c r="X317">
        <v>25</v>
      </c>
      <c r="Y317" t="s">
        <v>48</v>
      </c>
      <c r="Z317">
        <v>1</v>
      </c>
      <c r="AA317">
        <v>8</v>
      </c>
      <c r="AB317">
        <v>12.5</v>
      </c>
      <c r="AY317" t="str">
        <f t="shared" si="36"/>
        <v>2016AllSexUrban22</v>
      </c>
      <c r="AZ317">
        <v>2016</v>
      </c>
      <c r="BA317" t="s">
        <v>17</v>
      </c>
      <c r="BB317" t="s">
        <v>97</v>
      </c>
      <c r="BC317">
        <v>22</v>
      </c>
      <c r="BD317">
        <v>95</v>
      </c>
      <c r="BE317">
        <v>16.060319177711701</v>
      </c>
      <c r="BF317">
        <v>3.2</v>
      </c>
      <c r="CA317" t="str">
        <f t="shared" si="38"/>
        <v>MaleOther234</v>
      </c>
      <c r="CB317" t="s">
        <v>20</v>
      </c>
      <c r="CC317" t="s">
        <v>45</v>
      </c>
      <c r="CD317">
        <v>23</v>
      </c>
      <c r="CE317">
        <v>4</v>
      </c>
      <c r="CF317">
        <v>107</v>
      </c>
      <c r="CG317">
        <v>31.710659455402901</v>
      </c>
      <c r="CH317">
        <v>6</v>
      </c>
      <c r="CJ317" t="str">
        <f t="shared" si="39"/>
        <v>MaleMaori22Poisoning by gases and vapours</v>
      </c>
      <c r="CK317" t="s">
        <v>20</v>
      </c>
      <c r="CL317" t="s">
        <v>18</v>
      </c>
      <c r="CM317" t="s">
        <v>46</v>
      </c>
      <c r="CN317">
        <v>22</v>
      </c>
      <c r="CO317">
        <v>3</v>
      </c>
      <c r="CP317">
        <v>140</v>
      </c>
      <c r="CQ317">
        <v>2.1</v>
      </c>
    </row>
    <row r="318" spans="1:95">
      <c r="A318" t="str">
        <f t="shared" si="34"/>
        <v>1998MaleMaori21</v>
      </c>
      <c r="B318">
        <v>1998</v>
      </c>
      <c r="C318" t="s">
        <v>20</v>
      </c>
      <c r="D318" t="s">
        <v>18</v>
      </c>
      <c r="E318">
        <v>21</v>
      </c>
      <c r="F318">
        <v>6</v>
      </c>
      <c r="G318">
        <v>5.7235524182009003</v>
      </c>
      <c r="H318">
        <v>4.5999999999999996</v>
      </c>
      <c r="J318" s="340" t="str">
        <f t="shared" si="35"/>
        <v>2015FemaleAllEth195</v>
      </c>
      <c r="K318">
        <v>2015</v>
      </c>
      <c r="L318" t="s">
        <v>8</v>
      </c>
      <c r="M318" t="s">
        <v>27</v>
      </c>
      <c r="N318">
        <v>19</v>
      </c>
      <c r="O318">
        <v>5</v>
      </c>
      <c r="P318">
        <v>40</v>
      </c>
      <c r="Q318">
        <v>8.7248394367418296</v>
      </c>
      <c r="R318">
        <v>2.7</v>
      </c>
      <c r="T318" s="340" t="str">
        <f t="shared" si="37"/>
        <v>1997FemaleAllEth23Submersion (drowning)</v>
      </c>
      <c r="U318">
        <v>1997</v>
      </c>
      <c r="V318" t="s">
        <v>8</v>
      </c>
      <c r="W318" t="s">
        <v>27</v>
      </c>
      <c r="X318">
        <v>23</v>
      </c>
      <c r="Y318" t="s">
        <v>49</v>
      </c>
      <c r="Z318">
        <v>2</v>
      </c>
      <c r="AA318">
        <v>55</v>
      </c>
      <c r="AB318">
        <v>3.6</v>
      </c>
      <c r="AY318" t="str">
        <f t="shared" si="36"/>
        <v>2016AllSexRural23</v>
      </c>
      <c r="AZ318">
        <v>2016</v>
      </c>
      <c r="BA318" t="s">
        <v>17</v>
      </c>
      <c r="BB318" t="s">
        <v>96</v>
      </c>
      <c r="BC318">
        <v>23</v>
      </c>
      <c r="BD318">
        <v>27</v>
      </c>
      <c r="BE318">
        <v>19.3465176268272</v>
      </c>
      <c r="BF318">
        <v>7.3</v>
      </c>
      <c r="CA318" t="str">
        <f t="shared" si="38"/>
        <v>MaleOther235</v>
      </c>
      <c r="CB318" t="s">
        <v>20</v>
      </c>
      <c r="CC318" t="s">
        <v>45</v>
      </c>
      <c r="CD318">
        <v>23</v>
      </c>
      <c r="CE318">
        <v>5</v>
      </c>
      <c r="CF318">
        <v>91</v>
      </c>
      <c r="CG318">
        <v>43.313507083130702</v>
      </c>
      <c r="CH318">
        <v>8.9</v>
      </c>
      <c r="CJ318" t="str">
        <f t="shared" si="39"/>
        <v>MaleMaori23Poisoning by gases and vapours</v>
      </c>
      <c r="CK318" t="s">
        <v>20</v>
      </c>
      <c r="CL318" t="s">
        <v>18</v>
      </c>
      <c r="CM318" t="s">
        <v>46</v>
      </c>
      <c r="CN318">
        <v>23</v>
      </c>
      <c r="CO318">
        <v>7</v>
      </c>
      <c r="CP318">
        <v>181</v>
      </c>
      <c r="CQ318">
        <v>3.9</v>
      </c>
    </row>
    <row r="319" spans="1:95">
      <c r="A319" t="str">
        <f t="shared" si="34"/>
        <v>1998MaleMaori22</v>
      </c>
      <c r="B319">
        <v>1998</v>
      </c>
      <c r="C319" t="s">
        <v>20</v>
      </c>
      <c r="D319" t="s">
        <v>18</v>
      </c>
      <c r="E319">
        <v>22</v>
      </c>
      <c r="F319">
        <v>29</v>
      </c>
      <c r="G319">
        <v>56.541236108403197</v>
      </c>
      <c r="H319">
        <v>20.6</v>
      </c>
      <c r="J319" s="340" t="str">
        <f t="shared" si="35"/>
        <v>2016FemaleAllEth191</v>
      </c>
      <c r="K319">
        <v>2016</v>
      </c>
      <c r="L319" t="s">
        <v>8</v>
      </c>
      <c r="M319" t="s">
        <v>27</v>
      </c>
      <c r="N319">
        <v>19</v>
      </c>
      <c r="O319">
        <v>1</v>
      </c>
      <c r="P319">
        <v>18</v>
      </c>
      <c r="Q319">
        <v>3.9704014255408602</v>
      </c>
      <c r="R319">
        <v>1.8</v>
      </c>
      <c r="T319" s="340" t="str">
        <f t="shared" si="37"/>
        <v>1997FemaleAllEth24Submersion (drowning)</v>
      </c>
      <c r="U319">
        <v>1997</v>
      </c>
      <c r="V319" t="s">
        <v>8</v>
      </c>
      <c r="W319" t="s">
        <v>27</v>
      </c>
      <c r="X319">
        <v>24</v>
      </c>
      <c r="Y319" t="s">
        <v>49</v>
      </c>
      <c r="Z319">
        <v>2</v>
      </c>
      <c r="AA319">
        <v>26</v>
      </c>
      <c r="AB319">
        <v>7.7</v>
      </c>
      <c r="AY319" t="str">
        <f t="shared" si="36"/>
        <v>2016AllSexUrban23</v>
      </c>
      <c r="AZ319">
        <v>2016</v>
      </c>
      <c r="BA319" t="s">
        <v>17</v>
      </c>
      <c r="BB319" t="s">
        <v>97</v>
      </c>
      <c r="BC319">
        <v>23</v>
      </c>
      <c r="BD319">
        <v>172</v>
      </c>
      <c r="BE319">
        <v>15.955029080823399</v>
      </c>
      <c r="BF319">
        <v>2.4</v>
      </c>
      <c r="CA319" t="str">
        <f t="shared" si="38"/>
        <v>MalePacific231</v>
      </c>
      <c r="CB319" t="s">
        <v>20</v>
      </c>
      <c r="CC319" t="s">
        <v>79</v>
      </c>
      <c r="CD319">
        <v>23</v>
      </c>
      <c r="CE319">
        <v>1</v>
      </c>
      <c r="CF319">
        <v>2</v>
      </c>
      <c r="CG319">
        <v>17.383079216298899</v>
      </c>
      <c r="CH319">
        <v>24.1</v>
      </c>
      <c r="CJ319" t="str">
        <f t="shared" si="39"/>
        <v>MaleMaori24Poisoning by gases and vapours</v>
      </c>
      <c r="CK319" t="s">
        <v>20</v>
      </c>
      <c r="CL319" t="s">
        <v>18</v>
      </c>
      <c r="CM319" t="s">
        <v>46</v>
      </c>
      <c r="CN319">
        <v>24</v>
      </c>
      <c r="CO319">
        <v>3</v>
      </c>
      <c r="CP319">
        <v>53</v>
      </c>
      <c r="CQ319">
        <v>5.7</v>
      </c>
    </row>
    <row r="320" spans="1:95">
      <c r="A320" t="str">
        <f t="shared" si="34"/>
        <v>1998MaleMaori23</v>
      </c>
      <c r="B320">
        <v>1998</v>
      </c>
      <c r="C320" t="s">
        <v>20</v>
      </c>
      <c r="D320" t="s">
        <v>18</v>
      </c>
      <c r="E320">
        <v>23</v>
      </c>
      <c r="F320">
        <v>40</v>
      </c>
      <c r="G320">
        <v>53.569037096558198</v>
      </c>
      <c r="H320">
        <v>16.600000000000001</v>
      </c>
      <c r="J320" s="340" t="str">
        <f t="shared" si="35"/>
        <v>2016FemaleAllEth192</v>
      </c>
      <c r="K320">
        <v>2016</v>
      </c>
      <c r="L320" t="s">
        <v>8</v>
      </c>
      <c r="M320" t="s">
        <v>27</v>
      </c>
      <c r="N320">
        <v>19</v>
      </c>
      <c r="O320">
        <v>2</v>
      </c>
      <c r="P320">
        <v>10</v>
      </c>
      <c r="Q320">
        <v>1.9696691396442301</v>
      </c>
      <c r="R320">
        <v>1.2</v>
      </c>
      <c r="T320" s="340" t="str">
        <f t="shared" si="37"/>
        <v>1997FemaleAllEth25Submersion (drowning)</v>
      </c>
      <c r="U320">
        <v>1997</v>
      </c>
      <c r="V320" t="s">
        <v>8</v>
      </c>
      <c r="W320" t="s">
        <v>27</v>
      </c>
      <c r="X320">
        <v>25</v>
      </c>
      <c r="Y320" t="s">
        <v>49</v>
      </c>
      <c r="Z320">
        <v>2</v>
      </c>
      <c r="AA320">
        <v>8</v>
      </c>
      <c r="AB320">
        <v>25</v>
      </c>
      <c r="AY320" t="str">
        <f t="shared" si="36"/>
        <v>2016AllSexRural24</v>
      </c>
      <c r="AZ320">
        <v>2016</v>
      </c>
      <c r="BA320" t="s">
        <v>17</v>
      </c>
      <c r="BB320" t="s">
        <v>96</v>
      </c>
      <c r="BC320">
        <v>24</v>
      </c>
      <c r="BD320">
        <v>31</v>
      </c>
      <c r="BE320">
        <v>15.1197385748427</v>
      </c>
      <c r="BF320">
        <v>5.3</v>
      </c>
      <c r="CA320" t="str">
        <f t="shared" si="38"/>
        <v>MalePacific232</v>
      </c>
      <c r="CB320" t="s">
        <v>20</v>
      </c>
      <c r="CC320" t="s">
        <v>79</v>
      </c>
      <c r="CD320">
        <v>23</v>
      </c>
      <c r="CE320">
        <v>2</v>
      </c>
      <c r="CF320">
        <v>5</v>
      </c>
      <c r="CG320">
        <v>29.5623867708657</v>
      </c>
      <c r="CH320">
        <v>25.9</v>
      </c>
      <c r="CJ320" t="str">
        <f t="shared" si="39"/>
        <v>MaleMaori23Poisoning by solids and liquids</v>
      </c>
      <c r="CK320" t="s">
        <v>20</v>
      </c>
      <c r="CL320" t="s">
        <v>18</v>
      </c>
      <c r="CM320" t="s">
        <v>47</v>
      </c>
      <c r="CN320">
        <v>23</v>
      </c>
      <c r="CO320">
        <v>4</v>
      </c>
      <c r="CP320">
        <v>181</v>
      </c>
      <c r="CQ320">
        <v>2.2000000000000002</v>
      </c>
    </row>
    <row r="321" spans="1:95">
      <c r="A321" t="str">
        <f t="shared" si="34"/>
        <v>1998MaleMaori24</v>
      </c>
      <c r="B321">
        <v>1998</v>
      </c>
      <c r="C321" t="s">
        <v>20</v>
      </c>
      <c r="D321" t="s">
        <v>18</v>
      </c>
      <c r="E321">
        <v>24</v>
      </c>
      <c r="F321">
        <v>10</v>
      </c>
      <c r="G321">
        <v>29.753049687592998</v>
      </c>
      <c r="H321">
        <v>18.399999999999999</v>
      </c>
      <c r="J321" s="340" t="str">
        <f t="shared" si="35"/>
        <v>2016FemaleAllEth193</v>
      </c>
      <c r="K321">
        <v>2016</v>
      </c>
      <c r="L321" t="s">
        <v>8</v>
      </c>
      <c r="M321" t="s">
        <v>27</v>
      </c>
      <c r="N321">
        <v>19</v>
      </c>
      <c r="O321">
        <v>3</v>
      </c>
      <c r="P321">
        <v>36</v>
      </c>
      <c r="Q321">
        <v>6.86467084851766</v>
      </c>
      <c r="R321">
        <v>2.2000000000000002</v>
      </c>
      <c r="T321" s="340" t="str">
        <f t="shared" si="37"/>
        <v>1997FemaleMaori23Firearms and explosives</v>
      </c>
      <c r="U321">
        <v>1997</v>
      </c>
      <c r="V321" t="s">
        <v>8</v>
      </c>
      <c r="W321" t="s">
        <v>18</v>
      </c>
      <c r="X321">
        <v>23</v>
      </c>
      <c r="Y321" t="s">
        <v>42</v>
      </c>
      <c r="Z321">
        <v>1</v>
      </c>
      <c r="AA321">
        <v>15</v>
      </c>
      <c r="AB321">
        <v>6.7</v>
      </c>
      <c r="AY321" t="str">
        <f t="shared" si="36"/>
        <v>2016AllSexUrban24</v>
      </c>
      <c r="AZ321">
        <v>2016</v>
      </c>
      <c r="BA321" t="s">
        <v>17</v>
      </c>
      <c r="BB321" t="s">
        <v>97</v>
      </c>
      <c r="BC321">
        <v>24</v>
      </c>
      <c r="BD321">
        <v>140</v>
      </c>
      <c r="BE321">
        <v>14.2434200486311</v>
      </c>
      <c r="BF321">
        <v>2.4</v>
      </c>
      <c r="CA321" t="str">
        <f t="shared" si="38"/>
        <v>MalePacific233</v>
      </c>
      <c r="CB321" t="s">
        <v>20</v>
      </c>
      <c r="CC321" t="s">
        <v>79</v>
      </c>
      <c r="CD321">
        <v>23</v>
      </c>
      <c r="CE321">
        <v>3</v>
      </c>
      <c r="CF321">
        <v>4</v>
      </c>
      <c r="CG321">
        <v>15.711021109998301</v>
      </c>
      <c r="CH321">
        <v>15.4</v>
      </c>
      <c r="CJ321" t="str">
        <f t="shared" si="39"/>
        <v>MaleMaori24Poisoning by solids and liquids</v>
      </c>
      <c r="CK321" t="s">
        <v>20</v>
      </c>
      <c r="CL321" t="s">
        <v>18</v>
      </c>
      <c r="CM321" t="s">
        <v>47</v>
      </c>
      <c r="CN321">
        <v>24</v>
      </c>
      <c r="CO321">
        <v>3</v>
      </c>
      <c r="CP321">
        <v>53</v>
      </c>
      <c r="CQ321">
        <v>5.7</v>
      </c>
    </row>
    <row r="322" spans="1:95">
      <c r="A322" t="str">
        <f t="shared" si="34"/>
        <v>1998MaleMaori25</v>
      </c>
      <c r="B322">
        <v>1998</v>
      </c>
      <c r="C322" t="s">
        <v>20</v>
      </c>
      <c r="D322" t="s">
        <v>18</v>
      </c>
      <c r="E322">
        <v>25</v>
      </c>
      <c r="F322">
        <v>2</v>
      </c>
      <c r="G322">
        <v>26.2123197903014</v>
      </c>
      <c r="H322">
        <v>36.299999999999997</v>
      </c>
      <c r="J322" s="340" t="str">
        <f t="shared" si="35"/>
        <v>2016FemaleAllEth194</v>
      </c>
      <c r="K322">
        <v>2016</v>
      </c>
      <c r="L322" t="s">
        <v>8</v>
      </c>
      <c r="M322" t="s">
        <v>27</v>
      </c>
      <c r="N322">
        <v>19</v>
      </c>
      <c r="O322">
        <v>4</v>
      </c>
      <c r="P322">
        <v>35</v>
      </c>
      <c r="Q322">
        <v>7.4363431783067204</v>
      </c>
      <c r="R322">
        <v>2.5</v>
      </c>
      <c r="T322" s="340" t="str">
        <f t="shared" si="37"/>
        <v>1997FemaleMaori22Hanging, strangulation and suffocation</v>
      </c>
      <c r="U322">
        <v>1997</v>
      </c>
      <c r="V322" t="s">
        <v>8</v>
      </c>
      <c r="W322" t="s">
        <v>18</v>
      </c>
      <c r="X322">
        <v>22</v>
      </c>
      <c r="Y322" t="s">
        <v>43</v>
      </c>
      <c r="Z322">
        <v>6</v>
      </c>
      <c r="AA322">
        <v>9</v>
      </c>
      <c r="AB322">
        <v>66.7</v>
      </c>
      <c r="AY322" t="str">
        <f t="shared" si="36"/>
        <v>2016AllSexRural25</v>
      </c>
      <c r="AZ322">
        <v>2016</v>
      </c>
      <c r="BA322" t="s">
        <v>17</v>
      </c>
      <c r="BB322" t="s">
        <v>96</v>
      </c>
      <c r="BC322">
        <v>25</v>
      </c>
      <c r="BD322">
        <v>14</v>
      </c>
      <c r="BE322">
        <v>13.593552772113799</v>
      </c>
      <c r="BF322">
        <v>7.1</v>
      </c>
      <c r="CA322" t="str">
        <f t="shared" si="38"/>
        <v>MalePacific234</v>
      </c>
      <c r="CB322" t="s">
        <v>20</v>
      </c>
      <c r="CC322" t="s">
        <v>79</v>
      </c>
      <c r="CD322">
        <v>23</v>
      </c>
      <c r="CE322">
        <v>4</v>
      </c>
      <c r="CF322">
        <v>4</v>
      </c>
      <c r="CG322">
        <v>9.5867666883354197</v>
      </c>
      <c r="CH322">
        <v>9.4</v>
      </c>
      <c r="CJ322" t="str">
        <f t="shared" si="39"/>
        <v>MaleMaori23Sharp object</v>
      </c>
      <c r="CK322" t="s">
        <v>20</v>
      </c>
      <c r="CL322" t="s">
        <v>18</v>
      </c>
      <c r="CM322" t="s">
        <v>48</v>
      </c>
      <c r="CN322">
        <v>23</v>
      </c>
      <c r="CO322">
        <v>3</v>
      </c>
      <c r="CP322">
        <v>181</v>
      </c>
      <c r="CQ322">
        <v>1.7</v>
      </c>
    </row>
    <row r="323" spans="1:95">
      <c r="A323" t="str">
        <f t="shared" si="34"/>
        <v>1998MaleNon-Maori21</v>
      </c>
      <c r="B323">
        <v>1998</v>
      </c>
      <c r="C323" t="s">
        <v>20</v>
      </c>
      <c r="D323" t="s">
        <v>19</v>
      </c>
      <c r="E323">
        <v>21</v>
      </c>
      <c r="F323">
        <v>2</v>
      </c>
      <c r="G323">
        <v>0.57989503899794104</v>
      </c>
      <c r="H323">
        <v>0.8</v>
      </c>
      <c r="J323" s="340" t="str">
        <f t="shared" si="35"/>
        <v>2016FemaleAllEth195</v>
      </c>
      <c r="K323">
        <v>2016</v>
      </c>
      <c r="L323" t="s">
        <v>8</v>
      </c>
      <c r="M323" t="s">
        <v>27</v>
      </c>
      <c r="N323">
        <v>19</v>
      </c>
      <c r="O323">
        <v>5</v>
      </c>
      <c r="P323">
        <v>42</v>
      </c>
      <c r="Q323">
        <v>8.9658136810318094</v>
      </c>
      <c r="R323">
        <v>2.7</v>
      </c>
      <c r="T323" s="340" t="str">
        <f t="shared" si="37"/>
        <v>1997FemaleMaori23Hanging, strangulation and suffocation</v>
      </c>
      <c r="U323">
        <v>1997</v>
      </c>
      <c r="V323" t="s">
        <v>8</v>
      </c>
      <c r="W323" t="s">
        <v>18</v>
      </c>
      <c r="X323">
        <v>23</v>
      </c>
      <c r="Y323" t="s">
        <v>43</v>
      </c>
      <c r="Z323">
        <v>8</v>
      </c>
      <c r="AA323">
        <v>15</v>
      </c>
      <c r="AB323">
        <v>53.3</v>
      </c>
      <c r="AY323" t="str">
        <f t="shared" si="36"/>
        <v>2016AllSexUrban25</v>
      </c>
      <c r="AZ323">
        <v>2016</v>
      </c>
      <c r="BA323" t="s">
        <v>17</v>
      </c>
      <c r="BB323" t="s">
        <v>97</v>
      </c>
      <c r="BC323">
        <v>25</v>
      </c>
      <c r="BD323">
        <v>49</v>
      </c>
      <c r="BE323">
        <v>8.2328035216237101</v>
      </c>
      <c r="BF323">
        <v>2.2999999999999998</v>
      </c>
      <c r="CA323" t="str">
        <f t="shared" si="38"/>
        <v>MalePacific235</v>
      </c>
      <c r="CB323" t="s">
        <v>20</v>
      </c>
      <c r="CC323" t="s">
        <v>79</v>
      </c>
      <c r="CD323">
        <v>23</v>
      </c>
      <c r="CE323">
        <v>5</v>
      </c>
      <c r="CF323">
        <v>15</v>
      </c>
      <c r="CG323">
        <v>15.8035433483125</v>
      </c>
      <c r="CH323">
        <v>8</v>
      </c>
      <c r="CJ323" t="str">
        <f t="shared" si="39"/>
        <v>MaleMaori24Sharp object</v>
      </c>
      <c r="CK323" t="s">
        <v>20</v>
      </c>
      <c r="CL323" t="s">
        <v>18</v>
      </c>
      <c r="CM323" t="s">
        <v>48</v>
      </c>
      <c r="CN323">
        <v>24</v>
      </c>
      <c r="CO323">
        <v>1</v>
      </c>
      <c r="CP323">
        <v>53</v>
      </c>
      <c r="CQ323">
        <v>1.9</v>
      </c>
    </row>
    <row r="324" spans="1:95">
      <c r="A324" t="str">
        <f t="shared" ref="A324:A387" si="40">B324&amp;C324&amp;D324&amp;E324</f>
        <v>1998MaleNon-Maori22</v>
      </c>
      <c r="B324">
        <v>1998</v>
      </c>
      <c r="C324" t="s">
        <v>20</v>
      </c>
      <c r="D324" t="s">
        <v>19</v>
      </c>
      <c r="E324">
        <v>22</v>
      </c>
      <c r="F324">
        <v>75</v>
      </c>
      <c r="G324">
        <v>34.083162917518699</v>
      </c>
      <c r="H324">
        <v>7.7</v>
      </c>
      <c r="J324" s="340" t="str">
        <f t="shared" ref="J324:J387" si="41">K324&amp;L324&amp;M324&amp;N324&amp;O324</f>
        <v>2001FemaleMaori191</v>
      </c>
      <c r="K324">
        <v>2001</v>
      </c>
      <c r="L324" t="s">
        <v>8</v>
      </c>
      <c r="M324" t="s">
        <v>18</v>
      </c>
      <c r="N324">
        <v>19</v>
      </c>
      <c r="O324">
        <v>1</v>
      </c>
      <c r="P324">
        <v>1</v>
      </c>
      <c r="Q324">
        <v>5.4890449667462198</v>
      </c>
      <c r="R324">
        <v>10.8</v>
      </c>
      <c r="T324" s="340" t="str">
        <f t="shared" si="37"/>
        <v>1997FemaleMaori23Jumping from a high place</v>
      </c>
      <c r="U324">
        <v>1997</v>
      </c>
      <c r="V324" t="s">
        <v>8</v>
      </c>
      <c r="W324" t="s">
        <v>18</v>
      </c>
      <c r="X324">
        <v>23</v>
      </c>
      <c r="Y324" t="s">
        <v>44</v>
      </c>
      <c r="Z324">
        <v>1</v>
      </c>
      <c r="AA324">
        <v>15</v>
      </c>
      <c r="AB324">
        <v>6.7</v>
      </c>
      <c r="AY324" t="str">
        <f t="shared" ref="AY324:AY387" si="42">AZ324&amp;BA324&amp;BB324&amp;BC324</f>
        <v>2016FemaleRural22</v>
      </c>
      <c r="AZ324">
        <v>2016</v>
      </c>
      <c r="BA324" t="s">
        <v>8</v>
      </c>
      <c r="BB324" t="s">
        <v>96</v>
      </c>
      <c r="BC324">
        <v>22</v>
      </c>
      <c r="BD324">
        <v>3</v>
      </c>
      <c r="BE324">
        <v>8.6655112651646409</v>
      </c>
      <c r="BF324">
        <v>9.8000000000000007</v>
      </c>
      <c r="CA324" t="str">
        <f t="shared" si="38"/>
        <v>MaleAsian241</v>
      </c>
      <c r="CB324" t="s">
        <v>20</v>
      </c>
      <c r="CC324" t="s">
        <v>78</v>
      </c>
      <c r="CD324">
        <v>24</v>
      </c>
      <c r="CE324">
        <v>1</v>
      </c>
      <c r="CF324">
        <v>3</v>
      </c>
      <c r="CG324">
        <v>5.2747484181458404</v>
      </c>
      <c r="CH324">
        <v>6</v>
      </c>
      <c r="CJ324" t="str">
        <f t="shared" si="39"/>
        <v>MaleMaori22Submersion (drowning)</v>
      </c>
      <c r="CK324" t="s">
        <v>20</v>
      </c>
      <c r="CL324" t="s">
        <v>18</v>
      </c>
      <c r="CM324" t="s">
        <v>49</v>
      </c>
      <c r="CN324">
        <v>22</v>
      </c>
      <c r="CO324">
        <v>1</v>
      </c>
      <c r="CP324">
        <v>140</v>
      </c>
      <c r="CQ324">
        <v>0.7</v>
      </c>
    </row>
    <row r="325" spans="1:95">
      <c r="A325" t="str">
        <f t="shared" si="40"/>
        <v>1998MaleNon-Maori23</v>
      </c>
      <c r="B325">
        <v>1998</v>
      </c>
      <c r="C325" t="s">
        <v>20</v>
      </c>
      <c r="D325" t="s">
        <v>19</v>
      </c>
      <c r="E325">
        <v>23</v>
      </c>
      <c r="F325">
        <v>155</v>
      </c>
      <c r="G325">
        <v>31.1701892332133</v>
      </c>
      <c r="H325">
        <v>4.9000000000000004</v>
      </c>
      <c r="J325" s="340" t="str">
        <f t="shared" si="41"/>
        <v>2001FemaleMaori192</v>
      </c>
      <c r="K325">
        <v>2001</v>
      </c>
      <c r="L325" t="s">
        <v>8</v>
      </c>
      <c r="M325" t="s">
        <v>18</v>
      </c>
      <c r="N325">
        <v>19</v>
      </c>
      <c r="O325">
        <v>2</v>
      </c>
      <c r="P325">
        <v>1</v>
      </c>
      <c r="Q325">
        <v>3.0003923965032699</v>
      </c>
      <c r="R325">
        <v>5.9</v>
      </c>
      <c r="T325" s="340" t="str">
        <f t="shared" ref="T325:T388" si="43">U325&amp;V325&amp;W325&amp;X325&amp;Y325</f>
        <v>1997FemaleMaori23Other</v>
      </c>
      <c r="U325">
        <v>1997</v>
      </c>
      <c r="V325" t="s">
        <v>8</v>
      </c>
      <c r="W325" t="s">
        <v>18</v>
      </c>
      <c r="X325">
        <v>23</v>
      </c>
      <c r="Y325" t="s">
        <v>45</v>
      </c>
      <c r="Z325">
        <v>1</v>
      </c>
      <c r="AA325">
        <v>15</v>
      </c>
      <c r="AB325">
        <v>6.7</v>
      </c>
      <c r="AY325" t="str">
        <f t="shared" si="42"/>
        <v>2016FemaleUrban22</v>
      </c>
      <c r="AZ325">
        <v>2016</v>
      </c>
      <c r="BA325" t="s">
        <v>8</v>
      </c>
      <c r="BB325" t="s">
        <v>97</v>
      </c>
      <c r="BC325">
        <v>22</v>
      </c>
      <c r="BD325">
        <v>22</v>
      </c>
      <c r="BE325">
        <v>7.6778111258462998</v>
      </c>
      <c r="BF325">
        <v>3.2</v>
      </c>
      <c r="CA325" t="str">
        <f t="shared" ref="CA325:CA363" si="44">CB325&amp;CC325&amp;CD325&amp;CE325</f>
        <v>MaleAsian242</v>
      </c>
      <c r="CB325" t="s">
        <v>20</v>
      </c>
      <c r="CC325" t="s">
        <v>78</v>
      </c>
      <c r="CD325">
        <v>24</v>
      </c>
      <c r="CE325">
        <v>2</v>
      </c>
      <c r="CF325">
        <v>4</v>
      </c>
      <c r="CG325">
        <v>6.2808860457851203</v>
      </c>
      <c r="CH325">
        <v>6.2</v>
      </c>
      <c r="CJ325" t="str">
        <f t="shared" ref="CJ325:CJ388" si="45">CK325&amp;CL325&amp;CN325&amp;CM325</f>
        <v>MaleMaori24Submersion (drowning)</v>
      </c>
      <c r="CK325" t="s">
        <v>20</v>
      </c>
      <c r="CL325" t="s">
        <v>18</v>
      </c>
      <c r="CM325" t="s">
        <v>49</v>
      </c>
      <c r="CN325">
        <v>24</v>
      </c>
      <c r="CO325">
        <v>2</v>
      </c>
      <c r="CP325">
        <v>53</v>
      </c>
      <c r="CQ325">
        <v>3.8</v>
      </c>
    </row>
    <row r="326" spans="1:95">
      <c r="A326" t="str">
        <f t="shared" si="40"/>
        <v>1998MaleNon-Maori24</v>
      </c>
      <c r="B326">
        <v>1998</v>
      </c>
      <c r="C326" t="s">
        <v>20</v>
      </c>
      <c r="D326" t="s">
        <v>19</v>
      </c>
      <c r="E326">
        <v>24</v>
      </c>
      <c r="F326">
        <v>80</v>
      </c>
      <c r="G326">
        <v>22.2450852264828</v>
      </c>
      <c r="H326">
        <v>4.9000000000000004</v>
      </c>
      <c r="J326" s="340" t="str">
        <f t="shared" si="41"/>
        <v>2001FemaleMaori193</v>
      </c>
      <c r="K326">
        <v>2001</v>
      </c>
      <c r="L326" t="s">
        <v>8</v>
      </c>
      <c r="M326" t="s">
        <v>18</v>
      </c>
      <c r="N326">
        <v>19</v>
      </c>
      <c r="O326">
        <v>3</v>
      </c>
      <c r="P326">
        <v>3</v>
      </c>
      <c r="Q326">
        <v>6.0606292399639496</v>
      </c>
      <c r="R326">
        <v>6.9</v>
      </c>
      <c r="T326" s="340" t="str">
        <f t="shared" si="43"/>
        <v>1997FemaleMaori22Poisoning by gases and vapours</v>
      </c>
      <c r="U326">
        <v>1997</v>
      </c>
      <c r="V326" t="s">
        <v>8</v>
      </c>
      <c r="W326" t="s">
        <v>18</v>
      </c>
      <c r="X326">
        <v>22</v>
      </c>
      <c r="Y326" t="s">
        <v>46</v>
      </c>
      <c r="Z326">
        <v>1</v>
      </c>
      <c r="AA326">
        <v>9</v>
      </c>
      <c r="AB326">
        <v>11.1</v>
      </c>
      <c r="AY326" t="str">
        <f t="shared" si="42"/>
        <v>2016FemaleRural23</v>
      </c>
      <c r="AZ326">
        <v>2016</v>
      </c>
      <c r="BA326" t="s">
        <v>8</v>
      </c>
      <c r="BB326" t="s">
        <v>96</v>
      </c>
      <c r="BC326">
        <v>23</v>
      </c>
      <c r="BD326">
        <v>9</v>
      </c>
      <c r="BE326">
        <v>12.7859070890752</v>
      </c>
      <c r="BF326">
        <v>8.4</v>
      </c>
      <c r="CA326" t="str">
        <f t="shared" si="44"/>
        <v>MaleAsian243</v>
      </c>
      <c r="CB326" t="s">
        <v>20</v>
      </c>
      <c r="CC326" t="s">
        <v>78</v>
      </c>
      <c r="CD326">
        <v>24</v>
      </c>
      <c r="CE326">
        <v>3</v>
      </c>
      <c r="CF326">
        <v>4</v>
      </c>
      <c r="CG326">
        <v>6.9288394250145799</v>
      </c>
      <c r="CH326">
        <v>6.8</v>
      </c>
      <c r="CJ326" t="str">
        <f t="shared" si="45"/>
        <v>MaleOther22Firearms and explosives</v>
      </c>
      <c r="CK326" t="s">
        <v>20</v>
      </c>
      <c r="CL326" t="s">
        <v>45</v>
      </c>
      <c r="CM326" t="s">
        <v>42</v>
      </c>
      <c r="CN326">
        <v>22</v>
      </c>
      <c r="CO326">
        <v>16</v>
      </c>
      <c r="CP326">
        <v>204</v>
      </c>
      <c r="CQ326">
        <v>7.8</v>
      </c>
    </row>
    <row r="327" spans="1:95">
      <c r="A327" t="str">
        <f t="shared" si="40"/>
        <v>1998MaleNon-Maori25</v>
      </c>
      <c r="B327">
        <v>1998</v>
      </c>
      <c r="C327" t="s">
        <v>20</v>
      </c>
      <c r="D327" t="s">
        <v>19</v>
      </c>
      <c r="E327">
        <v>25</v>
      </c>
      <c r="F327">
        <v>46</v>
      </c>
      <c r="G327">
        <v>24.970144392574099</v>
      </c>
      <c r="H327">
        <v>7.2</v>
      </c>
      <c r="J327" s="340" t="str">
        <f t="shared" si="41"/>
        <v>2001FemaleMaori194</v>
      </c>
      <c r="K327">
        <v>2001</v>
      </c>
      <c r="L327" t="s">
        <v>8</v>
      </c>
      <c r="M327" t="s">
        <v>18</v>
      </c>
      <c r="N327">
        <v>19</v>
      </c>
      <c r="O327">
        <v>4</v>
      </c>
      <c r="P327">
        <v>3</v>
      </c>
      <c r="Q327">
        <v>4.0474188275223399</v>
      </c>
      <c r="R327">
        <v>4.5999999999999996</v>
      </c>
      <c r="T327" s="340" t="str">
        <f t="shared" si="43"/>
        <v>1997FemaleMaori23Poisoning by gases and vapours</v>
      </c>
      <c r="U327">
        <v>1997</v>
      </c>
      <c r="V327" t="s">
        <v>8</v>
      </c>
      <c r="W327" t="s">
        <v>18</v>
      </c>
      <c r="X327">
        <v>23</v>
      </c>
      <c r="Y327" t="s">
        <v>46</v>
      </c>
      <c r="Z327">
        <v>2</v>
      </c>
      <c r="AA327">
        <v>15</v>
      </c>
      <c r="AB327">
        <v>13.3</v>
      </c>
      <c r="AY327" t="str">
        <f t="shared" si="42"/>
        <v>2016FemaleUrban23</v>
      </c>
      <c r="AZ327">
        <v>2016</v>
      </c>
      <c r="BA327" t="s">
        <v>8</v>
      </c>
      <c r="BB327" t="s">
        <v>97</v>
      </c>
      <c r="BC327">
        <v>23</v>
      </c>
      <c r="BD327">
        <v>48</v>
      </c>
      <c r="BE327">
        <v>8.6502072445485698</v>
      </c>
      <c r="BF327">
        <v>2.4</v>
      </c>
      <c r="CA327" t="str">
        <f t="shared" si="44"/>
        <v>MaleAsian244</v>
      </c>
      <c r="CB327" t="s">
        <v>20</v>
      </c>
      <c r="CC327" t="s">
        <v>78</v>
      </c>
      <c r="CD327">
        <v>24</v>
      </c>
      <c r="CE327">
        <v>4</v>
      </c>
      <c r="CF327">
        <v>8</v>
      </c>
      <c r="CG327">
        <v>14.9566080671863</v>
      </c>
      <c r="CH327">
        <v>10.4</v>
      </c>
      <c r="CJ327" t="str">
        <f t="shared" si="45"/>
        <v>MaleOther23Firearms and explosives</v>
      </c>
      <c r="CK327" t="s">
        <v>20</v>
      </c>
      <c r="CL327" t="s">
        <v>45</v>
      </c>
      <c r="CM327" t="s">
        <v>42</v>
      </c>
      <c r="CN327">
        <v>23</v>
      </c>
      <c r="CO327">
        <v>38</v>
      </c>
      <c r="CP327">
        <v>432</v>
      </c>
      <c r="CQ327">
        <v>8.8000000000000007</v>
      </c>
    </row>
    <row r="328" spans="1:95">
      <c r="A328" t="str">
        <f t="shared" si="40"/>
        <v>1999AllSexAllEth21</v>
      </c>
      <c r="B328">
        <v>1999</v>
      </c>
      <c r="C328" t="s">
        <v>17</v>
      </c>
      <c r="D328" t="s">
        <v>27</v>
      </c>
      <c r="E328">
        <v>21</v>
      </c>
      <c r="F328">
        <v>6</v>
      </c>
      <c r="G328">
        <v>0.68380743982494496</v>
      </c>
      <c r="H328">
        <v>0.5</v>
      </c>
      <c r="J328" s="340" t="str">
        <f t="shared" si="41"/>
        <v>2001FemaleMaori195</v>
      </c>
      <c r="K328">
        <v>2001</v>
      </c>
      <c r="L328" t="s">
        <v>8</v>
      </c>
      <c r="M328" t="s">
        <v>18</v>
      </c>
      <c r="N328">
        <v>19</v>
      </c>
      <c r="O328">
        <v>5</v>
      </c>
      <c r="P328">
        <v>10</v>
      </c>
      <c r="Q328">
        <v>7.4097688561329704</v>
      </c>
      <c r="R328">
        <v>4.5999999999999996</v>
      </c>
      <c r="T328" s="340" t="str">
        <f t="shared" si="43"/>
        <v>1997FemaleMaori21Poisoning by solids and liquids</v>
      </c>
      <c r="U328">
        <v>1997</v>
      </c>
      <c r="V328" t="s">
        <v>8</v>
      </c>
      <c r="W328" t="s">
        <v>18</v>
      </c>
      <c r="X328">
        <v>21</v>
      </c>
      <c r="Y328" t="s">
        <v>47</v>
      </c>
      <c r="Z328">
        <v>1</v>
      </c>
      <c r="AA328">
        <v>1</v>
      </c>
      <c r="AB328">
        <v>100</v>
      </c>
      <c r="AY328" t="str">
        <f t="shared" si="42"/>
        <v>2016FemaleRural24</v>
      </c>
      <c r="AZ328">
        <v>2016</v>
      </c>
      <c r="BA328" t="s">
        <v>8</v>
      </c>
      <c r="BB328" t="s">
        <v>96</v>
      </c>
      <c r="BC328">
        <v>24</v>
      </c>
      <c r="BD328">
        <v>5</v>
      </c>
      <c r="BE328">
        <v>4.8775729197151501</v>
      </c>
      <c r="BF328">
        <v>4.3</v>
      </c>
      <c r="CA328" t="str">
        <f t="shared" si="44"/>
        <v>MaleAsian245</v>
      </c>
      <c r="CB328" t="s">
        <v>20</v>
      </c>
      <c r="CC328" t="s">
        <v>78</v>
      </c>
      <c r="CD328">
        <v>24</v>
      </c>
      <c r="CE328">
        <v>5</v>
      </c>
      <c r="CF328">
        <v>3</v>
      </c>
      <c r="CG328">
        <v>7.3934244414012698</v>
      </c>
      <c r="CH328">
        <v>8.4</v>
      </c>
      <c r="CJ328" t="str">
        <f t="shared" si="45"/>
        <v>MaleOther24Firearms and explosives</v>
      </c>
      <c r="CK328" t="s">
        <v>20</v>
      </c>
      <c r="CL328" t="s">
        <v>45</v>
      </c>
      <c r="CM328" t="s">
        <v>42</v>
      </c>
      <c r="CN328">
        <v>24</v>
      </c>
      <c r="CO328">
        <v>80</v>
      </c>
      <c r="CP328">
        <v>512</v>
      </c>
      <c r="CQ328">
        <v>15.6</v>
      </c>
    </row>
    <row r="329" spans="1:95">
      <c r="A329" t="str">
        <f t="shared" si="40"/>
        <v>1999AllSexAllEth22</v>
      </c>
      <c r="B329">
        <v>1999</v>
      </c>
      <c r="C329" t="s">
        <v>17</v>
      </c>
      <c r="D329" t="s">
        <v>27</v>
      </c>
      <c r="E329">
        <v>22</v>
      </c>
      <c r="F329">
        <v>119</v>
      </c>
      <c r="G329">
        <v>22.429977004561401</v>
      </c>
      <c r="H329">
        <v>4</v>
      </c>
      <c r="J329" s="340" t="str">
        <f t="shared" si="41"/>
        <v>2002FemaleMaori191</v>
      </c>
      <c r="K329">
        <v>2002</v>
      </c>
      <c r="L329" t="s">
        <v>8</v>
      </c>
      <c r="M329" t="s">
        <v>18</v>
      </c>
      <c r="N329">
        <v>19</v>
      </c>
      <c r="O329">
        <v>1</v>
      </c>
      <c r="P329">
        <v>2</v>
      </c>
      <c r="Q329">
        <v>7.7512913371868004</v>
      </c>
      <c r="R329">
        <v>10.7</v>
      </c>
      <c r="T329" s="340" t="str">
        <f t="shared" si="43"/>
        <v>1997FemaleMaori22Poisoning by solids and liquids</v>
      </c>
      <c r="U329">
        <v>1997</v>
      </c>
      <c r="V329" t="s">
        <v>8</v>
      </c>
      <c r="W329" t="s">
        <v>18</v>
      </c>
      <c r="X329">
        <v>22</v>
      </c>
      <c r="Y329" t="s">
        <v>47</v>
      </c>
      <c r="Z329">
        <v>2</v>
      </c>
      <c r="AA329">
        <v>9</v>
      </c>
      <c r="AB329">
        <v>22.2</v>
      </c>
      <c r="AY329" t="str">
        <f t="shared" si="42"/>
        <v>2016FemaleUrban24</v>
      </c>
      <c r="AZ329">
        <v>2016</v>
      </c>
      <c r="BA329" t="s">
        <v>8</v>
      </c>
      <c r="BB329" t="s">
        <v>97</v>
      </c>
      <c r="BC329">
        <v>24</v>
      </c>
      <c r="BD329">
        <v>39</v>
      </c>
      <c r="BE329">
        <v>7.6090137547556296</v>
      </c>
      <c r="BF329">
        <v>2.4</v>
      </c>
      <c r="CA329" t="str">
        <f t="shared" si="44"/>
        <v>MaleMaori241</v>
      </c>
      <c r="CB329" t="s">
        <v>20</v>
      </c>
      <c r="CC329" t="s">
        <v>18</v>
      </c>
      <c r="CD329">
        <v>24</v>
      </c>
      <c r="CE329">
        <v>1</v>
      </c>
      <c r="CF329">
        <v>0</v>
      </c>
      <c r="CG329">
        <v>0</v>
      </c>
      <c r="CJ329" t="str">
        <f t="shared" si="45"/>
        <v>MaleOther25Firearms and explosives</v>
      </c>
      <c r="CK329" t="s">
        <v>20</v>
      </c>
      <c r="CL329" t="s">
        <v>45</v>
      </c>
      <c r="CM329" t="s">
        <v>42</v>
      </c>
      <c r="CN329">
        <v>25</v>
      </c>
      <c r="CO329">
        <v>55</v>
      </c>
      <c r="CP329">
        <v>227</v>
      </c>
      <c r="CQ329">
        <v>24.2</v>
      </c>
    </row>
    <row r="330" spans="1:95">
      <c r="A330" t="str">
        <f t="shared" si="40"/>
        <v>1999AllSexAllEth23</v>
      </c>
      <c r="B330">
        <v>1999</v>
      </c>
      <c r="C330" t="s">
        <v>17</v>
      </c>
      <c r="D330" t="s">
        <v>27</v>
      </c>
      <c r="E330">
        <v>23</v>
      </c>
      <c r="F330">
        <v>235</v>
      </c>
      <c r="G330">
        <v>20.093713660305099</v>
      </c>
      <c r="H330">
        <v>2.6</v>
      </c>
      <c r="J330" s="340" t="str">
        <f t="shared" si="41"/>
        <v>2002FemaleMaori192</v>
      </c>
      <c r="K330">
        <v>2002</v>
      </c>
      <c r="L330" t="s">
        <v>8</v>
      </c>
      <c r="M330" t="s">
        <v>18</v>
      </c>
      <c r="N330">
        <v>19</v>
      </c>
      <c r="O330">
        <v>2</v>
      </c>
      <c r="P330">
        <v>1</v>
      </c>
      <c r="Q330">
        <v>3.41466787811409</v>
      </c>
      <c r="R330">
        <v>6.7</v>
      </c>
      <c r="T330" s="340" t="str">
        <f t="shared" si="43"/>
        <v>1997FemaleMaori23Poisoning by solids and liquids</v>
      </c>
      <c r="U330">
        <v>1997</v>
      </c>
      <c r="V330" t="s">
        <v>8</v>
      </c>
      <c r="W330" t="s">
        <v>18</v>
      </c>
      <c r="X330">
        <v>23</v>
      </c>
      <c r="Y330" t="s">
        <v>47</v>
      </c>
      <c r="Z330">
        <v>2</v>
      </c>
      <c r="AA330">
        <v>15</v>
      </c>
      <c r="AB330">
        <v>13.3</v>
      </c>
      <c r="AY330" t="str">
        <f t="shared" si="42"/>
        <v>2016FemaleRural25</v>
      </c>
      <c r="AZ330">
        <v>2016</v>
      </c>
      <c r="BA330" t="s">
        <v>8</v>
      </c>
      <c r="BB330" t="s">
        <v>96</v>
      </c>
      <c r="BC330">
        <v>25</v>
      </c>
      <c r="BD330">
        <v>1</v>
      </c>
      <c r="BE330">
        <v>2.03252032520325</v>
      </c>
      <c r="BF330">
        <v>4</v>
      </c>
      <c r="CA330" t="str">
        <f t="shared" si="44"/>
        <v>MaleMaori242</v>
      </c>
      <c r="CB330" t="s">
        <v>20</v>
      </c>
      <c r="CC330" t="s">
        <v>18</v>
      </c>
      <c r="CD330">
        <v>24</v>
      </c>
      <c r="CE330">
        <v>2</v>
      </c>
      <c r="CF330">
        <v>4</v>
      </c>
      <c r="CG330">
        <v>10.1214416375211</v>
      </c>
      <c r="CH330">
        <v>9.9</v>
      </c>
      <c r="CJ330" t="str">
        <f t="shared" si="45"/>
        <v>MaleOther21Hanging, strangulation and suffocation</v>
      </c>
      <c r="CK330" t="s">
        <v>20</v>
      </c>
      <c r="CL330" t="s">
        <v>45</v>
      </c>
      <c r="CM330" t="s">
        <v>43</v>
      </c>
      <c r="CN330">
        <v>21</v>
      </c>
      <c r="CO330">
        <v>4</v>
      </c>
      <c r="CP330">
        <v>5</v>
      </c>
      <c r="CQ330">
        <v>80</v>
      </c>
    </row>
    <row r="331" spans="1:95">
      <c r="A331" t="str">
        <f t="shared" si="40"/>
        <v>1999AllSexAllEth24</v>
      </c>
      <c r="B331">
        <v>1999</v>
      </c>
      <c r="C331" t="s">
        <v>17</v>
      </c>
      <c r="D331" t="s">
        <v>27</v>
      </c>
      <c r="E331">
        <v>24</v>
      </c>
      <c r="F331">
        <v>104</v>
      </c>
      <c r="G331">
        <v>12.805358550039401</v>
      </c>
      <c r="H331">
        <v>2.5</v>
      </c>
      <c r="J331" s="340" t="str">
        <f t="shared" si="41"/>
        <v>2002FemaleMaori193</v>
      </c>
      <c r="K331">
        <v>2002</v>
      </c>
      <c r="L331" t="s">
        <v>8</v>
      </c>
      <c r="M331" t="s">
        <v>18</v>
      </c>
      <c r="N331">
        <v>19</v>
      </c>
      <c r="O331">
        <v>3</v>
      </c>
      <c r="P331">
        <v>1</v>
      </c>
      <c r="Q331">
        <v>2.0975548009171399</v>
      </c>
      <c r="R331">
        <v>4.0999999999999996</v>
      </c>
      <c r="T331" s="340" t="str">
        <f t="shared" si="43"/>
        <v>1997FemaleMaori25Submersion (drowning)</v>
      </c>
      <c r="U331">
        <v>1997</v>
      </c>
      <c r="V331" t="s">
        <v>8</v>
      </c>
      <c r="W331" t="s">
        <v>18</v>
      </c>
      <c r="X331">
        <v>25</v>
      </c>
      <c r="Y331" t="s">
        <v>49</v>
      </c>
      <c r="Z331">
        <v>1</v>
      </c>
      <c r="AA331">
        <v>1</v>
      </c>
      <c r="AB331">
        <v>100</v>
      </c>
      <c r="AY331" t="str">
        <f t="shared" si="42"/>
        <v>2016FemaleUrban25</v>
      </c>
      <c r="AZ331">
        <v>2016</v>
      </c>
      <c r="BA331" t="s">
        <v>8</v>
      </c>
      <c r="BB331" t="s">
        <v>97</v>
      </c>
      <c r="BC331">
        <v>25</v>
      </c>
      <c r="BD331">
        <v>11</v>
      </c>
      <c r="BE331">
        <v>3.3920256560486002</v>
      </c>
      <c r="BF331">
        <v>2</v>
      </c>
      <c r="CA331" t="str">
        <f t="shared" si="44"/>
        <v>MaleMaori243</v>
      </c>
      <c r="CB331" t="s">
        <v>20</v>
      </c>
      <c r="CC331" t="s">
        <v>18</v>
      </c>
      <c r="CD331">
        <v>24</v>
      </c>
      <c r="CE331">
        <v>3</v>
      </c>
      <c r="CF331">
        <v>8</v>
      </c>
      <c r="CG331">
        <v>15.693285619106</v>
      </c>
      <c r="CH331">
        <v>10.9</v>
      </c>
      <c r="CJ331" t="str">
        <f t="shared" si="45"/>
        <v>MaleOther22Hanging, strangulation and suffocation</v>
      </c>
      <c r="CK331" t="s">
        <v>20</v>
      </c>
      <c r="CL331" t="s">
        <v>45</v>
      </c>
      <c r="CM331" t="s">
        <v>43</v>
      </c>
      <c r="CN331">
        <v>22</v>
      </c>
      <c r="CO331">
        <v>157</v>
      </c>
      <c r="CP331">
        <v>204</v>
      </c>
      <c r="CQ331">
        <v>77</v>
      </c>
    </row>
    <row r="332" spans="1:95">
      <c r="A332" t="str">
        <f t="shared" si="40"/>
        <v>1999AllSexAllEth25</v>
      </c>
      <c r="B332">
        <v>1999</v>
      </c>
      <c r="C332" t="s">
        <v>17</v>
      </c>
      <c r="D332" t="s">
        <v>27</v>
      </c>
      <c r="E332">
        <v>25</v>
      </c>
      <c r="F332">
        <v>52</v>
      </c>
      <c r="G332">
        <v>11.6169965595818</v>
      </c>
      <c r="H332">
        <v>3.2</v>
      </c>
      <c r="J332" s="340" t="str">
        <f t="shared" si="41"/>
        <v>2002FemaleMaori194</v>
      </c>
      <c r="K332">
        <v>2002</v>
      </c>
      <c r="L332" t="s">
        <v>8</v>
      </c>
      <c r="M332" t="s">
        <v>18</v>
      </c>
      <c r="N332">
        <v>19</v>
      </c>
      <c r="O332">
        <v>4</v>
      </c>
      <c r="P332">
        <v>5</v>
      </c>
      <c r="Q332">
        <v>7.3913499666275699</v>
      </c>
      <c r="R332">
        <v>6.5</v>
      </c>
      <c r="T332" s="340" t="str">
        <f t="shared" si="43"/>
        <v>1997FemaleNon-Maori21Firearms and explosives</v>
      </c>
      <c r="U332">
        <v>1997</v>
      </c>
      <c r="V332" t="s">
        <v>8</v>
      </c>
      <c r="W332" t="s">
        <v>19</v>
      </c>
      <c r="X332">
        <v>21</v>
      </c>
      <c r="Y332" t="s">
        <v>42</v>
      </c>
      <c r="Z332">
        <v>1</v>
      </c>
      <c r="AA332">
        <v>2</v>
      </c>
      <c r="AB332">
        <v>50</v>
      </c>
      <c r="AY332" t="str">
        <f t="shared" si="42"/>
        <v>2016MaleRural22</v>
      </c>
      <c r="AZ332">
        <v>2016</v>
      </c>
      <c r="BA332" t="s">
        <v>20</v>
      </c>
      <c r="BB332" t="s">
        <v>96</v>
      </c>
      <c r="BC332">
        <v>22</v>
      </c>
      <c r="BD332">
        <v>13</v>
      </c>
      <c r="BE332">
        <v>31.707317073170699</v>
      </c>
      <c r="BF332">
        <v>17.2</v>
      </c>
      <c r="CA332" t="str">
        <f t="shared" si="44"/>
        <v>MaleMaori244</v>
      </c>
      <c r="CB332" t="s">
        <v>20</v>
      </c>
      <c r="CC332" t="s">
        <v>18</v>
      </c>
      <c r="CD332">
        <v>24</v>
      </c>
      <c r="CE332">
        <v>4</v>
      </c>
      <c r="CF332">
        <v>10</v>
      </c>
      <c r="CG332">
        <v>14.4193089391815</v>
      </c>
      <c r="CH332">
        <v>8.9</v>
      </c>
      <c r="CJ332" t="str">
        <f t="shared" si="45"/>
        <v>MaleOther23Hanging, strangulation and suffocation</v>
      </c>
      <c r="CK332" t="s">
        <v>20</v>
      </c>
      <c r="CL332" t="s">
        <v>45</v>
      </c>
      <c r="CM332" t="s">
        <v>43</v>
      </c>
      <c r="CN332">
        <v>23</v>
      </c>
      <c r="CO332">
        <v>267</v>
      </c>
      <c r="CP332">
        <v>432</v>
      </c>
      <c r="CQ332">
        <v>61.8</v>
      </c>
    </row>
    <row r="333" spans="1:95">
      <c r="A333" t="str">
        <f t="shared" si="40"/>
        <v>1999AllSexMaori21</v>
      </c>
      <c r="B333">
        <v>1999</v>
      </c>
      <c r="C333" t="s">
        <v>17</v>
      </c>
      <c r="D333" t="s">
        <v>18</v>
      </c>
      <c r="E333">
        <v>21</v>
      </c>
      <c r="F333">
        <v>4</v>
      </c>
      <c r="G333">
        <v>1.9121372914575301</v>
      </c>
      <c r="H333">
        <v>1.9</v>
      </c>
      <c r="J333" s="340" t="str">
        <f t="shared" si="41"/>
        <v>2002FemaleMaori195</v>
      </c>
      <c r="K333">
        <v>2002</v>
      </c>
      <c r="L333" t="s">
        <v>8</v>
      </c>
      <c r="M333" t="s">
        <v>18</v>
      </c>
      <c r="N333">
        <v>19</v>
      </c>
      <c r="O333">
        <v>5</v>
      </c>
      <c r="P333">
        <v>8</v>
      </c>
      <c r="Q333">
        <v>5.9718665818165704</v>
      </c>
      <c r="R333">
        <v>4.0999999999999996</v>
      </c>
      <c r="T333" s="340" t="str">
        <f t="shared" si="43"/>
        <v>1997FemaleNon-Maori22Firearms and explosives</v>
      </c>
      <c r="U333">
        <v>1997</v>
      </c>
      <c r="V333" t="s">
        <v>8</v>
      </c>
      <c r="W333" t="s">
        <v>19</v>
      </c>
      <c r="X333">
        <v>22</v>
      </c>
      <c r="Y333" t="s">
        <v>42</v>
      </c>
      <c r="Z333">
        <v>1</v>
      </c>
      <c r="AA333">
        <v>20</v>
      </c>
      <c r="AB333">
        <v>5</v>
      </c>
      <c r="AY333" t="str">
        <f t="shared" si="42"/>
        <v>2016MaleUrban22</v>
      </c>
      <c r="AZ333">
        <v>2016</v>
      </c>
      <c r="BA333" t="s">
        <v>20</v>
      </c>
      <c r="BB333" t="s">
        <v>97</v>
      </c>
      <c r="BC333">
        <v>22</v>
      </c>
      <c r="BD333">
        <v>73</v>
      </c>
      <c r="BE333">
        <v>23.934426229508201</v>
      </c>
      <c r="BF333">
        <v>5.5</v>
      </c>
      <c r="CA333" t="str">
        <f t="shared" si="44"/>
        <v>MaleMaori245</v>
      </c>
      <c r="CB333" t="s">
        <v>20</v>
      </c>
      <c r="CC333" t="s">
        <v>18</v>
      </c>
      <c r="CD333">
        <v>24</v>
      </c>
      <c r="CE333">
        <v>5</v>
      </c>
      <c r="CF333">
        <v>30</v>
      </c>
      <c r="CG333">
        <v>26.047675399173901</v>
      </c>
      <c r="CH333">
        <v>9.3000000000000007</v>
      </c>
      <c r="CJ333" t="str">
        <f t="shared" si="45"/>
        <v>MaleOther24Hanging, strangulation and suffocation</v>
      </c>
      <c r="CK333" t="s">
        <v>20</v>
      </c>
      <c r="CL333" t="s">
        <v>45</v>
      </c>
      <c r="CM333" t="s">
        <v>43</v>
      </c>
      <c r="CN333">
        <v>24</v>
      </c>
      <c r="CO333">
        <v>243</v>
      </c>
      <c r="CP333">
        <v>512</v>
      </c>
      <c r="CQ333">
        <v>47.5</v>
      </c>
    </row>
    <row r="334" spans="1:95">
      <c r="A334" t="str">
        <f t="shared" si="40"/>
        <v>1999AllSexMaori22</v>
      </c>
      <c r="B334">
        <v>1999</v>
      </c>
      <c r="C334" t="s">
        <v>17</v>
      </c>
      <c r="D334" t="s">
        <v>18</v>
      </c>
      <c r="E334">
        <v>22</v>
      </c>
      <c r="F334">
        <v>33</v>
      </c>
      <c r="G334">
        <v>32.110538094774697</v>
      </c>
      <c r="H334">
        <v>11</v>
      </c>
      <c r="J334" s="340" t="str">
        <f t="shared" si="41"/>
        <v>2003FemaleMaori191</v>
      </c>
      <c r="K334">
        <v>2003</v>
      </c>
      <c r="L334" t="s">
        <v>8</v>
      </c>
      <c r="M334" t="s">
        <v>18</v>
      </c>
      <c r="N334">
        <v>19</v>
      </c>
      <c r="O334">
        <v>1</v>
      </c>
      <c r="P334">
        <v>1</v>
      </c>
      <c r="Q334">
        <v>7.8314195870861196</v>
      </c>
      <c r="R334">
        <v>15.3</v>
      </c>
      <c r="T334" s="340" t="str">
        <f t="shared" si="43"/>
        <v>1997FemaleNon-Maori23Firearms and explosives</v>
      </c>
      <c r="U334">
        <v>1997</v>
      </c>
      <c r="V334" t="s">
        <v>8</v>
      </c>
      <c r="W334" t="s">
        <v>19</v>
      </c>
      <c r="X334">
        <v>23</v>
      </c>
      <c r="Y334" t="s">
        <v>42</v>
      </c>
      <c r="Z334">
        <v>1</v>
      </c>
      <c r="AA334">
        <v>40</v>
      </c>
      <c r="AB334">
        <v>2.5</v>
      </c>
      <c r="AY334" t="str">
        <f t="shared" si="42"/>
        <v>2016MaleRural23</v>
      </c>
      <c r="AZ334">
        <v>2016</v>
      </c>
      <c r="BA334" t="s">
        <v>20</v>
      </c>
      <c r="BB334" t="s">
        <v>96</v>
      </c>
      <c r="BC334">
        <v>23</v>
      </c>
      <c r="BD334">
        <v>18</v>
      </c>
      <c r="BE334">
        <v>26.011560693641599</v>
      </c>
      <c r="BF334">
        <v>12</v>
      </c>
      <c r="CA334" t="str">
        <f t="shared" si="44"/>
        <v>MaleOther241</v>
      </c>
      <c r="CB334" t="s">
        <v>20</v>
      </c>
      <c r="CC334" t="s">
        <v>45</v>
      </c>
      <c r="CD334">
        <v>24</v>
      </c>
      <c r="CE334">
        <v>1</v>
      </c>
      <c r="CF334">
        <v>93</v>
      </c>
      <c r="CG334">
        <v>15.905311407933899</v>
      </c>
      <c r="CH334">
        <v>3.2</v>
      </c>
      <c r="CJ334" t="str">
        <f t="shared" si="45"/>
        <v>MaleOther25Hanging, strangulation and suffocation</v>
      </c>
      <c r="CK334" t="s">
        <v>20</v>
      </c>
      <c r="CL334" t="s">
        <v>45</v>
      </c>
      <c r="CM334" t="s">
        <v>43</v>
      </c>
      <c r="CN334">
        <v>25</v>
      </c>
      <c r="CO334">
        <v>83</v>
      </c>
      <c r="CP334">
        <v>227</v>
      </c>
      <c r="CQ334">
        <v>36.6</v>
      </c>
    </row>
    <row r="335" spans="1:95">
      <c r="A335" t="str">
        <f t="shared" si="40"/>
        <v>1999AllSexMaori23</v>
      </c>
      <c r="B335">
        <v>1999</v>
      </c>
      <c r="C335" t="s">
        <v>17</v>
      </c>
      <c r="D335" t="s">
        <v>18</v>
      </c>
      <c r="E335">
        <v>23</v>
      </c>
      <c r="F335">
        <v>41</v>
      </c>
      <c r="G335">
        <v>25.360301849446401</v>
      </c>
      <c r="H335">
        <v>7.8</v>
      </c>
      <c r="J335" s="340" t="str">
        <f t="shared" si="41"/>
        <v>2003FemaleMaori192</v>
      </c>
      <c r="K335">
        <v>2003</v>
      </c>
      <c r="L335" t="s">
        <v>8</v>
      </c>
      <c r="M335" t="s">
        <v>18</v>
      </c>
      <c r="N335">
        <v>19</v>
      </c>
      <c r="O335">
        <v>2</v>
      </c>
      <c r="P335">
        <v>1</v>
      </c>
      <c r="Q335">
        <v>3.3099082708633598</v>
      </c>
      <c r="R335">
        <v>6.5</v>
      </c>
      <c r="T335" s="340" t="str">
        <f t="shared" si="43"/>
        <v>1997FemaleNon-Maori21Hanging, strangulation and suffocation</v>
      </c>
      <c r="U335">
        <v>1997</v>
      </c>
      <c r="V335" t="s">
        <v>8</v>
      </c>
      <c r="W335" t="s">
        <v>19</v>
      </c>
      <c r="X335">
        <v>21</v>
      </c>
      <c r="Y335" t="s">
        <v>43</v>
      </c>
      <c r="Z335">
        <v>1</v>
      </c>
      <c r="AA335">
        <v>2</v>
      </c>
      <c r="AB335">
        <v>50</v>
      </c>
      <c r="AY335" t="str">
        <f t="shared" si="42"/>
        <v>2016MaleUrban23</v>
      </c>
      <c r="AZ335">
        <v>2016</v>
      </c>
      <c r="BA335" t="s">
        <v>20</v>
      </c>
      <c r="BB335" t="s">
        <v>97</v>
      </c>
      <c r="BC335">
        <v>23</v>
      </c>
      <c r="BD335">
        <v>124</v>
      </c>
      <c r="BE335">
        <v>23.7030240471002</v>
      </c>
      <c r="BF335">
        <v>4.2</v>
      </c>
      <c r="CA335" t="str">
        <f t="shared" si="44"/>
        <v>MaleOther242</v>
      </c>
      <c r="CB335" t="s">
        <v>20</v>
      </c>
      <c r="CC335" t="s">
        <v>45</v>
      </c>
      <c r="CD335">
        <v>24</v>
      </c>
      <c r="CE335">
        <v>2</v>
      </c>
      <c r="CF335">
        <v>93</v>
      </c>
      <c r="CG335">
        <v>18.9136223517853</v>
      </c>
      <c r="CH335">
        <v>3.8</v>
      </c>
      <c r="CJ335" t="str">
        <f t="shared" si="45"/>
        <v>MaleOther22Jumping from a high place</v>
      </c>
      <c r="CK335" t="s">
        <v>20</v>
      </c>
      <c r="CL335" t="s">
        <v>45</v>
      </c>
      <c r="CM335" t="s">
        <v>44</v>
      </c>
      <c r="CN335">
        <v>22</v>
      </c>
      <c r="CO335">
        <v>5</v>
      </c>
      <c r="CP335">
        <v>204</v>
      </c>
      <c r="CQ335">
        <v>2.5</v>
      </c>
    </row>
    <row r="336" spans="1:95">
      <c r="A336" t="str">
        <f t="shared" si="40"/>
        <v>1999AllSexMaori24</v>
      </c>
      <c r="B336">
        <v>1999</v>
      </c>
      <c r="C336" t="s">
        <v>17</v>
      </c>
      <c r="D336" t="s">
        <v>18</v>
      </c>
      <c r="E336">
        <v>24</v>
      </c>
      <c r="F336">
        <v>1</v>
      </c>
      <c r="G336">
        <v>1.40114894213255</v>
      </c>
      <c r="H336">
        <v>2.7</v>
      </c>
      <c r="J336" s="340" t="str">
        <f t="shared" si="41"/>
        <v>2003FemaleMaori193</v>
      </c>
      <c r="K336">
        <v>2003</v>
      </c>
      <c r="L336" t="s">
        <v>8</v>
      </c>
      <c r="M336" t="s">
        <v>18</v>
      </c>
      <c r="N336">
        <v>19</v>
      </c>
      <c r="O336">
        <v>3</v>
      </c>
      <c r="P336">
        <v>1</v>
      </c>
      <c r="Q336">
        <v>1.9917874287691</v>
      </c>
      <c r="R336">
        <v>3.9</v>
      </c>
      <c r="T336" s="340" t="str">
        <f t="shared" si="43"/>
        <v>1997FemaleNon-Maori22Hanging, strangulation and suffocation</v>
      </c>
      <c r="U336">
        <v>1997</v>
      </c>
      <c r="V336" t="s">
        <v>8</v>
      </c>
      <c r="W336" t="s">
        <v>19</v>
      </c>
      <c r="X336">
        <v>22</v>
      </c>
      <c r="Y336" t="s">
        <v>43</v>
      </c>
      <c r="Z336">
        <v>17</v>
      </c>
      <c r="AA336">
        <v>20</v>
      </c>
      <c r="AB336">
        <v>85</v>
      </c>
      <c r="AY336" t="str">
        <f t="shared" si="42"/>
        <v>2016MaleRural24</v>
      </c>
      <c r="AZ336">
        <v>2016</v>
      </c>
      <c r="BA336" t="s">
        <v>20</v>
      </c>
      <c r="BB336" t="s">
        <v>96</v>
      </c>
      <c r="BC336">
        <v>24</v>
      </c>
      <c r="BD336">
        <v>26</v>
      </c>
      <c r="BE336">
        <v>25.360905189231399</v>
      </c>
      <c r="BF336">
        <v>9.6999999999999993</v>
      </c>
      <c r="CA336" t="str">
        <f t="shared" si="44"/>
        <v>MaleOther243</v>
      </c>
      <c r="CB336" t="s">
        <v>20</v>
      </c>
      <c r="CC336" t="s">
        <v>45</v>
      </c>
      <c r="CD336">
        <v>24</v>
      </c>
      <c r="CE336">
        <v>3</v>
      </c>
      <c r="CF336">
        <v>97</v>
      </c>
      <c r="CG336">
        <v>22.969602842698301</v>
      </c>
      <c r="CH336">
        <v>4.5999999999999996</v>
      </c>
      <c r="CJ336" t="str">
        <f t="shared" si="45"/>
        <v>MaleOther23Jumping from a high place</v>
      </c>
      <c r="CK336" t="s">
        <v>20</v>
      </c>
      <c r="CL336" t="s">
        <v>45</v>
      </c>
      <c r="CM336" t="s">
        <v>44</v>
      </c>
      <c r="CN336">
        <v>23</v>
      </c>
      <c r="CO336">
        <v>18</v>
      </c>
      <c r="CP336">
        <v>432</v>
      </c>
      <c r="CQ336">
        <v>4.2</v>
      </c>
    </row>
    <row r="337" spans="1:95">
      <c r="A337" t="str">
        <f t="shared" si="40"/>
        <v>1999AllSexMaori25</v>
      </c>
      <c r="B337">
        <v>1999</v>
      </c>
      <c r="C337" t="s">
        <v>17</v>
      </c>
      <c r="D337" t="s">
        <v>18</v>
      </c>
      <c r="E337">
        <v>25</v>
      </c>
      <c r="F337">
        <v>0</v>
      </c>
      <c r="G337">
        <v>0</v>
      </c>
      <c r="J337" s="340" t="str">
        <f t="shared" si="41"/>
        <v>2003FemaleMaori194</v>
      </c>
      <c r="K337">
        <v>2003</v>
      </c>
      <c r="L337" t="s">
        <v>8</v>
      </c>
      <c r="M337" t="s">
        <v>18</v>
      </c>
      <c r="N337">
        <v>19</v>
      </c>
      <c r="O337">
        <v>4</v>
      </c>
      <c r="P337">
        <v>5</v>
      </c>
      <c r="Q337">
        <v>6.3101146782222104</v>
      </c>
      <c r="R337">
        <v>5.5</v>
      </c>
      <c r="T337" s="340" t="str">
        <f t="shared" si="43"/>
        <v>1997FemaleNon-Maori23Hanging, strangulation and suffocation</v>
      </c>
      <c r="U337">
        <v>1997</v>
      </c>
      <c r="V337" t="s">
        <v>8</v>
      </c>
      <c r="W337" t="s">
        <v>19</v>
      </c>
      <c r="X337">
        <v>23</v>
      </c>
      <c r="Y337" t="s">
        <v>43</v>
      </c>
      <c r="Z337">
        <v>5</v>
      </c>
      <c r="AA337">
        <v>40</v>
      </c>
      <c r="AB337">
        <v>12.5</v>
      </c>
      <c r="AY337" t="str">
        <f t="shared" si="42"/>
        <v>2016MaleUrban24</v>
      </c>
      <c r="AZ337">
        <v>2016</v>
      </c>
      <c r="BA337" t="s">
        <v>20</v>
      </c>
      <c r="BB337" t="s">
        <v>97</v>
      </c>
      <c r="BC337">
        <v>24</v>
      </c>
      <c r="BD337">
        <v>101</v>
      </c>
      <c r="BE337">
        <v>21.472457852329001</v>
      </c>
      <c r="BF337">
        <v>4.2</v>
      </c>
      <c r="CA337" t="str">
        <f t="shared" si="44"/>
        <v>MaleOther244</v>
      </c>
      <c r="CB337" t="s">
        <v>20</v>
      </c>
      <c r="CC337" t="s">
        <v>45</v>
      </c>
      <c r="CD337">
        <v>24</v>
      </c>
      <c r="CE337">
        <v>4</v>
      </c>
      <c r="CF337">
        <v>122</v>
      </c>
      <c r="CG337">
        <v>35.044124319033898</v>
      </c>
      <c r="CH337">
        <v>6.2</v>
      </c>
      <c r="CJ337" t="str">
        <f t="shared" si="45"/>
        <v>MaleOther24Jumping from a high place</v>
      </c>
      <c r="CK337" t="s">
        <v>20</v>
      </c>
      <c r="CL337" t="s">
        <v>45</v>
      </c>
      <c r="CM337" t="s">
        <v>44</v>
      </c>
      <c r="CN337">
        <v>24</v>
      </c>
      <c r="CO337">
        <v>17</v>
      </c>
      <c r="CP337">
        <v>512</v>
      </c>
      <c r="CQ337">
        <v>3.3</v>
      </c>
    </row>
    <row r="338" spans="1:95">
      <c r="A338" t="str">
        <f t="shared" si="40"/>
        <v>1999AllSexNon-Maori21</v>
      </c>
      <c r="B338">
        <v>1999</v>
      </c>
      <c r="C338" t="s">
        <v>17</v>
      </c>
      <c r="D338" t="s">
        <v>19</v>
      </c>
      <c r="E338">
        <v>21</v>
      </c>
      <c r="F338">
        <v>2</v>
      </c>
      <c r="G338">
        <v>0.29928918817807698</v>
      </c>
      <c r="H338">
        <v>0.4</v>
      </c>
      <c r="J338" s="340" t="str">
        <f t="shared" si="41"/>
        <v>2003FemaleMaori195</v>
      </c>
      <c r="K338">
        <v>2003</v>
      </c>
      <c r="L338" t="s">
        <v>8</v>
      </c>
      <c r="M338" t="s">
        <v>18</v>
      </c>
      <c r="N338">
        <v>19</v>
      </c>
      <c r="O338">
        <v>5</v>
      </c>
      <c r="P338">
        <v>11</v>
      </c>
      <c r="Q338">
        <v>8.0753728152817494</v>
      </c>
      <c r="R338">
        <v>4.8</v>
      </c>
      <c r="T338" s="340" t="str">
        <f t="shared" si="43"/>
        <v>1997FemaleNon-Maori24Hanging, strangulation and suffocation</v>
      </c>
      <c r="U338">
        <v>1997</v>
      </c>
      <c r="V338" t="s">
        <v>8</v>
      </c>
      <c r="W338" t="s">
        <v>19</v>
      </c>
      <c r="X338">
        <v>24</v>
      </c>
      <c r="Y338" t="s">
        <v>43</v>
      </c>
      <c r="Z338">
        <v>9</v>
      </c>
      <c r="AA338">
        <v>26</v>
      </c>
      <c r="AB338">
        <v>34.6</v>
      </c>
      <c r="AY338" t="str">
        <f t="shared" si="42"/>
        <v>2016MaleRural25</v>
      </c>
      <c r="AZ338">
        <v>2016</v>
      </c>
      <c r="BA338" t="s">
        <v>20</v>
      </c>
      <c r="BB338" t="s">
        <v>96</v>
      </c>
      <c r="BC338">
        <v>25</v>
      </c>
      <c r="BD338">
        <v>13</v>
      </c>
      <c r="BE338">
        <v>24.177050399851201</v>
      </c>
      <c r="BF338">
        <v>13.1</v>
      </c>
      <c r="CA338" t="str">
        <f t="shared" si="44"/>
        <v>MaleOther245</v>
      </c>
      <c r="CB338" t="s">
        <v>20</v>
      </c>
      <c r="CC338" t="s">
        <v>45</v>
      </c>
      <c r="CD338">
        <v>24</v>
      </c>
      <c r="CE338">
        <v>5</v>
      </c>
      <c r="CF338">
        <v>87</v>
      </c>
      <c r="CG338">
        <v>37.629619791670798</v>
      </c>
      <c r="CH338">
        <v>7.9</v>
      </c>
      <c r="CJ338" t="str">
        <f t="shared" si="45"/>
        <v>MaleOther25Jumping from a high place</v>
      </c>
      <c r="CK338" t="s">
        <v>20</v>
      </c>
      <c r="CL338" t="s">
        <v>45</v>
      </c>
      <c r="CM338" t="s">
        <v>44</v>
      </c>
      <c r="CN338">
        <v>25</v>
      </c>
      <c r="CO338">
        <v>5</v>
      </c>
      <c r="CP338">
        <v>227</v>
      </c>
      <c r="CQ338">
        <v>2.2000000000000002</v>
      </c>
    </row>
    <row r="339" spans="1:95">
      <c r="A339" t="str">
        <f t="shared" si="40"/>
        <v>1999AllSexNon-Maori22</v>
      </c>
      <c r="B339">
        <v>1999</v>
      </c>
      <c r="C339" t="s">
        <v>17</v>
      </c>
      <c r="D339" t="s">
        <v>19</v>
      </c>
      <c r="E339">
        <v>22</v>
      </c>
      <c r="F339">
        <v>86</v>
      </c>
      <c r="G339">
        <v>20.104261635925798</v>
      </c>
      <c r="H339">
        <v>4.2</v>
      </c>
      <c r="J339" s="340" t="str">
        <f t="shared" si="41"/>
        <v>2004FemaleMaori191</v>
      </c>
      <c r="K339">
        <v>2004</v>
      </c>
      <c r="L339" t="s">
        <v>8</v>
      </c>
      <c r="M339" t="s">
        <v>18</v>
      </c>
      <c r="N339">
        <v>19</v>
      </c>
      <c r="O339">
        <v>1</v>
      </c>
      <c r="P339">
        <v>0</v>
      </c>
      <c r="Q339">
        <v>0</v>
      </c>
      <c r="T339" s="340" t="str">
        <f t="shared" si="43"/>
        <v>1997FemaleNon-Maori25Hanging, strangulation and suffocation</v>
      </c>
      <c r="U339">
        <v>1997</v>
      </c>
      <c r="V339" t="s">
        <v>8</v>
      </c>
      <c r="W339" t="s">
        <v>19</v>
      </c>
      <c r="X339">
        <v>25</v>
      </c>
      <c r="Y339" t="s">
        <v>43</v>
      </c>
      <c r="Z339">
        <v>1</v>
      </c>
      <c r="AA339">
        <v>7</v>
      </c>
      <c r="AB339">
        <v>14.3</v>
      </c>
      <c r="AY339" t="str">
        <f t="shared" si="42"/>
        <v>2016MaleUrban25</v>
      </c>
      <c r="AZ339">
        <v>2016</v>
      </c>
      <c r="BA339" t="s">
        <v>20</v>
      </c>
      <c r="BB339" t="s">
        <v>97</v>
      </c>
      <c r="BC339">
        <v>25</v>
      </c>
      <c r="BD339">
        <v>38</v>
      </c>
      <c r="BE339">
        <v>14.0283520378027</v>
      </c>
      <c r="BF339">
        <v>4.5</v>
      </c>
      <c r="CA339" t="str">
        <f t="shared" si="44"/>
        <v>MalePacific241</v>
      </c>
      <c r="CB339" t="s">
        <v>20</v>
      </c>
      <c r="CC339" t="s">
        <v>79</v>
      </c>
      <c r="CD339">
        <v>24</v>
      </c>
      <c r="CE339">
        <v>1</v>
      </c>
      <c r="CF339">
        <v>0</v>
      </c>
      <c r="CG339">
        <v>0</v>
      </c>
      <c r="CJ339" t="str">
        <f t="shared" si="45"/>
        <v>MaleOther22Other</v>
      </c>
      <c r="CK339" t="s">
        <v>20</v>
      </c>
      <c r="CL339" t="s">
        <v>45</v>
      </c>
      <c r="CM339" t="s">
        <v>45</v>
      </c>
      <c r="CN339">
        <v>22</v>
      </c>
      <c r="CO339">
        <v>8</v>
      </c>
      <c r="CP339">
        <v>204</v>
      </c>
      <c r="CQ339">
        <v>3.9</v>
      </c>
    </row>
    <row r="340" spans="1:95">
      <c r="A340" t="str">
        <f t="shared" si="40"/>
        <v>1999AllSexNon-Maori23</v>
      </c>
      <c r="B340">
        <v>1999</v>
      </c>
      <c r="C340" t="s">
        <v>17</v>
      </c>
      <c r="D340" t="s">
        <v>19</v>
      </c>
      <c r="E340">
        <v>23</v>
      </c>
      <c r="F340">
        <v>194</v>
      </c>
      <c r="G340">
        <v>19.248896165103901</v>
      </c>
      <c r="H340">
        <v>2.7</v>
      </c>
      <c r="J340" s="340" t="str">
        <f t="shared" si="41"/>
        <v>2004FemaleMaori192</v>
      </c>
      <c r="K340">
        <v>2004</v>
      </c>
      <c r="L340" t="s">
        <v>8</v>
      </c>
      <c r="M340" t="s">
        <v>18</v>
      </c>
      <c r="N340">
        <v>19</v>
      </c>
      <c r="O340">
        <v>2</v>
      </c>
      <c r="P340">
        <v>2</v>
      </c>
      <c r="Q340">
        <v>5.9274762331421096</v>
      </c>
      <c r="R340">
        <v>8.1999999999999993</v>
      </c>
      <c r="T340" s="340" t="str">
        <f t="shared" si="43"/>
        <v>1997FemaleNon-Maori23Jumping from a high place</v>
      </c>
      <c r="U340">
        <v>1997</v>
      </c>
      <c r="V340" t="s">
        <v>8</v>
      </c>
      <c r="W340" t="s">
        <v>19</v>
      </c>
      <c r="X340">
        <v>23</v>
      </c>
      <c r="Y340" t="s">
        <v>44</v>
      </c>
      <c r="Z340">
        <v>1</v>
      </c>
      <c r="AA340">
        <v>40</v>
      </c>
      <c r="AB340">
        <v>2.5</v>
      </c>
      <c r="AY340" t="str">
        <f t="shared" si="42"/>
        <v>2003AllSexRural19</v>
      </c>
      <c r="AZ340">
        <v>2003</v>
      </c>
      <c r="BA340" t="s">
        <v>17</v>
      </c>
      <c r="BB340" t="s">
        <v>96</v>
      </c>
      <c r="BC340">
        <v>19</v>
      </c>
      <c r="BD340">
        <v>53</v>
      </c>
      <c r="BE340">
        <v>10.211546180911499</v>
      </c>
      <c r="BF340">
        <v>2.7</v>
      </c>
      <c r="CA340" t="str">
        <f t="shared" si="44"/>
        <v>MalePacific242</v>
      </c>
      <c r="CB340" t="s">
        <v>20</v>
      </c>
      <c r="CC340" t="s">
        <v>79</v>
      </c>
      <c r="CD340">
        <v>24</v>
      </c>
      <c r="CE340">
        <v>2</v>
      </c>
      <c r="CF340">
        <v>2</v>
      </c>
      <c r="CG340">
        <v>18.248247249026502</v>
      </c>
      <c r="CH340">
        <v>25.3</v>
      </c>
      <c r="CJ340" t="str">
        <f t="shared" si="45"/>
        <v>MaleOther23Other</v>
      </c>
      <c r="CK340" t="s">
        <v>20</v>
      </c>
      <c r="CL340" t="s">
        <v>45</v>
      </c>
      <c r="CM340" t="s">
        <v>45</v>
      </c>
      <c r="CN340">
        <v>23</v>
      </c>
      <c r="CO340">
        <v>13</v>
      </c>
      <c r="CP340">
        <v>432</v>
      </c>
      <c r="CQ340">
        <v>3</v>
      </c>
    </row>
    <row r="341" spans="1:95">
      <c r="A341" t="str">
        <f t="shared" si="40"/>
        <v>1999AllSexNon-Maori24</v>
      </c>
      <c r="B341">
        <v>1999</v>
      </c>
      <c r="C341" t="s">
        <v>17</v>
      </c>
      <c r="D341" t="s">
        <v>19</v>
      </c>
      <c r="E341">
        <v>24</v>
      </c>
      <c r="F341">
        <v>103</v>
      </c>
      <c r="G341">
        <v>13.904075378987301</v>
      </c>
      <c r="H341">
        <v>2.7</v>
      </c>
      <c r="J341" s="340" t="str">
        <f t="shared" si="41"/>
        <v>2004FemaleMaori193</v>
      </c>
      <c r="K341">
        <v>2004</v>
      </c>
      <c r="L341" t="s">
        <v>8</v>
      </c>
      <c r="M341" t="s">
        <v>18</v>
      </c>
      <c r="N341">
        <v>19</v>
      </c>
      <c r="O341">
        <v>3</v>
      </c>
      <c r="P341">
        <v>4</v>
      </c>
      <c r="Q341">
        <v>7.5757426025945103</v>
      </c>
      <c r="R341">
        <v>7.4</v>
      </c>
      <c r="T341" s="340" t="str">
        <f t="shared" si="43"/>
        <v>1997FemaleNon-Maori22Other</v>
      </c>
      <c r="U341">
        <v>1997</v>
      </c>
      <c r="V341" t="s">
        <v>8</v>
      </c>
      <c r="W341" t="s">
        <v>19</v>
      </c>
      <c r="X341">
        <v>22</v>
      </c>
      <c r="Y341" t="s">
        <v>45</v>
      </c>
      <c r="Z341">
        <v>1</v>
      </c>
      <c r="AA341">
        <v>20</v>
      </c>
      <c r="AB341">
        <v>5</v>
      </c>
      <c r="AY341" t="str">
        <f t="shared" si="42"/>
        <v>2003AllSexUrban19</v>
      </c>
      <c r="AZ341">
        <v>2003</v>
      </c>
      <c r="BA341" t="s">
        <v>17</v>
      </c>
      <c r="BB341" t="s">
        <v>97</v>
      </c>
      <c r="BC341">
        <v>19</v>
      </c>
      <c r="BD341">
        <v>410</v>
      </c>
      <c r="BE341">
        <v>11.282052940237</v>
      </c>
      <c r="BF341">
        <v>1.1000000000000001</v>
      </c>
      <c r="CA341" t="str">
        <f t="shared" si="44"/>
        <v>MalePacific243</v>
      </c>
      <c r="CB341" t="s">
        <v>20</v>
      </c>
      <c r="CC341" t="s">
        <v>79</v>
      </c>
      <c r="CD341">
        <v>24</v>
      </c>
      <c r="CE341">
        <v>3</v>
      </c>
      <c r="CF341">
        <v>1</v>
      </c>
      <c r="CG341">
        <v>6.4978515330327999</v>
      </c>
      <c r="CH341">
        <v>12.7</v>
      </c>
      <c r="CJ341" t="str">
        <f t="shared" si="45"/>
        <v>MaleOther24Other</v>
      </c>
      <c r="CK341" t="s">
        <v>20</v>
      </c>
      <c r="CL341" t="s">
        <v>45</v>
      </c>
      <c r="CM341" t="s">
        <v>45</v>
      </c>
      <c r="CN341">
        <v>24</v>
      </c>
      <c r="CO341">
        <v>24</v>
      </c>
      <c r="CP341">
        <v>512</v>
      </c>
      <c r="CQ341">
        <v>4.7</v>
      </c>
    </row>
    <row r="342" spans="1:95">
      <c r="A342" t="str">
        <f t="shared" si="40"/>
        <v>1999AllSexNon-Maori25</v>
      </c>
      <c r="B342">
        <v>1999</v>
      </c>
      <c r="C342" t="s">
        <v>17</v>
      </c>
      <c r="D342" t="s">
        <v>19</v>
      </c>
      <c r="E342">
        <v>25</v>
      </c>
      <c r="F342">
        <v>52</v>
      </c>
      <c r="G342">
        <v>12.099776619508599</v>
      </c>
      <c r="H342">
        <v>3.3</v>
      </c>
      <c r="J342" s="340" t="str">
        <f t="shared" si="41"/>
        <v>2004FemaleMaori194</v>
      </c>
      <c r="K342">
        <v>2004</v>
      </c>
      <c r="L342" t="s">
        <v>8</v>
      </c>
      <c r="M342" t="s">
        <v>18</v>
      </c>
      <c r="N342">
        <v>19</v>
      </c>
      <c r="O342">
        <v>4</v>
      </c>
      <c r="P342">
        <v>7</v>
      </c>
      <c r="Q342">
        <v>9.2650685653367599</v>
      </c>
      <c r="R342">
        <v>6.9</v>
      </c>
      <c r="T342" s="340" t="str">
        <f t="shared" si="43"/>
        <v>1997FemaleNon-Maori23Other</v>
      </c>
      <c r="U342">
        <v>1997</v>
      </c>
      <c r="V342" t="s">
        <v>8</v>
      </c>
      <c r="W342" t="s">
        <v>19</v>
      </c>
      <c r="X342">
        <v>23</v>
      </c>
      <c r="Y342" t="s">
        <v>45</v>
      </c>
      <c r="Z342">
        <v>1</v>
      </c>
      <c r="AA342">
        <v>40</v>
      </c>
      <c r="AB342">
        <v>2.5</v>
      </c>
      <c r="AY342" t="str">
        <f t="shared" si="42"/>
        <v>2004AllSexRural19</v>
      </c>
      <c r="AZ342">
        <v>2004</v>
      </c>
      <c r="BA342" t="s">
        <v>17</v>
      </c>
      <c r="BB342" t="s">
        <v>96</v>
      </c>
      <c r="BC342">
        <v>19</v>
      </c>
      <c r="BD342">
        <v>65</v>
      </c>
      <c r="BE342">
        <v>10.7197566757345</v>
      </c>
      <c r="BF342">
        <v>2.6</v>
      </c>
      <c r="CA342" t="str">
        <f t="shared" si="44"/>
        <v>MalePacific244</v>
      </c>
      <c r="CB342" t="s">
        <v>20</v>
      </c>
      <c r="CC342" t="s">
        <v>79</v>
      </c>
      <c r="CD342">
        <v>24</v>
      </c>
      <c r="CE342">
        <v>4</v>
      </c>
      <c r="CF342">
        <v>6</v>
      </c>
      <c r="CG342">
        <v>22.861819971088298</v>
      </c>
      <c r="CH342">
        <v>18.3</v>
      </c>
      <c r="CJ342" t="str">
        <f t="shared" si="45"/>
        <v>MaleOther25Other</v>
      </c>
      <c r="CK342" t="s">
        <v>20</v>
      </c>
      <c r="CL342" t="s">
        <v>45</v>
      </c>
      <c r="CM342" t="s">
        <v>45</v>
      </c>
      <c r="CN342">
        <v>25</v>
      </c>
      <c r="CO342">
        <v>9</v>
      </c>
      <c r="CP342">
        <v>227</v>
      </c>
      <c r="CQ342">
        <v>4</v>
      </c>
    </row>
    <row r="343" spans="1:95">
      <c r="A343" t="str">
        <f t="shared" si="40"/>
        <v>1999FemaleAllEth21</v>
      </c>
      <c r="B343">
        <v>1999</v>
      </c>
      <c r="C343" t="s">
        <v>8</v>
      </c>
      <c r="D343" t="s">
        <v>27</v>
      </c>
      <c r="E343">
        <v>21</v>
      </c>
      <c r="F343">
        <v>3</v>
      </c>
      <c r="G343">
        <v>0.702757150554007</v>
      </c>
      <c r="H343">
        <v>0.8</v>
      </c>
      <c r="J343" s="340" t="str">
        <f t="shared" si="41"/>
        <v>2004FemaleMaori195</v>
      </c>
      <c r="K343">
        <v>2004</v>
      </c>
      <c r="L343" t="s">
        <v>8</v>
      </c>
      <c r="M343" t="s">
        <v>18</v>
      </c>
      <c r="N343">
        <v>19</v>
      </c>
      <c r="O343">
        <v>5</v>
      </c>
      <c r="P343">
        <v>15</v>
      </c>
      <c r="Q343">
        <v>11.162918131225</v>
      </c>
      <c r="R343">
        <v>5.6</v>
      </c>
      <c r="T343" s="340" t="str">
        <f t="shared" si="43"/>
        <v>1997FemaleNon-Maori23Poisoning by gases and vapours</v>
      </c>
      <c r="U343">
        <v>1997</v>
      </c>
      <c r="V343" t="s">
        <v>8</v>
      </c>
      <c r="W343" t="s">
        <v>19</v>
      </c>
      <c r="X343">
        <v>23</v>
      </c>
      <c r="Y343" t="s">
        <v>46</v>
      </c>
      <c r="Z343">
        <v>16</v>
      </c>
      <c r="AA343">
        <v>40</v>
      </c>
      <c r="AB343">
        <v>40</v>
      </c>
      <c r="AY343" t="str">
        <f t="shared" si="42"/>
        <v>2004AllSexUrban19</v>
      </c>
      <c r="AZ343">
        <v>2004</v>
      </c>
      <c r="BA343" t="s">
        <v>17</v>
      </c>
      <c r="BB343" t="s">
        <v>97</v>
      </c>
      <c r="BC343">
        <v>19</v>
      </c>
      <c r="BD343">
        <v>396</v>
      </c>
      <c r="BE343">
        <v>10.879264473007</v>
      </c>
      <c r="BF343">
        <v>1.1000000000000001</v>
      </c>
      <c r="CA343" t="str">
        <f t="shared" si="44"/>
        <v>MalePacific245</v>
      </c>
      <c r="CB343" t="s">
        <v>20</v>
      </c>
      <c r="CC343" t="s">
        <v>79</v>
      </c>
      <c r="CD343">
        <v>24</v>
      </c>
      <c r="CE343">
        <v>5</v>
      </c>
      <c r="CF343">
        <v>10</v>
      </c>
      <c r="CG343">
        <v>14.4557218000408</v>
      </c>
      <c r="CH343">
        <v>9</v>
      </c>
      <c r="CJ343" t="str">
        <f t="shared" si="45"/>
        <v>MaleOther22Poisoning by gases and vapours</v>
      </c>
      <c r="CK343" t="s">
        <v>20</v>
      </c>
      <c r="CL343" t="s">
        <v>45</v>
      </c>
      <c r="CM343" t="s">
        <v>46</v>
      </c>
      <c r="CN343">
        <v>22</v>
      </c>
      <c r="CO343">
        <v>10</v>
      </c>
      <c r="CP343">
        <v>204</v>
      </c>
      <c r="CQ343">
        <v>4.9000000000000004</v>
      </c>
    </row>
    <row r="344" spans="1:95">
      <c r="A344" t="str">
        <f t="shared" si="40"/>
        <v>1999FemaleAllEth22</v>
      </c>
      <c r="B344">
        <v>1999</v>
      </c>
      <c r="C344" t="s">
        <v>8</v>
      </c>
      <c r="D344" t="s">
        <v>27</v>
      </c>
      <c r="E344">
        <v>22</v>
      </c>
      <c r="F344">
        <v>37</v>
      </c>
      <c r="G344">
        <v>14.0861156584307</v>
      </c>
      <c r="H344">
        <v>4.5</v>
      </c>
      <c r="J344" s="340" t="str">
        <f t="shared" si="41"/>
        <v>2005FemaleMaori191</v>
      </c>
      <c r="K344">
        <v>2005</v>
      </c>
      <c r="L344" t="s">
        <v>8</v>
      </c>
      <c r="M344" t="s">
        <v>18</v>
      </c>
      <c r="N344">
        <v>19</v>
      </c>
      <c r="O344">
        <v>1</v>
      </c>
      <c r="P344">
        <v>2</v>
      </c>
      <c r="Q344">
        <v>9.3796299524880098</v>
      </c>
      <c r="R344">
        <v>13</v>
      </c>
      <c r="T344" s="340" t="str">
        <f t="shared" si="43"/>
        <v>1997FemaleNon-Maori24Poisoning by gases and vapours</v>
      </c>
      <c r="U344">
        <v>1997</v>
      </c>
      <c r="V344" t="s">
        <v>8</v>
      </c>
      <c r="W344" t="s">
        <v>19</v>
      </c>
      <c r="X344">
        <v>24</v>
      </c>
      <c r="Y344" t="s">
        <v>46</v>
      </c>
      <c r="Z344">
        <v>4</v>
      </c>
      <c r="AA344">
        <v>26</v>
      </c>
      <c r="AB344">
        <v>15.4</v>
      </c>
      <c r="AY344" t="str">
        <f t="shared" si="42"/>
        <v>2005AllSexRural19</v>
      </c>
      <c r="AZ344">
        <v>2005</v>
      </c>
      <c r="BA344" t="s">
        <v>17</v>
      </c>
      <c r="BB344" t="s">
        <v>96</v>
      </c>
      <c r="BC344">
        <v>19</v>
      </c>
      <c r="BD344">
        <v>80</v>
      </c>
      <c r="BE344">
        <v>15.3405039042526</v>
      </c>
      <c r="BF344">
        <v>3.4</v>
      </c>
      <c r="CA344" t="str">
        <f t="shared" si="44"/>
        <v>MaleAsian251</v>
      </c>
      <c r="CB344" t="s">
        <v>20</v>
      </c>
      <c r="CC344" t="s">
        <v>78</v>
      </c>
      <c r="CD344">
        <v>25</v>
      </c>
      <c r="CE344">
        <v>1</v>
      </c>
      <c r="CF344">
        <v>0</v>
      </c>
      <c r="CG344">
        <v>0</v>
      </c>
      <c r="CJ344" t="str">
        <f t="shared" si="45"/>
        <v>MaleOther23Poisoning by gases and vapours</v>
      </c>
      <c r="CK344" t="s">
        <v>20</v>
      </c>
      <c r="CL344" t="s">
        <v>45</v>
      </c>
      <c r="CM344" t="s">
        <v>46</v>
      </c>
      <c r="CN344">
        <v>23</v>
      </c>
      <c r="CO344">
        <v>58</v>
      </c>
      <c r="CP344">
        <v>432</v>
      </c>
      <c r="CQ344">
        <v>13.4</v>
      </c>
    </row>
    <row r="345" spans="1:95">
      <c r="A345" t="str">
        <f t="shared" si="40"/>
        <v>1999FemaleAllEth23</v>
      </c>
      <c r="B345">
        <v>1999</v>
      </c>
      <c r="C345" t="s">
        <v>8</v>
      </c>
      <c r="D345" t="s">
        <v>27</v>
      </c>
      <c r="E345">
        <v>23</v>
      </c>
      <c r="F345">
        <v>55</v>
      </c>
      <c r="G345">
        <v>9.1593391953104195</v>
      </c>
      <c r="H345">
        <v>2.4</v>
      </c>
      <c r="J345" s="340" t="str">
        <f t="shared" si="41"/>
        <v>2005FemaleMaori192</v>
      </c>
      <c r="K345">
        <v>2005</v>
      </c>
      <c r="L345" t="s">
        <v>8</v>
      </c>
      <c r="M345" t="s">
        <v>18</v>
      </c>
      <c r="N345">
        <v>19</v>
      </c>
      <c r="O345">
        <v>2</v>
      </c>
      <c r="P345">
        <v>0</v>
      </c>
      <c r="Q345">
        <v>0</v>
      </c>
      <c r="T345" s="340" t="str">
        <f t="shared" si="43"/>
        <v>1997FemaleNon-Maori22Poisoning by solids and liquids</v>
      </c>
      <c r="U345">
        <v>1997</v>
      </c>
      <c r="V345" t="s">
        <v>8</v>
      </c>
      <c r="W345" t="s">
        <v>19</v>
      </c>
      <c r="X345">
        <v>22</v>
      </c>
      <c r="Y345" t="s">
        <v>47</v>
      </c>
      <c r="Z345">
        <v>1</v>
      </c>
      <c r="AA345">
        <v>20</v>
      </c>
      <c r="AB345">
        <v>5</v>
      </c>
      <c r="AY345" t="str">
        <f t="shared" si="42"/>
        <v>2005AllSexUrban19</v>
      </c>
      <c r="AZ345">
        <v>2005</v>
      </c>
      <c r="BA345" t="s">
        <v>17</v>
      </c>
      <c r="BB345" t="s">
        <v>97</v>
      </c>
      <c r="BC345">
        <v>19</v>
      </c>
      <c r="BD345">
        <v>424</v>
      </c>
      <c r="BE345">
        <v>11.556498028309299</v>
      </c>
      <c r="BF345">
        <v>1.1000000000000001</v>
      </c>
      <c r="CA345" t="str">
        <f t="shared" si="44"/>
        <v>MaleAsian252</v>
      </c>
      <c r="CB345" t="s">
        <v>20</v>
      </c>
      <c r="CC345" t="s">
        <v>78</v>
      </c>
      <c r="CD345">
        <v>25</v>
      </c>
      <c r="CE345">
        <v>2</v>
      </c>
      <c r="CF345">
        <v>3</v>
      </c>
      <c r="CG345">
        <v>15.3195006250556</v>
      </c>
      <c r="CH345">
        <v>17.3</v>
      </c>
      <c r="CJ345" t="str">
        <f t="shared" si="45"/>
        <v>MaleOther24Poisoning by gases and vapours</v>
      </c>
      <c r="CK345" t="s">
        <v>20</v>
      </c>
      <c r="CL345" t="s">
        <v>45</v>
      </c>
      <c r="CM345" t="s">
        <v>46</v>
      </c>
      <c r="CN345">
        <v>24</v>
      </c>
      <c r="CO345">
        <v>69</v>
      </c>
      <c r="CP345">
        <v>512</v>
      </c>
      <c r="CQ345">
        <v>13.5</v>
      </c>
    </row>
    <row r="346" spans="1:95">
      <c r="A346" t="str">
        <f t="shared" si="40"/>
        <v>1999FemaleAllEth24</v>
      </c>
      <c r="B346">
        <v>1999</v>
      </c>
      <c r="C346" t="s">
        <v>8</v>
      </c>
      <c r="D346" t="s">
        <v>27</v>
      </c>
      <c r="E346">
        <v>24</v>
      </c>
      <c r="F346">
        <v>21</v>
      </c>
      <c r="G346">
        <v>5.1403813673414396</v>
      </c>
      <c r="H346">
        <v>2.2000000000000002</v>
      </c>
      <c r="J346" s="340" t="str">
        <f t="shared" si="41"/>
        <v>2005FemaleMaori193</v>
      </c>
      <c r="K346">
        <v>2005</v>
      </c>
      <c r="L346" t="s">
        <v>8</v>
      </c>
      <c r="M346" t="s">
        <v>18</v>
      </c>
      <c r="N346">
        <v>19</v>
      </c>
      <c r="O346">
        <v>3</v>
      </c>
      <c r="P346">
        <v>8</v>
      </c>
      <c r="Q346">
        <v>15.512709428565</v>
      </c>
      <c r="R346">
        <v>10.7</v>
      </c>
      <c r="T346" s="340" t="str">
        <f t="shared" si="43"/>
        <v>1997FemaleNon-Maori23Poisoning by solids and liquids</v>
      </c>
      <c r="U346">
        <v>1997</v>
      </c>
      <c r="V346" t="s">
        <v>8</v>
      </c>
      <c r="W346" t="s">
        <v>19</v>
      </c>
      <c r="X346">
        <v>23</v>
      </c>
      <c r="Y346" t="s">
        <v>47</v>
      </c>
      <c r="Z346">
        <v>13</v>
      </c>
      <c r="AA346">
        <v>40</v>
      </c>
      <c r="AB346">
        <v>32.5</v>
      </c>
      <c r="AY346" t="str">
        <f t="shared" si="42"/>
        <v>2006AllSexRural19</v>
      </c>
      <c r="AZ346">
        <v>2006</v>
      </c>
      <c r="BA346" t="s">
        <v>17</v>
      </c>
      <c r="BB346" t="s">
        <v>96</v>
      </c>
      <c r="BC346">
        <v>19</v>
      </c>
      <c r="BD346">
        <v>83</v>
      </c>
      <c r="BE346">
        <v>16.104700562699598</v>
      </c>
      <c r="BF346">
        <v>3.5</v>
      </c>
      <c r="CA346" t="str">
        <f t="shared" si="44"/>
        <v>MaleAsian253</v>
      </c>
      <c r="CB346" t="s">
        <v>20</v>
      </c>
      <c r="CC346" t="s">
        <v>78</v>
      </c>
      <c r="CD346">
        <v>25</v>
      </c>
      <c r="CE346">
        <v>3</v>
      </c>
      <c r="CF346">
        <v>1</v>
      </c>
      <c r="CG346">
        <v>5.4505830928129502</v>
      </c>
      <c r="CH346">
        <v>10.7</v>
      </c>
      <c r="CJ346" t="str">
        <f t="shared" si="45"/>
        <v>MaleOther25Poisoning by gases and vapours</v>
      </c>
      <c r="CK346" t="s">
        <v>20</v>
      </c>
      <c r="CL346" t="s">
        <v>45</v>
      </c>
      <c r="CM346" t="s">
        <v>46</v>
      </c>
      <c r="CN346">
        <v>25</v>
      </c>
      <c r="CO346">
        <v>20</v>
      </c>
      <c r="CP346">
        <v>227</v>
      </c>
      <c r="CQ346">
        <v>8.8000000000000007</v>
      </c>
    </row>
    <row r="347" spans="1:95">
      <c r="A347" t="str">
        <f t="shared" si="40"/>
        <v>1999FemaleAllEth25</v>
      </c>
      <c r="B347">
        <v>1999</v>
      </c>
      <c r="C347" t="s">
        <v>8</v>
      </c>
      <c r="D347" t="s">
        <v>27</v>
      </c>
      <c r="E347">
        <v>25</v>
      </c>
      <c r="F347">
        <v>16</v>
      </c>
      <c r="G347">
        <v>6.3303659742828904</v>
      </c>
      <c r="H347">
        <v>3.1</v>
      </c>
      <c r="J347" s="340" t="str">
        <f t="shared" si="41"/>
        <v>2005FemaleMaori194</v>
      </c>
      <c r="K347">
        <v>2005</v>
      </c>
      <c r="L347" t="s">
        <v>8</v>
      </c>
      <c r="M347" t="s">
        <v>18</v>
      </c>
      <c r="N347">
        <v>19</v>
      </c>
      <c r="O347">
        <v>4</v>
      </c>
      <c r="P347">
        <v>7</v>
      </c>
      <c r="Q347">
        <v>9.5309577081417203</v>
      </c>
      <c r="R347">
        <v>7.1</v>
      </c>
      <c r="T347" s="340" t="str">
        <f t="shared" si="43"/>
        <v>1997FemaleNon-Maori24Poisoning by solids and liquids</v>
      </c>
      <c r="U347">
        <v>1997</v>
      </c>
      <c r="V347" t="s">
        <v>8</v>
      </c>
      <c r="W347" t="s">
        <v>19</v>
      </c>
      <c r="X347">
        <v>24</v>
      </c>
      <c r="Y347" t="s">
        <v>47</v>
      </c>
      <c r="Z347">
        <v>10</v>
      </c>
      <c r="AA347">
        <v>26</v>
      </c>
      <c r="AB347">
        <v>38.5</v>
      </c>
      <c r="AY347" t="str">
        <f t="shared" si="42"/>
        <v>2006AllSexUrban19</v>
      </c>
      <c r="AZ347">
        <v>2006</v>
      </c>
      <c r="BA347" t="s">
        <v>17</v>
      </c>
      <c r="BB347" t="s">
        <v>97</v>
      </c>
      <c r="BC347">
        <v>19</v>
      </c>
      <c r="BD347">
        <v>435</v>
      </c>
      <c r="BE347">
        <v>11.6470905503125</v>
      </c>
      <c r="BF347">
        <v>1.1000000000000001</v>
      </c>
      <c r="CA347" t="str">
        <f t="shared" si="44"/>
        <v>MaleAsian254</v>
      </c>
      <c r="CB347" t="s">
        <v>20</v>
      </c>
      <c r="CC347" t="s">
        <v>78</v>
      </c>
      <c r="CD347">
        <v>25</v>
      </c>
      <c r="CE347">
        <v>4</v>
      </c>
      <c r="CF347">
        <v>2</v>
      </c>
      <c r="CG347">
        <v>12.113359207232</v>
      </c>
      <c r="CH347">
        <v>16.8</v>
      </c>
      <c r="CJ347" t="str">
        <f t="shared" si="45"/>
        <v>MaleOther21Poisoning by solids and liquids</v>
      </c>
      <c r="CK347" t="s">
        <v>20</v>
      </c>
      <c r="CL347" t="s">
        <v>45</v>
      </c>
      <c r="CM347" t="s">
        <v>47</v>
      </c>
      <c r="CN347">
        <v>21</v>
      </c>
      <c r="CO347">
        <v>1</v>
      </c>
      <c r="CP347">
        <v>5</v>
      </c>
      <c r="CQ347">
        <v>20</v>
      </c>
    </row>
    <row r="348" spans="1:95">
      <c r="A348" t="str">
        <f t="shared" si="40"/>
        <v>1999FemaleMaori21</v>
      </c>
      <c r="B348">
        <v>1999</v>
      </c>
      <c r="C348" t="s">
        <v>8</v>
      </c>
      <c r="D348" t="s">
        <v>18</v>
      </c>
      <c r="E348">
        <v>21</v>
      </c>
      <c r="F348">
        <v>3</v>
      </c>
      <c r="G348">
        <v>2.9325513196480899</v>
      </c>
      <c r="H348">
        <v>3.3</v>
      </c>
      <c r="J348" s="340" t="str">
        <f t="shared" si="41"/>
        <v>2005FemaleMaori195</v>
      </c>
      <c r="K348">
        <v>2005</v>
      </c>
      <c r="L348" t="s">
        <v>8</v>
      </c>
      <c r="M348" t="s">
        <v>18</v>
      </c>
      <c r="N348">
        <v>19</v>
      </c>
      <c r="O348">
        <v>5</v>
      </c>
      <c r="P348">
        <v>9</v>
      </c>
      <c r="Q348">
        <v>7.0266750100722302</v>
      </c>
      <c r="R348">
        <v>4.5999999999999996</v>
      </c>
      <c r="T348" s="340" t="str">
        <f t="shared" si="43"/>
        <v>1997FemaleNon-Maori25Poisoning by solids and liquids</v>
      </c>
      <c r="U348">
        <v>1997</v>
      </c>
      <c r="V348" t="s">
        <v>8</v>
      </c>
      <c r="W348" t="s">
        <v>19</v>
      </c>
      <c r="X348">
        <v>25</v>
      </c>
      <c r="Y348" t="s">
        <v>47</v>
      </c>
      <c r="Z348">
        <v>4</v>
      </c>
      <c r="AA348">
        <v>7</v>
      </c>
      <c r="AB348">
        <v>57.1</v>
      </c>
      <c r="AY348" t="str">
        <f t="shared" si="42"/>
        <v>2007AllSexRural19</v>
      </c>
      <c r="AZ348">
        <v>2007</v>
      </c>
      <c r="BA348" t="s">
        <v>17</v>
      </c>
      <c r="BB348" t="s">
        <v>96</v>
      </c>
      <c r="BC348">
        <v>19</v>
      </c>
      <c r="BD348">
        <v>78</v>
      </c>
      <c r="BE348">
        <v>14.242406423759199</v>
      </c>
      <c r="BF348">
        <v>3.2</v>
      </c>
      <c r="CA348" t="str">
        <f t="shared" si="44"/>
        <v>MaleAsian255</v>
      </c>
      <c r="CB348" t="s">
        <v>20</v>
      </c>
      <c r="CC348" t="s">
        <v>78</v>
      </c>
      <c r="CD348">
        <v>25</v>
      </c>
      <c r="CE348">
        <v>5</v>
      </c>
      <c r="CF348">
        <v>0</v>
      </c>
      <c r="CG348">
        <v>0</v>
      </c>
      <c r="CJ348" t="str">
        <f t="shared" si="45"/>
        <v>MaleOther22Poisoning by solids and liquids</v>
      </c>
      <c r="CK348" t="s">
        <v>20</v>
      </c>
      <c r="CL348" t="s">
        <v>45</v>
      </c>
      <c r="CM348" t="s">
        <v>47</v>
      </c>
      <c r="CN348">
        <v>22</v>
      </c>
      <c r="CO348">
        <v>6</v>
      </c>
      <c r="CP348">
        <v>204</v>
      </c>
      <c r="CQ348">
        <v>2.9</v>
      </c>
    </row>
    <row r="349" spans="1:95">
      <c r="A349" t="str">
        <f t="shared" si="40"/>
        <v>1999FemaleMaori22</v>
      </c>
      <c r="B349">
        <v>1999</v>
      </c>
      <c r="C349" t="s">
        <v>8</v>
      </c>
      <c r="D349" t="s">
        <v>18</v>
      </c>
      <c r="E349">
        <v>22</v>
      </c>
      <c r="F349">
        <v>10</v>
      </c>
      <c r="G349">
        <v>19.275250578257499</v>
      </c>
      <c r="H349">
        <v>11.9</v>
      </c>
      <c r="J349" s="340" t="str">
        <f t="shared" si="41"/>
        <v>2006FemaleMaori191</v>
      </c>
      <c r="K349">
        <v>2006</v>
      </c>
      <c r="L349" t="s">
        <v>8</v>
      </c>
      <c r="M349" t="s">
        <v>18</v>
      </c>
      <c r="N349">
        <v>19</v>
      </c>
      <c r="O349">
        <v>1</v>
      </c>
      <c r="P349">
        <v>2</v>
      </c>
      <c r="Q349">
        <v>7.3849414954153101</v>
      </c>
      <c r="R349">
        <v>10.199999999999999</v>
      </c>
      <c r="T349" s="340" t="str">
        <f t="shared" si="43"/>
        <v>1997FemaleNon-Maori23Sharp object</v>
      </c>
      <c r="U349">
        <v>1997</v>
      </c>
      <c r="V349" t="s">
        <v>8</v>
      </c>
      <c r="W349" t="s">
        <v>19</v>
      </c>
      <c r="X349">
        <v>23</v>
      </c>
      <c r="Y349" t="s">
        <v>48</v>
      </c>
      <c r="Z349">
        <v>1</v>
      </c>
      <c r="AA349">
        <v>40</v>
      </c>
      <c r="AB349">
        <v>2.5</v>
      </c>
      <c r="AY349" t="str">
        <f t="shared" si="42"/>
        <v>2007AllSexUrban19</v>
      </c>
      <c r="AZ349">
        <v>2007</v>
      </c>
      <c r="BA349" t="s">
        <v>17</v>
      </c>
      <c r="BB349" t="s">
        <v>97</v>
      </c>
      <c r="BC349">
        <v>19</v>
      </c>
      <c r="BD349">
        <v>420</v>
      </c>
      <c r="BE349">
        <v>11.0358390108014</v>
      </c>
      <c r="BF349">
        <v>1.1000000000000001</v>
      </c>
      <c r="CA349" t="str">
        <f t="shared" si="44"/>
        <v>MaleMaori251</v>
      </c>
      <c r="CB349" t="s">
        <v>20</v>
      </c>
      <c r="CC349" t="s">
        <v>18</v>
      </c>
      <c r="CD349">
        <v>25</v>
      </c>
      <c r="CE349">
        <v>1</v>
      </c>
      <c r="CF349">
        <v>0</v>
      </c>
      <c r="CG349">
        <v>0</v>
      </c>
      <c r="CJ349" t="str">
        <f t="shared" si="45"/>
        <v>MaleOther23Poisoning by solids and liquids</v>
      </c>
      <c r="CK349" t="s">
        <v>20</v>
      </c>
      <c r="CL349" t="s">
        <v>45</v>
      </c>
      <c r="CM349" t="s">
        <v>47</v>
      </c>
      <c r="CN349">
        <v>23</v>
      </c>
      <c r="CO349">
        <v>24</v>
      </c>
      <c r="CP349">
        <v>432</v>
      </c>
      <c r="CQ349">
        <v>5.6</v>
      </c>
    </row>
    <row r="350" spans="1:95">
      <c r="A350" t="str">
        <f t="shared" si="40"/>
        <v>1999FemaleMaori23</v>
      </c>
      <c r="B350">
        <v>1999</v>
      </c>
      <c r="C350" t="s">
        <v>8</v>
      </c>
      <c r="D350" t="s">
        <v>18</v>
      </c>
      <c r="E350">
        <v>23</v>
      </c>
      <c r="F350">
        <v>7</v>
      </c>
      <c r="G350">
        <v>8.2382017182534995</v>
      </c>
      <c r="H350">
        <v>6.1</v>
      </c>
      <c r="J350" s="340" t="str">
        <f t="shared" si="41"/>
        <v>2006FemaleMaori192</v>
      </c>
      <c r="K350">
        <v>2006</v>
      </c>
      <c r="L350" t="s">
        <v>8</v>
      </c>
      <c r="M350" t="s">
        <v>18</v>
      </c>
      <c r="N350">
        <v>19</v>
      </c>
      <c r="O350">
        <v>2</v>
      </c>
      <c r="P350">
        <v>1</v>
      </c>
      <c r="Q350">
        <v>3.1378029150237601</v>
      </c>
      <c r="R350">
        <v>6.1</v>
      </c>
      <c r="T350" s="340" t="str">
        <f t="shared" si="43"/>
        <v>1997FemaleNon-Maori24Sharp object</v>
      </c>
      <c r="U350">
        <v>1997</v>
      </c>
      <c r="V350" t="s">
        <v>8</v>
      </c>
      <c r="W350" t="s">
        <v>19</v>
      </c>
      <c r="X350">
        <v>24</v>
      </c>
      <c r="Y350" t="s">
        <v>48</v>
      </c>
      <c r="Z350">
        <v>1</v>
      </c>
      <c r="AA350">
        <v>26</v>
      </c>
      <c r="AB350">
        <v>3.8</v>
      </c>
      <c r="AY350" t="str">
        <f t="shared" si="42"/>
        <v>2008AllSexRural19</v>
      </c>
      <c r="AZ350">
        <v>2008</v>
      </c>
      <c r="BA350" t="s">
        <v>17</v>
      </c>
      <c r="BB350" t="s">
        <v>96</v>
      </c>
      <c r="BC350">
        <v>19</v>
      </c>
      <c r="BD350">
        <v>87</v>
      </c>
      <c r="BE350">
        <v>15.9554257560563</v>
      </c>
      <c r="BF350">
        <v>3.4</v>
      </c>
      <c r="CA350" t="str">
        <f t="shared" si="44"/>
        <v>MaleMaori252</v>
      </c>
      <c r="CB350" t="s">
        <v>20</v>
      </c>
      <c r="CC350" t="s">
        <v>18</v>
      </c>
      <c r="CD350">
        <v>25</v>
      </c>
      <c r="CE350">
        <v>2</v>
      </c>
      <c r="CF350">
        <v>1</v>
      </c>
      <c r="CG350">
        <v>9.9627151557169604</v>
      </c>
      <c r="CH350">
        <v>19.5</v>
      </c>
      <c r="CJ350" t="str">
        <f t="shared" si="45"/>
        <v>MaleOther24Poisoning by solids and liquids</v>
      </c>
      <c r="CK350" t="s">
        <v>20</v>
      </c>
      <c r="CL350" t="s">
        <v>45</v>
      </c>
      <c r="CM350" t="s">
        <v>47</v>
      </c>
      <c r="CN350">
        <v>24</v>
      </c>
      <c r="CO350">
        <v>52</v>
      </c>
      <c r="CP350">
        <v>512</v>
      </c>
      <c r="CQ350">
        <v>10.199999999999999</v>
      </c>
    </row>
    <row r="351" spans="1:95">
      <c r="A351" t="str">
        <f t="shared" si="40"/>
        <v>1999FemaleMaori24</v>
      </c>
      <c r="B351">
        <v>1999</v>
      </c>
      <c r="C351" t="s">
        <v>8</v>
      </c>
      <c r="D351" t="s">
        <v>18</v>
      </c>
      <c r="E351">
        <v>24</v>
      </c>
      <c r="F351">
        <v>0</v>
      </c>
      <c r="G351">
        <v>0</v>
      </c>
      <c r="J351" s="340" t="str">
        <f t="shared" si="41"/>
        <v>2006FemaleMaori193</v>
      </c>
      <c r="K351">
        <v>2006</v>
      </c>
      <c r="L351" t="s">
        <v>8</v>
      </c>
      <c r="M351" t="s">
        <v>18</v>
      </c>
      <c r="N351">
        <v>19</v>
      </c>
      <c r="O351">
        <v>3</v>
      </c>
      <c r="P351">
        <v>6</v>
      </c>
      <c r="Q351">
        <v>15.0042561278583</v>
      </c>
      <c r="R351">
        <v>12</v>
      </c>
      <c r="T351" s="340" t="str">
        <f t="shared" si="43"/>
        <v>1997FemaleNon-Maori25Sharp object</v>
      </c>
      <c r="U351">
        <v>1997</v>
      </c>
      <c r="V351" t="s">
        <v>8</v>
      </c>
      <c r="W351" t="s">
        <v>19</v>
      </c>
      <c r="X351">
        <v>25</v>
      </c>
      <c r="Y351" t="s">
        <v>48</v>
      </c>
      <c r="Z351">
        <v>1</v>
      </c>
      <c r="AA351">
        <v>7</v>
      </c>
      <c r="AB351">
        <v>14.3</v>
      </c>
      <c r="AY351" t="str">
        <f t="shared" si="42"/>
        <v>2008AllSexUrban19</v>
      </c>
      <c r="AZ351">
        <v>2008</v>
      </c>
      <c r="BA351" t="s">
        <v>17</v>
      </c>
      <c r="BB351" t="s">
        <v>97</v>
      </c>
      <c r="BC351">
        <v>19</v>
      </c>
      <c r="BD351">
        <v>424</v>
      </c>
      <c r="BE351">
        <v>11.1776130287529</v>
      </c>
      <c r="BF351">
        <v>1.1000000000000001</v>
      </c>
      <c r="CA351" t="str">
        <f t="shared" si="44"/>
        <v>MaleMaori253</v>
      </c>
      <c r="CB351" t="s">
        <v>20</v>
      </c>
      <c r="CC351" t="s">
        <v>18</v>
      </c>
      <c r="CD351">
        <v>25</v>
      </c>
      <c r="CE351">
        <v>3</v>
      </c>
      <c r="CF351">
        <v>0</v>
      </c>
      <c r="CG351">
        <v>0</v>
      </c>
      <c r="CJ351" t="str">
        <f t="shared" si="45"/>
        <v>MaleOther25Poisoning by solids and liquids</v>
      </c>
      <c r="CK351" t="s">
        <v>20</v>
      </c>
      <c r="CL351" t="s">
        <v>45</v>
      </c>
      <c r="CM351" t="s">
        <v>47</v>
      </c>
      <c r="CN351">
        <v>25</v>
      </c>
      <c r="CO351">
        <v>31</v>
      </c>
      <c r="CP351">
        <v>227</v>
      </c>
      <c r="CQ351">
        <v>13.7</v>
      </c>
    </row>
    <row r="352" spans="1:95">
      <c r="A352" t="str">
        <f t="shared" si="40"/>
        <v>1999FemaleMaori25</v>
      </c>
      <c r="B352">
        <v>1999</v>
      </c>
      <c r="C352" t="s">
        <v>8</v>
      </c>
      <c r="D352" t="s">
        <v>18</v>
      </c>
      <c r="E352">
        <v>25</v>
      </c>
      <c r="F352">
        <v>0</v>
      </c>
      <c r="G352">
        <v>0</v>
      </c>
      <c r="J352" s="340" t="str">
        <f t="shared" si="41"/>
        <v>2006FemaleMaori194</v>
      </c>
      <c r="K352">
        <v>2006</v>
      </c>
      <c r="L352" t="s">
        <v>8</v>
      </c>
      <c r="M352" t="s">
        <v>18</v>
      </c>
      <c r="N352">
        <v>19</v>
      </c>
      <c r="O352">
        <v>4</v>
      </c>
      <c r="P352">
        <v>6</v>
      </c>
      <c r="Q352">
        <v>7.6553750931023199</v>
      </c>
      <c r="R352">
        <v>6.1</v>
      </c>
      <c r="T352" s="340" t="str">
        <f t="shared" si="43"/>
        <v>1997FemaleNon-Maori23Submersion (drowning)</v>
      </c>
      <c r="U352">
        <v>1997</v>
      </c>
      <c r="V352" t="s">
        <v>8</v>
      </c>
      <c r="W352" t="s">
        <v>19</v>
      </c>
      <c r="X352">
        <v>23</v>
      </c>
      <c r="Y352" t="s">
        <v>49</v>
      </c>
      <c r="Z352">
        <v>2</v>
      </c>
      <c r="AA352">
        <v>40</v>
      </c>
      <c r="AB352">
        <v>5</v>
      </c>
      <c r="AY352" t="str">
        <f t="shared" si="42"/>
        <v>2009AllSexRural19</v>
      </c>
      <c r="AZ352">
        <v>2009</v>
      </c>
      <c r="BA352" t="s">
        <v>17</v>
      </c>
      <c r="BB352" t="s">
        <v>96</v>
      </c>
      <c r="BC352">
        <v>19</v>
      </c>
      <c r="BD352">
        <v>71</v>
      </c>
      <c r="BE352">
        <v>12.661821293405801</v>
      </c>
      <c r="BF352">
        <v>2.9</v>
      </c>
      <c r="CA352" t="str">
        <f t="shared" si="44"/>
        <v>MaleMaori254</v>
      </c>
      <c r="CB352" t="s">
        <v>20</v>
      </c>
      <c r="CC352" t="s">
        <v>18</v>
      </c>
      <c r="CD352">
        <v>25</v>
      </c>
      <c r="CE352">
        <v>4</v>
      </c>
      <c r="CF352">
        <v>0</v>
      </c>
      <c r="CG352">
        <v>0</v>
      </c>
      <c r="CJ352" t="str">
        <f t="shared" si="45"/>
        <v>MaleOther22Sharp object</v>
      </c>
      <c r="CK352" t="s">
        <v>20</v>
      </c>
      <c r="CL352" t="s">
        <v>45</v>
      </c>
      <c r="CM352" t="s">
        <v>48</v>
      </c>
      <c r="CN352">
        <v>22</v>
      </c>
      <c r="CO352">
        <v>1</v>
      </c>
      <c r="CP352">
        <v>204</v>
      </c>
      <c r="CQ352">
        <v>0.5</v>
      </c>
    </row>
    <row r="353" spans="1:95">
      <c r="A353" t="str">
        <f t="shared" si="40"/>
        <v>1999FemaleNon-Maori21</v>
      </c>
      <c r="B353">
        <v>1999</v>
      </c>
      <c r="C353" t="s">
        <v>8</v>
      </c>
      <c r="D353" t="s">
        <v>19</v>
      </c>
      <c r="E353">
        <v>21</v>
      </c>
      <c r="F353">
        <v>0</v>
      </c>
      <c r="G353">
        <v>0</v>
      </c>
      <c r="J353" s="340" t="str">
        <f t="shared" si="41"/>
        <v>2006FemaleMaori195</v>
      </c>
      <c r="K353">
        <v>2006</v>
      </c>
      <c r="L353" t="s">
        <v>8</v>
      </c>
      <c r="M353" t="s">
        <v>18</v>
      </c>
      <c r="N353">
        <v>19</v>
      </c>
      <c r="O353">
        <v>5</v>
      </c>
      <c r="P353">
        <v>16</v>
      </c>
      <c r="Q353">
        <v>12.0496670673592</v>
      </c>
      <c r="R353">
        <v>5.9</v>
      </c>
      <c r="T353" s="340" t="str">
        <f t="shared" si="43"/>
        <v>1997FemaleNon-Maori24Submersion (drowning)</v>
      </c>
      <c r="U353">
        <v>1997</v>
      </c>
      <c r="V353" t="s">
        <v>8</v>
      </c>
      <c r="W353" t="s">
        <v>19</v>
      </c>
      <c r="X353">
        <v>24</v>
      </c>
      <c r="Y353" t="s">
        <v>49</v>
      </c>
      <c r="Z353">
        <v>2</v>
      </c>
      <c r="AA353">
        <v>26</v>
      </c>
      <c r="AB353">
        <v>7.7</v>
      </c>
      <c r="AY353" t="str">
        <f t="shared" si="42"/>
        <v>2009AllSexUrban19</v>
      </c>
      <c r="AZ353">
        <v>2009</v>
      </c>
      <c r="BA353" t="s">
        <v>17</v>
      </c>
      <c r="BB353" t="s">
        <v>97</v>
      </c>
      <c r="BC353">
        <v>19</v>
      </c>
      <c r="BD353">
        <v>438</v>
      </c>
      <c r="BE353">
        <v>11.3576105512283</v>
      </c>
      <c r="BF353">
        <v>1.1000000000000001</v>
      </c>
      <c r="CA353" t="str">
        <f t="shared" si="44"/>
        <v>MaleMaori255</v>
      </c>
      <c r="CB353" t="s">
        <v>20</v>
      </c>
      <c r="CC353" t="s">
        <v>18</v>
      </c>
      <c r="CD353">
        <v>25</v>
      </c>
      <c r="CE353">
        <v>5</v>
      </c>
      <c r="CF353">
        <v>3</v>
      </c>
      <c r="CG353">
        <v>8.1793390883049195</v>
      </c>
      <c r="CH353">
        <v>9.3000000000000007</v>
      </c>
      <c r="CJ353" t="str">
        <f t="shared" si="45"/>
        <v>MaleOther23Sharp object</v>
      </c>
      <c r="CK353" t="s">
        <v>20</v>
      </c>
      <c r="CL353" t="s">
        <v>45</v>
      </c>
      <c r="CM353" t="s">
        <v>48</v>
      </c>
      <c r="CN353">
        <v>23</v>
      </c>
      <c r="CO353">
        <v>11</v>
      </c>
      <c r="CP353">
        <v>432</v>
      </c>
      <c r="CQ353">
        <v>2.5</v>
      </c>
    </row>
    <row r="354" spans="1:95">
      <c r="A354" t="str">
        <f t="shared" si="40"/>
        <v>1999FemaleNon-Maori22</v>
      </c>
      <c r="B354">
        <v>1999</v>
      </c>
      <c r="C354" t="s">
        <v>8</v>
      </c>
      <c r="D354" t="s">
        <v>19</v>
      </c>
      <c r="E354">
        <v>22</v>
      </c>
      <c r="F354">
        <v>27</v>
      </c>
      <c r="G354">
        <v>12.808956781631</v>
      </c>
      <c r="H354">
        <v>4.8</v>
      </c>
      <c r="J354" s="340" t="str">
        <f t="shared" si="41"/>
        <v>2007FemaleMaori191</v>
      </c>
      <c r="K354">
        <v>2007</v>
      </c>
      <c r="L354" t="s">
        <v>8</v>
      </c>
      <c r="M354" t="s">
        <v>18</v>
      </c>
      <c r="N354">
        <v>19</v>
      </c>
      <c r="O354">
        <v>1</v>
      </c>
      <c r="P354">
        <v>0</v>
      </c>
      <c r="Q354">
        <v>0</v>
      </c>
      <c r="T354" s="340" t="str">
        <f t="shared" si="43"/>
        <v>1997FemaleNon-Maori25Submersion (drowning)</v>
      </c>
      <c r="U354">
        <v>1997</v>
      </c>
      <c r="V354" t="s">
        <v>8</v>
      </c>
      <c r="W354" t="s">
        <v>19</v>
      </c>
      <c r="X354">
        <v>25</v>
      </c>
      <c r="Y354" t="s">
        <v>49</v>
      </c>
      <c r="Z354">
        <v>1</v>
      </c>
      <c r="AA354">
        <v>7</v>
      </c>
      <c r="AB354">
        <v>14.3</v>
      </c>
      <c r="AY354" t="str">
        <f t="shared" si="42"/>
        <v>2010AllSexRural19</v>
      </c>
      <c r="AZ354">
        <v>2010</v>
      </c>
      <c r="BA354" t="s">
        <v>17</v>
      </c>
      <c r="BB354" t="s">
        <v>96</v>
      </c>
      <c r="BC354">
        <v>19</v>
      </c>
      <c r="BD354">
        <v>94</v>
      </c>
      <c r="BE354">
        <v>16.001422327261199</v>
      </c>
      <c r="BF354">
        <v>3.2</v>
      </c>
      <c r="CA354" t="str">
        <f t="shared" si="44"/>
        <v>MaleOther251</v>
      </c>
      <c r="CB354" t="s">
        <v>20</v>
      </c>
      <c r="CC354" t="s">
        <v>45</v>
      </c>
      <c r="CD354">
        <v>25</v>
      </c>
      <c r="CE354">
        <v>1</v>
      </c>
      <c r="CF354">
        <v>41</v>
      </c>
      <c r="CG354">
        <v>13.827075839811499</v>
      </c>
      <c r="CH354">
        <v>4.2</v>
      </c>
      <c r="CJ354" t="str">
        <f t="shared" si="45"/>
        <v>MaleOther24Sharp object</v>
      </c>
      <c r="CK354" t="s">
        <v>20</v>
      </c>
      <c r="CL354" t="s">
        <v>45</v>
      </c>
      <c r="CM354" t="s">
        <v>48</v>
      </c>
      <c r="CN354">
        <v>24</v>
      </c>
      <c r="CO354">
        <v>17</v>
      </c>
      <c r="CP354">
        <v>512</v>
      </c>
      <c r="CQ354">
        <v>3.3</v>
      </c>
    </row>
    <row r="355" spans="1:95">
      <c r="A355" t="str">
        <f t="shared" si="40"/>
        <v>1999FemaleNon-Maori23</v>
      </c>
      <c r="B355">
        <v>1999</v>
      </c>
      <c r="C355" t="s">
        <v>8</v>
      </c>
      <c r="D355" t="s">
        <v>19</v>
      </c>
      <c r="E355">
        <v>23</v>
      </c>
      <c r="F355">
        <v>48</v>
      </c>
      <c r="G355">
        <v>9.3111675816182</v>
      </c>
      <c r="H355">
        <v>2.6</v>
      </c>
      <c r="J355" s="340" t="str">
        <f t="shared" si="41"/>
        <v>2007FemaleMaori192</v>
      </c>
      <c r="K355">
        <v>2007</v>
      </c>
      <c r="L355" t="s">
        <v>8</v>
      </c>
      <c r="M355" t="s">
        <v>18</v>
      </c>
      <c r="N355">
        <v>19</v>
      </c>
      <c r="O355">
        <v>2</v>
      </c>
      <c r="P355">
        <v>2</v>
      </c>
      <c r="Q355">
        <v>5.1161249398020896</v>
      </c>
      <c r="R355">
        <v>7.1</v>
      </c>
      <c r="T355" s="340" t="str">
        <f t="shared" si="43"/>
        <v>1997MaleAllEth22Firearms and explosives</v>
      </c>
      <c r="U355">
        <v>1997</v>
      </c>
      <c r="V355" t="s">
        <v>20</v>
      </c>
      <c r="W355" t="s">
        <v>27</v>
      </c>
      <c r="X355">
        <v>22</v>
      </c>
      <c r="Y355" t="s">
        <v>42</v>
      </c>
      <c r="Z355">
        <v>12</v>
      </c>
      <c r="AA355">
        <v>113</v>
      </c>
      <c r="AB355">
        <v>10.6</v>
      </c>
      <c r="AY355" t="str">
        <f t="shared" si="42"/>
        <v>2010AllSexUrban19</v>
      </c>
      <c r="AZ355">
        <v>2010</v>
      </c>
      <c r="BA355" t="s">
        <v>17</v>
      </c>
      <c r="BB355" t="s">
        <v>97</v>
      </c>
      <c r="BC355">
        <v>19</v>
      </c>
      <c r="BD355">
        <v>434</v>
      </c>
      <c r="BE355">
        <v>11.2105392394219</v>
      </c>
      <c r="BF355">
        <v>1.1000000000000001</v>
      </c>
      <c r="CA355" t="str">
        <f t="shared" si="44"/>
        <v>MaleOther252</v>
      </c>
      <c r="CB355" t="s">
        <v>20</v>
      </c>
      <c r="CC355" t="s">
        <v>45</v>
      </c>
      <c r="CD355">
        <v>25</v>
      </c>
      <c r="CE355">
        <v>2</v>
      </c>
      <c r="CF355">
        <v>43</v>
      </c>
      <c r="CG355">
        <v>14.9850354259817</v>
      </c>
      <c r="CH355">
        <v>4.5</v>
      </c>
      <c r="CJ355" t="str">
        <f t="shared" si="45"/>
        <v>MaleOther25Sharp object</v>
      </c>
      <c r="CK355" t="s">
        <v>20</v>
      </c>
      <c r="CL355" t="s">
        <v>45</v>
      </c>
      <c r="CM355" t="s">
        <v>48</v>
      </c>
      <c r="CN355">
        <v>25</v>
      </c>
      <c r="CO355">
        <v>7</v>
      </c>
      <c r="CP355">
        <v>227</v>
      </c>
      <c r="CQ355">
        <v>3.1</v>
      </c>
    </row>
    <row r="356" spans="1:95">
      <c r="A356" t="str">
        <f t="shared" si="40"/>
        <v>1999FemaleNon-Maori24</v>
      </c>
      <c r="B356">
        <v>1999</v>
      </c>
      <c r="C356" t="s">
        <v>8</v>
      </c>
      <c r="D356" t="s">
        <v>19</v>
      </c>
      <c r="E356">
        <v>24</v>
      </c>
      <c r="F356">
        <v>21</v>
      </c>
      <c r="G356">
        <v>5.6445543489947303</v>
      </c>
      <c r="H356">
        <v>2.4</v>
      </c>
      <c r="J356" s="340" t="str">
        <f t="shared" si="41"/>
        <v>2007FemaleMaori193</v>
      </c>
      <c r="K356">
        <v>2007</v>
      </c>
      <c r="L356" t="s">
        <v>8</v>
      </c>
      <c r="M356" t="s">
        <v>18</v>
      </c>
      <c r="N356">
        <v>19</v>
      </c>
      <c r="O356">
        <v>3</v>
      </c>
      <c r="P356">
        <v>6</v>
      </c>
      <c r="Q356">
        <v>11.7101757636367</v>
      </c>
      <c r="R356">
        <v>9.4</v>
      </c>
      <c r="T356" s="340" t="str">
        <f t="shared" si="43"/>
        <v>1997MaleAllEth23Firearms and explosives</v>
      </c>
      <c r="U356">
        <v>1997</v>
      </c>
      <c r="V356" t="s">
        <v>20</v>
      </c>
      <c r="W356" t="s">
        <v>27</v>
      </c>
      <c r="X356">
        <v>23</v>
      </c>
      <c r="Y356" t="s">
        <v>42</v>
      </c>
      <c r="Z356">
        <v>21</v>
      </c>
      <c r="AA356">
        <v>201</v>
      </c>
      <c r="AB356">
        <v>10.4</v>
      </c>
      <c r="AY356" t="str">
        <f t="shared" si="42"/>
        <v>2011AllSexRural19</v>
      </c>
      <c r="AZ356">
        <v>2011</v>
      </c>
      <c r="BA356" t="s">
        <v>17</v>
      </c>
      <c r="BB356" t="s">
        <v>96</v>
      </c>
      <c r="BC356">
        <v>19</v>
      </c>
      <c r="BD356">
        <v>80</v>
      </c>
      <c r="BE356">
        <v>13.0281155961354</v>
      </c>
      <c r="BF356">
        <v>2.9</v>
      </c>
      <c r="CA356" t="str">
        <f t="shared" si="44"/>
        <v>MaleOther253</v>
      </c>
      <c r="CB356" t="s">
        <v>20</v>
      </c>
      <c r="CC356" t="s">
        <v>45</v>
      </c>
      <c r="CD356">
        <v>25</v>
      </c>
      <c r="CE356">
        <v>3</v>
      </c>
      <c r="CF356">
        <v>60</v>
      </c>
      <c r="CG356">
        <v>22.090314201337701</v>
      </c>
      <c r="CH356">
        <v>5.6</v>
      </c>
      <c r="CJ356" t="str">
        <f t="shared" si="45"/>
        <v>MaleOther22Submersion (drowning)</v>
      </c>
      <c r="CK356" t="s">
        <v>20</v>
      </c>
      <c r="CL356" t="s">
        <v>45</v>
      </c>
      <c r="CM356" t="s">
        <v>49</v>
      </c>
      <c r="CN356">
        <v>22</v>
      </c>
      <c r="CO356">
        <v>1</v>
      </c>
      <c r="CP356">
        <v>204</v>
      </c>
      <c r="CQ356">
        <v>0.5</v>
      </c>
    </row>
    <row r="357" spans="1:95">
      <c r="A357" t="str">
        <f t="shared" si="40"/>
        <v>1999FemaleNon-Maori25</v>
      </c>
      <c r="B357">
        <v>1999</v>
      </c>
      <c r="C357" t="s">
        <v>8</v>
      </c>
      <c r="D357" t="s">
        <v>19</v>
      </c>
      <c r="E357">
        <v>25</v>
      </c>
      <c r="F357">
        <v>16</v>
      </c>
      <c r="G357">
        <v>6.5862594162927603</v>
      </c>
      <c r="H357">
        <v>3.2</v>
      </c>
      <c r="J357" s="340" t="str">
        <f t="shared" si="41"/>
        <v>2007FemaleMaori194</v>
      </c>
      <c r="K357">
        <v>2007</v>
      </c>
      <c r="L357" t="s">
        <v>8</v>
      </c>
      <c r="M357" t="s">
        <v>18</v>
      </c>
      <c r="N357">
        <v>19</v>
      </c>
      <c r="O357">
        <v>4</v>
      </c>
      <c r="P357">
        <v>4</v>
      </c>
      <c r="Q357">
        <v>5.9718588338880698</v>
      </c>
      <c r="R357">
        <v>5.9</v>
      </c>
      <c r="T357" s="340" t="str">
        <f t="shared" si="43"/>
        <v>1997MaleAllEth24Firearms and explosives</v>
      </c>
      <c r="U357">
        <v>1997</v>
      </c>
      <c r="V357" t="s">
        <v>20</v>
      </c>
      <c r="W357" t="s">
        <v>27</v>
      </c>
      <c r="X357">
        <v>24</v>
      </c>
      <c r="Y357" t="s">
        <v>42</v>
      </c>
      <c r="Z357">
        <v>14</v>
      </c>
      <c r="AA357">
        <v>76</v>
      </c>
      <c r="AB357">
        <v>18.399999999999999</v>
      </c>
      <c r="AY357" t="str">
        <f t="shared" si="42"/>
        <v>2011AllSexUrban19</v>
      </c>
      <c r="AZ357">
        <v>2011</v>
      </c>
      <c r="BA357" t="s">
        <v>17</v>
      </c>
      <c r="BB357" t="s">
        <v>97</v>
      </c>
      <c r="BC357">
        <v>19</v>
      </c>
      <c r="BD357">
        <v>414</v>
      </c>
      <c r="BE357">
        <v>10.824707777635901</v>
      </c>
      <c r="BF357">
        <v>1</v>
      </c>
      <c r="CA357" t="str">
        <f t="shared" si="44"/>
        <v>MaleOther254</v>
      </c>
      <c r="CB357" t="s">
        <v>20</v>
      </c>
      <c r="CC357" t="s">
        <v>45</v>
      </c>
      <c r="CD357">
        <v>25</v>
      </c>
      <c r="CE357">
        <v>4</v>
      </c>
      <c r="CF357">
        <v>47</v>
      </c>
      <c r="CG357">
        <v>18.490151882161602</v>
      </c>
      <c r="CH357">
        <v>5.3</v>
      </c>
      <c r="CJ357" t="str">
        <f t="shared" si="45"/>
        <v>MaleOther23Submersion (drowning)</v>
      </c>
      <c r="CK357" t="s">
        <v>20</v>
      </c>
      <c r="CL357" t="s">
        <v>45</v>
      </c>
      <c r="CM357" t="s">
        <v>49</v>
      </c>
      <c r="CN357">
        <v>23</v>
      </c>
      <c r="CO357">
        <v>3</v>
      </c>
      <c r="CP357">
        <v>432</v>
      </c>
      <c r="CQ357">
        <v>0.7</v>
      </c>
    </row>
    <row r="358" spans="1:95">
      <c r="A358" t="str">
        <f t="shared" si="40"/>
        <v>1999MaleAllEth21</v>
      </c>
      <c r="B358">
        <v>1999</v>
      </c>
      <c r="C358" t="s">
        <v>20</v>
      </c>
      <c r="D358" t="s">
        <v>27</v>
      </c>
      <c r="E358">
        <v>21</v>
      </c>
      <c r="F358">
        <v>3</v>
      </c>
      <c r="G358">
        <v>0.66583806818181801</v>
      </c>
      <c r="H358">
        <v>0.8</v>
      </c>
      <c r="J358" s="340" t="str">
        <f t="shared" si="41"/>
        <v>2007FemaleMaori195</v>
      </c>
      <c r="K358">
        <v>2007</v>
      </c>
      <c r="L358" t="s">
        <v>8</v>
      </c>
      <c r="M358" t="s">
        <v>18</v>
      </c>
      <c r="N358">
        <v>19</v>
      </c>
      <c r="O358">
        <v>5</v>
      </c>
      <c r="P358">
        <v>11</v>
      </c>
      <c r="Q358">
        <v>8.0546849191477197</v>
      </c>
      <c r="R358">
        <v>4.8</v>
      </c>
      <c r="T358" s="340" t="str">
        <f t="shared" si="43"/>
        <v>1997MaleAllEth25Firearms and explosives</v>
      </c>
      <c r="U358">
        <v>1997</v>
      </c>
      <c r="V358" t="s">
        <v>20</v>
      </c>
      <c r="W358" t="s">
        <v>27</v>
      </c>
      <c r="X358">
        <v>25</v>
      </c>
      <c r="Y358" t="s">
        <v>42</v>
      </c>
      <c r="Z358">
        <v>5</v>
      </c>
      <c r="AA358">
        <v>46</v>
      </c>
      <c r="AB358">
        <v>10.9</v>
      </c>
      <c r="AY358" t="str">
        <f t="shared" si="42"/>
        <v>2012AllSexRural19</v>
      </c>
      <c r="AZ358">
        <v>2012</v>
      </c>
      <c r="BA358" t="s">
        <v>17</v>
      </c>
      <c r="BB358" t="s">
        <v>96</v>
      </c>
      <c r="BC358">
        <v>19</v>
      </c>
      <c r="BD358">
        <v>84</v>
      </c>
      <c r="BE358">
        <v>13.696405717221101</v>
      </c>
      <c r="BF358">
        <v>2.9</v>
      </c>
      <c r="CA358" t="str">
        <f t="shared" si="44"/>
        <v>MaleOther255</v>
      </c>
      <c r="CB358" t="s">
        <v>20</v>
      </c>
      <c r="CC358" t="s">
        <v>45</v>
      </c>
      <c r="CD358">
        <v>25</v>
      </c>
      <c r="CE358">
        <v>5</v>
      </c>
      <c r="CF358">
        <v>31</v>
      </c>
      <c r="CG358">
        <v>17.667330572368801</v>
      </c>
      <c r="CH358">
        <v>6.2</v>
      </c>
      <c r="CJ358" t="str">
        <f t="shared" si="45"/>
        <v>MaleOther24Submersion (drowning)</v>
      </c>
      <c r="CK358" t="s">
        <v>20</v>
      </c>
      <c r="CL358" t="s">
        <v>45</v>
      </c>
      <c r="CM358" t="s">
        <v>49</v>
      </c>
      <c r="CN358">
        <v>24</v>
      </c>
      <c r="CO358">
        <v>10</v>
      </c>
      <c r="CP358">
        <v>512</v>
      </c>
      <c r="CQ358">
        <v>2</v>
      </c>
    </row>
    <row r="359" spans="1:95">
      <c r="A359" t="str">
        <f t="shared" si="40"/>
        <v>1999MaleAllEth22</v>
      </c>
      <c r="B359">
        <v>1999</v>
      </c>
      <c r="C359" t="s">
        <v>20</v>
      </c>
      <c r="D359" t="s">
        <v>27</v>
      </c>
      <c r="E359">
        <v>22</v>
      </c>
      <c r="F359">
        <v>82</v>
      </c>
      <c r="G359">
        <v>30.613006794594199</v>
      </c>
      <c r="H359">
        <v>6.6</v>
      </c>
      <c r="J359" s="340" t="str">
        <f t="shared" si="41"/>
        <v>2008FemaleMaori191</v>
      </c>
      <c r="K359">
        <v>2008</v>
      </c>
      <c r="L359" t="s">
        <v>8</v>
      </c>
      <c r="M359" t="s">
        <v>18</v>
      </c>
      <c r="N359">
        <v>19</v>
      </c>
      <c r="O359">
        <v>1</v>
      </c>
      <c r="P359">
        <v>1</v>
      </c>
      <c r="Q359">
        <v>3.3942639729847901</v>
      </c>
      <c r="R359">
        <v>6.7</v>
      </c>
      <c r="T359" s="340" t="str">
        <f t="shared" si="43"/>
        <v>1997MaleAllEth21Hanging, strangulation and suffocation</v>
      </c>
      <c r="U359">
        <v>1997</v>
      </c>
      <c r="V359" t="s">
        <v>20</v>
      </c>
      <c r="W359" t="s">
        <v>27</v>
      </c>
      <c r="X359">
        <v>21</v>
      </c>
      <c r="Y359" t="s">
        <v>43</v>
      </c>
      <c r="Z359">
        <v>5</v>
      </c>
      <c r="AA359">
        <v>5</v>
      </c>
      <c r="AB359">
        <v>100</v>
      </c>
      <c r="AY359" t="str">
        <f t="shared" si="42"/>
        <v>2012AllSexUrban19</v>
      </c>
      <c r="AZ359">
        <v>2012</v>
      </c>
      <c r="BA359" t="s">
        <v>17</v>
      </c>
      <c r="BB359" t="s">
        <v>97</v>
      </c>
      <c r="BC359">
        <v>19</v>
      </c>
      <c r="BD359">
        <v>462</v>
      </c>
      <c r="BE359">
        <v>12.011479006506899</v>
      </c>
      <c r="BF359">
        <v>1.1000000000000001</v>
      </c>
      <c r="CA359" t="str">
        <f t="shared" si="44"/>
        <v>MalePacific251</v>
      </c>
      <c r="CB359" t="s">
        <v>20</v>
      </c>
      <c r="CC359" t="s">
        <v>79</v>
      </c>
      <c r="CD359">
        <v>25</v>
      </c>
      <c r="CE359">
        <v>1</v>
      </c>
      <c r="CF359">
        <v>0</v>
      </c>
      <c r="CG359">
        <v>0</v>
      </c>
      <c r="CJ359" t="str">
        <f t="shared" si="45"/>
        <v>MaleOther25Submersion (drowning)</v>
      </c>
      <c r="CK359" t="s">
        <v>20</v>
      </c>
      <c r="CL359" t="s">
        <v>45</v>
      </c>
      <c r="CM359" t="s">
        <v>49</v>
      </c>
      <c r="CN359">
        <v>25</v>
      </c>
      <c r="CO359">
        <v>17</v>
      </c>
      <c r="CP359">
        <v>227</v>
      </c>
      <c r="CQ359">
        <v>7.5</v>
      </c>
    </row>
    <row r="360" spans="1:95">
      <c r="A360" t="str">
        <f t="shared" si="40"/>
        <v>1999MaleAllEth23</v>
      </c>
      <c r="B360">
        <v>1999</v>
      </c>
      <c r="C360" t="s">
        <v>20</v>
      </c>
      <c r="D360" t="s">
        <v>27</v>
      </c>
      <c r="E360">
        <v>23</v>
      </c>
      <c r="F360">
        <v>180</v>
      </c>
      <c r="G360">
        <v>31.6316668131096</v>
      </c>
      <c r="H360">
        <v>4.5999999999999996</v>
      </c>
      <c r="J360" s="340" t="str">
        <f t="shared" si="41"/>
        <v>2008FemaleMaori192</v>
      </c>
      <c r="K360">
        <v>2008</v>
      </c>
      <c r="L360" t="s">
        <v>8</v>
      </c>
      <c r="M360" t="s">
        <v>18</v>
      </c>
      <c r="N360">
        <v>19</v>
      </c>
      <c r="O360">
        <v>2</v>
      </c>
      <c r="P360">
        <v>3</v>
      </c>
      <c r="Q360">
        <v>7.54812771618304</v>
      </c>
      <c r="R360">
        <v>8.5</v>
      </c>
      <c r="T360" s="340" t="str">
        <f t="shared" si="43"/>
        <v>1997MaleAllEth22Hanging, strangulation and suffocation</v>
      </c>
      <c r="U360">
        <v>1997</v>
      </c>
      <c r="V360" t="s">
        <v>20</v>
      </c>
      <c r="W360" t="s">
        <v>27</v>
      </c>
      <c r="X360">
        <v>22</v>
      </c>
      <c r="Y360" t="s">
        <v>43</v>
      </c>
      <c r="Z360">
        <v>54</v>
      </c>
      <c r="AA360">
        <v>113</v>
      </c>
      <c r="AB360">
        <v>47.8</v>
      </c>
      <c r="AY360" t="str">
        <f t="shared" si="42"/>
        <v>2013AllSexRural19</v>
      </c>
      <c r="AZ360">
        <v>2013</v>
      </c>
      <c r="BA360" t="s">
        <v>17</v>
      </c>
      <c r="BB360" t="s">
        <v>96</v>
      </c>
      <c r="BC360">
        <v>19</v>
      </c>
      <c r="BD360">
        <v>79</v>
      </c>
      <c r="BE360">
        <v>12.778557565856</v>
      </c>
      <c r="BF360">
        <v>2.8</v>
      </c>
      <c r="CA360" t="str">
        <f t="shared" si="44"/>
        <v>MalePacific252</v>
      </c>
      <c r="CB360" t="s">
        <v>20</v>
      </c>
      <c r="CC360" t="s">
        <v>79</v>
      </c>
      <c r="CD360">
        <v>25</v>
      </c>
      <c r="CE360">
        <v>2</v>
      </c>
      <c r="CF360">
        <v>0</v>
      </c>
      <c r="CG360">
        <v>0</v>
      </c>
      <c r="CJ360" t="str">
        <f t="shared" si="45"/>
        <v>MalePacific21Hanging, strangulation and suffocation</v>
      </c>
      <c r="CK360" t="s">
        <v>20</v>
      </c>
      <c r="CL360" t="s">
        <v>79</v>
      </c>
      <c r="CM360" t="s">
        <v>43</v>
      </c>
      <c r="CN360">
        <v>21</v>
      </c>
      <c r="CO360">
        <v>2</v>
      </c>
      <c r="CP360">
        <v>2</v>
      </c>
      <c r="CQ360">
        <v>100</v>
      </c>
    </row>
    <row r="361" spans="1:95">
      <c r="A361" t="str">
        <f t="shared" si="40"/>
        <v>1999MaleAllEth24</v>
      </c>
      <c r="B361">
        <v>1999</v>
      </c>
      <c r="C361" t="s">
        <v>20</v>
      </c>
      <c r="D361" t="s">
        <v>27</v>
      </c>
      <c r="E361">
        <v>24</v>
      </c>
      <c r="F361">
        <v>83</v>
      </c>
      <c r="G361">
        <v>20.56338726061</v>
      </c>
      <c r="H361">
        <v>4.4000000000000004</v>
      </c>
      <c r="J361" s="340" t="str">
        <f t="shared" si="41"/>
        <v>2008FemaleMaori193</v>
      </c>
      <c r="K361">
        <v>2008</v>
      </c>
      <c r="L361" t="s">
        <v>8</v>
      </c>
      <c r="M361" t="s">
        <v>18</v>
      </c>
      <c r="N361">
        <v>19</v>
      </c>
      <c r="O361">
        <v>3</v>
      </c>
      <c r="P361">
        <v>6</v>
      </c>
      <c r="Q361">
        <v>11.157087354221099</v>
      </c>
      <c r="R361">
        <v>8.9</v>
      </c>
      <c r="T361" s="340" t="str">
        <f t="shared" si="43"/>
        <v>1997MaleAllEth23Hanging, strangulation and suffocation</v>
      </c>
      <c r="U361">
        <v>1997</v>
      </c>
      <c r="V361" t="s">
        <v>20</v>
      </c>
      <c r="W361" t="s">
        <v>27</v>
      </c>
      <c r="X361">
        <v>23</v>
      </c>
      <c r="Y361" t="s">
        <v>43</v>
      </c>
      <c r="Z361">
        <v>84</v>
      </c>
      <c r="AA361">
        <v>201</v>
      </c>
      <c r="AB361">
        <v>41.8</v>
      </c>
      <c r="AY361" t="str">
        <f t="shared" si="42"/>
        <v>2013AllSexUrban19</v>
      </c>
      <c r="AZ361">
        <v>2013</v>
      </c>
      <c r="BA361" t="s">
        <v>17</v>
      </c>
      <c r="BB361" t="s">
        <v>97</v>
      </c>
      <c r="BC361">
        <v>19</v>
      </c>
      <c r="BD361">
        <v>433</v>
      </c>
      <c r="BE361">
        <v>10.7930481573742</v>
      </c>
      <c r="BF361">
        <v>1</v>
      </c>
      <c r="CA361" t="str">
        <f t="shared" si="44"/>
        <v>MalePacific253</v>
      </c>
      <c r="CB361" t="s">
        <v>20</v>
      </c>
      <c r="CC361" t="s">
        <v>79</v>
      </c>
      <c r="CD361">
        <v>25</v>
      </c>
      <c r="CE361">
        <v>3</v>
      </c>
      <c r="CF361">
        <v>1</v>
      </c>
      <c r="CG361">
        <v>25.8325835335358</v>
      </c>
      <c r="CH361">
        <v>50.6</v>
      </c>
      <c r="CJ361" t="str">
        <f t="shared" si="45"/>
        <v>MalePacific22Hanging, strangulation and suffocation</v>
      </c>
      <c r="CK361" t="s">
        <v>20</v>
      </c>
      <c r="CL361" t="s">
        <v>79</v>
      </c>
      <c r="CM361" t="s">
        <v>43</v>
      </c>
      <c r="CN361">
        <v>22</v>
      </c>
      <c r="CO361">
        <v>35</v>
      </c>
      <c r="CP361">
        <v>36</v>
      </c>
      <c r="CQ361">
        <v>97.2</v>
      </c>
    </row>
    <row r="362" spans="1:95">
      <c r="A362" t="str">
        <f t="shared" si="40"/>
        <v>1999MaleAllEth25</v>
      </c>
      <c r="B362">
        <v>1999</v>
      </c>
      <c r="C362" t="s">
        <v>20</v>
      </c>
      <c r="D362" t="s">
        <v>27</v>
      </c>
      <c r="E362">
        <v>25</v>
      </c>
      <c r="F362">
        <v>36</v>
      </c>
      <c r="G362">
        <v>18.4729064039409</v>
      </c>
      <c r="H362">
        <v>6</v>
      </c>
      <c r="J362" s="340" t="str">
        <f t="shared" si="41"/>
        <v>2008FemaleMaori194</v>
      </c>
      <c r="K362">
        <v>2008</v>
      </c>
      <c r="L362" t="s">
        <v>8</v>
      </c>
      <c r="M362" t="s">
        <v>18</v>
      </c>
      <c r="N362">
        <v>19</v>
      </c>
      <c r="O362">
        <v>4</v>
      </c>
      <c r="P362">
        <v>6</v>
      </c>
      <c r="Q362">
        <v>6.8763337909106896</v>
      </c>
      <c r="R362">
        <v>5.5</v>
      </c>
      <c r="T362" s="340" t="str">
        <f t="shared" si="43"/>
        <v>1997MaleAllEth24Hanging, strangulation and suffocation</v>
      </c>
      <c r="U362">
        <v>1997</v>
      </c>
      <c r="V362" t="s">
        <v>20</v>
      </c>
      <c r="W362" t="s">
        <v>27</v>
      </c>
      <c r="X362">
        <v>24</v>
      </c>
      <c r="Y362" t="s">
        <v>43</v>
      </c>
      <c r="Z362">
        <v>29</v>
      </c>
      <c r="AA362">
        <v>76</v>
      </c>
      <c r="AB362">
        <v>38.200000000000003</v>
      </c>
      <c r="AY362" t="str">
        <f t="shared" si="42"/>
        <v>2014AllSexRural19</v>
      </c>
      <c r="AZ362">
        <v>2014</v>
      </c>
      <c r="BA362" t="s">
        <v>17</v>
      </c>
      <c r="BB362" t="s">
        <v>96</v>
      </c>
      <c r="BC362">
        <v>19</v>
      </c>
      <c r="BD362">
        <v>71</v>
      </c>
      <c r="BE362">
        <v>10.812556001474</v>
      </c>
      <c r="BF362">
        <v>2.5</v>
      </c>
      <c r="CA362" t="str">
        <f t="shared" si="44"/>
        <v>MalePacific254</v>
      </c>
      <c r="CB362" t="s">
        <v>20</v>
      </c>
      <c r="CC362" t="s">
        <v>79</v>
      </c>
      <c r="CD362">
        <v>25</v>
      </c>
      <c r="CE362">
        <v>4</v>
      </c>
      <c r="CF362">
        <v>1</v>
      </c>
      <c r="CG362">
        <v>13.2839985195656</v>
      </c>
      <c r="CH362">
        <v>26</v>
      </c>
      <c r="CJ362" t="str">
        <f t="shared" si="45"/>
        <v>MalePacific23Hanging, strangulation and suffocation</v>
      </c>
      <c r="CK362" t="s">
        <v>20</v>
      </c>
      <c r="CL362" t="s">
        <v>79</v>
      </c>
      <c r="CM362" t="s">
        <v>43</v>
      </c>
      <c r="CN362">
        <v>23</v>
      </c>
      <c r="CO362">
        <v>25</v>
      </c>
      <c r="CP362">
        <v>31</v>
      </c>
      <c r="CQ362">
        <v>80.599999999999994</v>
      </c>
    </row>
    <row r="363" spans="1:95">
      <c r="A363" t="str">
        <f t="shared" si="40"/>
        <v>1999MaleMaori21</v>
      </c>
      <c r="B363">
        <v>1999</v>
      </c>
      <c r="C363" t="s">
        <v>20</v>
      </c>
      <c r="D363" t="s">
        <v>18</v>
      </c>
      <c r="E363">
        <v>21</v>
      </c>
      <c r="F363">
        <v>1</v>
      </c>
      <c r="G363">
        <v>0.93554121059032702</v>
      </c>
      <c r="H363">
        <v>1.8</v>
      </c>
      <c r="J363" s="340" t="str">
        <f t="shared" si="41"/>
        <v>2008FemaleMaori195</v>
      </c>
      <c r="K363">
        <v>2008</v>
      </c>
      <c r="L363" t="s">
        <v>8</v>
      </c>
      <c r="M363" t="s">
        <v>18</v>
      </c>
      <c r="N363">
        <v>19</v>
      </c>
      <c r="O363">
        <v>5</v>
      </c>
      <c r="P363">
        <v>14</v>
      </c>
      <c r="Q363">
        <v>9.8391827766182391</v>
      </c>
      <c r="R363">
        <v>5.2</v>
      </c>
      <c r="T363" s="340" t="str">
        <f t="shared" si="43"/>
        <v>1997MaleAllEth25Hanging, strangulation and suffocation</v>
      </c>
      <c r="U363">
        <v>1997</v>
      </c>
      <c r="V363" t="s">
        <v>20</v>
      </c>
      <c r="W363" t="s">
        <v>27</v>
      </c>
      <c r="X363">
        <v>25</v>
      </c>
      <c r="Y363" t="s">
        <v>43</v>
      </c>
      <c r="Z363">
        <v>13</v>
      </c>
      <c r="AA363">
        <v>46</v>
      </c>
      <c r="AB363">
        <v>28.3</v>
      </c>
      <c r="AY363" t="str">
        <f t="shared" si="42"/>
        <v>2014AllSexUrban19</v>
      </c>
      <c r="AZ363">
        <v>2014</v>
      </c>
      <c r="BA363" t="s">
        <v>17</v>
      </c>
      <c r="BB363" t="s">
        <v>97</v>
      </c>
      <c r="BC363">
        <v>19</v>
      </c>
      <c r="BD363">
        <v>433</v>
      </c>
      <c r="BE363">
        <v>10.6579533148366</v>
      </c>
      <c r="BF363">
        <v>1</v>
      </c>
      <c r="CA363" t="str">
        <f t="shared" si="44"/>
        <v>MalePacific255</v>
      </c>
      <c r="CB363" t="s">
        <v>20</v>
      </c>
      <c r="CC363" t="s">
        <v>79</v>
      </c>
      <c r="CD363">
        <v>25</v>
      </c>
      <c r="CE363">
        <v>5</v>
      </c>
      <c r="CF363">
        <v>1</v>
      </c>
      <c r="CG363">
        <v>4.7051633170456597</v>
      </c>
      <c r="CH363">
        <v>9.1999999999999993</v>
      </c>
      <c r="CJ363" t="str">
        <f t="shared" si="45"/>
        <v>MalePacific24Hanging, strangulation and suffocation</v>
      </c>
      <c r="CK363" t="s">
        <v>20</v>
      </c>
      <c r="CL363" t="s">
        <v>79</v>
      </c>
      <c r="CM363" t="s">
        <v>43</v>
      </c>
      <c r="CN363">
        <v>24</v>
      </c>
      <c r="CO363">
        <v>14</v>
      </c>
      <c r="CP363">
        <v>19</v>
      </c>
      <c r="CQ363">
        <v>73.7</v>
      </c>
    </row>
    <row r="364" spans="1:95">
      <c r="A364" t="str">
        <f t="shared" si="40"/>
        <v>1999MaleMaori22</v>
      </c>
      <c r="B364">
        <v>1999</v>
      </c>
      <c r="C364" t="s">
        <v>20</v>
      </c>
      <c r="D364" t="s">
        <v>18</v>
      </c>
      <c r="E364">
        <v>22</v>
      </c>
      <c r="F364">
        <v>23</v>
      </c>
      <c r="G364">
        <v>45.195519748477103</v>
      </c>
      <c r="H364">
        <v>18.5</v>
      </c>
      <c r="J364" s="340" t="str">
        <f t="shared" si="41"/>
        <v>2009FemaleMaori191</v>
      </c>
      <c r="K364">
        <v>2009</v>
      </c>
      <c r="L364" t="s">
        <v>8</v>
      </c>
      <c r="M364" t="s">
        <v>18</v>
      </c>
      <c r="N364">
        <v>19</v>
      </c>
      <c r="O364">
        <v>1</v>
      </c>
      <c r="P364">
        <v>0</v>
      </c>
      <c r="Q364">
        <v>0</v>
      </c>
      <c r="T364" s="340" t="str">
        <f t="shared" si="43"/>
        <v>1997MaleAllEth22Jumping from a high place</v>
      </c>
      <c r="U364">
        <v>1997</v>
      </c>
      <c r="V364" t="s">
        <v>20</v>
      </c>
      <c r="W364" t="s">
        <v>27</v>
      </c>
      <c r="X364">
        <v>22</v>
      </c>
      <c r="Y364" t="s">
        <v>44</v>
      </c>
      <c r="Z364">
        <v>2</v>
      </c>
      <c r="AA364">
        <v>113</v>
      </c>
      <c r="AB364">
        <v>1.8</v>
      </c>
      <c r="AY364" t="str">
        <f t="shared" si="42"/>
        <v>2015AllSexRural19</v>
      </c>
      <c r="AZ364">
        <v>2015</v>
      </c>
      <c r="BA364" t="s">
        <v>17</v>
      </c>
      <c r="BB364" t="s">
        <v>96</v>
      </c>
      <c r="BC364">
        <v>19</v>
      </c>
      <c r="BD364">
        <v>90</v>
      </c>
      <c r="BE364">
        <v>13.5679435015004</v>
      </c>
      <c r="BF364">
        <v>2.8</v>
      </c>
      <c r="CJ364" t="str">
        <f t="shared" si="45"/>
        <v>MalePacific25Hanging, strangulation and suffocation</v>
      </c>
      <c r="CK364" t="s">
        <v>20</v>
      </c>
      <c r="CL364" t="s">
        <v>79</v>
      </c>
      <c r="CM364" t="s">
        <v>43</v>
      </c>
      <c r="CN364">
        <v>25</v>
      </c>
      <c r="CO364">
        <v>1</v>
      </c>
      <c r="CP364">
        <v>3</v>
      </c>
      <c r="CQ364">
        <v>33.299999999999997</v>
      </c>
    </row>
    <row r="365" spans="1:95">
      <c r="A365" t="str">
        <f t="shared" si="40"/>
        <v>1999MaleMaori23</v>
      </c>
      <c r="B365">
        <v>1999</v>
      </c>
      <c r="C365" t="s">
        <v>20</v>
      </c>
      <c r="D365" t="s">
        <v>18</v>
      </c>
      <c r="E365">
        <v>23</v>
      </c>
      <c r="F365">
        <v>34</v>
      </c>
      <c r="G365">
        <v>44.328552803129099</v>
      </c>
      <c r="H365">
        <v>14.9</v>
      </c>
      <c r="J365" s="340" t="str">
        <f t="shared" si="41"/>
        <v>2009FemaleMaori192</v>
      </c>
      <c r="K365">
        <v>2009</v>
      </c>
      <c r="L365" t="s">
        <v>8</v>
      </c>
      <c r="M365" t="s">
        <v>18</v>
      </c>
      <c r="N365">
        <v>19</v>
      </c>
      <c r="O365">
        <v>2</v>
      </c>
      <c r="P365">
        <v>1</v>
      </c>
      <c r="Q365">
        <v>2.8983272289270801</v>
      </c>
      <c r="R365">
        <v>5.7</v>
      </c>
      <c r="T365" s="340" t="str">
        <f t="shared" si="43"/>
        <v>1997MaleAllEth23Jumping from a high place</v>
      </c>
      <c r="U365">
        <v>1997</v>
      </c>
      <c r="V365" t="s">
        <v>20</v>
      </c>
      <c r="W365" t="s">
        <v>27</v>
      </c>
      <c r="X365">
        <v>23</v>
      </c>
      <c r="Y365" t="s">
        <v>44</v>
      </c>
      <c r="Z365">
        <v>6</v>
      </c>
      <c r="AA365">
        <v>201</v>
      </c>
      <c r="AB365">
        <v>3</v>
      </c>
      <c r="AY365" t="str">
        <f t="shared" si="42"/>
        <v>2015AllSexUrban19</v>
      </c>
      <c r="AZ365">
        <v>2015</v>
      </c>
      <c r="BA365" t="s">
        <v>17</v>
      </c>
      <c r="BB365" t="s">
        <v>97</v>
      </c>
      <c r="BC365">
        <v>19</v>
      </c>
      <c r="BD365">
        <v>439</v>
      </c>
      <c r="BE365">
        <v>10.7388016322244</v>
      </c>
      <c r="BF365">
        <v>1</v>
      </c>
      <c r="CJ365" t="str">
        <f t="shared" si="45"/>
        <v>MalePacific22Jumping from a high place</v>
      </c>
      <c r="CK365" t="s">
        <v>20</v>
      </c>
      <c r="CL365" t="s">
        <v>79</v>
      </c>
      <c r="CM365" t="s">
        <v>44</v>
      </c>
      <c r="CN365">
        <v>22</v>
      </c>
      <c r="CO365">
        <v>1</v>
      </c>
      <c r="CP365">
        <v>36</v>
      </c>
      <c r="CQ365">
        <v>2.8</v>
      </c>
    </row>
    <row r="366" spans="1:95">
      <c r="A366" t="str">
        <f t="shared" si="40"/>
        <v>1999MaleMaori24</v>
      </c>
      <c r="B366">
        <v>1999</v>
      </c>
      <c r="C366" t="s">
        <v>20</v>
      </c>
      <c r="D366" t="s">
        <v>18</v>
      </c>
      <c r="E366">
        <v>24</v>
      </c>
      <c r="F366">
        <v>1</v>
      </c>
      <c r="G366">
        <v>2.8669724770642202</v>
      </c>
      <c r="H366">
        <v>5.6</v>
      </c>
      <c r="J366" s="340" t="str">
        <f t="shared" si="41"/>
        <v>2009FemaleMaori193</v>
      </c>
      <c r="K366">
        <v>2009</v>
      </c>
      <c r="L366" t="s">
        <v>8</v>
      </c>
      <c r="M366" t="s">
        <v>18</v>
      </c>
      <c r="N366">
        <v>19</v>
      </c>
      <c r="O366">
        <v>3</v>
      </c>
      <c r="P366">
        <v>5</v>
      </c>
      <c r="Q366">
        <v>9.3396018382934098</v>
      </c>
      <c r="R366">
        <v>8.1999999999999993</v>
      </c>
      <c r="T366" s="340" t="str">
        <f t="shared" si="43"/>
        <v>1997MaleAllEth24Jumping from a high place</v>
      </c>
      <c r="U366">
        <v>1997</v>
      </c>
      <c r="V366" t="s">
        <v>20</v>
      </c>
      <c r="W366" t="s">
        <v>27</v>
      </c>
      <c r="X366">
        <v>24</v>
      </c>
      <c r="Y366" t="s">
        <v>44</v>
      </c>
      <c r="Z366">
        <v>1</v>
      </c>
      <c r="AA366">
        <v>76</v>
      </c>
      <c r="AB366">
        <v>1.3</v>
      </c>
      <c r="AY366" t="str">
        <f t="shared" si="42"/>
        <v>2016AllSexRural19</v>
      </c>
      <c r="AZ366">
        <v>2016</v>
      </c>
      <c r="BA366" t="s">
        <v>17</v>
      </c>
      <c r="BB366" t="s">
        <v>96</v>
      </c>
      <c r="BC366">
        <v>19</v>
      </c>
      <c r="BD366">
        <v>89</v>
      </c>
      <c r="BE366">
        <v>13.7751295107612</v>
      </c>
      <c r="BF366">
        <v>2.9</v>
      </c>
      <c r="CJ366" t="str">
        <f t="shared" si="45"/>
        <v>MalePacific23Jumping from a high place</v>
      </c>
      <c r="CK366" t="s">
        <v>20</v>
      </c>
      <c r="CL366" t="s">
        <v>79</v>
      </c>
      <c r="CM366" t="s">
        <v>44</v>
      </c>
      <c r="CN366">
        <v>23</v>
      </c>
      <c r="CO366">
        <v>1</v>
      </c>
      <c r="CP366">
        <v>31</v>
      </c>
      <c r="CQ366">
        <v>3.2</v>
      </c>
    </row>
    <row r="367" spans="1:95">
      <c r="A367" t="str">
        <f t="shared" si="40"/>
        <v>1999MaleMaori25</v>
      </c>
      <c r="B367">
        <v>1999</v>
      </c>
      <c r="C367" t="s">
        <v>20</v>
      </c>
      <c r="D367" t="s">
        <v>18</v>
      </c>
      <c r="E367">
        <v>25</v>
      </c>
      <c r="F367">
        <v>0</v>
      </c>
      <c r="G367">
        <v>0</v>
      </c>
      <c r="J367" s="340" t="str">
        <f t="shared" si="41"/>
        <v>2009FemaleMaori194</v>
      </c>
      <c r="K367">
        <v>2009</v>
      </c>
      <c r="L367" t="s">
        <v>8</v>
      </c>
      <c r="M367" t="s">
        <v>18</v>
      </c>
      <c r="N367">
        <v>19</v>
      </c>
      <c r="O367">
        <v>4</v>
      </c>
      <c r="P367">
        <v>8</v>
      </c>
      <c r="Q367">
        <v>9.7773731081765796</v>
      </c>
      <c r="R367">
        <v>6.8</v>
      </c>
      <c r="T367" s="340" t="str">
        <f t="shared" si="43"/>
        <v>1997MaleAllEth22Other</v>
      </c>
      <c r="U367">
        <v>1997</v>
      </c>
      <c r="V367" t="s">
        <v>20</v>
      </c>
      <c r="W367" t="s">
        <v>27</v>
      </c>
      <c r="X367">
        <v>22</v>
      </c>
      <c r="Y367" t="s">
        <v>45</v>
      </c>
      <c r="Z367">
        <v>3</v>
      </c>
      <c r="AA367">
        <v>113</v>
      </c>
      <c r="AB367">
        <v>2.7</v>
      </c>
      <c r="AY367" t="str">
        <f t="shared" si="42"/>
        <v>2016AllSexUrban19</v>
      </c>
      <c r="AZ367">
        <v>2016</v>
      </c>
      <c r="BA367" t="s">
        <v>17</v>
      </c>
      <c r="BB367" t="s">
        <v>97</v>
      </c>
      <c r="BC367">
        <v>19</v>
      </c>
      <c r="BD367">
        <v>463</v>
      </c>
      <c r="BE367">
        <v>11.0391691669144</v>
      </c>
      <c r="BF367">
        <v>1</v>
      </c>
      <c r="CJ367" t="str">
        <f t="shared" si="45"/>
        <v>MalePacific24Jumping from a high place</v>
      </c>
      <c r="CK367" t="s">
        <v>20</v>
      </c>
      <c r="CL367" t="s">
        <v>79</v>
      </c>
      <c r="CM367" t="s">
        <v>44</v>
      </c>
      <c r="CN367">
        <v>24</v>
      </c>
      <c r="CO367">
        <v>3</v>
      </c>
      <c r="CP367">
        <v>19</v>
      </c>
      <c r="CQ367">
        <v>15.8</v>
      </c>
    </row>
    <row r="368" spans="1:95">
      <c r="A368" t="str">
        <f t="shared" si="40"/>
        <v>1999MaleNon-Maori21</v>
      </c>
      <c r="B368">
        <v>1999</v>
      </c>
      <c r="C368" t="s">
        <v>20</v>
      </c>
      <c r="D368" t="s">
        <v>19</v>
      </c>
      <c r="E368">
        <v>21</v>
      </c>
      <c r="F368">
        <v>2</v>
      </c>
      <c r="G368">
        <v>0.58195361829662196</v>
      </c>
      <c r="H368">
        <v>0.8</v>
      </c>
      <c r="J368" s="340" t="str">
        <f t="shared" si="41"/>
        <v>2009FemaleMaori195</v>
      </c>
      <c r="K368">
        <v>2009</v>
      </c>
      <c r="L368" t="s">
        <v>8</v>
      </c>
      <c r="M368" t="s">
        <v>18</v>
      </c>
      <c r="N368">
        <v>19</v>
      </c>
      <c r="O368">
        <v>5</v>
      </c>
      <c r="P368">
        <v>11</v>
      </c>
      <c r="Q368">
        <v>7.6954570207172104</v>
      </c>
      <c r="R368">
        <v>4.5</v>
      </c>
      <c r="T368" s="340" t="str">
        <f t="shared" si="43"/>
        <v>1997MaleAllEth23Other</v>
      </c>
      <c r="U368">
        <v>1997</v>
      </c>
      <c r="V368" t="s">
        <v>20</v>
      </c>
      <c r="W368" t="s">
        <v>27</v>
      </c>
      <c r="X368">
        <v>23</v>
      </c>
      <c r="Y368" t="s">
        <v>45</v>
      </c>
      <c r="Z368">
        <v>6</v>
      </c>
      <c r="AA368">
        <v>201</v>
      </c>
      <c r="AB368">
        <v>3</v>
      </c>
      <c r="AY368" t="str">
        <f t="shared" si="42"/>
        <v>2003FemaleRural19</v>
      </c>
      <c r="AZ368">
        <v>2003</v>
      </c>
      <c r="BA368" t="s">
        <v>8</v>
      </c>
      <c r="BB368" t="s">
        <v>96</v>
      </c>
      <c r="BC368">
        <v>19</v>
      </c>
      <c r="BD368">
        <v>8</v>
      </c>
      <c r="BE368">
        <v>2.8289701245187602</v>
      </c>
      <c r="BF368">
        <v>2</v>
      </c>
      <c r="CJ368" t="str">
        <f t="shared" si="45"/>
        <v>MalePacific24Other</v>
      </c>
      <c r="CK368" t="s">
        <v>20</v>
      </c>
      <c r="CL368" t="s">
        <v>79</v>
      </c>
      <c r="CM368" t="s">
        <v>45</v>
      </c>
      <c r="CN368">
        <v>24</v>
      </c>
      <c r="CO368">
        <v>1</v>
      </c>
      <c r="CP368">
        <v>19</v>
      </c>
      <c r="CQ368">
        <v>5.3</v>
      </c>
    </row>
    <row r="369" spans="1:95">
      <c r="A369" t="str">
        <f t="shared" si="40"/>
        <v>1999MaleNon-Maori22</v>
      </c>
      <c r="B369">
        <v>1999</v>
      </c>
      <c r="C369" t="s">
        <v>20</v>
      </c>
      <c r="D369" t="s">
        <v>19</v>
      </c>
      <c r="E369">
        <v>22</v>
      </c>
      <c r="F369">
        <v>59</v>
      </c>
      <c r="G369">
        <v>27.192699451537099</v>
      </c>
      <c r="H369">
        <v>6.9</v>
      </c>
      <c r="J369" s="340" t="str">
        <f t="shared" si="41"/>
        <v>2010FemaleMaori191</v>
      </c>
      <c r="K369">
        <v>2010</v>
      </c>
      <c r="L369" t="s">
        <v>8</v>
      </c>
      <c r="M369" t="s">
        <v>18</v>
      </c>
      <c r="N369">
        <v>19</v>
      </c>
      <c r="O369">
        <v>1</v>
      </c>
      <c r="P369">
        <v>1</v>
      </c>
      <c r="Q369">
        <v>2.9236127366550302</v>
      </c>
      <c r="R369">
        <v>5.7</v>
      </c>
      <c r="T369" s="340" t="str">
        <f t="shared" si="43"/>
        <v>1997MaleAllEth24Other</v>
      </c>
      <c r="U369">
        <v>1997</v>
      </c>
      <c r="V369" t="s">
        <v>20</v>
      </c>
      <c r="W369" t="s">
        <v>27</v>
      </c>
      <c r="X369">
        <v>24</v>
      </c>
      <c r="Y369" t="s">
        <v>45</v>
      </c>
      <c r="Z369">
        <v>2</v>
      </c>
      <c r="AA369">
        <v>76</v>
      </c>
      <c r="AB369">
        <v>2.6</v>
      </c>
      <c r="AY369" t="str">
        <f t="shared" si="42"/>
        <v>2003FemaleUrban19</v>
      </c>
      <c r="AZ369">
        <v>2003</v>
      </c>
      <c r="BA369" t="s">
        <v>8</v>
      </c>
      <c r="BB369" t="s">
        <v>97</v>
      </c>
      <c r="BC369">
        <v>19</v>
      </c>
      <c r="BD369">
        <v>112</v>
      </c>
      <c r="BE369">
        <v>5.9436682256245001</v>
      </c>
      <c r="BF369">
        <v>1.1000000000000001</v>
      </c>
      <c r="CJ369" t="str">
        <f t="shared" si="45"/>
        <v>MalePacific23Poisoning by gases and vapours</v>
      </c>
      <c r="CK369" t="s">
        <v>20</v>
      </c>
      <c r="CL369" t="s">
        <v>79</v>
      </c>
      <c r="CM369" t="s">
        <v>46</v>
      </c>
      <c r="CN369">
        <v>23</v>
      </c>
      <c r="CO369">
        <v>1</v>
      </c>
      <c r="CP369">
        <v>31</v>
      </c>
      <c r="CQ369">
        <v>3.2</v>
      </c>
    </row>
    <row r="370" spans="1:95">
      <c r="A370" t="str">
        <f t="shared" si="40"/>
        <v>1999MaleNon-Maori23</v>
      </c>
      <c r="B370">
        <v>1999</v>
      </c>
      <c r="C370" t="s">
        <v>20</v>
      </c>
      <c r="D370" t="s">
        <v>19</v>
      </c>
      <c r="E370">
        <v>23</v>
      </c>
      <c r="F370">
        <v>146</v>
      </c>
      <c r="G370">
        <v>29.6537016350157</v>
      </c>
      <c r="H370">
        <v>4.8</v>
      </c>
      <c r="J370" s="340" t="str">
        <f t="shared" si="41"/>
        <v>2010FemaleMaori192</v>
      </c>
      <c r="K370">
        <v>2010</v>
      </c>
      <c r="L370" t="s">
        <v>8</v>
      </c>
      <c r="M370" t="s">
        <v>18</v>
      </c>
      <c r="N370">
        <v>19</v>
      </c>
      <c r="O370">
        <v>2</v>
      </c>
      <c r="P370">
        <v>2</v>
      </c>
      <c r="Q370">
        <v>5.1573530377617702</v>
      </c>
      <c r="R370">
        <v>7.1</v>
      </c>
      <c r="T370" s="340" t="str">
        <f t="shared" si="43"/>
        <v>1997MaleAllEth25Other</v>
      </c>
      <c r="U370">
        <v>1997</v>
      </c>
      <c r="V370" t="s">
        <v>20</v>
      </c>
      <c r="W370" t="s">
        <v>27</v>
      </c>
      <c r="X370">
        <v>25</v>
      </c>
      <c r="Y370" t="s">
        <v>45</v>
      </c>
      <c r="Z370">
        <v>2</v>
      </c>
      <c r="AA370">
        <v>46</v>
      </c>
      <c r="AB370">
        <v>4.3</v>
      </c>
      <c r="AY370" t="str">
        <f t="shared" si="42"/>
        <v>2004FemaleRural19</v>
      </c>
      <c r="AZ370">
        <v>2004</v>
      </c>
      <c r="BA370" t="s">
        <v>8</v>
      </c>
      <c r="BB370" t="s">
        <v>96</v>
      </c>
      <c r="BC370">
        <v>19</v>
      </c>
      <c r="BD370">
        <v>7</v>
      </c>
      <c r="BE370">
        <v>2.2165695417537301</v>
      </c>
      <c r="BF370">
        <v>1.6</v>
      </c>
      <c r="CJ370" t="str">
        <f t="shared" si="45"/>
        <v>MalePacific23Poisoning by solids and liquids</v>
      </c>
      <c r="CK370" t="s">
        <v>20</v>
      </c>
      <c r="CL370" t="s">
        <v>79</v>
      </c>
      <c r="CM370" t="s">
        <v>47</v>
      </c>
      <c r="CN370">
        <v>23</v>
      </c>
      <c r="CO370">
        <v>3</v>
      </c>
      <c r="CP370">
        <v>31</v>
      </c>
      <c r="CQ370">
        <v>9.6999999999999993</v>
      </c>
    </row>
    <row r="371" spans="1:95">
      <c r="A371" t="str">
        <f t="shared" si="40"/>
        <v>1999MaleNon-Maori24</v>
      </c>
      <c r="B371">
        <v>1999</v>
      </c>
      <c r="C371" t="s">
        <v>20</v>
      </c>
      <c r="D371" t="s">
        <v>19</v>
      </c>
      <c r="E371">
        <v>24</v>
      </c>
      <c r="F371">
        <v>82</v>
      </c>
      <c r="G371">
        <v>22.2372881355932</v>
      </c>
      <c r="H371">
        <v>4.8</v>
      </c>
      <c r="J371" s="340" t="str">
        <f t="shared" si="41"/>
        <v>2010FemaleMaori193</v>
      </c>
      <c r="K371">
        <v>2010</v>
      </c>
      <c r="L371" t="s">
        <v>8</v>
      </c>
      <c r="M371" t="s">
        <v>18</v>
      </c>
      <c r="N371">
        <v>19</v>
      </c>
      <c r="O371">
        <v>3</v>
      </c>
      <c r="P371">
        <v>3</v>
      </c>
      <c r="Q371">
        <v>5.6733613787032198</v>
      </c>
      <c r="R371">
        <v>6.4</v>
      </c>
      <c r="T371" s="340" t="str">
        <f t="shared" si="43"/>
        <v>1997MaleAllEth22Poisoning by gases and vapours</v>
      </c>
      <c r="U371">
        <v>1997</v>
      </c>
      <c r="V371" t="s">
        <v>20</v>
      </c>
      <c r="W371" t="s">
        <v>27</v>
      </c>
      <c r="X371">
        <v>22</v>
      </c>
      <c r="Y371" t="s">
        <v>46</v>
      </c>
      <c r="Z371">
        <v>35</v>
      </c>
      <c r="AA371">
        <v>113</v>
      </c>
      <c r="AB371">
        <v>31</v>
      </c>
      <c r="AY371" t="str">
        <f t="shared" si="42"/>
        <v>2004FemaleUrban19</v>
      </c>
      <c r="AZ371">
        <v>2004</v>
      </c>
      <c r="BA371" t="s">
        <v>8</v>
      </c>
      <c r="BB371" t="s">
        <v>97</v>
      </c>
      <c r="BC371">
        <v>19</v>
      </c>
      <c r="BD371">
        <v>100</v>
      </c>
      <c r="BE371">
        <v>5.4408233207177501</v>
      </c>
      <c r="BF371">
        <v>1.1000000000000001</v>
      </c>
      <c r="CJ371" t="str">
        <f t="shared" si="45"/>
        <v>MalePacific24Poisoning by solids and liquids</v>
      </c>
      <c r="CK371" t="s">
        <v>20</v>
      </c>
      <c r="CL371" t="s">
        <v>79</v>
      </c>
      <c r="CM371" t="s">
        <v>47</v>
      </c>
      <c r="CN371">
        <v>24</v>
      </c>
      <c r="CO371">
        <v>1</v>
      </c>
      <c r="CP371">
        <v>19</v>
      </c>
      <c r="CQ371">
        <v>5.3</v>
      </c>
    </row>
    <row r="372" spans="1:95">
      <c r="A372" t="str">
        <f t="shared" si="40"/>
        <v>1999MaleNon-Maori25</v>
      </c>
      <c r="B372">
        <v>1999</v>
      </c>
      <c r="C372" t="s">
        <v>20</v>
      </c>
      <c r="D372" t="s">
        <v>19</v>
      </c>
      <c r="E372">
        <v>25</v>
      </c>
      <c r="F372">
        <v>36</v>
      </c>
      <c r="G372">
        <v>19.2688540384307</v>
      </c>
      <c r="H372">
        <v>6.3</v>
      </c>
      <c r="J372" s="340" t="str">
        <f t="shared" si="41"/>
        <v>2010FemaleMaori194</v>
      </c>
      <c r="K372">
        <v>2010</v>
      </c>
      <c r="L372" t="s">
        <v>8</v>
      </c>
      <c r="M372" t="s">
        <v>18</v>
      </c>
      <c r="N372">
        <v>19</v>
      </c>
      <c r="O372">
        <v>4</v>
      </c>
      <c r="P372">
        <v>6</v>
      </c>
      <c r="Q372">
        <v>7.28892914760333</v>
      </c>
      <c r="R372">
        <v>5.8</v>
      </c>
      <c r="T372" s="340" t="str">
        <f t="shared" si="43"/>
        <v>1997MaleAllEth23Poisoning by gases and vapours</v>
      </c>
      <c r="U372">
        <v>1997</v>
      </c>
      <c r="V372" t="s">
        <v>20</v>
      </c>
      <c r="W372" t="s">
        <v>27</v>
      </c>
      <c r="X372">
        <v>23</v>
      </c>
      <c r="Y372" t="s">
        <v>46</v>
      </c>
      <c r="Z372">
        <v>64</v>
      </c>
      <c r="AA372">
        <v>201</v>
      </c>
      <c r="AB372">
        <v>31.8</v>
      </c>
      <c r="AY372" t="str">
        <f t="shared" si="42"/>
        <v>2005FemaleRural19</v>
      </c>
      <c r="AZ372">
        <v>2005</v>
      </c>
      <c r="BA372" t="s">
        <v>8</v>
      </c>
      <c r="BB372" t="s">
        <v>96</v>
      </c>
      <c r="BC372">
        <v>19</v>
      </c>
      <c r="BD372">
        <v>16</v>
      </c>
      <c r="BE372">
        <v>6.4204108969494502</v>
      </c>
      <c r="BF372">
        <v>3.1</v>
      </c>
      <c r="CJ372" t="str">
        <f t="shared" si="45"/>
        <v>MalePacific25Poisoning by solids and liquids</v>
      </c>
      <c r="CK372" t="s">
        <v>20</v>
      </c>
      <c r="CL372" t="s">
        <v>79</v>
      </c>
      <c r="CM372" t="s">
        <v>47</v>
      </c>
      <c r="CN372">
        <v>25</v>
      </c>
      <c r="CO372">
        <v>1</v>
      </c>
      <c r="CP372">
        <v>3</v>
      </c>
      <c r="CQ372">
        <v>33.299999999999997</v>
      </c>
    </row>
    <row r="373" spans="1:95">
      <c r="A373" t="str">
        <f t="shared" si="40"/>
        <v>2000AllSexAllEth21</v>
      </c>
      <c r="B373">
        <v>2000</v>
      </c>
      <c r="C373" t="s">
        <v>17</v>
      </c>
      <c r="D373" t="s">
        <v>27</v>
      </c>
      <c r="E373">
        <v>21</v>
      </c>
      <c r="F373">
        <v>4</v>
      </c>
      <c r="G373">
        <v>0.45521275506139702</v>
      </c>
      <c r="H373">
        <v>0.4</v>
      </c>
      <c r="J373" s="340" t="str">
        <f t="shared" si="41"/>
        <v>2010FemaleMaori195</v>
      </c>
      <c r="K373">
        <v>2010</v>
      </c>
      <c r="L373" t="s">
        <v>8</v>
      </c>
      <c r="M373" t="s">
        <v>18</v>
      </c>
      <c r="N373">
        <v>19</v>
      </c>
      <c r="O373">
        <v>5</v>
      </c>
      <c r="P373">
        <v>18</v>
      </c>
      <c r="Q373">
        <v>12.8394209551834</v>
      </c>
      <c r="R373">
        <v>5.9</v>
      </c>
      <c r="T373" s="340" t="str">
        <f t="shared" si="43"/>
        <v>1997MaleAllEth24Poisoning by gases and vapours</v>
      </c>
      <c r="U373">
        <v>1997</v>
      </c>
      <c r="V373" t="s">
        <v>20</v>
      </c>
      <c r="W373" t="s">
        <v>27</v>
      </c>
      <c r="X373">
        <v>24</v>
      </c>
      <c r="Y373" t="s">
        <v>46</v>
      </c>
      <c r="Z373">
        <v>19</v>
      </c>
      <c r="AA373">
        <v>76</v>
      </c>
      <c r="AB373">
        <v>25</v>
      </c>
      <c r="AY373" t="str">
        <f t="shared" si="42"/>
        <v>2005FemaleUrban19</v>
      </c>
      <c r="AZ373">
        <v>2005</v>
      </c>
      <c r="BA373" t="s">
        <v>8</v>
      </c>
      <c r="BB373" t="s">
        <v>97</v>
      </c>
      <c r="BC373">
        <v>19</v>
      </c>
      <c r="BD373">
        <v>112</v>
      </c>
      <c r="BE373">
        <v>5.7641213993145604</v>
      </c>
      <c r="BF373">
        <v>1.1000000000000001</v>
      </c>
      <c r="CJ373" t="str">
        <f t="shared" si="45"/>
        <v>MalePacific25Sharp object</v>
      </c>
      <c r="CK373" t="s">
        <v>20</v>
      </c>
      <c r="CL373" t="s">
        <v>79</v>
      </c>
      <c r="CM373" t="s">
        <v>48</v>
      </c>
      <c r="CN373">
        <v>25</v>
      </c>
      <c r="CO373">
        <v>1</v>
      </c>
      <c r="CP373">
        <v>3</v>
      </c>
      <c r="CQ373">
        <v>33.299999999999997</v>
      </c>
    </row>
    <row r="374" spans="1:95">
      <c r="A374" t="str">
        <f t="shared" si="40"/>
        <v>2000AllSexAllEth22</v>
      </c>
      <c r="B374">
        <v>2000</v>
      </c>
      <c r="C374" t="s">
        <v>17</v>
      </c>
      <c r="D374" t="s">
        <v>27</v>
      </c>
      <c r="E374">
        <v>22</v>
      </c>
      <c r="F374">
        <v>96</v>
      </c>
      <c r="G374">
        <v>18.1519087866583</v>
      </c>
      <c r="H374">
        <v>3.6</v>
      </c>
      <c r="J374" s="340" t="str">
        <f t="shared" si="41"/>
        <v>2011FemaleMaori191</v>
      </c>
      <c r="K374">
        <v>2011</v>
      </c>
      <c r="L374" t="s">
        <v>8</v>
      </c>
      <c r="M374" t="s">
        <v>18</v>
      </c>
      <c r="N374">
        <v>19</v>
      </c>
      <c r="O374">
        <v>1</v>
      </c>
      <c r="P374">
        <v>0</v>
      </c>
      <c r="Q374">
        <v>0</v>
      </c>
      <c r="T374" s="340" t="str">
        <f t="shared" si="43"/>
        <v>1997MaleAllEth25Poisoning by gases and vapours</v>
      </c>
      <c r="U374">
        <v>1997</v>
      </c>
      <c r="V374" t="s">
        <v>20</v>
      </c>
      <c r="W374" t="s">
        <v>27</v>
      </c>
      <c r="X374">
        <v>25</v>
      </c>
      <c r="Y374" t="s">
        <v>46</v>
      </c>
      <c r="Z374">
        <v>16</v>
      </c>
      <c r="AA374">
        <v>46</v>
      </c>
      <c r="AB374">
        <v>34.799999999999997</v>
      </c>
      <c r="AY374" t="str">
        <f t="shared" si="42"/>
        <v>2006FemaleRural19</v>
      </c>
      <c r="AZ374">
        <v>2006</v>
      </c>
      <c r="BA374" t="s">
        <v>8</v>
      </c>
      <c r="BB374" t="s">
        <v>96</v>
      </c>
      <c r="BC374">
        <v>19</v>
      </c>
      <c r="BD374">
        <v>12</v>
      </c>
      <c r="BE374">
        <v>4.6246622517546001</v>
      </c>
      <c r="BF374">
        <v>2.6</v>
      </c>
      <c r="CJ374" t="str">
        <f t="shared" si="45"/>
        <v>MalePacific23Submersion (drowning)</v>
      </c>
      <c r="CK374" t="s">
        <v>20</v>
      </c>
      <c r="CL374" t="s">
        <v>79</v>
      </c>
      <c r="CM374" t="s">
        <v>49</v>
      </c>
      <c r="CN374">
        <v>23</v>
      </c>
      <c r="CO374">
        <v>1</v>
      </c>
      <c r="CP374">
        <v>31</v>
      </c>
      <c r="CQ374">
        <v>3.2</v>
      </c>
    </row>
    <row r="375" spans="1:95">
      <c r="A375" t="str">
        <f t="shared" si="40"/>
        <v>2000AllSexAllEth23</v>
      </c>
      <c r="B375">
        <v>2000</v>
      </c>
      <c r="C375" t="s">
        <v>17</v>
      </c>
      <c r="D375" t="s">
        <v>27</v>
      </c>
      <c r="E375">
        <v>23</v>
      </c>
      <c r="F375">
        <v>209</v>
      </c>
      <c r="G375">
        <v>17.950391644908599</v>
      </c>
      <c r="H375">
        <v>2.4</v>
      </c>
      <c r="J375" s="340" t="str">
        <f t="shared" si="41"/>
        <v>2011FemaleMaori192</v>
      </c>
      <c r="K375">
        <v>2011</v>
      </c>
      <c r="L375" t="s">
        <v>8</v>
      </c>
      <c r="M375" t="s">
        <v>18</v>
      </c>
      <c r="N375">
        <v>19</v>
      </c>
      <c r="O375">
        <v>2</v>
      </c>
      <c r="P375">
        <v>3</v>
      </c>
      <c r="Q375">
        <v>7.7175676010323304</v>
      </c>
      <c r="R375">
        <v>8.6999999999999993</v>
      </c>
      <c r="T375" s="340" t="str">
        <f t="shared" si="43"/>
        <v>1997MaleAllEth22Poisoning by solids and liquids</v>
      </c>
      <c r="U375">
        <v>1997</v>
      </c>
      <c r="V375" t="s">
        <v>20</v>
      </c>
      <c r="W375" t="s">
        <v>27</v>
      </c>
      <c r="X375">
        <v>22</v>
      </c>
      <c r="Y375" t="s">
        <v>47</v>
      </c>
      <c r="Z375">
        <v>6</v>
      </c>
      <c r="AA375">
        <v>113</v>
      </c>
      <c r="AB375">
        <v>5.3</v>
      </c>
      <c r="AY375" t="str">
        <f t="shared" si="42"/>
        <v>2006FemaleUrban19</v>
      </c>
      <c r="AZ375">
        <v>2006</v>
      </c>
      <c r="BA375" t="s">
        <v>8</v>
      </c>
      <c r="BB375" t="s">
        <v>97</v>
      </c>
      <c r="BC375">
        <v>19</v>
      </c>
      <c r="BD375">
        <v>124</v>
      </c>
      <c r="BE375">
        <v>6.40745337685357</v>
      </c>
      <c r="BF375">
        <v>1.1000000000000001</v>
      </c>
      <c r="CJ375" t="str">
        <f t="shared" si="45"/>
        <v>AllSexAllEth19Firearms and explosives</v>
      </c>
      <c r="CK375" t="s">
        <v>17</v>
      </c>
      <c r="CL375" t="s">
        <v>27</v>
      </c>
      <c r="CM375" t="s">
        <v>42</v>
      </c>
      <c r="CN375">
        <v>19</v>
      </c>
      <c r="CO375">
        <v>211</v>
      </c>
      <c r="CP375">
        <v>2656</v>
      </c>
      <c r="CQ375">
        <v>7.9</v>
      </c>
    </row>
    <row r="376" spans="1:95">
      <c r="A376" t="str">
        <f t="shared" si="40"/>
        <v>2000AllSexAllEth24</v>
      </c>
      <c r="B376">
        <v>2000</v>
      </c>
      <c r="C376" t="s">
        <v>17</v>
      </c>
      <c r="D376" t="s">
        <v>27</v>
      </c>
      <c r="E376">
        <v>24</v>
      </c>
      <c r="F376">
        <v>103</v>
      </c>
      <c r="G376">
        <v>12.338580224729901</v>
      </c>
      <c r="H376">
        <v>2.4</v>
      </c>
      <c r="J376" s="340" t="str">
        <f t="shared" si="41"/>
        <v>2011FemaleMaori193</v>
      </c>
      <c r="K376">
        <v>2011</v>
      </c>
      <c r="L376" t="s">
        <v>8</v>
      </c>
      <c r="M376" t="s">
        <v>18</v>
      </c>
      <c r="N376">
        <v>19</v>
      </c>
      <c r="O376">
        <v>3</v>
      </c>
      <c r="P376">
        <v>4</v>
      </c>
      <c r="Q376">
        <v>7.2880459924250696</v>
      </c>
      <c r="R376">
        <v>7.1</v>
      </c>
      <c r="T376" s="340" t="str">
        <f t="shared" si="43"/>
        <v>1997MaleAllEth23Poisoning by solids and liquids</v>
      </c>
      <c r="U376">
        <v>1997</v>
      </c>
      <c r="V376" t="s">
        <v>20</v>
      </c>
      <c r="W376" t="s">
        <v>27</v>
      </c>
      <c r="X376">
        <v>23</v>
      </c>
      <c r="Y376" t="s">
        <v>47</v>
      </c>
      <c r="Z376">
        <v>12</v>
      </c>
      <c r="AA376">
        <v>201</v>
      </c>
      <c r="AB376">
        <v>6</v>
      </c>
      <c r="AY376" t="str">
        <f t="shared" si="42"/>
        <v>2007FemaleRural19</v>
      </c>
      <c r="AZ376">
        <v>2007</v>
      </c>
      <c r="BA376" t="s">
        <v>8</v>
      </c>
      <c r="BB376" t="s">
        <v>96</v>
      </c>
      <c r="BC376">
        <v>19</v>
      </c>
      <c r="BD376">
        <v>15</v>
      </c>
      <c r="BE376">
        <v>5.4336190062585397</v>
      </c>
      <c r="BF376">
        <v>2.7</v>
      </c>
      <c r="CJ376" t="str">
        <f t="shared" si="45"/>
        <v>AllSexAllEth19Hanging, strangulation and suffocation</v>
      </c>
      <c r="CK376" t="s">
        <v>17</v>
      </c>
      <c r="CL376" t="s">
        <v>27</v>
      </c>
      <c r="CM376" t="s">
        <v>43</v>
      </c>
      <c r="CN376">
        <v>19</v>
      </c>
      <c r="CO376">
        <v>1635</v>
      </c>
      <c r="CP376">
        <v>2656</v>
      </c>
      <c r="CQ376">
        <v>61.6</v>
      </c>
    </row>
    <row r="377" spans="1:95">
      <c r="A377" t="str">
        <f t="shared" si="40"/>
        <v>2000AllSexAllEth25</v>
      </c>
      <c r="B377">
        <v>2000</v>
      </c>
      <c r="C377" t="s">
        <v>17</v>
      </c>
      <c r="D377" t="s">
        <v>27</v>
      </c>
      <c r="E377">
        <v>25</v>
      </c>
      <c r="F377">
        <v>47</v>
      </c>
      <c r="G377">
        <v>10.364979600838</v>
      </c>
      <c r="H377">
        <v>3</v>
      </c>
      <c r="J377" s="340" t="str">
        <f t="shared" si="41"/>
        <v>2011FemaleMaori194</v>
      </c>
      <c r="K377">
        <v>2011</v>
      </c>
      <c r="L377" t="s">
        <v>8</v>
      </c>
      <c r="M377" t="s">
        <v>18</v>
      </c>
      <c r="N377">
        <v>19</v>
      </c>
      <c r="O377">
        <v>4</v>
      </c>
      <c r="P377">
        <v>6</v>
      </c>
      <c r="Q377">
        <v>7.64949082052203</v>
      </c>
      <c r="R377">
        <v>6.1</v>
      </c>
      <c r="T377" s="340" t="str">
        <f t="shared" si="43"/>
        <v>1997MaleAllEth24Poisoning by solids and liquids</v>
      </c>
      <c r="U377">
        <v>1997</v>
      </c>
      <c r="V377" t="s">
        <v>20</v>
      </c>
      <c r="W377" t="s">
        <v>27</v>
      </c>
      <c r="X377">
        <v>24</v>
      </c>
      <c r="Y377" t="s">
        <v>47</v>
      </c>
      <c r="Z377">
        <v>4</v>
      </c>
      <c r="AA377">
        <v>76</v>
      </c>
      <c r="AB377">
        <v>5.3</v>
      </c>
      <c r="AY377" t="str">
        <f t="shared" si="42"/>
        <v>2007FemaleUrban19</v>
      </c>
      <c r="AZ377">
        <v>2007</v>
      </c>
      <c r="BA377" t="s">
        <v>8</v>
      </c>
      <c r="BB377" t="s">
        <v>97</v>
      </c>
      <c r="BC377">
        <v>19</v>
      </c>
      <c r="BD377">
        <v>105</v>
      </c>
      <c r="BE377">
        <v>5.1735806107572904</v>
      </c>
      <c r="BF377">
        <v>1</v>
      </c>
      <c r="CJ377" t="str">
        <f t="shared" si="45"/>
        <v>AllSexAllEth19Jumping from a high place</v>
      </c>
      <c r="CK377" t="s">
        <v>17</v>
      </c>
      <c r="CL377" t="s">
        <v>27</v>
      </c>
      <c r="CM377" t="s">
        <v>44</v>
      </c>
      <c r="CN377">
        <v>19</v>
      </c>
      <c r="CO377">
        <v>87</v>
      </c>
      <c r="CP377">
        <v>2656</v>
      </c>
      <c r="CQ377">
        <v>3.3</v>
      </c>
    </row>
    <row r="378" spans="1:95">
      <c r="A378" t="str">
        <f t="shared" si="40"/>
        <v>2000AllSexMaori21</v>
      </c>
      <c r="B378">
        <v>2000</v>
      </c>
      <c r="C378" t="s">
        <v>17</v>
      </c>
      <c r="D378" t="s">
        <v>18</v>
      </c>
      <c r="E378">
        <v>21</v>
      </c>
      <c r="F378">
        <v>1</v>
      </c>
      <c r="G378">
        <v>0.46994689600075201</v>
      </c>
      <c r="H378">
        <v>0.9</v>
      </c>
      <c r="J378" s="340" t="str">
        <f t="shared" si="41"/>
        <v>2011FemaleMaori195</v>
      </c>
      <c r="K378">
        <v>2011</v>
      </c>
      <c r="L378" t="s">
        <v>8</v>
      </c>
      <c r="M378" t="s">
        <v>18</v>
      </c>
      <c r="N378">
        <v>19</v>
      </c>
      <c r="O378">
        <v>5</v>
      </c>
      <c r="P378">
        <v>18</v>
      </c>
      <c r="Q378">
        <v>12.5846344986704</v>
      </c>
      <c r="R378">
        <v>5.8</v>
      </c>
      <c r="T378" s="340" t="str">
        <f t="shared" si="43"/>
        <v>1997MaleAllEth25Poisoning by solids and liquids</v>
      </c>
      <c r="U378">
        <v>1997</v>
      </c>
      <c r="V378" t="s">
        <v>20</v>
      </c>
      <c r="W378" t="s">
        <v>27</v>
      </c>
      <c r="X378">
        <v>25</v>
      </c>
      <c r="Y378" t="s">
        <v>47</v>
      </c>
      <c r="Z378">
        <v>4</v>
      </c>
      <c r="AA378">
        <v>46</v>
      </c>
      <c r="AB378">
        <v>8.6999999999999993</v>
      </c>
      <c r="AY378" t="str">
        <f t="shared" si="42"/>
        <v>2008FemaleRural19</v>
      </c>
      <c r="AZ378">
        <v>2008</v>
      </c>
      <c r="BA378" t="s">
        <v>8</v>
      </c>
      <c r="BB378" t="s">
        <v>96</v>
      </c>
      <c r="BC378">
        <v>19</v>
      </c>
      <c r="BD378">
        <v>14</v>
      </c>
      <c r="BE378">
        <v>4.8492866085801296</v>
      </c>
      <c r="BF378">
        <v>2.5</v>
      </c>
      <c r="CJ378" t="str">
        <f t="shared" si="45"/>
        <v>AllSexAllEth19Other</v>
      </c>
      <c r="CK378" t="s">
        <v>17</v>
      </c>
      <c r="CL378" t="s">
        <v>27</v>
      </c>
      <c r="CM378" t="s">
        <v>45</v>
      </c>
      <c r="CN378">
        <v>19</v>
      </c>
      <c r="CO378">
        <v>98</v>
      </c>
      <c r="CP378">
        <v>2656</v>
      </c>
      <c r="CQ378">
        <v>3.7</v>
      </c>
    </row>
    <row r="379" spans="1:95">
      <c r="A379" t="str">
        <f t="shared" si="40"/>
        <v>2000AllSexMaori22</v>
      </c>
      <c r="B379">
        <v>2000</v>
      </c>
      <c r="C379" t="s">
        <v>17</v>
      </c>
      <c r="D379" t="s">
        <v>18</v>
      </c>
      <c r="E379">
        <v>22</v>
      </c>
      <c r="F379">
        <v>28</v>
      </c>
      <c r="G379">
        <v>27.378507871320998</v>
      </c>
      <c r="H379">
        <v>10.1</v>
      </c>
      <c r="J379" s="340" t="str">
        <f t="shared" si="41"/>
        <v>2012FemaleMaori191</v>
      </c>
      <c r="K379">
        <v>2012</v>
      </c>
      <c r="L379" t="s">
        <v>8</v>
      </c>
      <c r="M379" t="s">
        <v>18</v>
      </c>
      <c r="N379">
        <v>19</v>
      </c>
      <c r="O379">
        <v>1</v>
      </c>
      <c r="P379">
        <v>0</v>
      </c>
      <c r="Q379">
        <v>0</v>
      </c>
      <c r="T379" s="340" t="str">
        <f t="shared" si="43"/>
        <v>1997MaleAllEth23Sharp object</v>
      </c>
      <c r="U379">
        <v>1997</v>
      </c>
      <c r="V379" t="s">
        <v>20</v>
      </c>
      <c r="W379" t="s">
        <v>27</v>
      </c>
      <c r="X379">
        <v>23</v>
      </c>
      <c r="Y379" t="s">
        <v>48</v>
      </c>
      <c r="Z379">
        <v>4</v>
      </c>
      <c r="AA379">
        <v>201</v>
      </c>
      <c r="AB379">
        <v>2</v>
      </c>
      <c r="AY379" t="str">
        <f t="shared" si="42"/>
        <v>2008FemaleUrban19</v>
      </c>
      <c r="AZ379">
        <v>2008</v>
      </c>
      <c r="BA379" t="s">
        <v>8</v>
      </c>
      <c r="BB379" t="s">
        <v>97</v>
      </c>
      <c r="BC379">
        <v>19</v>
      </c>
      <c r="BD379">
        <v>123</v>
      </c>
      <c r="BE379">
        <v>6.3795738477370199</v>
      </c>
      <c r="BF379">
        <v>1.1000000000000001</v>
      </c>
      <c r="CJ379" t="str">
        <f t="shared" si="45"/>
        <v>AllSexAllEth19Poisoning by gases and vapours</v>
      </c>
      <c r="CK379" t="s">
        <v>17</v>
      </c>
      <c r="CL379" t="s">
        <v>27</v>
      </c>
      <c r="CM379" t="s">
        <v>46</v>
      </c>
      <c r="CN379">
        <v>19</v>
      </c>
      <c r="CO379">
        <v>218</v>
      </c>
      <c r="CP379">
        <v>2656</v>
      </c>
      <c r="CQ379">
        <v>8.1999999999999993</v>
      </c>
    </row>
    <row r="380" spans="1:95">
      <c r="A380" t="str">
        <f t="shared" si="40"/>
        <v>2000AllSexMaori23</v>
      </c>
      <c r="B380">
        <v>2000</v>
      </c>
      <c r="C380" t="s">
        <v>17</v>
      </c>
      <c r="D380" t="s">
        <v>18</v>
      </c>
      <c r="E380">
        <v>23</v>
      </c>
      <c r="F380">
        <v>40</v>
      </c>
      <c r="G380">
        <v>24.150214333152199</v>
      </c>
      <c r="H380">
        <v>7.5</v>
      </c>
      <c r="J380" s="340" t="str">
        <f t="shared" si="41"/>
        <v>2012FemaleMaori192</v>
      </c>
      <c r="K380">
        <v>2012</v>
      </c>
      <c r="L380" t="s">
        <v>8</v>
      </c>
      <c r="M380" t="s">
        <v>18</v>
      </c>
      <c r="N380">
        <v>19</v>
      </c>
      <c r="O380">
        <v>2</v>
      </c>
      <c r="P380">
        <v>5</v>
      </c>
      <c r="Q380">
        <v>12.897268038626001</v>
      </c>
      <c r="R380">
        <v>11.3</v>
      </c>
      <c r="T380" s="340" t="str">
        <f t="shared" si="43"/>
        <v>1997MaleAllEth24Sharp object</v>
      </c>
      <c r="U380">
        <v>1997</v>
      </c>
      <c r="V380" t="s">
        <v>20</v>
      </c>
      <c r="W380" t="s">
        <v>27</v>
      </c>
      <c r="X380">
        <v>24</v>
      </c>
      <c r="Y380" t="s">
        <v>48</v>
      </c>
      <c r="Z380">
        <v>4</v>
      </c>
      <c r="AA380">
        <v>76</v>
      </c>
      <c r="AB380">
        <v>5.3</v>
      </c>
      <c r="AY380" t="str">
        <f t="shared" si="42"/>
        <v>2009FemaleRural19</v>
      </c>
      <c r="AZ380">
        <v>2009</v>
      </c>
      <c r="BA380" t="s">
        <v>8</v>
      </c>
      <c r="BB380" t="s">
        <v>96</v>
      </c>
      <c r="BC380">
        <v>19</v>
      </c>
      <c r="BD380">
        <v>8</v>
      </c>
      <c r="BE380">
        <v>3.7653504454407498</v>
      </c>
      <c r="BF380">
        <v>2.6</v>
      </c>
      <c r="CJ380" t="str">
        <f t="shared" si="45"/>
        <v>AllSexAllEth19Poisoning by solids and liquids</v>
      </c>
      <c r="CK380" t="s">
        <v>17</v>
      </c>
      <c r="CL380" t="s">
        <v>27</v>
      </c>
      <c r="CM380" t="s">
        <v>47</v>
      </c>
      <c r="CN380">
        <v>19</v>
      </c>
      <c r="CO380">
        <v>302</v>
      </c>
      <c r="CP380">
        <v>2656</v>
      </c>
      <c r="CQ380">
        <v>11.4</v>
      </c>
    </row>
    <row r="381" spans="1:95">
      <c r="A381" t="str">
        <f t="shared" si="40"/>
        <v>2000AllSexMaori24</v>
      </c>
      <c r="B381">
        <v>2000</v>
      </c>
      <c r="C381" t="s">
        <v>17</v>
      </c>
      <c r="D381" t="s">
        <v>18</v>
      </c>
      <c r="E381">
        <v>24</v>
      </c>
      <c r="F381">
        <v>10</v>
      </c>
      <c r="G381">
        <v>13.4156157767642</v>
      </c>
      <c r="H381">
        <v>8.3000000000000007</v>
      </c>
      <c r="J381" s="340" t="str">
        <f t="shared" si="41"/>
        <v>2012FemaleMaori193</v>
      </c>
      <c r="K381">
        <v>2012</v>
      </c>
      <c r="L381" t="s">
        <v>8</v>
      </c>
      <c r="M381" t="s">
        <v>18</v>
      </c>
      <c r="N381">
        <v>19</v>
      </c>
      <c r="O381">
        <v>3</v>
      </c>
      <c r="P381">
        <v>2</v>
      </c>
      <c r="Q381">
        <v>3.3837843867594</v>
      </c>
      <c r="R381">
        <v>4.7</v>
      </c>
      <c r="T381" s="340" t="str">
        <f t="shared" si="43"/>
        <v>1997MaleAllEth25Sharp object</v>
      </c>
      <c r="U381">
        <v>1997</v>
      </c>
      <c r="V381" t="s">
        <v>20</v>
      </c>
      <c r="W381" t="s">
        <v>27</v>
      </c>
      <c r="X381">
        <v>25</v>
      </c>
      <c r="Y381" t="s">
        <v>48</v>
      </c>
      <c r="Z381">
        <v>3</v>
      </c>
      <c r="AA381">
        <v>46</v>
      </c>
      <c r="AB381">
        <v>6.5</v>
      </c>
      <c r="AY381" t="str">
        <f t="shared" si="42"/>
        <v>2009FemaleUrban19</v>
      </c>
      <c r="AZ381">
        <v>2009</v>
      </c>
      <c r="BA381" t="s">
        <v>8</v>
      </c>
      <c r="BB381" t="s">
        <v>97</v>
      </c>
      <c r="BC381">
        <v>19</v>
      </c>
      <c r="BD381">
        <v>109</v>
      </c>
      <c r="BE381">
        <v>5.3823058570931703</v>
      </c>
      <c r="BF381">
        <v>1</v>
      </c>
      <c r="CJ381" t="str">
        <f t="shared" si="45"/>
        <v>AllSexAllEth19Sharp object</v>
      </c>
      <c r="CK381" t="s">
        <v>17</v>
      </c>
      <c r="CL381" t="s">
        <v>27</v>
      </c>
      <c r="CM381" t="s">
        <v>48</v>
      </c>
      <c r="CN381">
        <v>19</v>
      </c>
      <c r="CO381">
        <v>51</v>
      </c>
      <c r="CP381">
        <v>2656</v>
      </c>
      <c r="CQ381">
        <v>1.9</v>
      </c>
    </row>
    <row r="382" spans="1:95">
      <c r="A382" t="str">
        <f t="shared" si="40"/>
        <v>2000AllSexMaori25</v>
      </c>
      <c r="B382">
        <v>2000</v>
      </c>
      <c r="C382" t="s">
        <v>17</v>
      </c>
      <c r="D382" t="s">
        <v>18</v>
      </c>
      <c r="E382">
        <v>25</v>
      </c>
      <c r="F382">
        <v>1</v>
      </c>
      <c r="G382">
        <v>5.3276505061268002</v>
      </c>
      <c r="H382">
        <v>10.4</v>
      </c>
      <c r="J382" s="340" t="str">
        <f t="shared" si="41"/>
        <v>2012FemaleMaori194</v>
      </c>
      <c r="K382">
        <v>2012</v>
      </c>
      <c r="L382" t="s">
        <v>8</v>
      </c>
      <c r="M382" t="s">
        <v>18</v>
      </c>
      <c r="N382">
        <v>19</v>
      </c>
      <c r="O382">
        <v>4</v>
      </c>
      <c r="P382">
        <v>12</v>
      </c>
      <c r="Q382">
        <v>15.289355573899201</v>
      </c>
      <c r="R382">
        <v>8.6999999999999993</v>
      </c>
      <c r="T382" s="340" t="str">
        <f t="shared" si="43"/>
        <v>1997MaleAllEth22Submersion (drowning)</v>
      </c>
      <c r="U382">
        <v>1997</v>
      </c>
      <c r="V382" t="s">
        <v>20</v>
      </c>
      <c r="W382" t="s">
        <v>27</v>
      </c>
      <c r="X382">
        <v>22</v>
      </c>
      <c r="Y382" t="s">
        <v>49</v>
      </c>
      <c r="Z382">
        <v>1</v>
      </c>
      <c r="AA382">
        <v>113</v>
      </c>
      <c r="AB382">
        <v>0.9</v>
      </c>
      <c r="AY382" t="str">
        <f t="shared" si="42"/>
        <v>2010FemaleRural19</v>
      </c>
      <c r="AZ382">
        <v>2010</v>
      </c>
      <c r="BA382" t="s">
        <v>8</v>
      </c>
      <c r="BB382" t="s">
        <v>96</v>
      </c>
      <c r="BC382">
        <v>19</v>
      </c>
      <c r="BD382">
        <v>14</v>
      </c>
      <c r="BE382">
        <v>4.65537787927064</v>
      </c>
      <c r="BF382">
        <v>2.4</v>
      </c>
      <c r="CJ382" t="str">
        <f t="shared" si="45"/>
        <v>AllSexAllEth19Submersion (drowning)</v>
      </c>
      <c r="CK382" t="s">
        <v>17</v>
      </c>
      <c r="CL382" t="s">
        <v>27</v>
      </c>
      <c r="CM382" t="s">
        <v>49</v>
      </c>
      <c r="CN382">
        <v>19</v>
      </c>
      <c r="CO382">
        <v>54</v>
      </c>
      <c r="CP382">
        <v>2656</v>
      </c>
      <c r="CQ382">
        <v>2</v>
      </c>
    </row>
    <row r="383" spans="1:95">
      <c r="A383" t="str">
        <f t="shared" si="40"/>
        <v>2000AllSexNon-Maori21</v>
      </c>
      <c r="B383">
        <v>2000</v>
      </c>
      <c r="C383" t="s">
        <v>17</v>
      </c>
      <c r="D383" t="s">
        <v>19</v>
      </c>
      <c r="E383">
        <v>21</v>
      </c>
      <c r="F383">
        <v>3</v>
      </c>
      <c r="G383">
        <v>0.45050456511292603</v>
      </c>
      <c r="H383">
        <v>0.5</v>
      </c>
      <c r="J383" s="340" t="str">
        <f t="shared" si="41"/>
        <v>2012FemaleMaori195</v>
      </c>
      <c r="K383">
        <v>2012</v>
      </c>
      <c r="L383" t="s">
        <v>8</v>
      </c>
      <c r="M383" t="s">
        <v>18</v>
      </c>
      <c r="N383">
        <v>19</v>
      </c>
      <c r="O383">
        <v>5</v>
      </c>
      <c r="P383">
        <v>17</v>
      </c>
      <c r="Q383">
        <v>11.057340319943799</v>
      </c>
      <c r="R383">
        <v>5.3</v>
      </c>
      <c r="T383" s="340" t="str">
        <f t="shared" si="43"/>
        <v>1997MaleAllEth23Submersion (drowning)</v>
      </c>
      <c r="U383">
        <v>1997</v>
      </c>
      <c r="V383" t="s">
        <v>20</v>
      </c>
      <c r="W383" t="s">
        <v>27</v>
      </c>
      <c r="X383">
        <v>23</v>
      </c>
      <c r="Y383" t="s">
        <v>49</v>
      </c>
      <c r="Z383">
        <v>4</v>
      </c>
      <c r="AA383">
        <v>201</v>
      </c>
      <c r="AB383">
        <v>2</v>
      </c>
      <c r="AY383" t="str">
        <f t="shared" si="42"/>
        <v>2010FemaleUrban19</v>
      </c>
      <c r="AZ383">
        <v>2010</v>
      </c>
      <c r="BA383" t="s">
        <v>8</v>
      </c>
      <c r="BB383" t="s">
        <v>97</v>
      </c>
      <c r="BC383">
        <v>19</v>
      </c>
      <c r="BD383">
        <v>133</v>
      </c>
      <c r="BE383">
        <v>6.8063565837858899</v>
      </c>
      <c r="BF383">
        <v>1.2</v>
      </c>
      <c r="CJ383" t="str">
        <f t="shared" si="45"/>
        <v>AllSexAsian19Firearms and explosives</v>
      </c>
      <c r="CK383" t="s">
        <v>17</v>
      </c>
      <c r="CL383" t="s">
        <v>78</v>
      </c>
      <c r="CM383" t="s">
        <v>42</v>
      </c>
      <c r="CN383">
        <v>19</v>
      </c>
      <c r="CO383">
        <v>1</v>
      </c>
      <c r="CP383">
        <v>128</v>
      </c>
      <c r="CQ383">
        <v>0.8</v>
      </c>
    </row>
    <row r="384" spans="1:95">
      <c r="A384" t="str">
        <f t="shared" si="40"/>
        <v>2000AllSexNon-Maori22</v>
      </c>
      <c r="B384">
        <v>2000</v>
      </c>
      <c r="C384" t="s">
        <v>17</v>
      </c>
      <c r="D384" t="s">
        <v>19</v>
      </c>
      <c r="E384">
        <v>22</v>
      </c>
      <c r="F384">
        <v>68</v>
      </c>
      <c r="G384">
        <v>15.9399906235349</v>
      </c>
      <c r="H384">
        <v>3.8</v>
      </c>
      <c r="J384" s="340" t="str">
        <f t="shared" si="41"/>
        <v>2013FemaleMaori191</v>
      </c>
      <c r="K384">
        <v>2013</v>
      </c>
      <c r="L384" t="s">
        <v>8</v>
      </c>
      <c r="M384" t="s">
        <v>18</v>
      </c>
      <c r="N384">
        <v>19</v>
      </c>
      <c r="O384">
        <v>1</v>
      </c>
      <c r="P384">
        <v>0</v>
      </c>
      <c r="Q384">
        <v>0</v>
      </c>
      <c r="T384" s="340" t="str">
        <f t="shared" si="43"/>
        <v>1997MaleAllEth24Submersion (drowning)</v>
      </c>
      <c r="U384">
        <v>1997</v>
      </c>
      <c r="V384" t="s">
        <v>20</v>
      </c>
      <c r="W384" t="s">
        <v>27</v>
      </c>
      <c r="X384">
        <v>24</v>
      </c>
      <c r="Y384" t="s">
        <v>49</v>
      </c>
      <c r="Z384">
        <v>3</v>
      </c>
      <c r="AA384">
        <v>76</v>
      </c>
      <c r="AB384">
        <v>3.9</v>
      </c>
      <c r="AY384" t="str">
        <f t="shared" si="42"/>
        <v>2011FemaleRural19</v>
      </c>
      <c r="AZ384">
        <v>2011</v>
      </c>
      <c r="BA384" t="s">
        <v>8</v>
      </c>
      <c r="BB384" t="s">
        <v>96</v>
      </c>
      <c r="BC384">
        <v>19</v>
      </c>
      <c r="BD384">
        <v>13</v>
      </c>
      <c r="BE384">
        <v>3.5117478579800698</v>
      </c>
      <c r="BF384">
        <v>1.9</v>
      </c>
      <c r="CJ384" t="str">
        <f t="shared" si="45"/>
        <v>AllSexAsian19Hanging, strangulation and suffocation</v>
      </c>
      <c r="CK384" t="s">
        <v>17</v>
      </c>
      <c r="CL384" t="s">
        <v>78</v>
      </c>
      <c r="CM384" t="s">
        <v>43</v>
      </c>
      <c r="CN384">
        <v>19</v>
      </c>
      <c r="CO384">
        <v>87</v>
      </c>
      <c r="CP384">
        <v>128</v>
      </c>
      <c r="CQ384">
        <v>68</v>
      </c>
    </row>
    <row r="385" spans="1:95">
      <c r="A385" t="str">
        <f t="shared" si="40"/>
        <v>2000AllSexNon-Maori23</v>
      </c>
      <c r="B385">
        <v>2000</v>
      </c>
      <c r="C385" t="s">
        <v>17</v>
      </c>
      <c r="D385" t="s">
        <v>19</v>
      </c>
      <c r="E385">
        <v>23</v>
      </c>
      <c r="F385">
        <v>169</v>
      </c>
      <c r="G385">
        <v>16.9221680401326</v>
      </c>
      <c r="H385">
        <v>2.6</v>
      </c>
      <c r="J385" s="340" t="str">
        <f t="shared" si="41"/>
        <v>2013FemaleMaori192</v>
      </c>
      <c r="K385">
        <v>2013</v>
      </c>
      <c r="L385" t="s">
        <v>8</v>
      </c>
      <c r="M385" t="s">
        <v>18</v>
      </c>
      <c r="N385">
        <v>19</v>
      </c>
      <c r="O385">
        <v>2</v>
      </c>
      <c r="P385">
        <v>3</v>
      </c>
      <c r="Q385">
        <v>8.2685681370708295</v>
      </c>
      <c r="R385">
        <v>9.4</v>
      </c>
      <c r="T385" s="340" t="str">
        <f t="shared" si="43"/>
        <v>1997MaleAllEth25Submersion (drowning)</v>
      </c>
      <c r="U385">
        <v>1997</v>
      </c>
      <c r="V385" t="s">
        <v>20</v>
      </c>
      <c r="W385" t="s">
        <v>27</v>
      </c>
      <c r="X385">
        <v>25</v>
      </c>
      <c r="Y385" t="s">
        <v>49</v>
      </c>
      <c r="Z385">
        <v>3</v>
      </c>
      <c r="AA385">
        <v>46</v>
      </c>
      <c r="AB385">
        <v>6.5</v>
      </c>
      <c r="AY385" t="str">
        <f t="shared" si="42"/>
        <v>2011FemaleUrban19</v>
      </c>
      <c r="AZ385">
        <v>2011</v>
      </c>
      <c r="BA385" t="s">
        <v>8</v>
      </c>
      <c r="BB385" t="s">
        <v>97</v>
      </c>
      <c r="BC385">
        <v>19</v>
      </c>
      <c r="BD385">
        <v>105</v>
      </c>
      <c r="BE385">
        <v>5.3784184345601798</v>
      </c>
      <c r="BF385">
        <v>1</v>
      </c>
      <c r="CJ385" t="str">
        <f t="shared" si="45"/>
        <v>AllSexAsian19Jumping from a high place</v>
      </c>
      <c r="CK385" t="s">
        <v>17</v>
      </c>
      <c r="CL385" t="s">
        <v>78</v>
      </c>
      <c r="CM385" t="s">
        <v>44</v>
      </c>
      <c r="CN385">
        <v>19</v>
      </c>
      <c r="CO385">
        <v>13</v>
      </c>
      <c r="CP385">
        <v>128</v>
      </c>
      <c r="CQ385">
        <v>10.199999999999999</v>
      </c>
    </row>
    <row r="386" spans="1:95">
      <c r="A386" t="str">
        <f t="shared" si="40"/>
        <v>2000AllSexNon-Maori24</v>
      </c>
      <c r="B386">
        <v>2000</v>
      </c>
      <c r="C386" t="s">
        <v>17</v>
      </c>
      <c r="D386" t="s">
        <v>19</v>
      </c>
      <c r="E386">
        <v>24</v>
      </c>
      <c r="F386">
        <v>93</v>
      </c>
      <c r="G386">
        <v>12.2329790592444</v>
      </c>
      <c r="H386">
        <v>2.5</v>
      </c>
      <c r="J386" s="340" t="str">
        <f t="shared" si="41"/>
        <v>2013FemaleMaori193</v>
      </c>
      <c r="K386">
        <v>2013</v>
      </c>
      <c r="L386" t="s">
        <v>8</v>
      </c>
      <c r="M386" t="s">
        <v>18</v>
      </c>
      <c r="N386">
        <v>19</v>
      </c>
      <c r="O386">
        <v>3</v>
      </c>
      <c r="P386">
        <v>4</v>
      </c>
      <c r="Q386">
        <v>7.5300111097821398</v>
      </c>
      <c r="R386">
        <v>7.4</v>
      </c>
      <c r="T386" s="340" t="str">
        <f t="shared" si="43"/>
        <v>1997MaleMaori22Firearms and explosives</v>
      </c>
      <c r="U386">
        <v>1997</v>
      </c>
      <c r="V386" t="s">
        <v>20</v>
      </c>
      <c r="W386" t="s">
        <v>18</v>
      </c>
      <c r="X386">
        <v>22</v>
      </c>
      <c r="Y386" t="s">
        <v>42</v>
      </c>
      <c r="Z386">
        <v>1</v>
      </c>
      <c r="AA386">
        <v>29</v>
      </c>
      <c r="AB386">
        <v>3.4</v>
      </c>
      <c r="AY386" t="str">
        <f t="shared" si="42"/>
        <v>2012FemaleRural19</v>
      </c>
      <c r="AZ386">
        <v>2012</v>
      </c>
      <c r="BA386" t="s">
        <v>8</v>
      </c>
      <c r="BB386" t="s">
        <v>96</v>
      </c>
      <c r="BC386">
        <v>19</v>
      </c>
      <c r="BD386">
        <v>22</v>
      </c>
      <c r="BE386">
        <v>7.9779554412925799</v>
      </c>
      <c r="BF386">
        <v>3.3</v>
      </c>
      <c r="CJ386" t="str">
        <f t="shared" si="45"/>
        <v>AllSexAsian19Other</v>
      </c>
      <c r="CK386" t="s">
        <v>17</v>
      </c>
      <c r="CL386" t="s">
        <v>78</v>
      </c>
      <c r="CM386" t="s">
        <v>45</v>
      </c>
      <c r="CN386">
        <v>19</v>
      </c>
      <c r="CO386">
        <v>7</v>
      </c>
      <c r="CP386">
        <v>128</v>
      </c>
      <c r="CQ386">
        <v>5.5</v>
      </c>
    </row>
    <row r="387" spans="1:95">
      <c r="A387" t="str">
        <f t="shared" si="40"/>
        <v>2000AllSexNon-Maori25</v>
      </c>
      <c r="B387">
        <v>2000</v>
      </c>
      <c r="C387" t="s">
        <v>17</v>
      </c>
      <c r="D387" t="s">
        <v>19</v>
      </c>
      <c r="E387">
        <v>25</v>
      </c>
      <c r="F387">
        <v>46</v>
      </c>
      <c r="G387">
        <v>10.582497469402799</v>
      </c>
      <c r="H387">
        <v>3.1</v>
      </c>
      <c r="J387" s="340" t="str">
        <f t="shared" si="41"/>
        <v>2013FemaleMaori194</v>
      </c>
      <c r="K387">
        <v>2013</v>
      </c>
      <c r="L387" t="s">
        <v>8</v>
      </c>
      <c r="M387" t="s">
        <v>18</v>
      </c>
      <c r="N387">
        <v>19</v>
      </c>
      <c r="O387">
        <v>4</v>
      </c>
      <c r="P387">
        <v>11</v>
      </c>
      <c r="Q387">
        <v>13.0402113369096</v>
      </c>
      <c r="R387">
        <v>7.7</v>
      </c>
      <c r="T387" s="340" t="str">
        <f t="shared" si="43"/>
        <v>1997MaleMaori23Firearms and explosives</v>
      </c>
      <c r="U387">
        <v>1997</v>
      </c>
      <c r="V387" t="s">
        <v>20</v>
      </c>
      <c r="W387" t="s">
        <v>18</v>
      </c>
      <c r="X387">
        <v>23</v>
      </c>
      <c r="Y387" t="s">
        <v>42</v>
      </c>
      <c r="Z387">
        <v>5</v>
      </c>
      <c r="AA387">
        <v>41</v>
      </c>
      <c r="AB387">
        <v>12.2</v>
      </c>
      <c r="AY387" t="str">
        <f t="shared" si="42"/>
        <v>2012FemaleUrban19</v>
      </c>
      <c r="AZ387">
        <v>2012</v>
      </c>
      <c r="BA387" t="s">
        <v>8</v>
      </c>
      <c r="BB387" t="s">
        <v>97</v>
      </c>
      <c r="BC387">
        <v>19</v>
      </c>
      <c r="BD387">
        <v>122</v>
      </c>
      <c r="BE387">
        <v>6.09130408691549</v>
      </c>
      <c r="BF387">
        <v>1.1000000000000001</v>
      </c>
      <c r="CJ387" t="str">
        <f t="shared" si="45"/>
        <v>AllSexAsian19Poisoning by gases and vapours</v>
      </c>
      <c r="CK387" t="s">
        <v>17</v>
      </c>
      <c r="CL387" t="s">
        <v>78</v>
      </c>
      <c r="CM387" t="s">
        <v>46</v>
      </c>
      <c r="CN387">
        <v>19</v>
      </c>
      <c r="CO387">
        <v>6</v>
      </c>
      <c r="CP387">
        <v>128</v>
      </c>
      <c r="CQ387">
        <v>4.7</v>
      </c>
    </row>
    <row r="388" spans="1:95">
      <c r="A388" t="str">
        <f t="shared" ref="A388:A451" si="46">B388&amp;C388&amp;D388&amp;E388</f>
        <v>2000FemaleAllEth21</v>
      </c>
      <c r="B388">
        <v>2000</v>
      </c>
      <c r="C388" t="s">
        <v>8</v>
      </c>
      <c r="D388" t="s">
        <v>27</v>
      </c>
      <c r="E388">
        <v>21</v>
      </c>
      <c r="F388">
        <v>1</v>
      </c>
      <c r="G388">
        <v>0.23392360055205999</v>
      </c>
      <c r="H388">
        <v>0.5</v>
      </c>
      <c r="J388" s="340" t="str">
        <f t="shared" ref="J388:J451" si="47">K388&amp;L388&amp;M388&amp;N388&amp;O388</f>
        <v>2013FemaleMaori195</v>
      </c>
      <c r="K388">
        <v>2013</v>
      </c>
      <c r="L388" t="s">
        <v>8</v>
      </c>
      <c r="M388" t="s">
        <v>18</v>
      </c>
      <c r="N388">
        <v>19</v>
      </c>
      <c r="O388">
        <v>5</v>
      </c>
      <c r="P388">
        <v>21</v>
      </c>
      <c r="Q388">
        <v>14.3250662084971</v>
      </c>
      <c r="R388">
        <v>6.1</v>
      </c>
      <c r="T388" s="340" t="str">
        <f t="shared" si="43"/>
        <v>1997MaleMaori24Firearms and explosives</v>
      </c>
      <c r="U388">
        <v>1997</v>
      </c>
      <c r="V388" t="s">
        <v>20</v>
      </c>
      <c r="W388" t="s">
        <v>18</v>
      </c>
      <c r="X388">
        <v>24</v>
      </c>
      <c r="Y388" t="s">
        <v>42</v>
      </c>
      <c r="Z388">
        <v>1</v>
      </c>
      <c r="AA388">
        <v>7</v>
      </c>
      <c r="AB388">
        <v>14.3</v>
      </c>
      <c r="AY388" t="str">
        <f t="shared" ref="AY388:AY423" si="48">AZ388&amp;BA388&amp;BB388&amp;BC388</f>
        <v>2013FemaleRural19</v>
      </c>
      <c r="AZ388">
        <v>2013</v>
      </c>
      <c r="BA388" t="s">
        <v>8</v>
      </c>
      <c r="BB388" t="s">
        <v>96</v>
      </c>
      <c r="BC388">
        <v>19</v>
      </c>
      <c r="BD388">
        <v>24</v>
      </c>
      <c r="BE388">
        <v>8.7943398467877394</v>
      </c>
      <c r="BF388">
        <v>3.5</v>
      </c>
      <c r="CJ388" t="str">
        <f t="shared" si="45"/>
        <v>AllSexAsian19Poisoning by solids and liquids</v>
      </c>
      <c r="CK388" t="s">
        <v>17</v>
      </c>
      <c r="CL388" t="s">
        <v>78</v>
      </c>
      <c r="CM388" t="s">
        <v>47</v>
      </c>
      <c r="CN388">
        <v>19</v>
      </c>
      <c r="CO388">
        <v>9</v>
      </c>
      <c r="CP388">
        <v>128</v>
      </c>
      <c r="CQ388">
        <v>7</v>
      </c>
    </row>
    <row r="389" spans="1:95">
      <c r="A389" t="str">
        <f t="shared" si="46"/>
        <v>2000FemaleAllEth22</v>
      </c>
      <c r="B389">
        <v>2000</v>
      </c>
      <c r="C389" t="s">
        <v>8</v>
      </c>
      <c r="D389" t="s">
        <v>27</v>
      </c>
      <c r="E389">
        <v>22</v>
      </c>
      <c r="F389">
        <v>15</v>
      </c>
      <c r="G389">
        <v>5.7297834141869401</v>
      </c>
      <c r="H389">
        <v>2.9</v>
      </c>
      <c r="J389" s="340" t="str">
        <f t="shared" si="47"/>
        <v>2014FemaleMaori191</v>
      </c>
      <c r="K389">
        <v>2014</v>
      </c>
      <c r="L389" t="s">
        <v>8</v>
      </c>
      <c r="M389" t="s">
        <v>18</v>
      </c>
      <c r="N389">
        <v>19</v>
      </c>
      <c r="O389">
        <v>1</v>
      </c>
      <c r="P389">
        <v>3</v>
      </c>
      <c r="Q389">
        <v>12.093587349405601</v>
      </c>
      <c r="R389">
        <v>13.7</v>
      </c>
      <c r="T389" s="340" t="str">
        <f t="shared" ref="T389:T452" si="49">U389&amp;V389&amp;W389&amp;X389&amp;Y389</f>
        <v>1997MaleMaori21Hanging, strangulation and suffocation</v>
      </c>
      <c r="U389">
        <v>1997</v>
      </c>
      <c r="V389" t="s">
        <v>20</v>
      </c>
      <c r="W389" t="s">
        <v>18</v>
      </c>
      <c r="X389">
        <v>21</v>
      </c>
      <c r="Y389" t="s">
        <v>43</v>
      </c>
      <c r="Z389">
        <v>3</v>
      </c>
      <c r="AA389">
        <v>3</v>
      </c>
      <c r="AB389">
        <v>100</v>
      </c>
      <c r="AY389" t="str">
        <f t="shared" si="48"/>
        <v>2013FemaleUrban19</v>
      </c>
      <c r="AZ389">
        <v>2013</v>
      </c>
      <c r="BA389" t="s">
        <v>8</v>
      </c>
      <c r="BB389" t="s">
        <v>97</v>
      </c>
      <c r="BC389">
        <v>19</v>
      </c>
      <c r="BD389">
        <v>124</v>
      </c>
      <c r="BE389">
        <v>6.2559324705276298</v>
      </c>
      <c r="BF389">
        <v>1.1000000000000001</v>
      </c>
      <c r="CJ389" t="str">
        <f t="shared" ref="CJ389:CJ452" si="50">CK389&amp;CL389&amp;CN389&amp;CM389</f>
        <v>AllSexAsian19Sharp object</v>
      </c>
      <c r="CK389" t="s">
        <v>17</v>
      </c>
      <c r="CL389" t="s">
        <v>78</v>
      </c>
      <c r="CM389" t="s">
        <v>48</v>
      </c>
      <c r="CN389">
        <v>19</v>
      </c>
      <c r="CO389">
        <v>2</v>
      </c>
      <c r="CP389">
        <v>128</v>
      </c>
      <c r="CQ389">
        <v>1.6</v>
      </c>
    </row>
    <row r="390" spans="1:95">
      <c r="A390" t="str">
        <f t="shared" si="46"/>
        <v>2000FemaleAllEth23</v>
      </c>
      <c r="B390">
        <v>2000</v>
      </c>
      <c r="C390" t="s">
        <v>8</v>
      </c>
      <c r="D390" t="s">
        <v>27</v>
      </c>
      <c r="E390">
        <v>23</v>
      </c>
      <c r="F390">
        <v>38</v>
      </c>
      <c r="G390">
        <v>6.3395672411204398</v>
      </c>
      <c r="H390">
        <v>2</v>
      </c>
      <c r="J390" s="340" t="str">
        <f t="shared" si="47"/>
        <v>2014FemaleMaori192</v>
      </c>
      <c r="K390">
        <v>2014</v>
      </c>
      <c r="L390" t="s">
        <v>8</v>
      </c>
      <c r="M390" t="s">
        <v>18</v>
      </c>
      <c r="N390">
        <v>19</v>
      </c>
      <c r="O390">
        <v>2</v>
      </c>
      <c r="P390">
        <v>0</v>
      </c>
      <c r="Q390">
        <v>0</v>
      </c>
      <c r="T390" s="340" t="str">
        <f t="shared" si="49"/>
        <v>1997MaleMaori22Hanging, strangulation and suffocation</v>
      </c>
      <c r="U390">
        <v>1997</v>
      </c>
      <c r="V390" t="s">
        <v>20</v>
      </c>
      <c r="W390" t="s">
        <v>18</v>
      </c>
      <c r="X390">
        <v>22</v>
      </c>
      <c r="Y390" t="s">
        <v>43</v>
      </c>
      <c r="Z390">
        <v>21</v>
      </c>
      <c r="AA390">
        <v>29</v>
      </c>
      <c r="AB390">
        <v>72.400000000000006</v>
      </c>
      <c r="AY390" t="str">
        <f t="shared" si="48"/>
        <v>2014FemaleRural19</v>
      </c>
      <c r="AZ390">
        <v>2014</v>
      </c>
      <c r="BA390" t="s">
        <v>8</v>
      </c>
      <c r="BB390" t="s">
        <v>96</v>
      </c>
      <c r="BC390">
        <v>19</v>
      </c>
      <c r="BD390">
        <v>21</v>
      </c>
      <c r="BE390">
        <v>5.5406863993035502</v>
      </c>
      <c r="BF390">
        <v>2.4</v>
      </c>
      <c r="CJ390" t="str">
        <f t="shared" si="50"/>
        <v>AllSexAsian19Submersion (drowning)</v>
      </c>
      <c r="CK390" t="s">
        <v>17</v>
      </c>
      <c r="CL390" t="s">
        <v>78</v>
      </c>
      <c r="CM390" t="s">
        <v>49</v>
      </c>
      <c r="CN390">
        <v>19</v>
      </c>
      <c r="CO390">
        <v>3</v>
      </c>
      <c r="CP390">
        <v>128</v>
      </c>
      <c r="CQ390">
        <v>2.2999999999999998</v>
      </c>
    </row>
    <row r="391" spans="1:95">
      <c r="A391" t="str">
        <f t="shared" si="46"/>
        <v>2000FemaleAllEth24</v>
      </c>
      <c r="B391">
        <v>2000</v>
      </c>
      <c r="C391" t="s">
        <v>8</v>
      </c>
      <c r="D391" t="s">
        <v>27</v>
      </c>
      <c r="E391">
        <v>24</v>
      </c>
      <c r="F391">
        <v>23</v>
      </c>
      <c r="G391">
        <v>5.4634424438215596</v>
      </c>
      <c r="H391">
        <v>2.2000000000000002</v>
      </c>
      <c r="J391" s="340" t="str">
        <f t="shared" si="47"/>
        <v>2014FemaleMaori193</v>
      </c>
      <c r="K391">
        <v>2014</v>
      </c>
      <c r="L391" t="s">
        <v>8</v>
      </c>
      <c r="M391" t="s">
        <v>18</v>
      </c>
      <c r="N391">
        <v>19</v>
      </c>
      <c r="O391">
        <v>3</v>
      </c>
      <c r="P391">
        <v>3</v>
      </c>
      <c r="Q391">
        <v>5.5758234444948398</v>
      </c>
      <c r="R391">
        <v>6.3</v>
      </c>
      <c r="T391" s="340" t="str">
        <f t="shared" si="49"/>
        <v>1997MaleMaori23Hanging, strangulation and suffocation</v>
      </c>
      <c r="U391">
        <v>1997</v>
      </c>
      <c r="V391" t="s">
        <v>20</v>
      </c>
      <c r="W391" t="s">
        <v>18</v>
      </c>
      <c r="X391">
        <v>23</v>
      </c>
      <c r="Y391" t="s">
        <v>43</v>
      </c>
      <c r="Z391">
        <v>28</v>
      </c>
      <c r="AA391">
        <v>41</v>
      </c>
      <c r="AB391">
        <v>68.3</v>
      </c>
      <c r="AY391" t="str">
        <f t="shared" si="48"/>
        <v>2014FemaleUrban19</v>
      </c>
      <c r="AZ391">
        <v>2014</v>
      </c>
      <c r="BA391" t="s">
        <v>8</v>
      </c>
      <c r="BB391" t="s">
        <v>97</v>
      </c>
      <c r="BC391">
        <v>19</v>
      </c>
      <c r="BD391">
        <v>109</v>
      </c>
      <c r="BE391">
        <v>5.33416829501728</v>
      </c>
      <c r="BF391">
        <v>1</v>
      </c>
      <c r="CJ391" t="str">
        <f t="shared" si="50"/>
        <v>AllSexMaori19Firearms and explosives</v>
      </c>
      <c r="CK391" t="s">
        <v>17</v>
      </c>
      <c r="CL391" t="s">
        <v>18</v>
      </c>
      <c r="CM391" t="s">
        <v>42</v>
      </c>
      <c r="CN391">
        <v>19</v>
      </c>
      <c r="CO391">
        <v>12</v>
      </c>
      <c r="CP391">
        <v>568</v>
      </c>
      <c r="CQ391">
        <v>2.1</v>
      </c>
    </row>
    <row r="392" spans="1:95">
      <c r="A392" t="str">
        <f t="shared" si="46"/>
        <v>2000FemaleAllEth25</v>
      </c>
      <c r="B392">
        <v>2000</v>
      </c>
      <c r="C392" t="s">
        <v>8</v>
      </c>
      <c r="D392" t="s">
        <v>27</v>
      </c>
      <c r="E392">
        <v>25</v>
      </c>
      <c r="F392">
        <v>6</v>
      </c>
      <c r="G392">
        <v>2.3488881929220198</v>
      </c>
      <c r="H392">
        <v>1.9</v>
      </c>
      <c r="J392" s="340" t="str">
        <f t="shared" si="47"/>
        <v>2014FemaleMaori194</v>
      </c>
      <c r="K392">
        <v>2014</v>
      </c>
      <c r="L392" t="s">
        <v>8</v>
      </c>
      <c r="M392" t="s">
        <v>18</v>
      </c>
      <c r="N392">
        <v>19</v>
      </c>
      <c r="O392">
        <v>4</v>
      </c>
      <c r="P392">
        <v>4</v>
      </c>
      <c r="Q392">
        <v>5.2950099910323196</v>
      </c>
      <c r="R392">
        <v>5.2</v>
      </c>
      <c r="T392" s="340" t="str">
        <f t="shared" si="49"/>
        <v>1997MaleMaori24Hanging, strangulation and suffocation</v>
      </c>
      <c r="U392">
        <v>1997</v>
      </c>
      <c r="V392" t="s">
        <v>20</v>
      </c>
      <c r="W392" t="s">
        <v>18</v>
      </c>
      <c r="X392">
        <v>24</v>
      </c>
      <c r="Y392" t="s">
        <v>43</v>
      </c>
      <c r="Z392">
        <v>4</v>
      </c>
      <c r="AA392">
        <v>7</v>
      </c>
      <c r="AB392">
        <v>57.1</v>
      </c>
      <c r="AY392" t="str">
        <f t="shared" si="48"/>
        <v>2015FemaleRural19</v>
      </c>
      <c r="AZ392">
        <v>2015</v>
      </c>
      <c r="BA392" t="s">
        <v>8</v>
      </c>
      <c r="BB392" t="s">
        <v>96</v>
      </c>
      <c r="BC392">
        <v>19</v>
      </c>
      <c r="BD392">
        <v>26</v>
      </c>
      <c r="BE392">
        <v>7.9392843388666599</v>
      </c>
      <c r="BF392">
        <v>3.1</v>
      </c>
      <c r="CJ392" t="str">
        <f t="shared" si="50"/>
        <v>AllSexMaori19Hanging, strangulation and suffocation</v>
      </c>
      <c r="CK392" t="s">
        <v>17</v>
      </c>
      <c r="CL392" t="s">
        <v>18</v>
      </c>
      <c r="CM392" t="s">
        <v>43</v>
      </c>
      <c r="CN392">
        <v>19</v>
      </c>
      <c r="CO392">
        <v>486</v>
      </c>
      <c r="CP392">
        <v>568</v>
      </c>
      <c r="CQ392">
        <v>85.6</v>
      </c>
    </row>
    <row r="393" spans="1:95">
      <c r="A393" t="str">
        <f t="shared" si="46"/>
        <v>2000FemaleMaori21</v>
      </c>
      <c r="B393">
        <v>2000</v>
      </c>
      <c r="C393" t="s">
        <v>8</v>
      </c>
      <c r="D393" t="s">
        <v>18</v>
      </c>
      <c r="E393">
        <v>21</v>
      </c>
      <c r="F393">
        <v>0</v>
      </c>
      <c r="G393">
        <v>0</v>
      </c>
      <c r="J393" s="340" t="str">
        <f t="shared" si="47"/>
        <v>2014FemaleMaori195</v>
      </c>
      <c r="K393">
        <v>2014</v>
      </c>
      <c r="L393" t="s">
        <v>8</v>
      </c>
      <c r="M393" t="s">
        <v>18</v>
      </c>
      <c r="N393">
        <v>19</v>
      </c>
      <c r="O393">
        <v>5</v>
      </c>
      <c r="P393">
        <v>15</v>
      </c>
      <c r="Q393">
        <v>10.4991048041484</v>
      </c>
      <c r="R393">
        <v>5.3</v>
      </c>
      <c r="T393" s="340" t="str">
        <f t="shared" si="49"/>
        <v>1997MaleMaori22Other</v>
      </c>
      <c r="U393">
        <v>1997</v>
      </c>
      <c r="V393" t="s">
        <v>20</v>
      </c>
      <c r="W393" t="s">
        <v>18</v>
      </c>
      <c r="X393">
        <v>22</v>
      </c>
      <c r="Y393" t="s">
        <v>45</v>
      </c>
      <c r="Z393">
        <v>1</v>
      </c>
      <c r="AA393">
        <v>29</v>
      </c>
      <c r="AB393">
        <v>3.4</v>
      </c>
      <c r="AY393" t="str">
        <f t="shared" si="48"/>
        <v>2015FemaleUrban19</v>
      </c>
      <c r="AZ393">
        <v>2015</v>
      </c>
      <c r="BA393" t="s">
        <v>8</v>
      </c>
      <c r="BB393" t="s">
        <v>97</v>
      </c>
      <c r="BC393">
        <v>19</v>
      </c>
      <c r="BD393">
        <v>118</v>
      </c>
      <c r="BE393">
        <v>5.7849207616307599</v>
      </c>
      <c r="BF393">
        <v>1</v>
      </c>
      <c r="CJ393" t="str">
        <f t="shared" si="50"/>
        <v>AllSexMaori19Jumping from a high place</v>
      </c>
      <c r="CK393" t="s">
        <v>17</v>
      </c>
      <c r="CL393" t="s">
        <v>18</v>
      </c>
      <c r="CM393" t="s">
        <v>44</v>
      </c>
      <c r="CN393">
        <v>19</v>
      </c>
      <c r="CO393">
        <v>8</v>
      </c>
      <c r="CP393">
        <v>568</v>
      </c>
      <c r="CQ393">
        <v>1.4</v>
      </c>
    </row>
    <row r="394" spans="1:95">
      <c r="A394" t="str">
        <f t="shared" si="46"/>
        <v>2000FemaleMaori22</v>
      </c>
      <c r="B394">
        <v>2000</v>
      </c>
      <c r="C394" t="s">
        <v>8</v>
      </c>
      <c r="D394" t="s">
        <v>18</v>
      </c>
      <c r="E394">
        <v>22</v>
      </c>
      <c r="F394">
        <v>4</v>
      </c>
      <c r="G394">
        <v>7.7489345215032897</v>
      </c>
      <c r="H394">
        <v>7.6</v>
      </c>
      <c r="J394" s="340" t="str">
        <f t="shared" si="47"/>
        <v>2015FemaleMaori191</v>
      </c>
      <c r="K394">
        <v>2015</v>
      </c>
      <c r="L394" t="s">
        <v>8</v>
      </c>
      <c r="M394" t="s">
        <v>18</v>
      </c>
      <c r="N394">
        <v>19</v>
      </c>
      <c r="O394">
        <v>1</v>
      </c>
      <c r="P394">
        <v>2</v>
      </c>
      <c r="Q394">
        <v>6.2720206025728196</v>
      </c>
      <c r="R394">
        <v>8.6999999999999993</v>
      </c>
      <c r="T394" s="340" t="str">
        <f t="shared" si="49"/>
        <v>1997MaleMaori23Other</v>
      </c>
      <c r="U394">
        <v>1997</v>
      </c>
      <c r="V394" t="s">
        <v>20</v>
      </c>
      <c r="W394" t="s">
        <v>18</v>
      </c>
      <c r="X394">
        <v>23</v>
      </c>
      <c r="Y394" t="s">
        <v>45</v>
      </c>
      <c r="Z394">
        <v>2</v>
      </c>
      <c r="AA394">
        <v>41</v>
      </c>
      <c r="AB394">
        <v>4.9000000000000004</v>
      </c>
      <c r="AY394" t="str">
        <f t="shared" si="48"/>
        <v>2016FemaleRural19</v>
      </c>
      <c r="AZ394">
        <v>2016</v>
      </c>
      <c r="BA394" t="s">
        <v>8</v>
      </c>
      <c r="BB394" t="s">
        <v>96</v>
      </c>
      <c r="BC394">
        <v>19</v>
      </c>
      <c r="BD394">
        <v>19</v>
      </c>
      <c r="BE394">
        <v>6.7527001356984702</v>
      </c>
      <c r="BF394">
        <v>3</v>
      </c>
      <c r="CJ394" t="str">
        <f t="shared" si="50"/>
        <v>AllSexMaori19Other</v>
      </c>
      <c r="CK394" t="s">
        <v>17</v>
      </c>
      <c r="CL394" t="s">
        <v>18</v>
      </c>
      <c r="CM394" t="s">
        <v>45</v>
      </c>
      <c r="CN394">
        <v>19</v>
      </c>
      <c r="CO394">
        <v>14</v>
      </c>
      <c r="CP394">
        <v>568</v>
      </c>
      <c r="CQ394">
        <v>2.5</v>
      </c>
    </row>
    <row r="395" spans="1:95">
      <c r="A395" t="str">
        <f t="shared" si="46"/>
        <v>2000FemaleMaori23</v>
      </c>
      <c r="B395">
        <v>2000</v>
      </c>
      <c r="C395" t="s">
        <v>8</v>
      </c>
      <c r="D395" t="s">
        <v>18</v>
      </c>
      <c r="E395">
        <v>23</v>
      </c>
      <c r="F395">
        <v>5</v>
      </c>
      <c r="G395">
        <v>5.7451453521774098</v>
      </c>
      <c r="H395">
        <v>5</v>
      </c>
      <c r="J395" s="340" t="str">
        <f t="shared" si="47"/>
        <v>2015FemaleMaori192</v>
      </c>
      <c r="K395">
        <v>2015</v>
      </c>
      <c r="L395" t="s">
        <v>8</v>
      </c>
      <c r="M395" t="s">
        <v>18</v>
      </c>
      <c r="N395">
        <v>19</v>
      </c>
      <c r="O395">
        <v>2</v>
      </c>
      <c r="P395">
        <v>5</v>
      </c>
      <c r="Q395">
        <v>12.4468794129403</v>
      </c>
      <c r="R395">
        <v>10.9</v>
      </c>
      <c r="T395" s="340" t="str">
        <f t="shared" si="49"/>
        <v>1997MaleMaori24Other</v>
      </c>
      <c r="U395">
        <v>1997</v>
      </c>
      <c r="V395" t="s">
        <v>20</v>
      </c>
      <c r="W395" t="s">
        <v>18</v>
      </c>
      <c r="X395">
        <v>24</v>
      </c>
      <c r="Y395" t="s">
        <v>45</v>
      </c>
      <c r="Z395">
        <v>1</v>
      </c>
      <c r="AA395">
        <v>7</v>
      </c>
      <c r="AB395">
        <v>14.3</v>
      </c>
      <c r="AY395" t="str">
        <f t="shared" si="48"/>
        <v>2016FemaleUrban19</v>
      </c>
      <c r="AZ395">
        <v>2016</v>
      </c>
      <c r="BA395" t="s">
        <v>8</v>
      </c>
      <c r="BB395" t="s">
        <v>97</v>
      </c>
      <c r="BC395">
        <v>19</v>
      </c>
      <c r="BD395">
        <v>122</v>
      </c>
      <c r="BE395">
        <v>5.7220322760551303</v>
      </c>
      <c r="BF395">
        <v>1</v>
      </c>
      <c r="CJ395" t="str">
        <f t="shared" si="50"/>
        <v>AllSexMaori19Poisoning by gases and vapours</v>
      </c>
      <c r="CK395" t="s">
        <v>17</v>
      </c>
      <c r="CL395" t="s">
        <v>18</v>
      </c>
      <c r="CM395" t="s">
        <v>46</v>
      </c>
      <c r="CN395">
        <v>19</v>
      </c>
      <c r="CO395">
        <v>16</v>
      </c>
      <c r="CP395">
        <v>568</v>
      </c>
      <c r="CQ395">
        <v>2.8</v>
      </c>
    </row>
    <row r="396" spans="1:95">
      <c r="A396" t="str">
        <f t="shared" si="46"/>
        <v>2000FemaleMaori24</v>
      </c>
      <c r="B396">
        <v>2000</v>
      </c>
      <c r="C396" t="s">
        <v>8</v>
      </c>
      <c r="D396" t="s">
        <v>18</v>
      </c>
      <c r="E396">
        <v>24</v>
      </c>
      <c r="F396">
        <v>2</v>
      </c>
      <c r="G396">
        <v>5.2273915316257202</v>
      </c>
      <c r="H396">
        <v>7.2</v>
      </c>
      <c r="J396" s="340" t="str">
        <f t="shared" si="47"/>
        <v>2015FemaleMaori193</v>
      </c>
      <c r="K396">
        <v>2015</v>
      </c>
      <c r="L396" t="s">
        <v>8</v>
      </c>
      <c r="M396" t="s">
        <v>18</v>
      </c>
      <c r="N396">
        <v>19</v>
      </c>
      <c r="O396">
        <v>3</v>
      </c>
      <c r="P396">
        <v>4</v>
      </c>
      <c r="Q396">
        <v>7.4161294982403403</v>
      </c>
      <c r="R396">
        <v>7.3</v>
      </c>
      <c r="T396" s="340" t="str">
        <f t="shared" si="49"/>
        <v>1997MaleMaori22Poisoning by gases and vapours</v>
      </c>
      <c r="U396">
        <v>1997</v>
      </c>
      <c r="V396" t="s">
        <v>20</v>
      </c>
      <c r="W396" t="s">
        <v>18</v>
      </c>
      <c r="X396">
        <v>22</v>
      </c>
      <c r="Y396" t="s">
        <v>46</v>
      </c>
      <c r="Z396">
        <v>3</v>
      </c>
      <c r="AA396">
        <v>29</v>
      </c>
      <c r="AB396">
        <v>10.3</v>
      </c>
      <c r="AY396" t="str">
        <f t="shared" si="48"/>
        <v>2003MaleRural19</v>
      </c>
      <c r="AZ396">
        <v>2003</v>
      </c>
      <c r="BA396" t="s">
        <v>20</v>
      </c>
      <c r="BB396" t="s">
        <v>96</v>
      </c>
      <c r="BC396">
        <v>19</v>
      </c>
      <c r="BD396">
        <v>45</v>
      </c>
      <c r="BE396">
        <v>17.265089059187499</v>
      </c>
      <c r="BF396">
        <v>5</v>
      </c>
      <c r="CJ396" t="str">
        <f t="shared" si="50"/>
        <v>AllSexMaori19Poisoning by solids and liquids</v>
      </c>
      <c r="CK396" t="s">
        <v>17</v>
      </c>
      <c r="CL396" t="s">
        <v>18</v>
      </c>
      <c r="CM396" t="s">
        <v>47</v>
      </c>
      <c r="CN396">
        <v>19</v>
      </c>
      <c r="CO396">
        <v>25</v>
      </c>
      <c r="CP396">
        <v>568</v>
      </c>
      <c r="CQ396">
        <v>4.4000000000000004</v>
      </c>
    </row>
    <row r="397" spans="1:95">
      <c r="A397" t="str">
        <f t="shared" si="46"/>
        <v>2000FemaleMaori25</v>
      </c>
      <c r="B397">
        <v>2000</v>
      </c>
      <c r="C397" t="s">
        <v>8</v>
      </c>
      <c r="D397" t="s">
        <v>18</v>
      </c>
      <c r="E397">
        <v>25</v>
      </c>
      <c r="F397">
        <v>0</v>
      </c>
      <c r="G397">
        <v>0</v>
      </c>
      <c r="J397" s="340" t="str">
        <f t="shared" si="47"/>
        <v>2015FemaleMaori194</v>
      </c>
      <c r="K397">
        <v>2015</v>
      </c>
      <c r="L397" t="s">
        <v>8</v>
      </c>
      <c r="M397" t="s">
        <v>18</v>
      </c>
      <c r="N397">
        <v>19</v>
      </c>
      <c r="O397">
        <v>4</v>
      </c>
      <c r="P397">
        <v>9</v>
      </c>
      <c r="Q397">
        <v>9.6736089200188093</v>
      </c>
      <c r="R397">
        <v>6.3</v>
      </c>
      <c r="T397" s="340" t="str">
        <f t="shared" si="49"/>
        <v>1997MaleMaori23Poisoning by gases and vapours</v>
      </c>
      <c r="U397">
        <v>1997</v>
      </c>
      <c r="V397" t="s">
        <v>20</v>
      </c>
      <c r="W397" t="s">
        <v>18</v>
      </c>
      <c r="X397">
        <v>23</v>
      </c>
      <c r="Y397" t="s">
        <v>46</v>
      </c>
      <c r="Z397">
        <v>2</v>
      </c>
      <c r="AA397">
        <v>41</v>
      </c>
      <c r="AB397">
        <v>4.9000000000000004</v>
      </c>
      <c r="AY397" t="str">
        <f t="shared" si="48"/>
        <v>2003MaleUrban19</v>
      </c>
      <c r="AZ397">
        <v>2003</v>
      </c>
      <c r="BA397" t="s">
        <v>20</v>
      </c>
      <c r="BB397" t="s">
        <v>97</v>
      </c>
      <c r="BC397">
        <v>19</v>
      </c>
      <c r="BD397">
        <v>298</v>
      </c>
      <c r="BE397">
        <v>17.0071204805039</v>
      </c>
      <c r="BF397">
        <v>1.9</v>
      </c>
      <c r="CJ397" t="str">
        <f t="shared" si="50"/>
        <v>AllSexMaori19Sharp object</v>
      </c>
      <c r="CK397" t="s">
        <v>17</v>
      </c>
      <c r="CL397" t="s">
        <v>18</v>
      </c>
      <c r="CM397" t="s">
        <v>48</v>
      </c>
      <c r="CN397">
        <v>19</v>
      </c>
      <c r="CO397">
        <v>4</v>
      </c>
      <c r="CP397">
        <v>568</v>
      </c>
      <c r="CQ397">
        <v>0.7</v>
      </c>
    </row>
    <row r="398" spans="1:95">
      <c r="A398" t="str">
        <f t="shared" si="46"/>
        <v>2000FemaleNon-Maori21</v>
      </c>
      <c r="B398">
        <v>2000</v>
      </c>
      <c r="C398" t="s">
        <v>8</v>
      </c>
      <c r="D398" t="s">
        <v>19</v>
      </c>
      <c r="E398">
        <v>21</v>
      </c>
      <c r="F398">
        <v>1</v>
      </c>
      <c r="G398">
        <v>0.308928019771393</v>
      </c>
      <c r="H398">
        <v>0.6</v>
      </c>
      <c r="J398" s="340" t="str">
        <f t="shared" si="47"/>
        <v>2015FemaleMaori195</v>
      </c>
      <c r="K398">
        <v>2015</v>
      </c>
      <c r="L398" t="s">
        <v>8</v>
      </c>
      <c r="M398" t="s">
        <v>18</v>
      </c>
      <c r="N398">
        <v>19</v>
      </c>
      <c r="O398">
        <v>5</v>
      </c>
      <c r="P398">
        <v>20</v>
      </c>
      <c r="Q398">
        <v>13.685944932016399</v>
      </c>
      <c r="R398">
        <v>6</v>
      </c>
      <c r="T398" s="340" t="str">
        <f t="shared" si="49"/>
        <v>1997MaleMaori22Poisoning by solids and liquids</v>
      </c>
      <c r="U398">
        <v>1997</v>
      </c>
      <c r="V398" t="s">
        <v>20</v>
      </c>
      <c r="W398" t="s">
        <v>18</v>
      </c>
      <c r="X398">
        <v>22</v>
      </c>
      <c r="Y398" t="s">
        <v>47</v>
      </c>
      <c r="Z398">
        <v>3</v>
      </c>
      <c r="AA398">
        <v>29</v>
      </c>
      <c r="AB398">
        <v>10.3</v>
      </c>
      <c r="AY398" t="str">
        <f t="shared" si="48"/>
        <v>2004MaleRural19</v>
      </c>
      <c r="AZ398">
        <v>2004</v>
      </c>
      <c r="BA398" t="s">
        <v>20</v>
      </c>
      <c r="BB398" t="s">
        <v>96</v>
      </c>
      <c r="BC398">
        <v>19</v>
      </c>
      <c r="BD398">
        <v>58</v>
      </c>
      <c r="BE398">
        <v>18.7861177161938</v>
      </c>
      <c r="BF398">
        <v>4.8</v>
      </c>
      <c r="CJ398" t="str">
        <f t="shared" si="50"/>
        <v>AllSexMaori19Submersion (drowning)</v>
      </c>
      <c r="CK398" t="s">
        <v>17</v>
      </c>
      <c r="CL398" t="s">
        <v>18</v>
      </c>
      <c r="CM398" t="s">
        <v>49</v>
      </c>
      <c r="CN398">
        <v>19</v>
      </c>
      <c r="CO398">
        <v>3</v>
      </c>
      <c r="CP398">
        <v>568</v>
      </c>
      <c r="CQ398">
        <v>0.5</v>
      </c>
    </row>
    <row r="399" spans="1:95">
      <c r="A399" t="str">
        <f t="shared" si="46"/>
        <v>2000FemaleNon-Maori22</v>
      </c>
      <c r="B399">
        <v>2000</v>
      </c>
      <c r="C399" t="s">
        <v>8</v>
      </c>
      <c r="D399" t="s">
        <v>19</v>
      </c>
      <c r="E399">
        <v>22</v>
      </c>
      <c r="F399">
        <v>11</v>
      </c>
      <c r="G399">
        <v>5.2338583051815197</v>
      </c>
      <c r="H399">
        <v>3.1</v>
      </c>
      <c r="J399" s="340" t="str">
        <f t="shared" si="47"/>
        <v>2016FemaleMaori191</v>
      </c>
      <c r="K399">
        <v>2016</v>
      </c>
      <c r="L399" t="s">
        <v>8</v>
      </c>
      <c r="M399" t="s">
        <v>18</v>
      </c>
      <c r="N399">
        <v>19</v>
      </c>
      <c r="O399">
        <v>1</v>
      </c>
      <c r="P399">
        <v>2</v>
      </c>
      <c r="Q399">
        <v>7.9957054658946003</v>
      </c>
      <c r="R399">
        <v>11.1</v>
      </c>
      <c r="T399" s="340" t="str">
        <f t="shared" si="49"/>
        <v>1997MaleMaori23Poisoning by solids and liquids</v>
      </c>
      <c r="U399">
        <v>1997</v>
      </c>
      <c r="V399" t="s">
        <v>20</v>
      </c>
      <c r="W399" t="s">
        <v>18</v>
      </c>
      <c r="X399">
        <v>23</v>
      </c>
      <c r="Y399" t="s">
        <v>47</v>
      </c>
      <c r="Z399">
        <v>3</v>
      </c>
      <c r="AA399">
        <v>41</v>
      </c>
      <c r="AB399">
        <v>7.3</v>
      </c>
      <c r="AY399" t="str">
        <f t="shared" si="48"/>
        <v>2004MaleUrban19</v>
      </c>
      <c r="AZ399">
        <v>2004</v>
      </c>
      <c r="BA399" t="s">
        <v>20</v>
      </c>
      <c r="BB399" t="s">
        <v>97</v>
      </c>
      <c r="BC399">
        <v>19</v>
      </c>
      <c r="BD399">
        <v>296</v>
      </c>
      <c r="BE399">
        <v>16.803309497238299</v>
      </c>
      <c r="BF399">
        <v>1.9</v>
      </c>
      <c r="CJ399" t="str">
        <f t="shared" si="50"/>
        <v>AllSexOther19Firearms and explosives</v>
      </c>
      <c r="CK399" t="s">
        <v>17</v>
      </c>
      <c r="CL399" t="s">
        <v>45</v>
      </c>
      <c r="CM399" t="s">
        <v>42</v>
      </c>
      <c r="CN399">
        <v>19</v>
      </c>
      <c r="CO399">
        <v>198</v>
      </c>
      <c r="CP399">
        <v>1841</v>
      </c>
      <c r="CQ399">
        <v>10.8</v>
      </c>
    </row>
    <row r="400" spans="1:95">
      <c r="A400" t="str">
        <f t="shared" si="46"/>
        <v>2000FemaleNon-Maori23</v>
      </c>
      <c r="B400">
        <v>2000</v>
      </c>
      <c r="C400" t="s">
        <v>8</v>
      </c>
      <c r="D400" t="s">
        <v>19</v>
      </c>
      <c r="E400">
        <v>23</v>
      </c>
      <c r="F400">
        <v>33</v>
      </c>
      <c r="G400">
        <v>6.4405324173464997</v>
      </c>
      <c r="H400">
        <v>2.2000000000000002</v>
      </c>
      <c r="J400" s="340" t="str">
        <f t="shared" si="47"/>
        <v>2016FemaleMaori192</v>
      </c>
      <c r="K400">
        <v>2016</v>
      </c>
      <c r="L400" t="s">
        <v>8</v>
      </c>
      <c r="M400" t="s">
        <v>18</v>
      </c>
      <c r="N400">
        <v>19</v>
      </c>
      <c r="O400">
        <v>2</v>
      </c>
      <c r="P400">
        <v>1</v>
      </c>
      <c r="Q400">
        <v>2.8650615728259101</v>
      </c>
      <c r="R400">
        <v>5.6</v>
      </c>
      <c r="T400" s="340" t="str">
        <f t="shared" si="49"/>
        <v>1997MaleMaori24Sharp object</v>
      </c>
      <c r="U400">
        <v>1997</v>
      </c>
      <c r="V400" t="s">
        <v>20</v>
      </c>
      <c r="W400" t="s">
        <v>18</v>
      </c>
      <c r="X400">
        <v>24</v>
      </c>
      <c r="Y400" t="s">
        <v>48</v>
      </c>
      <c r="Z400">
        <v>1</v>
      </c>
      <c r="AA400">
        <v>7</v>
      </c>
      <c r="AB400">
        <v>14.3</v>
      </c>
      <c r="AY400" t="str">
        <f t="shared" si="48"/>
        <v>2005MaleRural19</v>
      </c>
      <c r="AZ400">
        <v>2005</v>
      </c>
      <c r="BA400" t="s">
        <v>20</v>
      </c>
      <c r="BB400" t="s">
        <v>96</v>
      </c>
      <c r="BC400">
        <v>19</v>
      </c>
      <c r="BD400">
        <v>64</v>
      </c>
      <c r="BE400">
        <v>23.834037279183299</v>
      </c>
      <c r="BF400">
        <v>5.8</v>
      </c>
      <c r="CJ400" t="str">
        <f t="shared" si="50"/>
        <v>AllSexOther19Hanging, strangulation and suffocation</v>
      </c>
      <c r="CK400" t="s">
        <v>17</v>
      </c>
      <c r="CL400" t="s">
        <v>45</v>
      </c>
      <c r="CM400" t="s">
        <v>43</v>
      </c>
      <c r="CN400">
        <v>19</v>
      </c>
      <c r="CO400">
        <v>962</v>
      </c>
      <c r="CP400">
        <v>1841</v>
      </c>
      <c r="CQ400">
        <v>52.3</v>
      </c>
    </row>
    <row r="401" spans="1:95">
      <c r="A401" t="str">
        <f t="shared" si="46"/>
        <v>2000FemaleNon-Maori24</v>
      </c>
      <c r="B401">
        <v>2000</v>
      </c>
      <c r="C401" t="s">
        <v>8</v>
      </c>
      <c r="D401" t="s">
        <v>19</v>
      </c>
      <c r="E401">
        <v>24</v>
      </c>
      <c r="F401">
        <v>21</v>
      </c>
      <c r="G401">
        <v>5.48704013377926</v>
      </c>
      <c r="H401">
        <v>2.2999999999999998</v>
      </c>
      <c r="J401" s="340" t="str">
        <f t="shared" si="47"/>
        <v>2016FemaleMaori193</v>
      </c>
      <c r="K401">
        <v>2016</v>
      </c>
      <c r="L401" t="s">
        <v>8</v>
      </c>
      <c r="M401" t="s">
        <v>18</v>
      </c>
      <c r="N401">
        <v>19</v>
      </c>
      <c r="O401">
        <v>3</v>
      </c>
      <c r="P401">
        <v>12</v>
      </c>
      <c r="Q401">
        <v>21.092740027499801</v>
      </c>
      <c r="R401">
        <v>11.9</v>
      </c>
      <c r="T401" s="340" t="str">
        <f t="shared" si="49"/>
        <v>1997MaleMaori23Submersion (drowning)</v>
      </c>
      <c r="U401">
        <v>1997</v>
      </c>
      <c r="V401" t="s">
        <v>20</v>
      </c>
      <c r="W401" t="s">
        <v>18</v>
      </c>
      <c r="X401">
        <v>23</v>
      </c>
      <c r="Y401" t="s">
        <v>49</v>
      </c>
      <c r="Z401">
        <v>1</v>
      </c>
      <c r="AA401">
        <v>41</v>
      </c>
      <c r="AB401">
        <v>2.4</v>
      </c>
      <c r="AY401" t="str">
        <f t="shared" si="48"/>
        <v>2005MaleUrban19</v>
      </c>
      <c r="AZ401">
        <v>2005</v>
      </c>
      <c r="BA401" t="s">
        <v>20</v>
      </c>
      <c r="BB401" t="s">
        <v>97</v>
      </c>
      <c r="BC401">
        <v>19</v>
      </c>
      <c r="BD401">
        <v>312</v>
      </c>
      <c r="BE401">
        <v>17.728483527615101</v>
      </c>
      <c r="BF401">
        <v>2</v>
      </c>
      <c r="CJ401" t="str">
        <f t="shared" si="50"/>
        <v>AllSexOther19Jumping from a high place</v>
      </c>
      <c r="CK401" t="s">
        <v>17</v>
      </c>
      <c r="CL401" t="s">
        <v>45</v>
      </c>
      <c r="CM401" t="s">
        <v>44</v>
      </c>
      <c r="CN401">
        <v>19</v>
      </c>
      <c r="CO401">
        <v>61</v>
      </c>
      <c r="CP401">
        <v>1841</v>
      </c>
      <c r="CQ401">
        <v>3.3</v>
      </c>
    </row>
    <row r="402" spans="1:95">
      <c r="A402" t="str">
        <f t="shared" si="46"/>
        <v>2000FemaleNon-Maori25</v>
      </c>
      <c r="B402">
        <v>2000</v>
      </c>
      <c r="C402" t="s">
        <v>8</v>
      </c>
      <c r="D402" t="s">
        <v>19</v>
      </c>
      <c r="E402">
        <v>25</v>
      </c>
      <c r="F402">
        <v>6</v>
      </c>
      <c r="G402">
        <v>2.4475809741372299</v>
      </c>
      <c r="H402">
        <v>2</v>
      </c>
      <c r="J402" s="340" t="str">
        <f t="shared" si="47"/>
        <v>2016FemaleMaori194</v>
      </c>
      <c r="K402">
        <v>2016</v>
      </c>
      <c r="L402" t="s">
        <v>8</v>
      </c>
      <c r="M402" t="s">
        <v>18</v>
      </c>
      <c r="N402">
        <v>19</v>
      </c>
      <c r="O402">
        <v>4</v>
      </c>
      <c r="P402">
        <v>6</v>
      </c>
      <c r="Q402">
        <v>6.6915286305193797</v>
      </c>
      <c r="R402">
        <v>5.4</v>
      </c>
      <c r="T402" s="340" t="str">
        <f t="shared" si="49"/>
        <v>1997MaleNon-Maori22Firearms and explosives</v>
      </c>
      <c r="U402">
        <v>1997</v>
      </c>
      <c r="V402" t="s">
        <v>20</v>
      </c>
      <c r="W402" t="s">
        <v>19</v>
      </c>
      <c r="X402">
        <v>22</v>
      </c>
      <c r="Y402" t="s">
        <v>42</v>
      </c>
      <c r="Z402">
        <v>11</v>
      </c>
      <c r="AA402">
        <v>84</v>
      </c>
      <c r="AB402">
        <v>13.1</v>
      </c>
      <c r="AY402" t="str">
        <f t="shared" si="48"/>
        <v>2006MaleRural19</v>
      </c>
      <c r="AZ402">
        <v>2006</v>
      </c>
      <c r="BA402" t="s">
        <v>20</v>
      </c>
      <c r="BB402" t="s">
        <v>96</v>
      </c>
      <c r="BC402">
        <v>19</v>
      </c>
      <c r="BD402">
        <v>71</v>
      </c>
      <c r="BE402">
        <v>26.870836571005299</v>
      </c>
      <c r="BF402">
        <v>6.3</v>
      </c>
      <c r="CJ402" t="str">
        <f t="shared" si="50"/>
        <v>AllSexOther19Other</v>
      </c>
      <c r="CK402" t="s">
        <v>17</v>
      </c>
      <c r="CL402" t="s">
        <v>45</v>
      </c>
      <c r="CM402" t="s">
        <v>45</v>
      </c>
      <c r="CN402">
        <v>19</v>
      </c>
      <c r="CO402">
        <v>75</v>
      </c>
      <c r="CP402">
        <v>1841</v>
      </c>
      <c r="CQ402">
        <v>4.0999999999999996</v>
      </c>
    </row>
    <row r="403" spans="1:95">
      <c r="A403" t="str">
        <f t="shared" si="46"/>
        <v>2000MaleAllEth21</v>
      </c>
      <c r="B403">
        <v>2000</v>
      </c>
      <c r="C403" t="s">
        <v>20</v>
      </c>
      <c r="D403" t="s">
        <v>27</v>
      </c>
      <c r="E403">
        <v>21</v>
      </c>
      <c r="F403">
        <v>3</v>
      </c>
      <c r="G403">
        <v>0.66487888123046901</v>
      </c>
      <c r="H403">
        <v>0.8</v>
      </c>
      <c r="J403" s="340" t="str">
        <f t="shared" si="47"/>
        <v>2016FemaleMaori195</v>
      </c>
      <c r="K403">
        <v>2016</v>
      </c>
      <c r="L403" t="s">
        <v>8</v>
      </c>
      <c r="M403" t="s">
        <v>18</v>
      </c>
      <c r="N403">
        <v>19</v>
      </c>
      <c r="O403">
        <v>5</v>
      </c>
      <c r="P403">
        <v>16</v>
      </c>
      <c r="Q403">
        <v>10.5827924141489</v>
      </c>
      <c r="R403">
        <v>5.2</v>
      </c>
      <c r="T403" s="340" t="str">
        <f t="shared" si="49"/>
        <v>1997MaleNon-Maori23Firearms and explosives</v>
      </c>
      <c r="U403">
        <v>1997</v>
      </c>
      <c r="V403" t="s">
        <v>20</v>
      </c>
      <c r="W403" t="s">
        <v>19</v>
      </c>
      <c r="X403">
        <v>23</v>
      </c>
      <c r="Y403" t="s">
        <v>42</v>
      </c>
      <c r="Z403">
        <v>16</v>
      </c>
      <c r="AA403">
        <v>160</v>
      </c>
      <c r="AB403">
        <v>10</v>
      </c>
      <c r="AY403" t="str">
        <f t="shared" si="48"/>
        <v>2006MaleUrban19</v>
      </c>
      <c r="AZ403">
        <v>2006</v>
      </c>
      <c r="BA403" t="s">
        <v>20</v>
      </c>
      <c r="BB403" t="s">
        <v>97</v>
      </c>
      <c r="BC403">
        <v>19</v>
      </c>
      <c r="BD403">
        <v>311</v>
      </c>
      <c r="BE403">
        <v>17.2562238642364</v>
      </c>
      <c r="BF403">
        <v>1.9</v>
      </c>
      <c r="CJ403" t="str">
        <f t="shared" si="50"/>
        <v>AllSexOther19Poisoning by gases and vapours</v>
      </c>
      <c r="CK403" t="s">
        <v>17</v>
      </c>
      <c r="CL403" t="s">
        <v>45</v>
      </c>
      <c r="CM403" t="s">
        <v>46</v>
      </c>
      <c r="CN403">
        <v>19</v>
      </c>
      <c r="CO403">
        <v>195</v>
      </c>
      <c r="CP403">
        <v>1841</v>
      </c>
      <c r="CQ403">
        <v>10.6</v>
      </c>
    </row>
    <row r="404" spans="1:95">
      <c r="A404" t="str">
        <f t="shared" si="46"/>
        <v>2000MaleAllEth22</v>
      </c>
      <c r="B404">
        <v>2000</v>
      </c>
      <c r="C404" t="s">
        <v>20</v>
      </c>
      <c r="D404" t="s">
        <v>27</v>
      </c>
      <c r="E404">
        <v>22</v>
      </c>
      <c r="F404">
        <v>81</v>
      </c>
      <c r="G404">
        <v>30.326856115916001</v>
      </c>
      <c r="H404">
        <v>6.6</v>
      </c>
      <c r="J404" s="340" t="str">
        <f t="shared" si="47"/>
        <v>2001FemaleNon-Maori191</v>
      </c>
      <c r="K404">
        <v>2001</v>
      </c>
      <c r="L404" t="s">
        <v>8</v>
      </c>
      <c r="M404" t="s">
        <v>19</v>
      </c>
      <c r="N404">
        <v>19</v>
      </c>
      <c r="O404">
        <v>1</v>
      </c>
      <c r="P404">
        <v>15</v>
      </c>
      <c r="Q404">
        <v>4.94310556999437</v>
      </c>
      <c r="R404">
        <v>2.5</v>
      </c>
      <c r="T404" s="340" t="str">
        <f t="shared" si="49"/>
        <v>1997MaleNon-Maori24Firearms and explosives</v>
      </c>
      <c r="U404">
        <v>1997</v>
      </c>
      <c r="V404" t="s">
        <v>20</v>
      </c>
      <c r="W404" t="s">
        <v>19</v>
      </c>
      <c r="X404">
        <v>24</v>
      </c>
      <c r="Y404" t="s">
        <v>42</v>
      </c>
      <c r="Z404">
        <v>13</v>
      </c>
      <c r="AA404">
        <v>69</v>
      </c>
      <c r="AB404">
        <v>18.8</v>
      </c>
      <c r="AY404" t="str">
        <f t="shared" si="48"/>
        <v>2007MaleRural19</v>
      </c>
      <c r="AZ404">
        <v>2007</v>
      </c>
      <c r="BA404" t="s">
        <v>20</v>
      </c>
      <c r="BB404" t="s">
        <v>96</v>
      </c>
      <c r="BC404">
        <v>19</v>
      </c>
      <c r="BD404">
        <v>63</v>
      </c>
      <c r="BE404">
        <v>22.669213241315301</v>
      </c>
      <c r="BF404">
        <v>5.6</v>
      </c>
      <c r="CJ404" t="str">
        <f t="shared" si="50"/>
        <v>AllSexOther19Poisoning by solids and liquids</v>
      </c>
      <c r="CK404" t="s">
        <v>17</v>
      </c>
      <c r="CL404" t="s">
        <v>45</v>
      </c>
      <c r="CM404" t="s">
        <v>47</v>
      </c>
      <c r="CN404">
        <v>19</v>
      </c>
      <c r="CO404">
        <v>260</v>
      </c>
      <c r="CP404">
        <v>1841</v>
      </c>
      <c r="CQ404">
        <v>14.1</v>
      </c>
    </row>
    <row r="405" spans="1:95">
      <c r="A405" t="str">
        <f t="shared" si="46"/>
        <v>2000MaleAllEth23</v>
      </c>
      <c r="B405">
        <v>2000</v>
      </c>
      <c r="C405" t="s">
        <v>20</v>
      </c>
      <c r="D405" t="s">
        <v>27</v>
      </c>
      <c r="E405">
        <v>23</v>
      </c>
      <c r="F405">
        <v>171</v>
      </c>
      <c r="G405">
        <v>30.2703085447239</v>
      </c>
      <c r="H405">
        <v>4.5</v>
      </c>
      <c r="J405" s="340" t="str">
        <f t="shared" si="47"/>
        <v>2001FemaleNon-Maori192</v>
      </c>
      <c r="K405">
        <v>2001</v>
      </c>
      <c r="L405" t="s">
        <v>8</v>
      </c>
      <c r="M405" t="s">
        <v>19</v>
      </c>
      <c r="N405">
        <v>19</v>
      </c>
      <c r="O405">
        <v>2</v>
      </c>
      <c r="P405">
        <v>16</v>
      </c>
      <c r="Q405">
        <v>4.1682896987340996</v>
      </c>
      <c r="R405">
        <v>2</v>
      </c>
      <c r="T405" s="340" t="str">
        <f t="shared" si="49"/>
        <v>1997MaleNon-Maori25Firearms and explosives</v>
      </c>
      <c r="U405">
        <v>1997</v>
      </c>
      <c r="V405" t="s">
        <v>20</v>
      </c>
      <c r="W405" t="s">
        <v>19</v>
      </c>
      <c r="X405">
        <v>25</v>
      </c>
      <c r="Y405" t="s">
        <v>42</v>
      </c>
      <c r="Z405">
        <v>5</v>
      </c>
      <c r="AA405">
        <v>46</v>
      </c>
      <c r="AB405">
        <v>10.9</v>
      </c>
      <c r="AY405" t="str">
        <f t="shared" si="48"/>
        <v>2007MaleUrban19</v>
      </c>
      <c r="AZ405">
        <v>2007</v>
      </c>
      <c r="BA405" t="s">
        <v>20</v>
      </c>
      <c r="BB405" t="s">
        <v>97</v>
      </c>
      <c r="BC405">
        <v>19</v>
      </c>
      <c r="BD405">
        <v>315</v>
      </c>
      <c r="BE405">
        <v>17.326727470575801</v>
      </c>
      <c r="BF405">
        <v>1.9</v>
      </c>
      <c r="CJ405" t="str">
        <f t="shared" si="50"/>
        <v>AllSexOther19Sharp object</v>
      </c>
      <c r="CK405" t="s">
        <v>17</v>
      </c>
      <c r="CL405" t="s">
        <v>45</v>
      </c>
      <c r="CM405" t="s">
        <v>48</v>
      </c>
      <c r="CN405">
        <v>19</v>
      </c>
      <c r="CO405">
        <v>43</v>
      </c>
      <c r="CP405">
        <v>1841</v>
      </c>
      <c r="CQ405">
        <v>2.2999999999999998</v>
      </c>
    </row>
    <row r="406" spans="1:95">
      <c r="A406" t="str">
        <f t="shared" si="46"/>
        <v>2000MaleAllEth24</v>
      </c>
      <c r="B406">
        <v>2000</v>
      </c>
      <c r="C406" t="s">
        <v>20</v>
      </c>
      <c r="D406" t="s">
        <v>27</v>
      </c>
      <c r="E406">
        <v>24</v>
      </c>
      <c r="F406">
        <v>80</v>
      </c>
      <c r="G406">
        <v>19.333011116481401</v>
      </c>
      <c r="H406">
        <v>4.2</v>
      </c>
      <c r="J406" s="340" t="str">
        <f t="shared" si="47"/>
        <v>2001FemaleNon-Maori193</v>
      </c>
      <c r="K406">
        <v>2001</v>
      </c>
      <c r="L406" t="s">
        <v>8</v>
      </c>
      <c r="M406" t="s">
        <v>19</v>
      </c>
      <c r="N406">
        <v>19</v>
      </c>
      <c r="O406">
        <v>3</v>
      </c>
      <c r="P406">
        <v>24</v>
      </c>
      <c r="Q406">
        <v>6.1135817272892998</v>
      </c>
      <c r="R406">
        <v>2.4</v>
      </c>
      <c r="T406" s="340" t="str">
        <f t="shared" si="49"/>
        <v>1997MaleNon-Maori21Hanging, strangulation and suffocation</v>
      </c>
      <c r="U406">
        <v>1997</v>
      </c>
      <c r="V406" t="s">
        <v>20</v>
      </c>
      <c r="W406" t="s">
        <v>19</v>
      </c>
      <c r="X406">
        <v>21</v>
      </c>
      <c r="Y406" t="s">
        <v>43</v>
      </c>
      <c r="Z406">
        <v>2</v>
      </c>
      <c r="AA406">
        <v>2</v>
      </c>
      <c r="AB406">
        <v>100</v>
      </c>
      <c r="AY406" t="str">
        <f t="shared" si="48"/>
        <v>2008MaleRural19</v>
      </c>
      <c r="AZ406">
        <v>2008</v>
      </c>
      <c r="BA406" t="s">
        <v>20</v>
      </c>
      <c r="BB406" t="s">
        <v>96</v>
      </c>
      <c r="BC406">
        <v>19</v>
      </c>
      <c r="BD406">
        <v>73</v>
      </c>
      <c r="BE406">
        <v>26.472899772027301</v>
      </c>
      <c r="BF406">
        <v>6.1</v>
      </c>
      <c r="CJ406" t="str">
        <f t="shared" si="50"/>
        <v>AllSexOther19Submersion (drowning)</v>
      </c>
      <c r="CK406" t="s">
        <v>17</v>
      </c>
      <c r="CL406" t="s">
        <v>45</v>
      </c>
      <c r="CM406" t="s">
        <v>49</v>
      </c>
      <c r="CN406">
        <v>19</v>
      </c>
      <c r="CO406">
        <v>47</v>
      </c>
      <c r="CP406">
        <v>1841</v>
      </c>
      <c r="CQ406">
        <v>2.6</v>
      </c>
    </row>
    <row r="407" spans="1:95">
      <c r="A407" t="str">
        <f t="shared" si="46"/>
        <v>2000MaleAllEth25</v>
      </c>
      <c r="B407">
        <v>2000</v>
      </c>
      <c r="C407" t="s">
        <v>20</v>
      </c>
      <c r="D407" t="s">
        <v>27</v>
      </c>
      <c r="E407">
        <v>25</v>
      </c>
      <c r="F407">
        <v>41</v>
      </c>
      <c r="G407">
        <v>20.708116571544</v>
      </c>
      <c r="H407">
        <v>6.3</v>
      </c>
      <c r="J407" s="340" t="str">
        <f t="shared" si="47"/>
        <v>2001FemaleNon-Maori194</v>
      </c>
      <c r="K407">
        <v>2001</v>
      </c>
      <c r="L407" t="s">
        <v>8</v>
      </c>
      <c r="M407" t="s">
        <v>19</v>
      </c>
      <c r="N407">
        <v>19</v>
      </c>
      <c r="O407">
        <v>4</v>
      </c>
      <c r="P407">
        <v>19</v>
      </c>
      <c r="Q407">
        <v>4.64975099242029</v>
      </c>
      <c r="R407">
        <v>2.1</v>
      </c>
      <c r="T407" s="340" t="str">
        <f t="shared" si="49"/>
        <v>1997MaleNon-Maori22Hanging, strangulation and suffocation</v>
      </c>
      <c r="U407">
        <v>1997</v>
      </c>
      <c r="V407" t="s">
        <v>20</v>
      </c>
      <c r="W407" t="s">
        <v>19</v>
      </c>
      <c r="X407">
        <v>22</v>
      </c>
      <c r="Y407" t="s">
        <v>43</v>
      </c>
      <c r="Z407">
        <v>33</v>
      </c>
      <c r="AA407">
        <v>84</v>
      </c>
      <c r="AB407">
        <v>39.299999999999997</v>
      </c>
      <c r="AY407" t="str">
        <f t="shared" si="48"/>
        <v>2008MaleUrban19</v>
      </c>
      <c r="AZ407">
        <v>2008</v>
      </c>
      <c r="BA407" t="s">
        <v>20</v>
      </c>
      <c r="BB407" t="s">
        <v>97</v>
      </c>
      <c r="BC407">
        <v>19</v>
      </c>
      <c r="BD407">
        <v>301</v>
      </c>
      <c r="BE407">
        <v>16.357413650779002</v>
      </c>
      <c r="BF407">
        <v>1.8</v>
      </c>
      <c r="CJ407" t="str">
        <f t="shared" si="50"/>
        <v>AllSexPacific19Hanging, strangulation and suffocation</v>
      </c>
      <c r="CK407" t="s">
        <v>17</v>
      </c>
      <c r="CL407" t="s">
        <v>79</v>
      </c>
      <c r="CM407" t="s">
        <v>43</v>
      </c>
      <c r="CN407">
        <v>19</v>
      </c>
      <c r="CO407">
        <v>100</v>
      </c>
      <c r="CP407">
        <v>119</v>
      </c>
      <c r="CQ407">
        <v>84</v>
      </c>
    </row>
    <row r="408" spans="1:95">
      <c r="A408" t="str">
        <f t="shared" si="46"/>
        <v>2000MaleMaori21</v>
      </c>
      <c r="B408">
        <v>2000</v>
      </c>
      <c r="C408" t="s">
        <v>20</v>
      </c>
      <c r="D408" t="s">
        <v>18</v>
      </c>
      <c r="E408">
        <v>21</v>
      </c>
      <c r="F408">
        <v>1</v>
      </c>
      <c r="G408">
        <v>0.91743119266054995</v>
      </c>
      <c r="H408">
        <v>1.8</v>
      </c>
      <c r="J408" s="340" t="str">
        <f t="shared" si="47"/>
        <v>2001FemaleNon-Maori195</v>
      </c>
      <c r="K408">
        <v>2001</v>
      </c>
      <c r="L408" t="s">
        <v>8</v>
      </c>
      <c r="M408" t="s">
        <v>19</v>
      </c>
      <c r="N408">
        <v>19</v>
      </c>
      <c r="O408">
        <v>5</v>
      </c>
      <c r="P408">
        <v>18</v>
      </c>
      <c r="Q408">
        <v>6.4502107923440297</v>
      </c>
      <c r="R408">
        <v>3</v>
      </c>
      <c r="T408" s="340" t="str">
        <f t="shared" si="49"/>
        <v>1997MaleNon-Maori23Hanging, strangulation and suffocation</v>
      </c>
      <c r="U408">
        <v>1997</v>
      </c>
      <c r="V408" t="s">
        <v>20</v>
      </c>
      <c r="W408" t="s">
        <v>19</v>
      </c>
      <c r="X408">
        <v>23</v>
      </c>
      <c r="Y408" t="s">
        <v>43</v>
      </c>
      <c r="Z408">
        <v>56</v>
      </c>
      <c r="AA408">
        <v>160</v>
      </c>
      <c r="AB408">
        <v>35</v>
      </c>
      <c r="AY408" t="str">
        <f t="shared" si="48"/>
        <v>2009MaleRural19</v>
      </c>
      <c r="AZ408">
        <v>2009</v>
      </c>
      <c r="BA408" t="s">
        <v>20</v>
      </c>
      <c r="BB408" t="s">
        <v>96</v>
      </c>
      <c r="BC408">
        <v>19</v>
      </c>
      <c r="BD408">
        <v>63</v>
      </c>
      <c r="BE408">
        <v>21.088183746651701</v>
      </c>
      <c r="BF408">
        <v>5.2</v>
      </c>
      <c r="CJ408" t="str">
        <f t="shared" si="50"/>
        <v>AllSexPacific19Jumping from a high place</v>
      </c>
      <c r="CK408" t="s">
        <v>17</v>
      </c>
      <c r="CL408" t="s">
        <v>79</v>
      </c>
      <c r="CM408" t="s">
        <v>44</v>
      </c>
      <c r="CN408">
        <v>19</v>
      </c>
      <c r="CO408">
        <v>5</v>
      </c>
      <c r="CP408">
        <v>119</v>
      </c>
      <c r="CQ408">
        <v>4.2</v>
      </c>
    </row>
    <row r="409" spans="1:95">
      <c r="A409" t="str">
        <f t="shared" si="46"/>
        <v>2000MaleMaori22</v>
      </c>
      <c r="B409">
        <v>2000</v>
      </c>
      <c r="C409" t="s">
        <v>20</v>
      </c>
      <c r="D409" t="s">
        <v>18</v>
      </c>
      <c r="E409">
        <v>22</v>
      </c>
      <c r="F409">
        <v>24</v>
      </c>
      <c r="G409">
        <v>47.374654559810502</v>
      </c>
      <c r="H409">
        <v>19</v>
      </c>
      <c r="J409" s="340" t="str">
        <f t="shared" si="47"/>
        <v>2002FemaleNon-Maori191</v>
      </c>
      <c r="K409">
        <v>2002</v>
      </c>
      <c r="L409" t="s">
        <v>8</v>
      </c>
      <c r="M409" t="s">
        <v>19</v>
      </c>
      <c r="N409">
        <v>19</v>
      </c>
      <c r="O409">
        <v>1</v>
      </c>
      <c r="P409">
        <v>16</v>
      </c>
      <c r="Q409">
        <v>4.0708199841942303</v>
      </c>
      <c r="R409">
        <v>2</v>
      </c>
      <c r="T409" s="340" t="str">
        <f t="shared" si="49"/>
        <v>1997MaleNon-Maori24Hanging, strangulation and suffocation</v>
      </c>
      <c r="U409">
        <v>1997</v>
      </c>
      <c r="V409" t="s">
        <v>20</v>
      </c>
      <c r="W409" t="s">
        <v>19</v>
      </c>
      <c r="X409">
        <v>24</v>
      </c>
      <c r="Y409" t="s">
        <v>43</v>
      </c>
      <c r="Z409">
        <v>25</v>
      </c>
      <c r="AA409">
        <v>69</v>
      </c>
      <c r="AB409">
        <v>36.200000000000003</v>
      </c>
      <c r="AY409" t="str">
        <f t="shared" si="48"/>
        <v>2009MaleUrban19</v>
      </c>
      <c r="AZ409">
        <v>2009</v>
      </c>
      <c r="BA409" t="s">
        <v>20</v>
      </c>
      <c r="BB409" t="s">
        <v>97</v>
      </c>
      <c r="BC409">
        <v>19</v>
      </c>
      <c r="BD409">
        <v>329</v>
      </c>
      <c r="BE409">
        <v>17.784069062315101</v>
      </c>
      <c r="BF409">
        <v>1.9</v>
      </c>
      <c r="CJ409" t="str">
        <f t="shared" si="50"/>
        <v>AllSexPacific19Other</v>
      </c>
      <c r="CK409" t="s">
        <v>17</v>
      </c>
      <c r="CL409" t="s">
        <v>79</v>
      </c>
      <c r="CM409" t="s">
        <v>45</v>
      </c>
      <c r="CN409">
        <v>19</v>
      </c>
      <c r="CO409">
        <v>2</v>
      </c>
      <c r="CP409">
        <v>119</v>
      </c>
      <c r="CQ409">
        <v>1.7</v>
      </c>
    </row>
    <row r="410" spans="1:95">
      <c r="A410" t="str">
        <f t="shared" si="46"/>
        <v>2000MaleMaori23</v>
      </c>
      <c r="B410">
        <v>2000</v>
      </c>
      <c r="C410" t="s">
        <v>20</v>
      </c>
      <c r="D410" t="s">
        <v>18</v>
      </c>
      <c r="E410">
        <v>23</v>
      </c>
      <c r="F410">
        <v>35</v>
      </c>
      <c r="G410">
        <v>44.523597506678499</v>
      </c>
      <c r="H410">
        <v>14.8</v>
      </c>
      <c r="J410" s="340" t="str">
        <f t="shared" si="47"/>
        <v>2002FemaleNon-Maori192</v>
      </c>
      <c r="K410">
        <v>2002</v>
      </c>
      <c r="L410" t="s">
        <v>8</v>
      </c>
      <c r="M410" t="s">
        <v>19</v>
      </c>
      <c r="N410">
        <v>19</v>
      </c>
      <c r="O410">
        <v>2</v>
      </c>
      <c r="P410">
        <v>13</v>
      </c>
      <c r="Q410">
        <v>3.4286605918145399</v>
      </c>
      <c r="R410">
        <v>1.9</v>
      </c>
      <c r="T410" s="340" t="str">
        <f t="shared" si="49"/>
        <v>1997MaleNon-Maori25Hanging, strangulation and suffocation</v>
      </c>
      <c r="U410">
        <v>1997</v>
      </c>
      <c r="V410" t="s">
        <v>20</v>
      </c>
      <c r="W410" t="s">
        <v>19</v>
      </c>
      <c r="X410">
        <v>25</v>
      </c>
      <c r="Y410" t="s">
        <v>43</v>
      </c>
      <c r="Z410">
        <v>13</v>
      </c>
      <c r="AA410">
        <v>46</v>
      </c>
      <c r="AB410">
        <v>28.3</v>
      </c>
      <c r="AY410" t="str">
        <f t="shared" si="48"/>
        <v>2010MaleRural19</v>
      </c>
      <c r="AZ410">
        <v>2010</v>
      </c>
      <c r="BA410" t="s">
        <v>20</v>
      </c>
      <c r="BB410" t="s">
        <v>96</v>
      </c>
      <c r="BC410">
        <v>19</v>
      </c>
      <c r="BD410">
        <v>80</v>
      </c>
      <c r="BE410">
        <v>26.602020536097399</v>
      </c>
      <c r="BF410">
        <v>5.8</v>
      </c>
      <c r="CJ410" t="str">
        <f t="shared" si="50"/>
        <v>AllSexPacific19Poisoning by gases and vapours</v>
      </c>
      <c r="CK410" t="s">
        <v>17</v>
      </c>
      <c r="CL410" t="s">
        <v>79</v>
      </c>
      <c r="CM410" t="s">
        <v>46</v>
      </c>
      <c r="CN410">
        <v>19</v>
      </c>
      <c r="CO410">
        <v>1</v>
      </c>
      <c r="CP410">
        <v>119</v>
      </c>
      <c r="CQ410">
        <v>0.8</v>
      </c>
    </row>
    <row r="411" spans="1:95">
      <c r="A411" t="str">
        <f t="shared" si="46"/>
        <v>2000MaleMaori24</v>
      </c>
      <c r="B411">
        <v>2000</v>
      </c>
      <c r="C411" t="s">
        <v>20</v>
      </c>
      <c r="D411" t="s">
        <v>18</v>
      </c>
      <c r="E411">
        <v>24</v>
      </c>
      <c r="F411">
        <v>8</v>
      </c>
      <c r="G411">
        <v>22.0507166482911</v>
      </c>
      <c r="H411">
        <v>15.3</v>
      </c>
      <c r="J411" s="340" t="str">
        <f t="shared" si="47"/>
        <v>2002FemaleNon-Maori193</v>
      </c>
      <c r="K411">
        <v>2002</v>
      </c>
      <c r="L411" t="s">
        <v>8</v>
      </c>
      <c r="M411" t="s">
        <v>19</v>
      </c>
      <c r="N411">
        <v>19</v>
      </c>
      <c r="O411">
        <v>3</v>
      </c>
      <c r="P411">
        <v>17</v>
      </c>
      <c r="Q411">
        <v>5.2766018804986796</v>
      </c>
      <c r="R411">
        <v>2.5</v>
      </c>
      <c r="T411" s="340" t="str">
        <f t="shared" si="49"/>
        <v>1997MaleNon-Maori22Jumping from a high place</v>
      </c>
      <c r="U411">
        <v>1997</v>
      </c>
      <c r="V411" t="s">
        <v>20</v>
      </c>
      <c r="W411" t="s">
        <v>19</v>
      </c>
      <c r="X411">
        <v>22</v>
      </c>
      <c r="Y411" t="s">
        <v>44</v>
      </c>
      <c r="Z411">
        <v>2</v>
      </c>
      <c r="AA411">
        <v>84</v>
      </c>
      <c r="AB411">
        <v>2.4</v>
      </c>
      <c r="AY411" t="str">
        <f t="shared" si="48"/>
        <v>2010MaleUrban19</v>
      </c>
      <c r="AZ411">
        <v>2010</v>
      </c>
      <c r="BA411" t="s">
        <v>20</v>
      </c>
      <c r="BB411" t="s">
        <v>97</v>
      </c>
      <c r="BC411">
        <v>19</v>
      </c>
      <c r="BD411">
        <v>301</v>
      </c>
      <c r="BE411">
        <v>16.018934411449798</v>
      </c>
      <c r="BF411">
        <v>1.8</v>
      </c>
      <c r="CJ411" t="str">
        <f t="shared" si="50"/>
        <v>AllSexPacific19Poisoning by solids and liquids</v>
      </c>
      <c r="CK411" t="s">
        <v>17</v>
      </c>
      <c r="CL411" t="s">
        <v>79</v>
      </c>
      <c r="CM411" t="s">
        <v>47</v>
      </c>
      <c r="CN411">
        <v>19</v>
      </c>
      <c r="CO411">
        <v>8</v>
      </c>
      <c r="CP411">
        <v>119</v>
      </c>
      <c r="CQ411">
        <v>6.7</v>
      </c>
    </row>
    <row r="412" spans="1:95">
      <c r="A412" t="str">
        <f t="shared" si="46"/>
        <v>2000MaleMaori25</v>
      </c>
      <c r="B412">
        <v>2000</v>
      </c>
      <c r="C412" t="s">
        <v>20</v>
      </c>
      <c r="D412" t="s">
        <v>18</v>
      </c>
      <c r="E412">
        <v>25</v>
      </c>
      <c r="F412">
        <v>1</v>
      </c>
      <c r="G412">
        <v>11.7785630153121</v>
      </c>
      <c r="H412">
        <v>23.1</v>
      </c>
      <c r="J412" s="340" t="str">
        <f t="shared" si="47"/>
        <v>2002FemaleNon-Maori194</v>
      </c>
      <c r="K412">
        <v>2002</v>
      </c>
      <c r="L412" t="s">
        <v>8</v>
      </c>
      <c r="M412" t="s">
        <v>19</v>
      </c>
      <c r="N412">
        <v>19</v>
      </c>
      <c r="O412">
        <v>4</v>
      </c>
      <c r="P412">
        <v>22</v>
      </c>
      <c r="Q412">
        <v>6.3008004343910704</v>
      </c>
      <c r="R412">
        <v>2.6</v>
      </c>
      <c r="T412" s="340" t="str">
        <f t="shared" si="49"/>
        <v>1997MaleNon-Maori23Jumping from a high place</v>
      </c>
      <c r="U412">
        <v>1997</v>
      </c>
      <c r="V412" t="s">
        <v>20</v>
      </c>
      <c r="W412" t="s">
        <v>19</v>
      </c>
      <c r="X412">
        <v>23</v>
      </c>
      <c r="Y412" t="s">
        <v>44</v>
      </c>
      <c r="Z412">
        <v>6</v>
      </c>
      <c r="AA412">
        <v>160</v>
      </c>
      <c r="AB412">
        <v>3.8</v>
      </c>
      <c r="AY412" t="str">
        <f t="shared" si="48"/>
        <v>2011MaleRural19</v>
      </c>
      <c r="AZ412">
        <v>2011</v>
      </c>
      <c r="BA412" t="s">
        <v>20</v>
      </c>
      <c r="BB412" t="s">
        <v>96</v>
      </c>
      <c r="BC412">
        <v>19</v>
      </c>
      <c r="BD412">
        <v>67</v>
      </c>
      <c r="BE412">
        <v>22.2250104700599</v>
      </c>
      <c r="BF412">
        <v>5.3</v>
      </c>
      <c r="CJ412" t="str">
        <f t="shared" si="50"/>
        <v>AllSexPacific19Sharp object</v>
      </c>
      <c r="CK412" t="s">
        <v>17</v>
      </c>
      <c r="CL412" t="s">
        <v>79</v>
      </c>
      <c r="CM412" t="s">
        <v>48</v>
      </c>
      <c r="CN412">
        <v>19</v>
      </c>
      <c r="CO412">
        <v>2</v>
      </c>
      <c r="CP412">
        <v>119</v>
      </c>
      <c r="CQ412">
        <v>1.7</v>
      </c>
    </row>
    <row r="413" spans="1:95">
      <c r="A413" t="str">
        <f t="shared" si="46"/>
        <v>2000MaleNon-Maori21</v>
      </c>
      <c r="B413">
        <v>2000</v>
      </c>
      <c r="C413" t="s">
        <v>20</v>
      </c>
      <c r="D413" t="s">
        <v>19</v>
      </c>
      <c r="E413">
        <v>21</v>
      </c>
      <c r="F413">
        <v>2</v>
      </c>
      <c r="G413">
        <v>0.58443645714619696</v>
      </c>
      <c r="H413">
        <v>0.8</v>
      </c>
      <c r="J413" s="340" t="str">
        <f t="shared" si="47"/>
        <v>2002FemaleNon-Maori195</v>
      </c>
      <c r="K413">
        <v>2002</v>
      </c>
      <c r="L413" t="s">
        <v>8</v>
      </c>
      <c r="M413" t="s">
        <v>19</v>
      </c>
      <c r="N413">
        <v>19</v>
      </c>
      <c r="O413">
        <v>5</v>
      </c>
      <c r="P413">
        <v>19</v>
      </c>
      <c r="Q413">
        <v>6.65513494619724</v>
      </c>
      <c r="R413">
        <v>3</v>
      </c>
      <c r="T413" s="340" t="str">
        <f t="shared" si="49"/>
        <v>1997MaleNon-Maori24Jumping from a high place</v>
      </c>
      <c r="U413">
        <v>1997</v>
      </c>
      <c r="V413" t="s">
        <v>20</v>
      </c>
      <c r="W413" t="s">
        <v>19</v>
      </c>
      <c r="X413">
        <v>24</v>
      </c>
      <c r="Y413" t="s">
        <v>44</v>
      </c>
      <c r="Z413">
        <v>1</v>
      </c>
      <c r="AA413">
        <v>69</v>
      </c>
      <c r="AB413">
        <v>1.4</v>
      </c>
      <c r="AY413" t="str">
        <f t="shared" si="48"/>
        <v>2011MaleUrban19</v>
      </c>
      <c r="AZ413">
        <v>2011</v>
      </c>
      <c r="BA413" t="s">
        <v>20</v>
      </c>
      <c r="BB413" t="s">
        <v>97</v>
      </c>
      <c r="BC413">
        <v>19</v>
      </c>
      <c r="BD413">
        <v>309</v>
      </c>
      <c r="BE413">
        <v>16.642211286059698</v>
      </c>
      <c r="BF413">
        <v>1.9</v>
      </c>
      <c r="CJ413" t="str">
        <f t="shared" si="50"/>
        <v>AllSexPacific19Submersion (drowning)</v>
      </c>
      <c r="CK413" t="s">
        <v>17</v>
      </c>
      <c r="CL413" t="s">
        <v>79</v>
      </c>
      <c r="CM413" t="s">
        <v>49</v>
      </c>
      <c r="CN413">
        <v>19</v>
      </c>
      <c r="CO413">
        <v>1</v>
      </c>
      <c r="CP413">
        <v>119</v>
      </c>
      <c r="CQ413">
        <v>0.8</v>
      </c>
    </row>
    <row r="414" spans="1:95">
      <c r="A414" t="str">
        <f t="shared" si="46"/>
        <v>2000MaleNon-Maori22</v>
      </c>
      <c r="B414">
        <v>2000</v>
      </c>
      <c r="C414" t="s">
        <v>20</v>
      </c>
      <c r="D414" t="s">
        <v>19</v>
      </c>
      <c r="E414">
        <v>22</v>
      </c>
      <c r="F414">
        <v>57</v>
      </c>
      <c r="G414">
        <v>26.336459825347699</v>
      </c>
      <c r="H414">
        <v>6.8</v>
      </c>
      <c r="J414" s="340" t="str">
        <f t="shared" si="47"/>
        <v>2003FemaleNon-Maori191</v>
      </c>
      <c r="K414">
        <v>2003</v>
      </c>
      <c r="L414" t="s">
        <v>8</v>
      </c>
      <c r="M414" t="s">
        <v>19</v>
      </c>
      <c r="N414">
        <v>19</v>
      </c>
      <c r="O414">
        <v>1</v>
      </c>
      <c r="P414">
        <v>14</v>
      </c>
      <c r="Q414">
        <v>3.8051110431040298</v>
      </c>
      <c r="R414">
        <v>2</v>
      </c>
      <c r="T414" s="340" t="str">
        <f t="shared" si="49"/>
        <v>1997MaleNon-Maori22Other</v>
      </c>
      <c r="U414">
        <v>1997</v>
      </c>
      <c r="V414" t="s">
        <v>20</v>
      </c>
      <c r="W414" t="s">
        <v>19</v>
      </c>
      <c r="X414">
        <v>22</v>
      </c>
      <c r="Y414" t="s">
        <v>45</v>
      </c>
      <c r="Z414">
        <v>2</v>
      </c>
      <c r="AA414">
        <v>84</v>
      </c>
      <c r="AB414">
        <v>2.4</v>
      </c>
      <c r="AY414" t="str">
        <f t="shared" si="48"/>
        <v>2012MaleRural19</v>
      </c>
      <c r="AZ414">
        <v>2012</v>
      </c>
      <c r="BA414" t="s">
        <v>20</v>
      </c>
      <c r="BB414" t="s">
        <v>96</v>
      </c>
      <c r="BC414">
        <v>19</v>
      </c>
      <c r="BD414">
        <v>62</v>
      </c>
      <c r="BE414">
        <v>19.2823725579712</v>
      </c>
      <c r="BF414">
        <v>4.8</v>
      </c>
      <c r="CJ414" t="str">
        <f t="shared" si="50"/>
        <v>FemaleAllEth19Firearms and explosives</v>
      </c>
      <c r="CK414" t="s">
        <v>8</v>
      </c>
      <c r="CL414" t="s">
        <v>27</v>
      </c>
      <c r="CM414" t="s">
        <v>42</v>
      </c>
      <c r="CN414">
        <v>19</v>
      </c>
      <c r="CO414">
        <v>10</v>
      </c>
      <c r="CP414">
        <v>710</v>
      </c>
      <c r="CQ414">
        <v>1.4</v>
      </c>
    </row>
    <row r="415" spans="1:95">
      <c r="A415" t="str">
        <f t="shared" si="46"/>
        <v>2000MaleNon-Maori23</v>
      </c>
      <c r="B415">
        <v>2000</v>
      </c>
      <c r="C415" t="s">
        <v>20</v>
      </c>
      <c r="D415" t="s">
        <v>19</v>
      </c>
      <c r="E415">
        <v>23</v>
      </c>
      <c r="F415">
        <v>136</v>
      </c>
      <c r="G415">
        <v>27.966275961340699</v>
      </c>
      <c r="H415">
        <v>4.7</v>
      </c>
      <c r="J415" s="340" t="str">
        <f t="shared" si="47"/>
        <v>2003FemaleNon-Maori192</v>
      </c>
      <c r="K415">
        <v>2003</v>
      </c>
      <c r="L415" t="s">
        <v>8</v>
      </c>
      <c r="M415" t="s">
        <v>19</v>
      </c>
      <c r="N415">
        <v>19</v>
      </c>
      <c r="O415">
        <v>2</v>
      </c>
      <c r="P415">
        <v>15</v>
      </c>
      <c r="Q415">
        <v>3.5166634166388202</v>
      </c>
      <c r="R415">
        <v>1.8</v>
      </c>
      <c r="T415" s="340" t="str">
        <f t="shared" si="49"/>
        <v>1997MaleNon-Maori23Other</v>
      </c>
      <c r="U415">
        <v>1997</v>
      </c>
      <c r="V415" t="s">
        <v>20</v>
      </c>
      <c r="W415" t="s">
        <v>19</v>
      </c>
      <c r="X415">
        <v>23</v>
      </c>
      <c r="Y415" t="s">
        <v>45</v>
      </c>
      <c r="Z415">
        <v>4</v>
      </c>
      <c r="AA415">
        <v>160</v>
      </c>
      <c r="AB415">
        <v>2.5</v>
      </c>
      <c r="AY415" t="str">
        <f t="shared" si="48"/>
        <v>2012MaleUrban19</v>
      </c>
      <c r="AZ415">
        <v>2012</v>
      </c>
      <c r="BA415" t="s">
        <v>20</v>
      </c>
      <c r="BB415" t="s">
        <v>97</v>
      </c>
      <c r="BC415">
        <v>19</v>
      </c>
      <c r="BD415">
        <v>340</v>
      </c>
      <c r="BE415">
        <v>18.321223631494401</v>
      </c>
      <c r="BF415">
        <v>1.9</v>
      </c>
      <c r="CJ415" t="str">
        <f t="shared" si="50"/>
        <v>FemaleAllEth19Hanging, strangulation and suffocation</v>
      </c>
      <c r="CK415" t="s">
        <v>8</v>
      </c>
      <c r="CL415" t="s">
        <v>27</v>
      </c>
      <c r="CM415" t="s">
        <v>43</v>
      </c>
      <c r="CN415">
        <v>19</v>
      </c>
      <c r="CO415">
        <v>411</v>
      </c>
      <c r="CP415">
        <v>710</v>
      </c>
      <c r="CQ415">
        <v>57.9</v>
      </c>
    </row>
    <row r="416" spans="1:95">
      <c r="A416" t="str">
        <f t="shared" si="46"/>
        <v>2000MaleNon-Maori24</v>
      </c>
      <c r="B416">
        <v>2000</v>
      </c>
      <c r="C416" t="s">
        <v>20</v>
      </c>
      <c r="D416" t="s">
        <v>19</v>
      </c>
      <c r="E416">
        <v>24</v>
      </c>
      <c r="F416">
        <v>72</v>
      </c>
      <c r="G416">
        <v>19.071837253655399</v>
      </c>
      <c r="H416">
        <v>4.4000000000000004</v>
      </c>
      <c r="J416" s="340" t="str">
        <f t="shared" si="47"/>
        <v>2003FemaleNon-Maori193</v>
      </c>
      <c r="K416">
        <v>2003</v>
      </c>
      <c r="L416" t="s">
        <v>8</v>
      </c>
      <c r="M416" t="s">
        <v>19</v>
      </c>
      <c r="N416">
        <v>19</v>
      </c>
      <c r="O416">
        <v>3</v>
      </c>
      <c r="P416">
        <v>32</v>
      </c>
      <c r="Q416">
        <v>8.4054889747979296</v>
      </c>
      <c r="R416">
        <v>2.9</v>
      </c>
      <c r="T416" s="340" t="str">
        <f t="shared" si="49"/>
        <v>1997MaleNon-Maori24Other</v>
      </c>
      <c r="U416">
        <v>1997</v>
      </c>
      <c r="V416" t="s">
        <v>20</v>
      </c>
      <c r="W416" t="s">
        <v>19</v>
      </c>
      <c r="X416">
        <v>24</v>
      </c>
      <c r="Y416" t="s">
        <v>45</v>
      </c>
      <c r="Z416">
        <v>1</v>
      </c>
      <c r="AA416">
        <v>69</v>
      </c>
      <c r="AB416">
        <v>1.4</v>
      </c>
      <c r="AY416" t="str">
        <f t="shared" si="48"/>
        <v>2013MaleRural19</v>
      </c>
      <c r="AZ416">
        <v>2013</v>
      </c>
      <c r="BA416" t="s">
        <v>20</v>
      </c>
      <c r="BB416" t="s">
        <v>96</v>
      </c>
      <c r="BC416">
        <v>19</v>
      </c>
      <c r="BD416">
        <v>55</v>
      </c>
      <c r="BE416">
        <v>16.7790221650707</v>
      </c>
      <c r="BF416">
        <v>4.4000000000000004</v>
      </c>
      <c r="CJ416" t="str">
        <f t="shared" si="50"/>
        <v>FemaleAllEth19Jumping from a high place</v>
      </c>
      <c r="CK416" t="s">
        <v>8</v>
      </c>
      <c r="CL416" t="s">
        <v>27</v>
      </c>
      <c r="CM416" t="s">
        <v>44</v>
      </c>
      <c r="CN416">
        <v>19</v>
      </c>
      <c r="CO416">
        <v>24</v>
      </c>
      <c r="CP416">
        <v>710</v>
      </c>
      <c r="CQ416">
        <v>3.4</v>
      </c>
    </row>
    <row r="417" spans="1:95">
      <c r="A417" t="str">
        <f t="shared" si="46"/>
        <v>2000MaleNon-Maori25</v>
      </c>
      <c r="B417">
        <v>2000</v>
      </c>
      <c r="C417" t="s">
        <v>20</v>
      </c>
      <c r="D417" t="s">
        <v>19</v>
      </c>
      <c r="E417">
        <v>25</v>
      </c>
      <c r="F417">
        <v>40</v>
      </c>
      <c r="G417">
        <v>21.108179419525101</v>
      </c>
      <c r="H417">
        <v>6.5</v>
      </c>
      <c r="J417" s="340" t="str">
        <f t="shared" si="47"/>
        <v>2003FemaleNon-Maori194</v>
      </c>
      <c r="K417">
        <v>2003</v>
      </c>
      <c r="L417" t="s">
        <v>8</v>
      </c>
      <c r="M417" t="s">
        <v>19</v>
      </c>
      <c r="N417">
        <v>19</v>
      </c>
      <c r="O417">
        <v>4</v>
      </c>
      <c r="P417">
        <v>22</v>
      </c>
      <c r="Q417">
        <v>5.5752951300835303</v>
      </c>
      <c r="R417">
        <v>2.2999999999999998</v>
      </c>
      <c r="T417" s="340" t="str">
        <f t="shared" si="49"/>
        <v>1997MaleNon-Maori25Other</v>
      </c>
      <c r="U417">
        <v>1997</v>
      </c>
      <c r="V417" t="s">
        <v>20</v>
      </c>
      <c r="W417" t="s">
        <v>19</v>
      </c>
      <c r="X417">
        <v>25</v>
      </c>
      <c r="Y417" t="s">
        <v>45</v>
      </c>
      <c r="Z417">
        <v>2</v>
      </c>
      <c r="AA417">
        <v>46</v>
      </c>
      <c r="AB417">
        <v>4.3</v>
      </c>
      <c r="AY417" t="str">
        <f t="shared" si="48"/>
        <v>2013MaleUrban19</v>
      </c>
      <c r="AZ417">
        <v>2013</v>
      </c>
      <c r="BA417" t="s">
        <v>20</v>
      </c>
      <c r="BB417" t="s">
        <v>97</v>
      </c>
      <c r="BC417">
        <v>19</v>
      </c>
      <c r="BD417">
        <v>309</v>
      </c>
      <c r="BE417">
        <v>15.746464417441</v>
      </c>
      <c r="BF417">
        <v>1.8</v>
      </c>
      <c r="CJ417" t="str">
        <f t="shared" si="50"/>
        <v>FemaleAllEth19Other</v>
      </c>
      <c r="CK417" t="s">
        <v>8</v>
      </c>
      <c r="CL417" t="s">
        <v>27</v>
      </c>
      <c r="CM417" t="s">
        <v>45</v>
      </c>
      <c r="CN417">
        <v>19</v>
      </c>
      <c r="CO417">
        <v>25</v>
      </c>
      <c r="CP417">
        <v>710</v>
      </c>
      <c r="CQ417">
        <v>3.5</v>
      </c>
    </row>
    <row r="418" spans="1:95">
      <c r="A418" t="str">
        <f t="shared" si="46"/>
        <v>2001AllSexAllEth21</v>
      </c>
      <c r="B418">
        <v>2001</v>
      </c>
      <c r="C418" t="s">
        <v>17</v>
      </c>
      <c r="D418" t="s">
        <v>27</v>
      </c>
      <c r="E418">
        <v>21</v>
      </c>
      <c r="F418">
        <v>3</v>
      </c>
      <c r="G418">
        <v>0.34159616501372098</v>
      </c>
      <c r="H418">
        <v>0.4</v>
      </c>
      <c r="J418" s="340" t="str">
        <f t="shared" si="47"/>
        <v>2003FemaleNon-Maori195</v>
      </c>
      <c r="K418">
        <v>2003</v>
      </c>
      <c r="L418" t="s">
        <v>8</v>
      </c>
      <c r="M418" t="s">
        <v>19</v>
      </c>
      <c r="N418">
        <v>19</v>
      </c>
      <c r="O418">
        <v>5</v>
      </c>
      <c r="P418">
        <v>28</v>
      </c>
      <c r="Q418">
        <v>9.67590691415832</v>
      </c>
      <c r="R418">
        <v>3.6</v>
      </c>
      <c r="T418" s="340" t="str">
        <f t="shared" si="49"/>
        <v>1997MaleNon-Maori22Poisoning by gases and vapours</v>
      </c>
      <c r="U418">
        <v>1997</v>
      </c>
      <c r="V418" t="s">
        <v>20</v>
      </c>
      <c r="W418" t="s">
        <v>19</v>
      </c>
      <c r="X418">
        <v>22</v>
      </c>
      <c r="Y418" t="s">
        <v>46</v>
      </c>
      <c r="Z418">
        <v>32</v>
      </c>
      <c r="AA418">
        <v>84</v>
      </c>
      <c r="AB418">
        <v>38.1</v>
      </c>
      <c r="AY418" t="str">
        <f t="shared" si="48"/>
        <v>2014MaleRural19</v>
      </c>
      <c r="AZ418">
        <v>2014</v>
      </c>
      <c r="BA418" t="s">
        <v>20</v>
      </c>
      <c r="BB418" t="s">
        <v>96</v>
      </c>
      <c r="BC418">
        <v>19</v>
      </c>
      <c r="BD418">
        <v>50</v>
      </c>
      <c r="BE418">
        <v>15.8466618190961</v>
      </c>
      <c r="BF418">
        <v>4.4000000000000004</v>
      </c>
      <c r="CJ418" t="str">
        <f t="shared" si="50"/>
        <v>FemaleAllEth19Poisoning by gases and vapours</v>
      </c>
      <c r="CK418" t="s">
        <v>8</v>
      </c>
      <c r="CL418" t="s">
        <v>27</v>
      </c>
      <c r="CM418" t="s">
        <v>46</v>
      </c>
      <c r="CN418">
        <v>19</v>
      </c>
      <c r="CO418">
        <v>41</v>
      </c>
      <c r="CP418">
        <v>710</v>
      </c>
      <c r="CQ418">
        <v>5.8</v>
      </c>
    </row>
    <row r="419" spans="1:95">
      <c r="A419" t="str">
        <f t="shared" si="46"/>
        <v>2001AllSexAllEth22</v>
      </c>
      <c r="B419">
        <v>2001</v>
      </c>
      <c r="C419" t="s">
        <v>17</v>
      </c>
      <c r="D419" t="s">
        <v>27</v>
      </c>
      <c r="E419">
        <v>22</v>
      </c>
      <c r="F419">
        <v>110</v>
      </c>
      <c r="G419">
        <v>20.573822616242101</v>
      </c>
      <c r="H419">
        <v>3.8</v>
      </c>
      <c r="J419" s="340" t="str">
        <f t="shared" si="47"/>
        <v>2004FemaleNon-Maori191</v>
      </c>
      <c r="K419">
        <v>2004</v>
      </c>
      <c r="L419" t="s">
        <v>8</v>
      </c>
      <c r="M419" t="s">
        <v>19</v>
      </c>
      <c r="N419">
        <v>19</v>
      </c>
      <c r="O419">
        <v>1</v>
      </c>
      <c r="P419">
        <v>4</v>
      </c>
      <c r="Q419">
        <v>1.2496351640769801</v>
      </c>
      <c r="R419">
        <v>1.2</v>
      </c>
      <c r="T419" s="340" t="str">
        <f t="shared" si="49"/>
        <v>1997MaleNon-Maori23Poisoning by gases and vapours</v>
      </c>
      <c r="U419">
        <v>1997</v>
      </c>
      <c r="V419" t="s">
        <v>20</v>
      </c>
      <c r="W419" t="s">
        <v>19</v>
      </c>
      <c r="X419">
        <v>23</v>
      </c>
      <c r="Y419" t="s">
        <v>46</v>
      </c>
      <c r="Z419">
        <v>62</v>
      </c>
      <c r="AA419">
        <v>160</v>
      </c>
      <c r="AB419">
        <v>38.799999999999997</v>
      </c>
      <c r="AY419" t="str">
        <f t="shared" si="48"/>
        <v>2014MaleUrban19</v>
      </c>
      <c r="AZ419">
        <v>2014</v>
      </c>
      <c r="BA419" t="s">
        <v>20</v>
      </c>
      <c r="BB419" t="s">
        <v>97</v>
      </c>
      <c r="BC419">
        <v>19</v>
      </c>
      <c r="BD419">
        <v>324</v>
      </c>
      <c r="BE419">
        <v>16.3721408834813</v>
      </c>
      <c r="BF419">
        <v>1.8</v>
      </c>
      <c r="CJ419" t="str">
        <f t="shared" si="50"/>
        <v>FemaleAllEth19Poisoning by solids and liquids</v>
      </c>
      <c r="CK419" t="s">
        <v>8</v>
      </c>
      <c r="CL419" t="s">
        <v>27</v>
      </c>
      <c r="CM419" t="s">
        <v>47</v>
      </c>
      <c r="CN419">
        <v>19</v>
      </c>
      <c r="CO419">
        <v>172</v>
      </c>
      <c r="CP419">
        <v>710</v>
      </c>
      <c r="CQ419">
        <v>24.2</v>
      </c>
    </row>
    <row r="420" spans="1:95">
      <c r="A420" t="str">
        <f t="shared" si="46"/>
        <v>2001AllSexAllEth23</v>
      </c>
      <c r="B420">
        <v>2001</v>
      </c>
      <c r="C420" t="s">
        <v>17</v>
      </c>
      <c r="D420" t="s">
        <v>27</v>
      </c>
      <c r="E420">
        <v>23</v>
      </c>
      <c r="F420">
        <v>239</v>
      </c>
      <c r="G420">
        <v>20.687267376438999</v>
      </c>
      <c r="H420">
        <v>2.6</v>
      </c>
      <c r="J420" s="340" t="str">
        <f t="shared" si="47"/>
        <v>2004FemaleNon-Maori192</v>
      </c>
      <c r="K420">
        <v>2004</v>
      </c>
      <c r="L420" t="s">
        <v>8</v>
      </c>
      <c r="M420" t="s">
        <v>19</v>
      </c>
      <c r="N420">
        <v>19</v>
      </c>
      <c r="O420">
        <v>2</v>
      </c>
      <c r="P420">
        <v>14</v>
      </c>
      <c r="Q420">
        <v>3.4287094758877701</v>
      </c>
      <c r="R420">
        <v>1.8</v>
      </c>
      <c r="T420" s="340" t="str">
        <f t="shared" si="49"/>
        <v>1997MaleNon-Maori24Poisoning by gases and vapours</v>
      </c>
      <c r="U420">
        <v>1997</v>
      </c>
      <c r="V420" t="s">
        <v>20</v>
      </c>
      <c r="W420" t="s">
        <v>19</v>
      </c>
      <c r="X420">
        <v>24</v>
      </c>
      <c r="Y420" t="s">
        <v>46</v>
      </c>
      <c r="Z420">
        <v>19</v>
      </c>
      <c r="AA420">
        <v>69</v>
      </c>
      <c r="AB420">
        <v>27.5</v>
      </c>
      <c r="AY420" t="str">
        <f t="shared" si="48"/>
        <v>2015MaleRural19</v>
      </c>
      <c r="AZ420">
        <v>2015</v>
      </c>
      <c r="BA420" t="s">
        <v>20</v>
      </c>
      <c r="BB420" t="s">
        <v>96</v>
      </c>
      <c r="BC420">
        <v>19</v>
      </c>
      <c r="BD420">
        <v>64</v>
      </c>
      <c r="BE420">
        <v>19.093413625375899</v>
      </c>
      <c r="BF420">
        <v>4.7</v>
      </c>
      <c r="CJ420" t="str">
        <f t="shared" si="50"/>
        <v>FemaleAllEth19Sharp object</v>
      </c>
      <c r="CK420" t="s">
        <v>8</v>
      </c>
      <c r="CL420" t="s">
        <v>27</v>
      </c>
      <c r="CM420" t="s">
        <v>48</v>
      </c>
      <c r="CN420">
        <v>19</v>
      </c>
      <c r="CO420">
        <v>8</v>
      </c>
      <c r="CP420">
        <v>710</v>
      </c>
      <c r="CQ420">
        <v>1.1000000000000001</v>
      </c>
    </row>
    <row r="421" spans="1:95">
      <c r="A421" t="str">
        <f t="shared" si="46"/>
        <v>2001AllSexAllEth24</v>
      </c>
      <c r="B421">
        <v>2001</v>
      </c>
      <c r="C421" t="s">
        <v>17</v>
      </c>
      <c r="D421" t="s">
        <v>27</v>
      </c>
      <c r="E421">
        <v>24</v>
      </c>
      <c r="F421">
        <v>92</v>
      </c>
      <c r="G421">
        <v>10.7217359889053</v>
      </c>
      <c r="H421">
        <v>2.2000000000000002</v>
      </c>
      <c r="J421" s="340" t="str">
        <f t="shared" si="47"/>
        <v>2004FemaleNon-Maori193</v>
      </c>
      <c r="K421">
        <v>2004</v>
      </c>
      <c r="L421" t="s">
        <v>8</v>
      </c>
      <c r="M421" t="s">
        <v>19</v>
      </c>
      <c r="N421">
        <v>19</v>
      </c>
      <c r="O421">
        <v>3</v>
      </c>
      <c r="P421">
        <v>22</v>
      </c>
      <c r="Q421">
        <v>5.4132412792646596</v>
      </c>
      <c r="R421">
        <v>2.2999999999999998</v>
      </c>
      <c r="T421" s="340" t="str">
        <f t="shared" si="49"/>
        <v>1997MaleNon-Maori25Poisoning by gases and vapours</v>
      </c>
      <c r="U421">
        <v>1997</v>
      </c>
      <c r="V421" t="s">
        <v>20</v>
      </c>
      <c r="W421" t="s">
        <v>19</v>
      </c>
      <c r="X421">
        <v>25</v>
      </c>
      <c r="Y421" t="s">
        <v>46</v>
      </c>
      <c r="Z421">
        <v>16</v>
      </c>
      <c r="AA421">
        <v>46</v>
      </c>
      <c r="AB421">
        <v>34.799999999999997</v>
      </c>
      <c r="AY421" t="str">
        <f t="shared" si="48"/>
        <v>2015MaleUrban19</v>
      </c>
      <c r="AZ421">
        <v>2015</v>
      </c>
      <c r="BA421" t="s">
        <v>20</v>
      </c>
      <c r="BB421" t="s">
        <v>97</v>
      </c>
      <c r="BC421">
        <v>19</v>
      </c>
      <c r="BD421">
        <v>321</v>
      </c>
      <c r="BE421">
        <v>16.0284336946427</v>
      </c>
      <c r="BF421">
        <v>1.8</v>
      </c>
      <c r="CJ421" t="str">
        <f t="shared" si="50"/>
        <v>FemaleAllEth19Submersion (drowning)</v>
      </c>
      <c r="CK421" t="s">
        <v>8</v>
      </c>
      <c r="CL421" t="s">
        <v>27</v>
      </c>
      <c r="CM421" t="s">
        <v>49</v>
      </c>
      <c r="CN421">
        <v>19</v>
      </c>
      <c r="CO421">
        <v>19</v>
      </c>
      <c r="CP421">
        <v>710</v>
      </c>
      <c r="CQ421">
        <v>2.7</v>
      </c>
    </row>
    <row r="422" spans="1:95">
      <c r="A422" t="str">
        <f t="shared" si="46"/>
        <v>2001AllSexAllEth25</v>
      </c>
      <c r="B422">
        <v>2001</v>
      </c>
      <c r="C422" t="s">
        <v>17</v>
      </c>
      <c r="D422" t="s">
        <v>27</v>
      </c>
      <c r="E422">
        <v>25</v>
      </c>
      <c r="F422">
        <v>64</v>
      </c>
      <c r="G422">
        <v>13.900653765122399</v>
      </c>
      <c r="H422">
        <v>3.4</v>
      </c>
      <c r="J422" s="340" t="str">
        <f t="shared" si="47"/>
        <v>2004FemaleNon-Maori194</v>
      </c>
      <c r="K422">
        <v>2004</v>
      </c>
      <c r="L422" t="s">
        <v>8</v>
      </c>
      <c r="M422" t="s">
        <v>19</v>
      </c>
      <c r="N422">
        <v>19</v>
      </c>
      <c r="O422">
        <v>4</v>
      </c>
      <c r="P422">
        <v>20</v>
      </c>
      <c r="Q422">
        <v>5.7361497678795397</v>
      </c>
      <c r="R422">
        <v>2.5</v>
      </c>
      <c r="T422" s="340" t="str">
        <f t="shared" si="49"/>
        <v>1997MaleNon-Maori22Poisoning by solids and liquids</v>
      </c>
      <c r="U422">
        <v>1997</v>
      </c>
      <c r="V422" t="s">
        <v>20</v>
      </c>
      <c r="W422" t="s">
        <v>19</v>
      </c>
      <c r="X422">
        <v>22</v>
      </c>
      <c r="Y422" t="s">
        <v>47</v>
      </c>
      <c r="Z422">
        <v>3</v>
      </c>
      <c r="AA422">
        <v>84</v>
      </c>
      <c r="AB422">
        <v>3.6</v>
      </c>
      <c r="AY422" t="str">
        <f t="shared" si="48"/>
        <v>2016MaleRural19</v>
      </c>
      <c r="AZ422">
        <v>2016</v>
      </c>
      <c r="BA422" t="s">
        <v>20</v>
      </c>
      <c r="BB422" t="s">
        <v>96</v>
      </c>
      <c r="BC422">
        <v>19</v>
      </c>
      <c r="BD422">
        <v>70</v>
      </c>
      <c r="BE422">
        <v>20.2822123081305</v>
      </c>
      <c r="BF422">
        <v>4.8</v>
      </c>
      <c r="CJ422" t="str">
        <f t="shared" si="50"/>
        <v>FemaleAsian19Hanging, strangulation and suffocation</v>
      </c>
      <c r="CK422" t="s">
        <v>8</v>
      </c>
      <c r="CL422" t="s">
        <v>78</v>
      </c>
      <c r="CM422" t="s">
        <v>43</v>
      </c>
      <c r="CN422">
        <v>19</v>
      </c>
      <c r="CO422">
        <v>26</v>
      </c>
      <c r="CP422">
        <v>41</v>
      </c>
      <c r="CQ422">
        <v>63.4</v>
      </c>
    </row>
    <row r="423" spans="1:95">
      <c r="A423" t="str">
        <f t="shared" si="46"/>
        <v>2001AllSexMaori21</v>
      </c>
      <c r="B423">
        <v>2001</v>
      </c>
      <c r="C423" t="s">
        <v>17</v>
      </c>
      <c r="D423" t="s">
        <v>18</v>
      </c>
      <c r="E423">
        <v>21</v>
      </c>
      <c r="F423">
        <v>1</v>
      </c>
      <c r="G423">
        <v>0.46309159951838502</v>
      </c>
      <c r="H423">
        <v>0.9</v>
      </c>
      <c r="J423" s="340" t="str">
        <f t="shared" si="47"/>
        <v>2004FemaleNon-Maori195</v>
      </c>
      <c r="K423">
        <v>2004</v>
      </c>
      <c r="L423" t="s">
        <v>8</v>
      </c>
      <c r="M423" t="s">
        <v>19</v>
      </c>
      <c r="N423">
        <v>19</v>
      </c>
      <c r="O423">
        <v>5</v>
      </c>
      <c r="P423">
        <v>19</v>
      </c>
      <c r="Q423">
        <v>6.6754645358141698</v>
      </c>
      <c r="R423">
        <v>3</v>
      </c>
      <c r="T423" s="340" t="str">
        <f t="shared" si="49"/>
        <v>1997MaleNon-Maori23Poisoning by solids and liquids</v>
      </c>
      <c r="U423">
        <v>1997</v>
      </c>
      <c r="V423" t="s">
        <v>20</v>
      </c>
      <c r="W423" t="s">
        <v>19</v>
      </c>
      <c r="X423">
        <v>23</v>
      </c>
      <c r="Y423" t="s">
        <v>47</v>
      </c>
      <c r="Z423">
        <v>9</v>
      </c>
      <c r="AA423">
        <v>160</v>
      </c>
      <c r="AB423">
        <v>5.6</v>
      </c>
      <c r="AY423" t="str">
        <f t="shared" si="48"/>
        <v>2016MaleUrban19</v>
      </c>
      <c r="AZ423">
        <v>2016</v>
      </c>
      <c r="BA423" t="s">
        <v>20</v>
      </c>
      <c r="BB423" t="s">
        <v>97</v>
      </c>
      <c r="BC423">
        <v>19</v>
      </c>
      <c r="BD423">
        <v>341</v>
      </c>
      <c r="BE423">
        <v>16.5808846975895</v>
      </c>
      <c r="BF423">
        <v>1.8</v>
      </c>
      <c r="CJ423" t="str">
        <f t="shared" si="50"/>
        <v>FemaleAsian19Jumping from a high place</v>
      </c>
      <c r="CK423" t="s">
        <v>8</v>
      </c>
      <c r="CL423" t="s">
        <v>78</v>
      </c>
      <c r="CM423" t="s">
        <v>44</v>
      </c>
      <c r="CN423">
        <v>19</v>
      </c>
      <c r="CO423">
        <v>6</v>
      </c>
      <c r="CP423">
        <v>41</v>
      </c>
      <c r="CQ423">
        <v>14.6</v>
      </c>
    </row>
    <row r="424" spans="1:95">
      <c r="A424" t="str">
        <f t="shared" si="46"/>
        <v>2001AllSexMaori22</v>
      </c>
      <c r="B424">
        <v>2001</v>
      </c>
      <c r="C424" t="s">
        <v>17</v>
      </c>
      <c r="D424" t="s">
        <v>18</v>
      </c>
      <c r="E424">
        <v>22</v>
      </c>
      <c r="F424">
        <v>29</v>
      </c>
      <c r="G424">
        <v>28.016616752004602</v>
      </c>
      <c r="H424">
        <v>10.199999999999999</v>
      </c>
      <c r="J424" s="340" t="str">
        <f t="shared" si="47"/>
        <v>2005FemaleNon-Maori191</v>
      </c>
      <c r="K424">
        <v>2005</v>
      </c>
      <c r="L424" t="s">
        <v>8</v>
      </c>
      <c r="M424" t="s">
        <v>19</v>
      </c>
      <c r="N424">
        <v>19</v>
      </c>
      <c r="O424">
        <v>1</v>
      </c>
      <c r="P424">
        <v>21</v>
      </c>
      <c r="Q424">
        <v>4.5981465940762796</v>
      </c>
      <c r="R424">
        <v>2</v>
      </c>
      <c r="T424" s="340" t="str">
        <f t="shared" si="49"/>
        <v>1997MaleNon-Maori24Poisoning by solids and liquids</v>
      </c>
      <c r="U424">
        <v>1997</v>
      </c>
      <c r="V424" t="s">
        <v>20</v>
      </c>
      <c r="W424" t="s">
        <v>19</v>
      </c>
      <c r="X424">
        <v>24</v>
      </c>
      <c r="Y424" t="s">
        <v>47</v>
      </c>
      <c r="Z424">
        <v>4</v>
      </c>
      <c r="AA424">
        <v>69</v>
      </c>
      <c r="AB424">
        <v>5.8</v>
      </c>
      <c r="CJ424" t="str">
        <f t="shared" si="50"/>
        <v>FemaleAsian19Other</v>
      </c>
      <c r="CK424" t="s">
        <v>8</v>
      </c>
      <c r="CL424" t="s">
        <v>78</v>
      </c>
      <c r="CM424" t="s">
        <v>45</v>
      </c>
      <c r="CN424">
        <v>19</v>
      </c>
      <c r="CO424">
        <v>1</v>
      </c>
      <c r="CP424">
        <v>41</v>
      </c>
      <c r="CQ424">
        <v>2.4</v>
      </c>
    </row>
    <row r="425" spans="1:95">
      <c r="A425" t="str">
        <f t="shared" si="46"/>
        <v>2001AllSexMaori23</v>
      </c>
      <c r="B425">
        <v>2001</v>
      </c>
      <c r="C425" t="s">
        <v>17</v>
      </c>
      <c r="D425" t="s">
        <v>18</v>
      </c>
      <c r="E425">
        <v>23</v>
      </c>
      <c r="F425">
        <v>42</v>
      </c>
      <c r="G425">
        <v>24.9346948468297</v>
      </c>
      <c r="H425">
        <v>7.5</v>
      </c>
      <c r="J425" s="340" t="str">
        <f t="shared" si="47"/>
        <v>2005FemaleNon-Maori192</v>
      </c>
      <c r="K425">
        <v>2005</v>
      </c>
      <c r="L425" t="s">
        <v>8</v>
      </c>
      <c r="M425" t="s">
        <v>19</v>
      </c>
      <c r="N425">
        <v>19</v>
      </c>
      <c r="O425">
        <v>2</v>
      </c>
      <c r="P425">
        <v>13</v>
      </c>
      <c r="Q425">
        <v>3.3272790626622402</v>
      </c>
      <c r="R425">
        <v>1.8</v>
      </c>
      <c r="T425" s="340" t="str">
        <f t="shared" si="49"/>
        <v>1997MaleNon-Maori25Poisoning by solids and liquids</v>
      </c>
      <c r="U425">
        <v>1997</v>
      </c>
      <c r="V425" t="s">
        <v>20</v>
      </c>
      <c r="W425" t="s">
        <v>19</v>
      </c>
      <c r="X425">
        <v>25</v>
      </c>
      <c r="Y425" t="s">
        <v>47</v>
      </c>
      <c r="Z425">
        <v>4</v>
      </c>
      <c r="AA425">
        <v>46</v>
      </c>
      <c r="AB425">
        <v>8.6999999999999993</v>
      </c>
      <c r="CJ425" t="str">
        <f t="shared" si="50"/>
        <v>FemaleAsian19Poisoning by solids and liquids</v>
      </c>
      <c r="CK425" t="s">
        <v>8</v>
      </c>
      <c r="CL425" t="s">
        <v>78</v>
      </c>
      <c r="CM425" t="s">
        <v>47</v>
      </c>
      <c r="CN425">
        <v>19</v>
      </c>
      <c r="CO425">
        <v>5</v>
      </c>
      <c r="CP425">
        <v>41</v>
      </c>
      <c r="CQ425">
        <v>12.2</v>
      </c>
    </row>
    <row r="426" spans="1:95">
      <c r="A426" t="str">
        <f t="shared" si="46"/>
        <v>2001AllSexMaori24</v>
      </c>
      <c r="B426">
        <v>2001</v>
      </c>
      <c r="C426" t="s">
        <v>17</v>
      </c>
      <c r="D426" t="s">
        <v>18</v>
      </c>
      <c r="E426">
        <v>24</v>
      </c>
      <c r="F426">
        <v>5</v>
      </c>
      <c r="G426">
        <v>6.4094346878605304</v>
      </c>
      <c r="H426">
        <v>5.6</v>
      </c>
      <c r="J426" s="340" t="str">
        <f t="shared" si="47"/>
        <v>2005FemaleNon-Maori193</v>
      </c>
      <c r="K426">
        <v>2005</v>
      </c>
      <c r="L426" t="s">
        <v>8</v>
      </c>
      <c r="M426" t="s">
        <v>19</v>
      </c>
      <c r="N426">
        <v>19</v>
      </c>
      <c r="O426">
        <v>3</v>
      </c>
      <c r="P426">
        <v>18</v>
      </c>
      <c r="Q426">
        <v>3.65225380088925</v>
      </c>
      <c r="R426">
        <v>1.7</v>
      </c>
      <c r="T426" s="340" t="str">
        <f t="shared" si="49"/>
        <v>1997MaleNon-Maori23Sharp object</v>
      </c>
      <c r="U426">
        <v>1997</v>
      </c>
      <c r="V426" t="s">
        <v>20</v>
      </c>
      <c r="W426" t="s">
        <v>19</v>
      </c>
      <c r="X426">
        <v>23</v>
      </c>
      <c r="Y426" t="s">
        <v>48</v>
      </c>
      <c r="Z426">
        <v>4</v>
      </c>
      <c r="AA426">
        <v>160</v>
      </c>
      <c r="AB426">
        <v>2.5</v>
      </c>
      <c r="CJ426" t="str">
        <f t="shared" si="50"/>
        <v>FemaleAsian19Submersion (drowning)</v>
      </c>
      <c r="CK426" t="s">
        <v>8</v>
      </c>
      <c r="CL426" t="s">
        <v>78</v>
      </c>
      <c r="CM426" t="s">
        <v>49</v>
      </c>
      <c r="CN426">
        <v>19</v>
      </c>
      <c r="CO426">
        <v>3</v>
      </c>
      <c r="CP426">
        <v>41</v>
      </c>
      <c r="CQ426">
        <v>7.3</v>
      </c>
    </row>
    <row r="427" spans="1:95">
      <c r="A427" t="str">
        <f t="shared" si="46"/>
        <v>2001AllSexMaori25</v>
      </c>
      <c r="B427">
        <v>2001</v>
      </c>
      <c r="C427" t="s">
        <v>17</v>
      </c>
      <c r="D427" t="s">
        <v>18</v>
      </c>
      <c r="E427">
        <v>25</v>
      </c>
      <c r="F427">
        <v>2</v>
      </c>
      <c r="G427">
        <v>10.111223458038401</v>
      </c>
      <c r="H427">
        <v>14</v>
      </c>
      <c r="J427" s="340" t="str">
        <f t="shared" si="47"/>
        <v>2005FemaleNon-Maori194</v>
      </c>
      <c r="K427">
        <v>2005</v>
      </c>
      <c r="L427" t="s">
        <v>8</v>
      </c>
      <c r="M427" t="s">
        <v>19</v>
      </c>
      <c r="N427">
        <v>19</v>
      </c>
      <c r="O427">
        <v>4</v>
      </c>
      <c r="P427">
        <v>31</v>
      </c>
      <c r="Q427">
        <v>8.5161652130760306</v>
      </c>
      <c r="R427">
        <v>3</v>
      </c>
      <c r="T427" s="340" t="str">
        <f t="shared" si="49"/>
        <v>1997MaleNon-Maori24Sharp object</v>
      </c>
      <c r="U427">
        <v>1997</v>
      </c>
      <c r="V427" t="s">
        <v>20</v>
      </c>
      <c r="W427" t="s">
        <v>19</v>
      </c>
      <c r="X427">
        <v>24</v>
      </c>
      <c r="Y427" t="s">
        <v>48</v>
      </c>
      <c r="Z427">
        <v>3</v>
      </c>
      <c r="AA427">
        <v>69</v>
      </c>
      <c r="AB427">
        <v>4.3</v>
      </c>
      <c r="CJ427" t="str">
        <f t="shared" si="50"/>
        <v>FemaleMaori19Firearms and explosives</v>
      </c>
      <c r="CK427" t="s">
        <v>8</v>
      </c>
      <c r="CL427" t="s">
        <v>18</v>
      </c>
      <c r="CM427" t="s">
        <v>42</v>
      </c>
      <c r="CN427">
        <v>19</v>
      </c>
      <c r="CO427">
        <v>1</v>
      </c>
      <c r="CP427">
        <v>180</v>
      </c>
      <c r="CQ427">
        <v>0.6</v>
      </c>
    </row>
    <row r="428" spans="1:95">
      <c r="A428" t="str">
        <f t="shared" si="46"/>
        <v>2001AllSexNon-Maori21</v>
      </c>
      <c r="B428">
        <v>2001</v>
      </c>
      <c r="C428" t="s">
        <v>17</v>
      </c>
      <c r="D428" t="s">
        <v>19</v>
      </c>
      <c r="E428">
        <v>21</v>
      </c>
      <c r="F428">
        <v>2</v>
      </c>
      <c r="G428">
        <v>0.30198251521236902</v>
      </c>
      <c r="H428">
        <v>0.4</v>
      </c>
      <c r="J428" s="340" t="str">
        <f t="shared" si="47"/>
        <v>2005FemaleNon-Maori195</v>
      </c>
      <c r="K428">
        <v>2005</v>
      </c>
      <c r="L428" t="s">
        <v>8</v>
      </c>
      <c r="M428" t="s">
        <v>19</v>
      </c>
      <c r="N428">
        <v>19</v>
      </c>
      <c r="O428">
        <v>5</v>
      </c>
      <c r="P428">
        <v>17</v>
      </c>
      <c r="Q428">
        <v>6.0565843462580098</v>
      </c>
      <c r="R428">
        <v>2.9</v>
      </c>
      <c r="T428" s="340" t="str">
        <f t="shared" si="49"/>
        <v>1997MaleNon-Maori25Sharp object</v>
      </c>
      <c r="U428">
        <v>1997</v>
      </c>
      <c r="V428" t="s">
        <v>20</v>
      </c>
      <c r="W428" t="s">
        <v>19</v>
      </c>
      <c r="X428">
        <v>25</v>
      </c>
      <c r="Y428" t="s">
        <v>48</v>
      </c>
      <c r="Z428">
        <v>3</v>
      </c>
      <c r="AA428">
        <v>46</v>
      </c>
      <c r="AB428">
        <v>6.5</v>
      </c>
      <c r="CJ428" t="str">
        <f t="shared" si="50"/>
        <v>FemaleMaori19Hanging, strangulation and suffocation</v>
      </c>
      <c r="CK428" t="s">
        <v>8</v>
      </c>
      <c r="CL428" t="s">
        <v>18</v>
      </c>
      <c r="CM428" t="s">
        <v>43</v>
      </c>
      <c r="CN428">
        <v>19</v>
      </c>
      <c r="CO428">
        <v>154</v>
      </c>
      <c r="CP428">
        <v>180</v>
      </c>
      <c r="CQ428">
        <v>85.6</v>
      </c>
    </row>
    <row r="429" spans="1:95">
      <c r="A429" t="str">
        <f t="shared" si="46"/>
        <v>2001AllSexNon-Maori22</v>
      </c>
      <c r="B429">
        <v>2001</v>
      </c>
      <c r="C429" t="s">
        <v>17</v>
      </c>
      <c r="D429" t="s">
        <v>19</v>
      </c>
      <c r="E429">
        <v>22</v>
      </c>
      <c r="F429">
        <v>81</v>
      </c>
      <c r="G429">
        <v>18.786965093355001</v>
      </c>
      <c r="H429">
        <v>4.0999999999999996</v>
      </c>
      <c r="J429" s="340" t="str">
        <f t="shared" si="47"/>
        <v>2006FemaleNon-Maori191</v>
      </c>
      <c r="K429">
        <v>2006</v>
      </c>
      <c r="L429" t="s">
        <v>8</v>
      </c>
      <c r="M429" t="s">
        <v>19</v>
      </c>
      <c r="N429">
        <v>19</v>
      </c>
      <c r="O429">
        <v>1</v>
      </c>
      <c r="P429">
        <v>16</v>
      </c>
      <c r="Q429">
        <v>3.5341288362421701</v>
      </c>
      <c r="R429">
        <v>1.7</v>
      </c>
      <c r="T429" s="340" t="str">
        <f t="shared" si="49"/>
        <v>1997MaleNon-Maori22Submersion (drowning)</v>
      </c>
      <c r="U429">
        <v>1997</v>
      </c>
      <c r="V429" t="s">
        <v>20</v>
      </c>
      <c r="W429" t="s">
        <v>19</v>
      </c>
      <c r="X429">
        <v>22</v>
      </c>
      <c r="Y429" t="s">
        <v>49</v>
      </c>
      <c r="Z429">
        <v>1</v>
      </c>
      <c r="AA429">
        <v>84</v>
      </c>
      <c r="AB429">
        <v>1.2</v>
      </c>
      <c r="CJ429" t="str">
        <f t="shared" si="50"/>
        <v>FemaleMaori19Jumping from a high place</v>
      </c>
      <c r="CK429" t="s">
        <v>8</v>
      </c>
      <c r="CL429" t="s">
        <v>18</v>
      </c>
      <c r="CM429" t="s">
        <v>44</v>
      </c>
      <c r="CN429">
        <v>19</v>
      </c>
      <c r="CO429">
        <v>2</v>
      </c>
      <c r="CP429">
        <v>180</v>
      </c>
      <c r="CQ429">
        <v>1.1000000000000001</v>
      </c>
    </row>
    <row r="430" spans="1:95">
      <c r="A430" t="str">
        <f t="shared" si="46"/>
        <v>2001AllSexNon-Maori23</v>
      </c>
      <c r="B430">
        <v>2001</v>
      </c>
      <c r="C430" t="s">
        <v>17</v>
      </c>
      <c r="D430" t="s">
        <v>19</v>
      </c>
      <c r="E430">
        <v>23</v>
      </c>
      <c r="F430">
        <v>197</v>
      </c>
      <c r="G430">
        <v>19.962304683541699</v>
      </c>
      <c r="H430">
        <v>2.8</v>
      </c>
      <c r="J430" s="340" t="str">
        <f t="shared" si="47"/>
        <v>2006FemaleNon-Maori192</v>
      </c>
      <c r="K430">
        <v>2006</v>
      </c>
      <c r="L430" t="s">
        <v>8</v>
      </c>
      <c r="M430" t="s">
        <v>19</v>
      </c>
      <c r="N430">
        <v>19</v>
      </c>
      <c r="O430">
        <v>2</v>
      </c>
      <c r="P430">
        <v>23</v>
      </c>
      <c r="Q430">
        <v>5.3660682470283598</v>
      </c>
      <c r="R430">
        <v>2.2000000000000002</v>
      </c>
      <c r="T430" s="340" t="str">
        <f t="shared" si="49"/>
        <v>1997MaleNon-Maori23Submersion (drowning)</v>
      </c>
      <c r="U430">
        <v>1997</v>
      </c>
      <c r="V430" t="s">
        <v>20</v>
      </c>
      <c r="W430" t="s">
        <v>19</v>
      </c>
      <c r="X430">
        <v>23</v>
      </c>
      <c r="Y430" t="s">
        <v>49</v>
      </c>
      <c r="Z430">
        <v>3</v>
      </c>
      <c r="AA430">
        <v>160</v>
      </c>
      <c r="AB430">
        <v>1.9</v>
      </c>
      <c r="CJ430" t="str">
        <f t="shared" si="50"/>
        <v>FemaleMaori19Other</v>
      </c>
      <c r="CK430" t="s">
        <v>8</v>
      </c>
      <c r="CL430" t="s">
        <v>18</v>
      </c>
      <c r="CM430" t="s">
        <v>45</v>
      </c>
      <c r="CN430">
        <v>19</v>
      </c>
      <c r="CO430">
        <v>2</v>
      </c>
      <c r="CP430">
        <v>180</v>
      </c>
      <c r="CQ430">
        <v>1.1000000000000001</v>
      </c>
    </row>
    <row r="431" spans="1:95">
      <c r="A431" t="str">
        <f t="shared" si="46"/>
        <v>2001AllSexNon-Maori24</v>
      </c>
      <c r="B431">
        <v>2001</v>
      </c>
      <c r="C431" t="s">
        <v>17</v>
      </c>
      <c r="D431" t="s">
        <v>19</v>
      </c>
      <c r="E431">
        <v>24</v>
      </c>
      <c r="F431">
        <v>87</v>
      </c>
      <c r="G431">
        <v>11.152988231674501</v>
      </c>
      <c r="H431">
        <v>2.2999999999999998</v>
      </c>
      <c r="J431" s="340" t="str">
        <f t="shared" si="47"/>
        <v>2006FemaleNon-Maori193</v>
      </c>
      <c r="K431">
        <v>2006</v>
      </c>
      <c r="L431" t="s">
        <v>8</v>
      </c>
      <c r="M431" t="s">
        <v>19</v>
      </c>
      <c r="N431">
        <v>19</v>
      </c>
      <c r="O431">
        <v>3</v>
      </c>
      <c r="P431">
        <v>19</v>
      </c>
      <c r="Q431">
        <v>4.62134813128056</v>
      </c>
      <c r="R431">
        <v>2.1</v>
      </c>
      <c r="T431" s="340" t="str">
        <f t="shared" si="49"/>
        <v>1997MaleNon-Maori24Submersion (drowning)</v>
      </c>
      <c r="U431">
        <v>1997</v>
      </c>
      <c r="V431" t="s">
        <v>20</v>
      </c>
      <c r="W431" t="s">
        <v>19</v>
      </c>
      <c r="X431">
        <v>24</v>
      </c>
      <c r="Y431" t="s">
        <v>49</v>
      </c>
      <c r="Z431">
        <v>3</v>
      </c>
      <c r="AA431">
        <v>69</v>
      </c>
      <c r="AB431">
        <v>4.3</v>
      </c>
      <c r="CJ431" t="str">
        <f t="shared" si="50"/>
        <v>FemaleMaori19Poisoning by gases and vapours</v>
      </c>
      <c r="CK431" t="s">
        <v>8</v>
      </c>
      <c r="CL431" t="s">
        <v>18</v>
      </c>
      <c r="CM431" t="s">
        <v>46</v>
      </c>
      <c r="CN431">
        <v>19</v>
      </c>
      <c r="CO431">
        <v>3</v>
      </c>
      <c r="CP431">
        <v>180</v>
      </c>
      <c r="CQ431">
        <v>1.7</v>
      </c>
    </row>
    <row r="432" spans="1:95">
      <c r="A432" t="str">
        <f t="shared" si="46"/>
        <v>2001AllSexNon-Maori25</v>
      </c>
      <c r="B432">
        <v>2001</v>
      </c>
      <c r="C432" t="s">
        <v>17</v>
      </c>
      <c r="D432" t="s">
        <v>19</v>
      </c>
      <c r="E432">
        <v>25</v>
      </c>
      <c r="F432">
        <v>62</v>
      </c>
      <c r="G432">
        <v>14.070762317590701</v>
      </c>
      <c r="H432">
        <v>3.5</v>
      </c>
      <c r="J432" s="340" t="str">
        <f t="shared" si="47"/>
        <v>2006FemaleNon-Maori194</v>
      </c>
      <c r="K432">
        <v>2006</v>
      </c>
      <c r="L432" t="s">
        <v>8</v>
      </c>
      <c r="M432" t="s">
        <v>19</v>
      </c>
      <c r="N432">
        <v>19</v>
      </c>
      <c r="O432">
        <v>4</v>
      </c>
      <c r="P432">
        <v>18</v>
      </c>
      <c r="Q432">
        <v>4.5480475481478599</v>
      </c>
      <c r="R432">
        <v>2.1</v>
      </c>
      <c r="T432" s="340" t="str">
        <f t="shared" si="49"/>
        <v>1997MaleNon-Maori25Submersion (drowning)</v>
      </c>
      <c r="U432">
        <v>1997</v>
      </c>
      <c r="V432" t="s">
        <v>20</v>
      </c>
      <c r="W432" t="s">
        <v>19</v>
      </c>
      <c r="X432">
        <v>25</v>
      </c>
      <c r="Y432" t="s">
        <v>49</v>
      </c>
      <c r="Z432">
        <v>3</v>
      </c>
      <c r="AA432">
        <v>46</v>
      </c>
      <c r="AB432">
        <v>6.5</v>
      </c>
      <c r="CJ432" t="str">
        <f t="shared" si="50"/>
        <v>FemaleMaori19Poisoning by solids and liquids</v>
      </c>
      <c r="CK432" t="s">
        <v>8</v>
      </c>
      <c r="CL432" t="s">
        <v>18</v>
      </c>
      <c r="CM432" t="s">
        <v>47</v>
      </c>
      <c r="CN432">
        <v>19</v>
      </c>
      <c r="CO432">
        <v>18</v>
      </c>
      <c r="CP432">
        <v>180</v>
      </c>
      <c r="CQ432">
        <v>10</v>
      </c>
    </row>
    <row r="433" spans="1:95">
      <c r="A433" t="str">
        <f t="shared" si="46"/>
        <v>2001FemaleAllEth21</v>
      </c>
      <c r="B433">
        <v>2001</v>
      </c>
      <c r="C433" t="s">
        <v>8</v>
      </c>
      <c r="D433" t="s">
        <v>27</v>
      </c>
      <c r="E433">
        <v>21</v>
      </c>
      <c r="F433">
        <v>2</v>
      </c>
      <c r="G433">
        <v>0.46795666721261597</v>
      </c>
      <c r="H433">
        <v>0.6</v>
      </c>
      <c r="J433" s="340" t="str">
        <f t="shared" si="47"/>
        <v>2006FemaleNon-Maori195</v>
      </c>
      <c r="K433">
        <v>2006</v>
      </c>
      <c r="L433" t="s">
        <v>8</v>
      </c>
      <c r="M433" t="s">
        <v>19</v>
      </c>
      <c r="N433">
        <v>19</v>
      </c>
      <c r="O433">
        <v>5</v>
      </c>
      <c r="P433">
        <v>19</v>
      </c>
      <c r="Q433">
        <v>6.5517228204333202</v>
      </c>
      <c r="R433">
        <v>2.9</v>
      </c>
      <c r="T433" s="340" t="str">
        <f t="shared" si="49"/>
        <v>1998AllSexAllEth22Firearms and explosives</v>
      </c>
      <c r="U433">
        <v>1998</v>
      </c>
      <c r="V433" t="s">
        <v>17</v>
      </c>
      <c r="W433" t="s">
        <v>27</v>
      </c>
      <c r="X433">
        <v>22</v>
      </c>
      <c r="Y433" t="s">
        <v>42</v>
      </c>
      <c r="Z433">
        <v>15</v>
      </c>
      <c r="AA433">
        <v>139</v>
      </c>
      <c r="AB433">
        <v>10.8</v>
      </c>
      <c r="CJ433" t="str">
        <f t="shared" si="50"/>
        <v>FemaleOther19Firearms and explosives</v>
      </c>
      <c r="CK433" t="s">
        <v>8</v>
      </c>
      <c r="CL433" t="s">
        <v>45</v>
      </c>
      <c r="CM433" t="s">
        <v>42</v>
      </c>
      <c r="CN433">
        <v>19</v>
      </c>
      <c r="CO433">
        <v>9</v>
      </c>
      <c r="CP433">
        <v>461</v>
      </c>
      <c r="CQ433">
        <v>2</v>
      </c>
    </row>
    <row r="434" spans="1:95">
      <c r="A434" t="str">
        <f t="shared" si="46"/>
        <v>2001FemaleAllEth22</v>
      </c>
      <c r="B434">
        <v>2001</v>
      </c>
      <c r="C434" t="s">
        <v>8</v>
      </c>
      <c r="D434" t="s">
        <v>27</v>
      </c>
      <c r="E434">
        <v>22</v>
      </c>
      <c r="F434">
        <v>23</v>
      </c>
      <c r="G434">
        <v>8.6963097398669102</v>
      </c>
      <c r="H434">
        <v>3.6</v>
      </c>
      <c r="J434" s="340" t="str">
        <f t="shared" si="47"/>
        <v>2007FemaleNon-Maori191</v>
      </c>
      <c r="K434">
        <v>2007</v>
      </c>
      <c r="L434" t="s">
        <v>8</v>
      </c>
      <c r="M434" t="s">
        <v>19</v>
      </c>
      <c r="N434">
        <v>19</v>
      </c>
      <c r="O434">
        <v>1</v>
      </c>
      <c r="P434">
        <v>17</v>
      </c>
      <c r="Q434">
        <v>3.3602918208130999</v>
      </c>
      <c r="R434">
        <v>1.6</v>
      </c>
      <c r="T434" s="340" t="str">
        <f t="shared" si="49"/>
        <v>1998AllSexAllEth23Firearms and explosives</v>
      </c>
      <c r="U434">
        <v>1998</v>
      </c>
      <c r="V434" t="s">
        <v>17</v>
      </c>
      <c r="W434" t="s">
        <v>27</v>
      </c>
      <c r="X434">
        <v>23</v>
      </c>
      <c r="Y434" t="s">
        <v>42</v>
      </c>
      <c r="Z434">
        <v>22</v>
      </c>
      <c r="AA434">
        <v>249</v>
      </c>
      <c r="AB434">
        <v>8.8000000000000007</v>
      </c>
      <c r="CJ434" t="str">
        <f t="shared" si="50"/>
        <v>FemaleOther19Hanging, strangulation and suffocation</v>
      </c>
      <c r="CK434" t="s">
        <v>8</v>
      </c>
      <c r="CL434" t="s">
        <v>45</v>
      </c>
      <c r="CM434" t="s">
        <v>43</v>
      </c>
      <c r="CN434">
        <v>19</v>
      </c>
      <c r="CO434">
        <v>208</v>
      </c>
      <c r="CP434">
        <v>461</v>
      </c>
      <c r="CQ434">
        <v>45.1</v>
      </c>
    </row>
    <row r="435" spans="1:95">
      <c r="A435" t="str">
        <f t="shared" si="46"/>
        <v>2001FemaleAllEth23</v>
      </c>
      <c r="B435">
        <v>2001</v>
      </c>
      <c r="C435" t="s">
        <v>8</v>
      </c>
      <c r="D435" t="s">
        <v>27</v>
      </c>
      <c r="E435">
        <v>23</v>
      </c>
      <c r="F435">
        <v>50</v>
      </c>
      <c r="G435">
        <v>8.3884172734288498</v>
      </c>
      <c r="H435">
        <v>2.2999999999999998</v>
      </c>
      <c r="J435" s="340" t="str">
        <f t="shared" si="47"/>
        <v>2007FemaleNon-Maori192</v>
      </c>
      <c r="K435">
        <v>2007</v>
      </c>
      <c r="L435" t="s">
        <v>8</v>
      </c>
      <c r="M435" t="s">
        <v>19</v>
      </c>
      <c r="N435">
        <v>19</v>
      </c>
      <c r="O435">
        <v>2</v>
      </c>
      <c r="P435">
        <v>19</v>
      </c>
      <c r="Q435">
        <v>4.17257081214753</v>
      </c>
      <c r="R435">
        <v>1.9</v>
      </c>
      <c r="T435" s="340" t="str">
        <f t="shared" si="49"/>
        <v>1998AllSexAllEth24Firearms and explosives</v>
      </c>
      <c r="U435">
        <v>1998</v>
      </c>
      <c r="V435" t="s">
        <v>17</v>
      </c>
      <c r="W435" t="s">
        <v>27</v>
      </c>
      <c r="X435">
        <v>24</v>
      </c>
      <c r="Y435" t="s">
        <v>42</v>
      </c>
      <c r="Z435">
        <v>28</v>
      </c>
      <c r="AA435">
        <v>114</v>
      </c>
      <c r="AB435">
        <v>24.6</v>
      </c>
      <c r="CJ435" t="str">
        <f t="shared" si="50"/>
        <v>FemaleOther19Jumping from a high place</v>
      </c>
      <c r="CK435" t="s">
        <v>8</v>
      </c>
      <c r="CL435" t="s">
        <v>45</v>
      </c>
      <c r="CM435" t="s">
        <v>44</v>
      </c>
      <c r="CN435">
        <v>19</v>
      </c>
      <c r="CO435">
        <v>16</v>
      </c>
      <c r="CP435">
        <v>461</v>
      </c>
      <c r="CQ435">
        <v>3.5</v>
      </c>
    </row>
    <row r="436" spans="1:95">
      <c r="A436" t="str">
        <f t="shared" si="46"/>
        <v>2001FemaleAllEth24</v>
      </c>
      <c r="B436">
        <v>2001</v>
      </c>
      <c r="C436" t="s">
        <v>8</v>
      </c>
      <c r="D436" t="s">
        <v>27</v>
      </c>
      <c r="E436">
        <v>24</v>
      </c>
      <c r="F436">
        <v>27</v>
      </c>
      <c r="G436">
        <v>6.2302420564413801</v>
      </c>
      <c r="H436">
        <v>2.4</v>
      </c>
      <c r="J436" s="340" t="str">
        <f t="shared" si="47"/>
        <v>2007FemaleNon-Maori193</v>
      </c>
      <c r="K436">
        <v>2007</v>
      </c>
      <c r="L436" t="s">
        <v>8</v>
      </c>
      <c r="M436" t="s">
        <v>19</v>
      </c>
      <c r="N436">
        <v>19</v>
      </c>
      <c r="O436">
        <v>3</v>
      </c>
      <c r="P436">
        <v>19</v>
      </c>
      <c r="Q436">
        <v>4.6589824184575104</v>
      </c>
      <c r="R436">
        <v>2.1</v>
      </c>
      <c r="T436" s="340" t="str">
        <f t="shared" si="49"/>
        <v>1998AllSexAllEth25Firearms and explosives</v>
      </c>
      <c r="U436">
        <v>1998</v>
      </c>
      <c r="V436" t="s">
        <v>17</v>
      </c>
      <c r="W436" t="s">
        <v>27</v>
      </c>
      <c r="X436">
        <v>25</v>
      </c>
      <c r="Y436" t="s">
        <v>42</v>
      </c>
      <c r="Z436">
        <v>7</v>
      </c>
      <c r="AA436">
        <v>64</v>
      </c>
      <c r="AB436">
        <v>10.9</v>
      </c>
      <c r="CJ436" t="str">
        <f t="shared" si="50"/>
        <v>FemaleOther19Other</v>
      </c>
      <c r="CK436" t="s">
        <v>8</v>
      </c>
      <c r="CL436" t="s">
        <v>45</v>
      </c>
      <c r="CM436" t="s">
        <v>45</v>
      </c>
      <c r="CN436">
        <v>19</v>
      </c>
      <c r="CO436">
        <v>21</v>
      </c>
      <c r="CP436">
        <v>461</v>
      </c>
      <c r="CQ436">
        <v>4.5999999999999996</v>
      </c>
    </row>
    <row r="437" spans="1:95">
      <c r="A437" t="str">
        <f t="shared" si="46"/>
        <v>2001FemaleAllEth25</v>
      </c>
      <c r="B437">
        <v>2001</v>
      </c>
      <c r="C437" t="s">
        <v>8</v>
      </c>
      <c r="D437" t="s">
        <v>27</v>
      </c>
      <c r="E437">
        <v>25</v>
      </c>
      <c r="F437">
        <v>16</v>
      </c>
      <c r="G437">
        <v>6.1773676692019599</v>
      </c>
      <c r="H437">
        <v>3</v>
      </c>
      <c r="J437" s="340" t="str">
        <f t="shared" si="47"/>
        <v>2007FemaleNon-Maori194</v>
      </c>
      <c r="K437">
        <v>2007</v>
      </c>
      <c r="L437" t="s">
        <v>8</v>
      </c>
      <c r="M437" t="s">
        <v>19</v>
      </c>
      <c r="N437">
        <v>19</v>
      </c>
      <c r="O437">
        <v>4</v>
      </c>
      <c r="P437">
        <v>18</v>
      </c>
      <c r="Q437">
        <v>4.9670452196428103</v>
      </c>
      <c r="R437">
        <v>2.2999999999999998</v>
      </c>
      <c r="T437" s="340" t="str">
        <f t="shared" si="49"/>
        <v>1998AllSexAllEth21Hanging, strangulation and suffocation</v>
      </c>
      <c r="U437">
        <v>1998</v>
      </c>
      <c r="V437" t="s">
        <v>17</v>
      </c>
      <c r="W437" t="s">
        <v>27</v>
      </c>
      <c r="X437">
        <v>21</v>
      </c>
      <c r="Y437" t="s">
        <v>43</v>
      </c>
      <c r="Z437">
        <v>11</v>
      </c>
      <c r="AA437">
        <v>12</v>
      </c>
      <c r="AB437">
        <v>91.7</v>
      </c>
      <c r="CJ437" t="str">
        <f t="shared" si="50"/>
        <v>FemaleOther19Poisoning by gases and vapours</v>
      </c>
      <c r="CK437" t="s">
        <v>8</v>
      </c>
      <c r="CL437" t="s">
        <v>45</v>
      </c>
      <c r="CM437" t="s">
        <v>46</v>
      </c>
      <c r="CN437">
        <v>19</v>
      </c>
      <c r="CO437">
        <v>38</v>
      </c>
      <c r="CP437">
        <v>461</v>
      </c>
      <c r="CQ437">
        <v>8.1999999999999993</v>
      </c>
    </row>
    <row r="438" spans="1:95">
      <c r="A438" t="str">
        <f t="shared" si="46"/>
        <v>2001FemaleMaori21</v>
      </c>
      <c r="B438">
        <v>2001</v>
      </c>
      <c r="C438" t="s">
        <v>8</v>
      </c>
      <c r="D438" t="s">
        <v>18</v>
      </c>
      <c r="E438">
        <v>21</v>
      </c>
      <c r="F438">
        <v>1</v>
      </c>
      <c r="G438">
        <v>0.95066070919288903</v>
      </c>
      <c r="H438">
        <v>1.9</v>
      </c>
      <c r="J438" s="340" t="str">
        <f t="shared" si="47"/>
        <v>2007FemaleNon-Maori195</v>
      </c>
      <c r="K438">
        <v>2007</v>
      </c>
      <c r="L438" t="s">
        <v>8</v>
      </c>
      <c r="M438" t="s">
        <v>19</v>
      </c>
      <c r="N438">
        <v>19</v>
      </c>
      <c r="O438">
        <v>5</v>
      </c>
      <c r="P438">
        <v>19</v>
      </c>
      <c r="Q438">
        <v>5.9335146884031698</v>
      </c>
      <c r="R438">
        <v>2.7</v>
      </c>
      <c r="T438" s="340" t="str">
        <f t="shared" si="49"/>
        <v>1998AllSexAllEth22Hanging, strangulation and suffocation</v>
      </c>
      <c r="U438">
        <v>1998</v>
      </c>
      <c r="V438" t="s">
        <v>17</v>
      </c>
      <c r="W438" t="s">
        <v>27</v>
      </c>
      <c r="X438">
        <v>22</v>
      </c>
      <c r="Y438" t="s">
        <v>43</v>
      </c>
      <c r="Z438">
        <v>74</v>
      </c>
      <c r="AA438">
        <v>139</v>
      </c>
      <c r="AB438">
        <v>53.2</v>
      </c>
      <c r="CJ438" t="str">
        <f t="shared" si="50"/>
        <v>FemaleOther19Poisoning by solids and liquids</v>
      </c>
      <c r="CK438" t="s">
        <v>8</v>
      </c>
      <c r="CL438" t="s">
        <v>45</v>
      </c>
      <c r="CM438" t="s">
        <v>47</v>
      </c>
      <c r="CN438">
        <v>19</v>
      </c>
      <c r="CO438">
        <v>146</v>
      </c>
      <c r="CP438">
        <v>461</v>
      </c>
      <c r="CQ438">
        <v>31.7</v>
      </c>
    </row>
    <row r="439" spans="1:95">
      <c r="A439" t="str">
        <f t="shared" si="46"/>
        <v>2001FemaleMaori22</v>
      </c>
      <c r="B439">
        <v>2001</v>
      </c>
      <c r="C439" t="s">
        <v>8</v>
      </c>
      <c r="D439" t="s">
        <v>18</v>
      </c>
      <c r="E439">
        <v>22</v>
      </c>
      <c r="F439">
        <v>9</v>
      </c>
      <c r="G439">
        <v>17.241379310344801</v>
      </c>
      <c r="H439">
        <v>11.3</v>
      </c>
      <c r="J439" s="340" t="str">
        <f t="shared" si="47"/>
        <v>2008FemaleNon-Maori191</v>
      </c>
      <c r="K439">
        <v>2008</v>
      </c>
      <c r="L439" t="s">
        <v>8</v>
      </c>
      <c r="M439" t="s">
        <v>19</v>
      </c>
      <c r="N439">
        <v>19</v>
      </c>
      <c r="O439">
        <v>1</v>
      </c>
      <c r="P439">
        <v>20</v>
      </c>
      <c r="Q439">
        <v>4.9014093985756899</v>
      </c>
      <c r="R439">
        <v>2.1</v>
      </c>
      <c r="T439" s="340" t="str">
        <f t="shared" si="49"/>
        <v>1998AllSexAllEth23Hanging, strangulation and suffocation</v>
      </c>
      <c r="U439">
        <v>1998</v>
      </c>
      <c r="V439" t="s">
        <v>17</v>
      </c>
      <c r="W439" t="s">
        <v>27</v>
      </c>
      <c r="X439">
        <v>23</v>
      </c>
      <c r="Y439" t="s">
        <v>43</v>
      </c>
      <c r="Z439">
        <v>121</v>
      </c>
      <c r="AA439">
        <v>249</v>
      </c>
      <c r="AB439">
        <v>48.6</v>
      </c>
      <c r="CJ439" t="str">
        <f t="shared" si="50"/>
        <v>FemaleOther19Sharp object</v>
      </c>
      <c r="CK439" t="s">
        <v>8</v>
      </c>
      <c r="CL439" t="s">
        <v>45</v>
      </c>
      <c r="CM439" t="s">
        <v>48</v>
      </c>
      <c r="CN439">
        <v>19</v>
      </c>
      <c r="CO439">
        <v>7</v>
      </c>
      <c r="CP439">
        <v>461</v>
      </c>
      <c r="CQ439">
        <v>1.5</v>
      </c>
    </row>
    <row r="440" spans="1:95">
      <c r="A440" t="str">
        <f t="shared" si="46"/>
        <v>2001FemaleMaori23</v>
      </c>
      <c r="B440">
        <v>2001</v>
      </c>
      <c r="C440" t="s">
        <v>8</v>
      </c>
      <c r="D440" t="s">
        <v>18</v>
      </c>
      <c r="E440">
        <v>23</v>
      </c>
      <c r="F440">
        <v>11</v>
      </c>
      <c r="G440">
        <v>12.439217460138</v>
      </c>
      <c r="H440">
        <v>7.4</v>
      </c>
      <c r="J440" s="340" t="str">
        <f t="shared" si="47"/>
        <v>2008FemaleNon-Maori192</v>
      </c>
      <c r="K440">
        <v>2008</v>
      </c>
      <c r="L440" t="s">
        <v>8</v>
      </c>
      <c r="M440" t="s">
        <v>19</v>
      </c>
      <c r="N440">
        <v>19</v>
      </c>
      <c r="O440">
        <v>2</v>
      </c>
      <c r="P440">
        <v>21</v>
      </c>
      <c r="Q440">
        <v>4.4358509309383702</v>
      </c>
      <c r="R440">
        <v>1.9</v>
      </c>
      <c r="T440" s="340" t="str">
        <f t="shared" si="49"/>
        <v>1998AllSexAllEth24Hanging, strangulation and suffocation</v>
      </c>
      <c r="U440">
        <v>1998</v>
      </c>
      <c r="V440" t="s">
        <v>17</v>
      </c>
      <c r="W440" t="s">
        <v>27</v>
      </c>
      <c r="X440">
        <v>24</v>
      </c>
      <c r="Y440" t="s">
        <v>43</v>
      </c>
      <c r="Z440">
        <v>26</v>
      </c>
      <c r="AA440">
        <v>114</v>
      </c>
      <c r="AB440">
        <v>22.8</v>
      </c>
      <c r="CJ440" t="str">
        <f t="shared" si="50"/>
        <v>FemaleOther19Submersion (drowning)</v>
      </c>
      <c r="CK440" t="s">
        <v>8</v>
      </c>
      <c r="CL440" t="s">
        <v>45</v>
      </c>
      <c r="CM440" t="s">
        <v>49</v>
      </c>
      <c r="CN440">
        <v>19</v>
      </c>
      <c r="CO440">
        <v>16</v>
      </c>
      <c r="CP440">
        <v>461</v>
      </c>
      <c r="CQ440">
        <v>3.5</v>
      </c>
    </row>
    <row r="441" spans="1:95">
      <c r="A441" t="str">
        <f t="shared" si="46"/>
        <v>2001FemaleMaori24</v>
      </c>
      <c r="B441">
        <v>2001</v>
      </c>
      <c r="C441" t="s">
        <v>8</v>
      </c>
      <c r="D441" t="s">
        <v>18</v>
      </c>
      <c r="E441">
        <v>24</v>
      </c>
      <c r="F441">
        <v>0</v>
      </c>
      <c r="G441">
        <v>0</v>
      </c>
      <c r="J441" s="340" t="str">
        <f t="shared" si="47"/>
        <v>2008FemaleNon-Maori193</v>
      </c>
      <c r="K441">
        <v>2008</v>
      </c>
      <c r="L441" t="s">
        <v>8</v>
      </c>
      <c r="M441" t="s">
        <v>19</v>
      </c>
      <c r="N441">
        <v>19</v>
      </c>
      <c r="O441">
        <v>3</v>
      </c>
      <c r="P441">
        <v>27</v>
      </c>
      <c r="Q441">
        <v>6.7466888766152602</v>
      </c>
      <c r="R441">
        <v>2.5</v>
      </c>
      <c r="T441" s="340" t="str">
        <f t="shared" si="49"/>
        <v>1998AllSexAllEth25Hanging, strangulation and suffocation</v>
      </c>
      <c r="U441">
        <v>1998</v>
      </c>
      <c r="V441" t="s">
        <v>17</v>
      </c>
      <c r="W441" t="s">
        <v>27</v>
      </c>
      <c r="X441">
        <v>25</v>
      </c>
      <c r="Y441" t="s">
        <v>43</v>
      </c>
      <c r="Z441">
        <v>18</v>
      </c>
      <c r="AA441">
        <v>64</v>
      </c>
      <c r="AB441">
        <v>28.1</v>
      </c>
      <c r="CJ441" t="str">
        <f t="shared" si="50"/>
        <v>FemalePacific19Hanging, strangulation and suffocation</v>
      </c>
      <c r="CK441" t="s">
        <v>8</v>
      </c>
      <c r="CL441" t="s">
        <v>79</v>
      </c>
      <c r="CM441" t="s">
        <v>43</v>
      </c>
      <c r="CN441">
        <v>19</v>
      </c>
      <c r="CO441">
        <v>23</v>
      </c>
      <c r="CP441">
        <v>28</v>
      </c>
      <c r="CQ441">
        <v>82.1</v>
      </c>
    </row>
    <row r="442" spans="1:95">
      <c r="A442" t="str">
        <f t="shared" si="46"/>
        <v>2001FemaleMaori25</v>
      </c>
      <c r="B442">
        <v>2001</v>
      </c>
      <c r="C442" t="s">
        <v>8</v>
      </c>
      <c r="D442" t="s">
        <v>18</v>
      </c>
      <c r="E442">
        <v>25</v>
      </c>
      <c r="F442">
        <v>0</v>
      </c>
      <c r="G442">
        <v>0</v>
      </c>
      <c r="J442" s="340" t="str">
        <f t="shared" si="47"/>
        <v>2008FemaleNon-Maori194</v>
      </c>
      <c r="K442">
        <v>2008</v>
      </c>
      <c r="L442" t="s">
        <v>8</v>
      </c>
      <c r="M442" t="s">
        <v>19</v>
      </c>
      <c r="N442">
        <v>19</v>
      </c>
      <c r="O442">
        <v>4</v>
      </c>
      <c r="P442">
        <v>16</v>
      </c>
      <c r="Q442">
        <v>3.9684161644724001</v>
      </c>
      <c r="R442">
        <v>1.9</v>
      </c>
      <c r="T442" s="340" t="str">
        <f t="shared" si="49"/>
        <v>1998AllSexAllEth22Jumping from a high place</v>
      </c>
      <c r="U442">
        <v>1998</v>
      </c>
      <c r="V442" t="s">
        <v>17</v>
      </c>
      <c r="W442" t="s">
        <v>27</v>
      </c>
      <c r="X442">
        <v>22</v>
      </c>
      <c r="Y442" t="s">
        <v>44</v>
      </c>
      <c r="Z442">
        <v>7</v>
      </c>
      <c r="AA442">
        <v>139</v>
      </c>
      <c r="AB442">
        <v>5</v>
      </c>
      <c r="CJ442" t="str">
        <f t="shared" si="50"/>
        <v>FemalePacific19Other</v>
      </c>
      <c r="CK442" t="s">
        <v>8</v>
      </c>
      <c r="CL442" t="s">
        <v>79</v>
      </c>
      <c r="CM442" t="s">
        <v>45</v>
      </c>
      <c r="CN442">
        <v>19</v>
      </c>
      <c r="CO442">
        <v>1</v>
      </c>
      <c r="CP442">
        <v>28</v>
      </c>
      <c r="CQ442">
        <v>3.6</v>
      </c>
    </row>
    <row r="443" spans="1:95">
      <c r="A443" t="str">
        <f t="shared" si="46"/>
        <v>2001FemaleNon-Maori21</v>
      </c>
      <c r="B443">
        <v>2001</v>
      </c>
      <c r="C443" t="s">
        <v>8</v>
      </c>
      <c r="D443" t="s">
        <v>19</v>
      </c>
      <c r="E443">
        <v>21</v>
      </c>
      <c r="F443">
        <v>1</v>
      </c>
      <c r="G443">
        <v>0.31036623215394199</v>
      </c>
      <c r="H443">
        <v>0.6</v>
      </c>
      <c r="J443" s="340" t="str">
        <f t="shared" si="47"/>
        <v>2008FemaleNon-Maori195</v>
      </c>
      <c r="K443">
        <v>2008</v>
      </c>
      <c r="L443" t="s">
        <v>8</v>
      </c>
      <c r="M443" t="s">
        <v>19</v>
      </c>
      <c r="N443">
        <v>19</v>
      </c>
      <c r="O443">
        <v>5</v>
      </c>
      <c r="P443">
        <v>16</v>
      </c>
      <c r="Q443">
        <v>5.3161410639084696</v>
      </c>
      <c r="R443">
        <v>2.6</v>
      </c>
      <c r="T443" s="340" t="str">
        <f t="shared" si="49"/>
        <v>1998AllSexAllEth23Jumping from a high place</v>
      </c>
      <c r="U443">
        <v>1998</v>
      </c>
      <c r="V443" t="s">
        <v>17</v>
      </c>
      <c r="W443" t="s">
        <v>27</v>
      </c>
      <c r="X443">
        <v>23</v>
      </c>
      <c r="Y443" t="s">
        <v>44</v>
      </c>
      <c r="Z443">
        <v>6</v>
      </c>
      <c r="AA443">
        <v>249</v>
      </c>
      <c r="AB443">
        <v>2.4</v>
      </c>
      <c r="CJ443" t="str">
        <f t="shared" si="50"/>
        <v>FemalePacific19Poisoning by solids and liquids</v>
      </c>
      <c r="CK443" t="s">
        <v>8</v>
      </c>
      <c r="CL443" t="s">
        <v>79</v>
      </c>
      <c r="CM443" t="s">
        <v>47</v>
      </c>
      <c r="CN443">
        <v>19</v>
      </c>
      <c r="CO443">
        <v>3</v>
      </c>
      <c r="CP443">
        <v>28</v>
      </c>
      <c r="CQ443">
        <v>10.7</v>
      </c>
    </row>
    <row r="444" spans="1:95">
      <c r="A444" t="str">
        <f t="shared" si="46"/>
        <v>2001FemaleNon-Maori22</v>
      </c>
      <c r="B444">
        <v>2001</v>
      </c>
      <c r="C444" t="s">
        <v>8</v>
      </c>
      <c r="D444" t="s">
        <v>19</v>
      </c>
      <c r="E444">
        <v>22</v>
      </c>
      <c r="F444">
        <v>14</v>
      </c>
      <c r="G444">
        <v>6.5950631241756197</v>
      </c>
      <c r="H444">
        <v>3.5</v>
      </c>
      <c r="J444" s="340" t="str">
        <f t="shared" si="47"/>
        <v>2009FemaleNon-Maori191</v>
      </c>
      <c r="K444">
        <v>2009</v>
      </c>
      <c r="L444" t="s">
        <v>8</v>
      </c>
      <c r="M444" t="s">
        <v>19</v>
      </c>
      <c r="N444">
        <v>19</v>
      </c>
      <c r="O444">
        <v>1</v>
      </c>
      <c r="P444">
        <v>12</v>
      </c>
      <c r="Q444">
        <v>2.5118086470579</v>
      </c>
      <c r="R444">
        <v>1.4</v>
      </c>
      <c r="T444" s="340" t="str">
        <f t="shared" si="49"/>
        <v>1998AllSexAllEth24Jumping from a high place</v>
      </c>
      <c r="U444">
        <v>1998</v>
      </c>
      <c r="V444" t="s">
        <v>17</v>
      </c>
      <c r="W444" t="s">
        <v>27</v>
      </c>
      <c r="X444">
        <v>24</v>
      </c>
      <c r="Y444" t="s">
        <v>44</v>
      </c>
      <c r="Z444">
        <v>2</v>
      </c>
      <c r="AA444">
        <v>114</v>
      </c>
      <c r="AB444">
        <v>1.8</v>
      </c>
      <c r="CJ444" t="str">
        <f t="shared" si="50"/>
        <v>FemalePacific19Sharp object</v>
      </c>
      <c r="CK444" t="s">
        <v>8</v>
      </c>
      <c r="CL444" t="s">
        <v>79</v>
      </c>
      <c r="CM444" t="s">
        <v>48</v>
      </c>
      <c r="CN444">
        <v>19</v>
      </c>
      <c r="CO444">
        <v>1</v>
      </c>
      <c r="CP444">
        <v>28</v>
      </c>
      <c r="CQ444">
        <v>3.6</v>
      </c>
    </row>
    <row r="445" spans="1:95">
      <c r="A445" t="str">
        <f t="shared" si="46"/>
        <v>2001FemaleNon-Maori23</v>
      </c>
      <c r="B445">
        <v>2001</v>
      </c>
      <c r="C445" t="s">
        <v>8</v>
      </c>
      <c r="D445" t="s">
        <v>19</v>
      </c>
      <c r="E445">
        <v>23</v>
      </c>
      <c r="F445">
        <v>39</v>
      </c>
      <c r="G445">
        <v>7.6827610661308396</v>
      </c>
      <c r="H445">
        <v>2.4</v>
      </c>
      <c r="J445" s="340" t="str">
        <f t="shared" si="47"/>
        <v>2009FemaleNon-Maori192</v>
      </c>
      <c r="K445">
        <v>2009</v>
      </c>
      <c r="L445" t="s">
        <v>8</v>
      </c>
      <c r="M445" t="s">
        <v>19</v>
      </c>
      <c r="N445">
        <v>19</v>
      </c>
      <c r="O445">
        <v>2</v>
      </c>
      <c r="P445">
        <v>17</v>
      </c>
      <c r="Q445">
        <v>3.5918390243790701</v>
      </c>
      <c r="R445">
        <v>1.7</v>
      </c>
      <c r="T445" s="340" t="str">
        <f t="shared" si="49"/>
        <v>1998AllSexAllEth25Jumping from a high place</v>
      </c>
      <c r="U445">
        <v>1998</v>
      </c>
      <c r="V445" t="s">
        <v>17</v>
      </c>
      <c r="W445" t="s">
        <v>27</v>
      </c>
      <c r="X445">
        <v>25</v>
      </c>
      <c r="Y445" t="s">
        <v>44</v>
      </c>
      <c r="Z445">
        <v>1</v>
      </c>
      <c r="AA445">
        <v>64</v>
      </c>
      <c r="AB445">
        <v>1.6</v>
      </c>
      <c r="CJ445" t="str">
        <f t="shared" si="50"/>
        <v>MaleAllEth19Firearms and explosives</v>
      </c>
      <c r="CK445" t="s">
        <v>20</v>
      </c>
      <c r="CL445" t="s">
        <v>27</v>
      </c>
      <c r="CM445" t="s">
        <v>42</v>
      </c>
      <c r="CN445">
        <v>19</v>
      </c>
      <c r="CO445">
        <v>201</v>
      </c>
      <c r="CP445">
        <v>1946</v>
      </c>
      <c r="CQ445">
        <v>10.3</v>
      </c>
    </row>
    <row r="446" spans="1:95">
      <c r="A446" t="str">
        <f t="shared" si="46"/>
        <v>2001FemaleNon-Maori24</v>
      </c>
      <c r="B446">
        <v>2001</v>
      </c>
      <c r="C446" t="s">
        <v>8</v>
      </c>
      <c r="D446" t="s">
        <v>19</v>
      </c>
      <c r="E446">
        <v>24</v>
      </c>
      <c r="F446">
        <v>27</v>
      </c>
      <c r="G446">
        <v>6.8653376729047997</v>
      </c>
      <c r="H446">
        <v>2.6</v>
      </c>
      <c r="J446" s="340" t="str">
        <f t="shared" si="47"/>
        <v>2009FemaleNon-Maori193</v>
      </c>
      <c r="K446">
        <v>2009</v>
      </c>
      <c r="L446" t="s">
        <v>8</v>
      </c>
      <c r="M446" t="s">
        <v>19</v>
      </c>
      <c r="N446">
        <v>19</v>
      </c>
      <c r="O446">
        <v>3</v>
      </c>
      <c r="P446">
        <v>19</v>
      </c>
      <c r="Q446">
        <v>4.4298627722214698</v>
      </c>
      <c r="R446">
        <v>2</v>
      </c>
      <c r="T446" s="340" t="str">
        <f t="shared" si="49"/>
        <v>1998AllSexAllEth22Other</v>
      </c>
      <c r="U446">
        <v>1998</v>
      </c>
      <c r="V446" t="s">
        <v>17</v>
      </c>
      <c r="W446" t="s">
        <v>27</v>
      </c>
      <c r="X446">
        <v>22</v>
      </c>
      <c r="Y446" t="s">
        <v>45</v>
      </c>
      <c r="Z446">
        <v>5</v>
      </c>
      <c r="AA446">
        <v>139</v>
      </c>
      <c r="AB446">
        <v>3.6</v>
      </c>
      <c r="CJ446" t="str">
        <f t="shared" si="50"/>
        <v>MaleAllEth19Hanging, strangulation and suffocation</v>
      </c>
      <c r="CK446" t="s">
        <v>20</v>
      </c>
      <c r="CL446" t="s">
        <v>27</v>
      </c>
      <c r="CM446" t="s">
        <v>43</v>
      </c>
      <c r="CN446">
        <v>19</v>
      </c>
      <c r="CO446">
        <v>1224</v>
      </c>
      <c r="CP446">
        <v>1946</v>
      </c>
      <c r="CQ446">
        <v>62.9</v>
      </c>
    </row>
    <row r="447" spans="1:95">
      <c r="A447" t="str">
        <f t="shared" si="46"/>
        <v>2001FemaleNon-Maori25</v>
      </c>
      <c r="B447">
        <v>2001</v>
      </c>
      <c r="C447" t="s">
        <v>8</v>
      </c>
      <c r="D447" t="s">
        <v>19</v>
      </c>
      <c r="E447">
        <v>25</v>
      </c>
      <c r="F447">
        <v>16</v>
      </c>
      <c r="G447">
        <v>6.4479729185137398</v>
      </c>
      <c r="H447">
        <v>3.2</v>
      </c>
      <c r="J447" s="340" t="str">
        <f t="shared" si="47"/>
        <v>2009FemaleNon-Maori194</v>
      </c>
      <c r="K447">
        <v>2009</v>
      </c>
      <c r="L447" t="s">
        <v>8</v>
      </c>
      <c r="M447" t="s">
        <v>19</v>
      </c>
      <c r="N447">
        <v>19</v>
      </c>
      <c r="O447">
        <v>4</v>
      </c>
      <c r="P447">
        <v>26</v>
      </c>
      <c r="Q447">
        <v>6.3715254619813901</v>
      </c>
      <c r="R447">
        <v>2.4</v>
      </c>
      <c r="T447" s="340" t="str">
        <f t="shared" si="49"/>
        <v>1998AllSexAllEth23Other</v>
      </c>
      <c r="U447">
        <v>1998</v>
      </c>
      <c r="V447" t="s">
        <v>17</v>
      </c>
      <c r="W447" t="s">
        <v>27</v>
      </c>
      <c r="X447">
        <v>23</v>
      </c>
      <c r="Y447" t="s">
        <v>45</v>
      </c>
      <c r="Z447">
        <v>12</v>
      </c>
      <c r="AA447">
        <v>249</v>
      </c>
      <c r="AB447">
        <v>4.8</v>
      </c>
      <c r="CJ447" t="str">
        <f t="shared" si="50"/>
        <v>MaleAllEth19Jumping from a high place</v>
      </c>
      <c r="CK447" t="s">
        <v>20</v>
      </c>
      <c r="CL447" t="s">
        <v>27</v>
      </c>
      <c r="CM447" t="s">
        <v>44</v>
      </c>
      <c r="CN447">
        <v>19</v>
      </c>
      <c r="CO447">
        <v>63</v>
      </c>
      <c r="CP447">
        <v>1946</v>
      </c>
      <c r="CQ447">
        <v>3.2</v>
      </c>
    </row>
    <row r="448" spans="1:95">
      <c r="A448" t="str">
        <f t="shared" si="46"/>
        <v>2001MaleAllEth21</v>
      </c>
      <c r="B448">
        <v>2001</v>
      </c>
      <c r="C448" t="s">
        <v>20</v>
      </c>
      <c r="D448" t="s">
        <v>27</v>
      </c>
      <c r="E448">
        <v>21</v>
      </c>
      <c r="F448">
        <v>1</v>
      </c>
      <c r="G448">
        <v>0.22180818028568899</v>
      </c>
      <c r="H448">
        <v>0.4</v>
      </c>
      <c r="J448" s="340" t="str">
        <f t="shared" si="47"/>
        <v>2009FemaleNon-Maori195</v>
      </c>
      <c r="K448">
        <v>2009</v>
      </c>
      <c r="L448" t="s">
        <v>8</v>
      </c>
      <c r="M448" t="s">
        <v>19</v>
      </c>
      <c r="N448">
        <v>19</v>
      </c>
      <c r="O448">
        <v>5</v>
      </c>
      <c r="P448">
        <v>17</v>
      </c>
      <c r="Q448">
        <v>5.8994994548378701</v>
      </c>
      <c r="R448">
        <v>2.8</v>
      </c>
      <c r="T448" s="340" t="str">
        <f t="shared" si="49"/>
        <v>1998AllSexAllEth24Other</v>
      </c>
      <c r="U448">
        <v>1998</v>
      </c>
      <c r="V448" t="s">
        <v>17</v>
      </c>
      <c r="W448" t="s">
        <v>27</v>
      </c>
      <c r="X448">
        <v>24</v>
      </c>
      <c r="Y448" t="s">
        <v>45</v>
      </c>
      <c r="Z448">
        <v>3</v>
      </c>
      <c r="AA448">
        <v>114</v>
      </c>
      <c r="AB448">
        <v>2.6</v>
      </c>
      <c r="CJ448" t="str">
        <f t="shared" si="50"/>
        <v>MaleAllEth19Other</v>
      </c>
      <c r="CK448" t="s">
        <v>20</v>
      </c>
      <c r="CL448" t="s">
        <v>27</v>
      </c>
      <c r="CM448" t="s">
        <v>45</v>
      </c>
      <c r="CN448">
        <v>19</v>
      </c>
      <c r="CO448">
        <v>73</v>
      </c>
      <c r="CP448">
        <v>1946</v>
      </c>
      <c r="CQ448">
        <v>3.8</v>
      </c>
    </row>
    <row r="449" spans="1:95">
      <c r="A449" t="str">
        <f t="shared" si="46"/>
        <v>2001MaleAllEth22</v>
      </c>
      <c r="B449">
        <v>2001</v>
      </c>
      <c r="C449" t="s">
        <v>20</v>
      </c>
      <c r="D449" t="s">
        <v>27</v>
      </c>
      <c r="E449">
        <v>22</v>
      </c>
      <c r="F449">
        <v>87</v>
      </c>
      <c r="G449">
        <v>32.200755052187397</v>
      </c>
      <c r="H449">
        <v>6.8</v>
      </c>
      <c r="J449" s="340" t="str">
        <f t="shared" si="47"/>
        <v>2010FemaleNon-Maori191</v>
      </c>
      <c r="K449">
        <v>2010</v>
      </c>
      <c r="L449" t="s">
        <v>8</v>
      </c>
      <c r="M449" t="s">
        <v>19</v>
      </c>
      <c r="N449">
        <v>19</v>
      </c>
      <c r="O449">
        <v>1</v>
      </c>
      <c r="P449">
        <v>29</v>
      </c>
      <c r="Q449">
        <v>6.4334972732740896</v>
      </c>
      <c r="R449">
        <v>2.2999999999999998</v>
      </c>
      <c r="T449" s="340" t="str">
        <f t="shared" si="49"/>
        <v>1998AllSexAllEth25Other</v>
      </c>
      <c r="U449">
        <v>1998</v>
      </c>
      <c r="V449" t="s">
        <v>17</v>
      </c>
      <c r="W449" t="s">
        <v>27</v>
      </c>
      <c r="X449">
        <v>25</v>
      </c>
      <c r="Y449" t="s">
        <v>45</v>
      </c>
      <c r="Z449">
        <v>4</v>
      </c>
      <c r="AA449">
        <v>64</v>
      </c>
      <c r="AB449">
        <v>6.2</v>
      </c>
      <c r="CJ449" t="str">
        <f t="shared" si="50"/>
        <v>MaleAllEth19Poisoning by gases and vapours</v>
      </c>
      <c r="CK449" t="s">
        <v>20</v>
      </c>
      <c r="CL449" t="s">
        <v>27</v>
      </c>
      <c r="CM449" t="s">
        <v>46</v>
      </c>
      <c r="CN449">
        <v>19</v>
      </c>
      <c r="CO449">
        <v>177</v>
      </c>
      <c r="CP449">
        <v>1946</v>
      </c>
      <c r="CQ449">
        <v>9.1</v>
      </c>
    </row>
    <row r="450" spans="1:95">
      <c r="A450" t="str">
        <f t="shared" si="46"/>
        <v>2001MaleAllEth23</v>
      </c>
      <c r="B450">
        <v>2001</v>
      </c>
      <c r="C450" t="s">
        <v>20</v>
      </c>
      <c r="D450" t="s">
        <v>27</v>
      </c>
      <c r="E450">
        <v>23</v>
      </c>
      <c r="F450">
        <v>189</v>
      </c>
      <c r="G450">
        <v>33.795865817895702</v>
      </c>
      <c r="H450">
        <v>4.8</v>
      </c>
      <c r="J450" s="340" t="str">
        <f t="shared" si="47"/>
        <v>2010FemaleNon-Maori192</v>
      </c>
      <c r="K450">
        <v>2010</v>
      </c>
      <c r="L450" t="s">
        <v>8</v>
      </c>
      <c r="M450" t="s">
        <v>19</v>
      </c>
      <c r="N450">
        <v>19</v>
      </c>
      <c r="O450">
        <v>2</v>
      </c>
      <c r="P450">
        <v>25</v>
      </c>
      <c r="Q450">
        <v>6.5324329984038902</v>
      </c>
      <c r="R450">
        <v>2.6</v>
      </c>
      <c r="T450" s="340" t="str">
        <f t="shared" si="49"/>
        <v>1998AllSexAllEth22Poisoning by gases and vapours</v>
      </c>
      <c r="U450">
        <v>1998</v>
      </c>
      <c r="V450" t="s">
        <v>17</v>
      </c>
      <c r="W450" t="s">
        <v>27</v>
      </c>
      <c r="X450">
        <v>22</v>
      </c>
      <c r="Y450" t="s">
        <v>46</v>
      </c>
      <c r="Z450">
        <v>25</v>
      </c>
      <c r="AA450">
        <v>139</v>
      </c>
      <c r="AB450">
        <v>18</v>
      </c>
      <c r="CJ450" t="str">
        <f t="shared" si="50"/>
        <v>MaleAllEth19Poisoning by solids and liquids</v>
      </c>
      <c r="CK450" t="s">
        <v>20</v>
      </c>
      <c r="CL450" t="s">
        <v>27</v>
      </c>
      <c r="CM450" t="s">
        <v>47</v>
      </c>
      <c r="CN450">
        <v>19</v>
      </c>
      <c r="CO450">
        <v>130</v>
      </c>
      <c r="CP450">
        <v>1946</v>
      </c>
      <c r="CQ450">
        <v>6.7</v>
      </c>
    </row>
    <row r="451" spans="1:95">
      <c r="A451" t="str">
        <f t="shared" si="46"/>
        <v>2001MaleAllEth24</v>
      </c>
      <c r="B451">
        <v>2001</v>
      </c>
      <c r="C451" t="s">
        <v>20</v>
      </c>
      <c r="D451" t="s">
        <v>27</v>
      </c>
      <c r="E451">
        <v>24</v>
      </c>
      <c r="F451">
        <v>65</v>
      </c>
      <c r="G451">
        <v>15.3052814994467</v>
      </c>
      <c r="H451">
        <v>3.7</v>
      </c>
      <c r="J451" s="340" t="str">
        <f t="shared" si="47"/>
        <v>2010FemaleNon-Maori193</v>
      </c>
      <c r="K451">
        <v>2010</v>
      </c>
      <c r="L451" t="s">
        <v>8</v>
      </c>
      <c r="M451" t="s">
        <v>19</v>
      </c>
      <c r="N451">
        <v>19</v>
      </c>
      <c r="O451">
        <v>3</v>
      </c>
      <c r="P451">
        <v>21</v>
      </c>
      <c r="Q451">
        <v>5.0681398867640199</v>
      </c>
      <c r="R451">
        <v>2.2000000000000002</v>
      </c>
      <c r="T451" s="340" t="str">
        <f t="shared" si="49"/>
        <v>1998AllSexAllEth23Poisoning by gases and vapours</v>
      </c>
      <c r="U451">
        <v>1998</v>
      </c>
      <c r="V451" t="s">
        <v>17</v>
      </c>
      <c r="W451" t="s">
        <v>27</v>
      </c>
      <c r="X451">
        <v>23</v>
      </c>
      <c r="Y451" t="s">
        <v>46</v>
      </c>
      <c r="Z451">
        <v>57</v>
      </c>
      <c r="AA451">
        <v>249</v>
      </c>
      <c r="AB451">
        <v>22.9</v>
      </c>
      <c r="CJ451" t="str">
        <f t="shared" si="50"/>
        <v>MaleAllEth19Sharp object</v>
      </c>
      <c r="CK451" t="s">
        <v>20</v>
      </c>
      <c r="CL451" t="s">
        <v>27</v>
      </c>
      <c r="CM451" t="s">
        <v>48</v>
      </c>
      <c r="CN451">
        <v>19</v>
      </c>
      <c r="CO451">
        <v>43</v>
      </c>
      <c r="CP451">
        <v>1946</v>
      </c>
      <c r="CQ451">
        <v>2.2000000000000002</v>
      </c>
    </row>
    <row r="452" spans="1:95">
      <c r="A452" t="str">
        <f t="shared" ref="A452:A515" si="51">B452&amp;C452&amp;D452&amp;E452</f>
        <v>2001MaleAllEth25</v>
      </c>
      <c r="B452">
        <v>2001</v>
      </c>
      <c r="C452" t="s">
        <v>20</v>
      </c>
      <c r="D452" t="s">
        <v>27</v>
      </c>
      <c r="E452">
        <v>25</v>
      </c>
      <c r="F452">
        <v>48</v>
      </c>
      <c r="G452">
        <v>23.830801310694099</v>
      </c>
      <c r="H452">
        <v>6.7</v>
      </c>
      <c r="J452" s="340" t="str">
        <f t="shared" ref="J452:J515" si="52">K452&amp;L452&amp;M452&amp;N452&amp;O452</f>
        <v>2010FemaleNon-Maori194</v>
      </c>
      <c r="K452">
        <v>2010</v>
      </c>
      <c r="L452" t="s">
        <v>8</v>
      </c>
      <c r="M452" t="s">
        <v>19</v>
      </c>
      <c r="N452">
        <v>19</v>
      </c>
      <c r="O452">
        <v>4</v>
      </c>
      <c r="P452">
        <v>21</v>
      </c>
      <c r="Q452">
        <v>4.8154705554786599</v>
      </c>
      <c r="R452">
        <v>2.1</v>
      </c>
      <c r="T452" s="340" t="str">
        <f t="shared" si="49"/>
        <v>1998AllSexAllEth24Poisoning by gases and vapours</v>
      </c>
      <c r="U452">
        <v>1998</v>
      </c>
      <c r="V452" t="s">
        <v>17</v>
      </c>
      <c r="W452" t="s">
        <v>27</v>
      </c>
      <c r="X452">
        <v>24</v>
      </c>
      <c r="Y452" t="s">
        <v>46</v>
      </c>
      <c r="Z452">
        <v>26</v>
      </c>
      <c r="AA452">
        <v>114</v>
      </c>
      <c r="AB452">
        <v>22.8</v>
      </c>
      <c r="CJ452" t="str">
        <f t="shared" si="50"/>
        <v>MaleAllEth19Submersion (drowning)</v>
      </c>
      <c r="CK452" t="s">
        <v>20</v>
      </c>
      <c r="CL452" t="s">
        <v>27</v>
      </c>
      <c r="CM452" t="s">
        <v>49</v>
      </c>
      <c r="CN452">
        <v>19</v>
      </c>
      <c r="CO452">
        <v>35</v>
      </c>
      <c r="CP452">
        <v>1946</v>
      </c>
      <c r="CQ452">
        <v>1.8</v>
      </c>
    </row>
    <row r="453" spans="1:95">
      <c r="A453" t="str">
        <f t="shared" si="51"/>
        <v>2001MaleMaori21</v>
      </c>
      <c r="B453">
        <v>2001</v>
      </c>
      <c r="C453" t="s">
        <v>20</v>
      </c>
      <c r="D453" t="s">
        <v>18</v>
      </c>
      <c r="E453">
        <v>21</v>
      </c>
      <c r="F453">
        <v>0</v>
      </c>
      <c r="G453">
        <v>0</v>
      </c>
      <c r="J453" s="340" t="str">
        <f t="shared" si="52"/>
        <v>2010FemaleNon-Maori195</v>
      </c>
      <c r="K453">
        <v>2010</v>
      </c>
      <c r="L453" t="s">
        <v>8</v>
      </c>
      <c r="M453" t="s">
        <v>19</v>
      </c>
      <c r="N453">
        <v>19</v>
      </c>
      <c r="O453">
        <v>5</v>
      </c>
      <c r="P453">
        <v>19</v>
      </c>
      <c r="Q453">
        <v>6.3476238446220101</v>
      </c>
      <c r="R453">
        <v>2.9</v>
      </c>
      <c r="T453" s="340" t="str">
        <f t="shared" ref="T453:T516" si="53">U453&amp;V453&amp;W453&amp;X453&amp;Y453</f>
        <v>1998AllSexAllEth25Poisoning by gases and vapours</v>
      </c>
      <c r="U453">
        <v>1998</v>
      </c>
      <c r="V453" t="s">
        <v>17</v>
      </c>
      <c r="W453" t="s">
        <v>27</v>
      </c>
      <c r="X453">
        <v>25</v>
      </c>
      <c r="Y453" t="s">
        <v>46</v>
      </c>
      <c r="Z453">
        <v>26</v>
      </c>
      <c r="AA453">
        <v>64</v>
      </c>
      <c r="AB453">
        <v>40.6</v>
      </c>
      <c r="CJ453" t="str">
        <f t="shared" ref="CJ453:CJ479" si="54">CK453&amp;CL453&amp;CN453&amp;CM453</f>
        <v>MaleAsian19Firearms and explosives</v>
      </c>
      <c r="CK453" t="s">
        <v>20</v>
      </c>
      <c r="CL453" t="s">
        <v>78</v>
      </c>
      <c r="CM453" t="s">
        <v>42</v>
      </c>
      <c r="CN453">
        <v>19</v>
      </c>
      <c r="CO453">
        <v>1</v>
      </c>
      <c r="CP453">
        <v>87</v>
      </c>
      <c r="CQ453">
        <v>1.1000000000000001</v>
      </c>
    </row>
    <row r="454" spans="1:95">
      <c r="A454" t="str">
        <f t="shared" si="51"/>
        <v>2001MaleMaori22</v>
      </c>
      <c r="B454">
        <v>2001</v>
      </c>
      <c r="C454" t="s">
        <v>20</v>
      </c>
      <c r="D454" t="s">
        <v>18</v>
      </c>
      <c r="E454">
        <v>22</v>
      </c>
      <c r="F454">
        <v>20</v>
      </c>
      <c r="G454">
        <v>38.978756577665202</v>
      </c>
      <c r="H454">
        <v>17.100000000000001</v>
      </c>
      <c r="J454" s="340" t="str">
        <f t="shared" si="52"/>
        <v>2011FemaleNon-Maori191</v>
      </c>
      <c r="K454">
        <v>2011</v>
      </c>
      <c r="L454" t="s">
        <v>8</v>
      </c>
      <c r="M454" t="s">
        <v>19</v>
      </c>
      <c r="N454">
        <v>19</v>
      </c>
      <c r="O454">
        <v>1</v>
      </c>
      <c r="P454">
        <v>18</v>
      </c>
      <c r="Q454">
        <v>3.3564944229788298</v>
      </c>
      <c r="R454">
        <v>1.6</v>
      </c>
      <c r="T454" s="340" t="str">
        <f t="shared" si="53"/>
        <v>1998AllSexAllEth21Poisoning by solids and liquids</v>
      </c>
      <c r="U454">
        <v>1998</v>
      </c>
      <c r="V454" t="s">
        <v>17</v>
      </c>
      <c r="W454" t="s">
        <v>27</v>
      </c>
      <c r="X454">
        <v>21</v>
      </c>
      <c r="Y454" t="s">
        <v>47</v>
      </c>
      <c r="Z454">
        <v>1</v>
      </c>
      <c r="AA454">
        <v>12</v>
      </c>
      <c r="AB454">
        <v>8.3000000000000007</v>
      </c>
      <c r="CJ454" t="str">
        <f t="shared" si="54"/>
        <v>MaleAsian19Hanging, strangulation and suffocation</v>
      </c>
      <c r="CK454" t="s">
        <v>20</v>
      </c>
      <c r="CL454" t="s">
        <v>78</v>
      </c>
      <c r="CM454" t="s">
        <v>43</v>
      </c>
      <c r="CN454">
        <v>19</v>
      </c>
      <c r="CO454">
        <v>61</v>
      </c>
      <c r="CP454">
        <v>87</v>
      </c>
      <c r="CQ454">
        <v>70.099999999999994</v>
      </c>
    </row>
    <row r="455" spans="1:95">
      <c r="A455" t="str">
        <f t="shared" si="51"/>
        <v>2001MaleMaori23</v>
      </c>
      <c r="B455">
        <v>2001</v>
      </c>
      <c r="C455" t="s">
        <v>20</v>
      </c>
      <c r="D455" t="s">
        <v>18</v>
      </c>
      <c r="E455">
        <v>23</v>
      </c>
      <c r="F455">
        <v>31</v>
      </c>
      <c r="G455">
        <v>38.7548443555444</v>
      </c>
      <c r="H455">
        <v>13.6</v>
      </c>
      <c r="J455" s="340" t="str">
        <f t="shared" si="52"/>
        <v>2011FemaleNon-Maori192</v>
      </c>
      <c r="K455">
        <v>2011</v>
      </c>
      <c r="L455" t="s">
        <v>8</v>
      </c>
      <c r="M455" t="s">
        <v>19</v>
      </c>
      <c r="N455">
        <v>19</v>
      </c>
      <c r="O455">
        <v>2</v>
      </c>
      <c r="P455">
        <v>11</v>
      </c>
      <c r="Q455">
        <v>2.4245514120439999</v>
      </c>
      <c r="R455">
        <v>1.4</v>
      </c>
      <c r="T455" s="340" t="str">
        <f t="shared" si="53"/>
        <v>1998AllSexAllEth22Poisoning by solids and liquids</v>
      </c>
      <c r="U455">
        <v>1998</v>
      </c>
      <c r="V455" t="s">
        <v>17</v>
      </c>
      <c r="W455" t="s">
        <v>27</v>
      </c>
      <c r="X455">
        <v>22</v>
      </c>
      <c r="Y455" t="s">
        <v>47</v>
      </c>
      <c r="Z455">
        <v>13</v>
      </c>
      <c r="AA455">
        <v>139</v>
      </c>
      <c r="AB455">
        <v>9.4</v>
      </c>
      <c r="CJ455" t="str">
        <f t="shared" si="54"/>
        <v>MaleAsian19Jumping from a high place</v>
      </c>
      <c r="CK455" t="s">
        <v>20</v>
      </c>
      <c r="CL455" t="s">
        <v>78</v>
      </c>
      <c r="CM455" t="s">
        <v>44</v>
      </c>
      <c r="CN455">
        <v>19</v>
      </c>
      <c r="CO455">
        <v>7</v>
      </c>
      <c r="CP455">
        <v>87</v>
      </c>
      <c r="CQ455">
        <v>8</v>
      </c>
    </row>
    <row r="456" spans="1:95">
      <c r="A456" t="str">
        <f t="shared" si="51"/>
        <v>2001MaleMaori24</v>
      </c>
      <c r="B456">
        <v>2001</v>
      </c>
      <c r="C456" t="s">
        <v>20</v>
      </c>
      <c r="D456" t="s">
        <v>18</v>
      </c>
      <c r="E456">
        <v>24</v>
      </c>
      <c r="F456">
        <v>5</v>
      </c>
      <c r="G456">
        <v>13.185654008438799</v>
      </c>
      <c r="H456">
        <v>11.6</v>
      </c>
      <c r="J456" s="340" t="str">
        <f t="shared" si="52"/>
        <v>2011FemaleNon-Maori193</v>
      </c>
      <c r="K456">
        <v>2011</v>
      </c>
      <c r="L456" t="s">
        <v>8</v>
      </c>
      <c r="M456" t="s">
        <v>19</v>
      </c>
      <c r="N456">
        <v>19</v>
      </c>
      <c r="O456">
        <v>3</v>
      </c>
      <c r="P456">
        <v>13</v>
      </c>
      <c r="Q456">
        <v>3.1651553503058998</v>
      </c>
      <c r="R456">
        <v>1.7</v>
      </c>
      <c r="T456" s="340" t="str">
        <f t="shared" si="53"/>
        <v>1998AllSexAllEth23Poisoning by solids and liquids</v>
      </c>
      <c r="U456">
        <v>1998</v>
      </c>
      <c r="V456" t="s">
        <v>17</v>
      </c>
      <c r="W456" t="s">
        <v>27</v>
      </c>
      <c r="X456">
        <v>23</v>
      </c>
      <c r="Y456" t="s">
        <v>47</v>
      </c>
      <c r="Z456">
        <v>24</v>
      </c>
      <c r="AA456">
        <v>249</v>
      </c>
      <c r="AB456">
        <v>9.6</v>
      </c>
      <c r="CJ456" t="str">
        <f t="shared" si="54"/>
        <v>MaleAsian19Other</v>
      </c>
      <c r="CK456" t="s">
        <v>20</v>
      </c>
      <c r="CL456" t="s">
        <v>78</v>
      </c>
      <c r="CM456" t="s">
        <v>45</v>
      </c>
      <c r="CN456">
        <v>19</v>
      </c>
      <c r="CO456">
        <v>6</v>
      </c>
      <c r="CP456">
        <v>87</v>
      </c>
      <c r="CQ456">
        <v>6.9</v>
      </c>
    </row>
    <row r="457" spans="1:95">
      <c r="A457" t="str">
        <f t="shared" si="51"/>
        <v>2001MaleMaori25</v>
      </c>
      <c r="B457">
        <v>2001</v>
      </c>
      <c r="C457" t="s">
        <v>20</v>
      </c>
      <c r="D457" t="s">
        <v>18</v>
      </c>
      <c r="E457">
        <v>25</v>
      </c>
      <c r="F457">
        <v>2</v>
      </c>
      <c r="G457">
        <v>22.396416573348301</v>
      </c>
      <c r="H457">
        <v>31</v>
      </c>
      <c r="J457" s="340" t="str">
        <f t="shared" si="52"/>
        <v>2011FemaleNon-Maori194</v>
      </c>
      <c r="K457">
        <v>2011</v>
      </c>
      <c r="L457" t="s">
        <v>8</v>
      </c>
      <c r="M457" t="s">
        <v>19</v>
      </c>
      <c r="N457">
        <v>19</v>
      </c>
      <c r="O457">
        <v>4</v>
      </c>
      <c r="P457">
        <v>17</v>
      </c>
      <c r="Q457">
        <v>4.4431750172246698</v>
      </c>
      <c r="R457">
        <v>2.1</v>
      </c>
      <c r="T457" s="340" t="str">
        <f t="shared" si="53"/>
        <v>1998AllSexAllEth24Poisoning by solids and liquids</v>
      </c>
      <c r="U457">
        <v>1998</v>
      </c>
      <c r="V457" t="s">
        <v>17</v>
      </c>
      <c r="W457" t="s">
        <v>27</v>
      </c>
      <c r="X457">
        <v>24</v>
      </c>
      <c r="Y457" t="s">
        <v>47</v>
      </c>
      <c r="Z457">
        <v>20</v>
      </c>
      <c r="AA457">
        <v>114</v>
      </c>
      <c r="AB457">
        <v>17.5</v>
      </c>
      <c r="CJ457" t="str">
        <f t="shared" si="54"/>
        <v>MaleAsian19Poisoning by gases and vapours</v>
      </c>
      <c r="CK457" t="s">
        <v>20</v>
      </c>
      <c r="CL457" t="s">
        <v>78</v>
      </c>
      <c r="CM457" t="s">
        <v>46</v>
      </c>
      <c r="CN457">
        <v>19</v>
      </c>
      <c r="CO457">
        <v>6</v>
      </c>
      <c r="CP457">
        <v>87</v>
      </c>
      <c r="CQ457">
        <v>6.9</v>
      </c>
    </row>
    <row r="458" spans="1:95">
      <c r="A458" t="str">
        <f t="shared" si="51"/>
        <v>2001MaleNon-Maori21</v>
      </c>
      <c r="B458">
        <v>2001</v>
      </c>
      <c r="C458" t="s">
        <v>20</v>
      </c>
      <c r="D458" t="s">
        <v>19</v>
      </c>
      <c r="E458">
        <v>21</v>
      </c>
      <c r="F458">
        <v>1</v>
      </c>
      <c r="G458">
        <v>0.29403981299067899</v>
      </c>
      <c r="H458">
        <v>0.6</v>
      </c>
      <c r="J458" s="340" t="str">
        <f t="shared" si="52"/>
        <v>2011FemaleNon-Maori195</v>
      </c>
      <c r="K458">
        <v>2011</v>
      </c>
      <c r="L458" t="s">
        <v>8</v>
      </c>
      <c r="M458" t="s">
        <v>19</v>
      </c>
      <c r="N458">
        <v>19</v>
      </c>
      <c r="O458">
        <v>5</v>
      </c>
      <c r="P458">
        <v>27</v>
      </c>
      <c r="Q458">
        <v>8.8126599541784501</v>
      </c>
      <c r="R458">
        <v>3.3</v>
      </c>
      <c r="T458" s="340" t="str">
        <f t="shared" si="53"/>
        <v>1998AllSexAllEth25Poisoning by solids and liquids</v>
      </c>
      <c r="U458">
        <v>1998</v>
      </c>
      <c r="V458" t="s">
        <v>17</v>
      </c>
      <c r="W458" t="s">
        <v>27</v>
      </c>
      <c r="X458">
        <v>25</v>
      </c>
      <c r="Y458" t="s">
        <v>47</v>
      </c>
      <c r="Z458">
        <v>6</v>
      </c>
      <c r="AA458">
        <v>64</v>
      </c>
      <c r="AB458">
        <v>9.4</v>
      </c>
      <c r="CJ458" t="str">
        <f t="shared" si="54"/>
        <v>MaleAsian19Poisoning by solids and liquids</v>
      </c>
      <c r="CK458" t="s">
        <v>20</v>
      </c>
      <c r="CL458" t="s">
        <v>78</v>
      </c>
      <c r="CM458" t="s">
        <v>47</v>
      </c>
      <c r="CN458">
        <v>19</v>
      </c>
      <c r="CO458">
        <v>4</v>
      </c>
      <c r="CP458">
        <v>87</v>
      </c>
      <c r="CQ458">
        <v>4.5999999999999996</v>
      </c>
    </row>
    <row r="459" spans="1:95">
      <c r="A459" t="str">
        <f t="shared" si="51"/>
        <v>2001MaleNon-Maori22</v>
      </c>
      <c r="B459">
        <v>2001</v>
      </c>
      <c r="C459" t="s">
        <v>20</v>
      </c>
      <c r="D459" t="s">
        <v>19</v>
      </c>
      <c r="E459">
        <v>22</v>
      </c>
      <c r="F459">
        <v>67</v>
      </c>
      <c r="G459">
        <v>30.611778681409099</v>
      </c>
      <c r="H459">
        <v>7.3</v>
      </c>
      <c r="J459" s="340" t="str">
        <f t="shared" si="52"/>
        <v>2012FemaleNon-Maori191</v>
      </c>
      <c r="K459">
        <v>2012</v>
      </c>
      <c r="L459" t="s">
        <v>8</v>
      </c>
      <c r="M459" t="s">
        <v>19</v>
      </c>
      <c r="N459">
        <v>19</v>
      </c>
      <c r="O459">
        <v>1</v>
      </c>
      <c r="P459">
        <v>8</v>
      </c>
      <c r="Q459">
        <v>1.7777892477484001</v>
      </c>
      <c r="R459">
        <v>1.2</v>
      </c>
      <c r="T459" s="340" t="str">
        <f t="shared" si="53"/>
        <v>1998AllSexAllEth23Sharp object</v>
      </c>
      <c r="U459">
        <v>1998</v>
      </c>
      <c r="V459" t="s">
        <v>17</v>
      </c>
      <c r="W459" t="s">
        <v>27</v>
      </c>
      <c r="X459">
        <v>23</v>
      </c>
      <c r="Y459" t="s">
        <v>48</v>
      </c>
      <c r="Z459">
        <v>5</v>
      </c>
      <c r="AA459">
        <v>249</v>
      </c>
      <c r="AB459">
        <v>2</v>
      </c>
      <c r="CJ459" t="str">
        <f t="shared" si="54"/>
        <v>MaleAsian19Sharp object</v>
      </c>
      <c r="CK459" t="s">
        <v>20</v>
      </c>
      <c r="CL459" t="s">
        <v>78</v>
      </c>
      <c r="CM459" t="s">
        <v>48</v>
      </c>
      <c r="CN459">
        <v>19</v>
      </c>
      <c r="CO459">
        <v>2</v>
      </c>
      <c r="CP459">
        <v>87</v>
      </c>
      <c r="CQ459">
        <v>2.2999999999999998</v>
      </c>
    </row>
    <row r="460" spans="1:95">
      <c r="A460" t="str">
        <f t="shared" si="51"/>
        <v>2001MaleNon-Maori23</v>
      </c>
      <c r="B460">
        <v>2001</v>
      </c>
      <c r="C460" t="s">
        <v>20</v>
      </c>
      <c r="D460" t="s">
        <v>19</v>
      </c>
      <c r="E460">
        <v>23</v>
      </c>
      <c r="F460">
        <v>158</v>
      </c>
      <c r="G460">
        <v>32.968179447052698</v>
      </c>
      <c r="H460">
        <v>5.0999999999999996</v>
      </c>
      <c r="J460" s="340" t="str">
        <f t="shared" si="52"/>
        <v>2012FemaleNon-Maori192</v>
      </c>
      <c r="K460">
        <v>2012</v>
      </c>
      <c r="L460" t="s">
        <v>8</v>
      </c>
      <c r="M460" t="s">
        <v>19</v>
      </c>
      <c r="N460">
        <v>19</v>
      </c>
      <c r="O460">
        <v>2</v>
      </c>
      <c r="P460">
        <v>19</v>
      </c>
      <c r="Q460">
        <v>3.9958985825873601</v>
      </c>
      <c r="R460">
        <v>1.8</v>
      </c>
      <c r="T460" s="340" t="str">
        <f t="shared" si="53"/>
        <v>1998AllSexAllEth24Sharp object</v>
      </c>
      <c r="U460">
        <v>1998</v>
      </c>
      <c r="V460" t="s">
        <v>17</v>
      </c>
      <c r="W460" t="s">
        <v>27</v>
      </c>
      <c r="X460">
        <v>24</v>
      </c>
      <c r="Y460" t="s">
        <v>48</v>
      </c>
      <c r="Z460">
        <v>3</v>
      </c>
      <c r="AA460">
        <v>114</v>
      </c>
      <c r="AB460">
        <v>2.6</v>
      </c>
      <c r="CJ460" t="str">
        <f t="shared" si="54"/>
        <v>MaleMaori19Firearms and explosives</v>
      </c>
      <c r="CK460" t="s">
        <v>20</v>
      </c>
      <c r="CL460" t="s">
        <v>18</v>
      </c>
      <c r="CM460" t="s">
        <v>42</v>
      </c>
      <c r="CN460">
        <v>19</v>
      </c>
      <c r="CO460">
        <v>11</v>
      </c>
      <c r="CP460">
        <v>388</v>
      </c>
      <c r="CQ460">
        <v>2.8</v>
      </c>
    </row>
    <row r="461" spans="1:95">
      <c r="A461" t="str">
        <f t="shared" si="51"/>
        <v>2001MaleNon-Maori24</v>
      </c>
      <c r="B461">
        <v>2001</v>
      </c>
      <c r="C461" t="s">
        <v>20</v>
      </c>
      <c r="D461" t="s">
        <v>19</v>
      </c>
      <c r="E461">
        <v>24</v>
      </c>
      <c r="F461">
        <v>60</v>
      </c>
      <c r="G461">
        <v>15.513095638234599</v>
      </c>
      <c r="H461">
        <v>3.9</v>
      </c>
      <c r="J461" s="340" t="str">
        <f t="shared" si="52"/>
        <v>2012FemaleNon-Maori193</v>
      </c>
      <c r="K461">
        <v>2012</v>
      </c>
      <c r="L461" t="s">
        <v>8</v>
      </c>
      <c r="M461" t="s">
        <v>19</v>
      </c>
      <c r="N461">
        <v>19</v>
      </c>
      <c r="O461">
        <v>3</v>
      </c>
      <c r="P461">
        <v>19</v>
      </c>
      <c r="Q461">
        <v>4.4501836461997204</v>
      </c>
      <c r="R461">
        <v>2</v>
      </c>
      <c r="T461" s="340" t="str">
        <f t="shared" si="53"/>
        <v>1998AllSexAllEth23Submersion (drowning)</v>
      </c>
      <c r="U461">
        <v>1998</v>
      </c>
      <c r="V461" t="s">
        <v>17</v>
      </c>
      <c r="W461" t="s">
        <v>27</v>
      </c>
      <c r="X461">
        <v>23</v>
      </c>
      <c r="Y461" t="s">
        <v>49</v>
      </c>
      <c r="Z461">
        <v>2</v>
      </c>
      <c r="AA461">
        <v>249</v>
      </c>
      <c r="AB461">
        <v>0.8</v>
      </c>
      <c r="CJ461" t="str">
        <f t="shared" si="54"/>
        <v>MaleMaori19Hanging, strangulation and suffocation</v>
      </c>
      <c r="CK461" t="s">
        <v>20</v>
      </c>
      <c r="CL461" t="s">
        <v>18</v>
      </c>
      <c r="CM461" t="s">
        <v>43</v>
      </c>
      <c r="CN461">
        <v>19</v>
      </c>
      <c r="CO461">
        <v>332</v>
      </c>
      <c r="CP461">
        <v>388</v>
      </c>
      <c r="CQ461">
        <v>85.6</v>
      </c>
    </row>
    <row r="462" spans="1:95">
      <c r="A462" t="str">
        <f t="shared" si="51"/>
        <v>2001MaleNon-Maori25</v>
      </c>
      <c r="B462">
        <v>2001</v>
      </c>
      <c r="C462" t="s">
        <v>20</v>
      </c>
      <c r="D462" t="s">
        <v>19</v>
      </c>
      <c r="E462">
        <v>25</v>
      </c>
      <c r="F462">
        <v>46</v>
      </c>
      <c r="G462">
        <v>23.8973453166398</v>
      </c>
      <c r="H462">
        <v>6.9</v>
      </c>
      <c r="J462" s="340" t="str">
        <f t="shared" si="52"/>
        <v>2012FemaleNon-Maori194</v>
      </c>
      <c r="K462">
        <v>2012</v>
      </c>
      <c r="L462" t="s">
        <v>8</v>
      </c>
      <c r="M462" t="s">
        <v>19</v>
      </c>
      <c r="N462">
        <v>19</v>
      </c>
      <c r="O462">
        <v>4</v>
      </c>
      <c r="P462">
        <v>29</v>
      </c>
      <c r="Q462">
        <v>7.1596906658501496</v>
      </c>
      <c r="R462">
        <v>2.6</v>
      </c>
      <c r="T462" s="340" t="str">
        <f t="shared" si="53"/>
        <v>1998AllSexAllEth24Submersion (drowning)</v>
      </c>
      <c r="U462">
        <v>1998</v>
      </c>
      <c r="V462" t="s">
        <v>17</v>
      </c>
      <c r="W462" t="s">
        <v>27</v>
      </c>
      <c r="X462">
        <v>24</v>
      </c>
      <c r="Y462" t="s">
        <v>49</v>
      </c>
      <c r="Z462">
        <v>6</v>
      </c>
      <c r="AA462">
        <v>114</v>
      </c>
      <c r="AB462">
        <v>5.3</v>
      </c>
      <c r="CJ462" t="str">
        <f t="shared" si="54"/>
        <v>MaleMaori19Jumping from a high place</v>
      </c>
      <c r="CK462" t="s">
        <v>20</v>
      </c>
      <c r="CL462" t="s">
        <v>18</v>
      </c>
      <c r="CM462" t="s">
        <v>44</v>
      </c>
      <c r="CN462">
        <v>19</v>
      </c>
      <c r="CO462">
        <v>6</v>
      </c>
      <c r="CP462">
        <v>388</v>
      </c>
      <c r="CQ462">
        <v>1.5</v>
      </c>
    </row>
    <row r="463" spans="1:95">
      <c r="A463" t="str">
        <f t="shared" si="51"/>
        <v>2002AllSexAllEth21</v>
      </c>
      <c r="B463">
        <v>2002</v>
      </c>
      <c r="C463" t="s">
        <v>17</v>
      </c>
      <c r="D463" t="s">
        <v>27</v>
      </c>
      <c r="E463">
        <v>21</v>
      </c>
      <c r="F463">
        <v>0</v>
      </c>
      <c r="G463">
        <v>0</v>
      </c>
      <c r="J463" s="340" t="str">
        <f t="shared" si="52"/>
        <v>2012FemaleNon-Maori195</v>
      </c>
      <c r="K463">
        <v>2012</v>
      </c>
      <c r="L463" t="s">
        <v>8</v>
      </c>
      <c r="M463" t="s">
        <v>19</v>
      </c>
      <c r="N463">
        <v>19</v>
      </c>
      <c r="O463">
        <v>5</v>
      </c>
      <c r="P463">
        <v>26</v>
      </c>
      <c r="Q463">
        <v>8.0591338977903106</v>
      </c>
      <c r="R463">
        <v>3.1</v>
      </c>
      <c r="T463" s="340" t="str">
        <f t="shared" si="53"/>
        <v>1998AllSexAllEth25Submersion (drowning)</v>
      </c>
      <c r="U463">
        <v>1998</v>
      </c>
      <c r="V463" t="s">
        <v>17</v>
      </c>
      <c r="W463" t="s">
        <v>27</v>
      </c>
      <c r="X463">
        <v>25</v>
      </c>
      <c r="Y463" t="s">
        <v>49</v>
      </c>
      <c r="Z463">
        <v>2</v>
      </c>
      <c r="AA463">
        <v>64</v>
      </c>
      <c r="AB463">
        <v>3.1</v>
      </c>
      <c r="CJ463" t="str">
        <f t="shared" si="54"/>
        <v>MaleMaori19Other</v>
      </c>
      <c r="CK463" t="s">
        <v>20</v>
      </c>
      <c r="CL463" t="s">
        <v>18</v>
      </c>
      <c r="CM463" t="s">
        <v>45</v>
      </c>
      <c r="CN463">
        <v>19</v>
      </c>
      <c r="CO463">
        <v>12</v>
      </c>
      <c r="CP463">
        <v>388</v>
      </c>
      <c r="CQ463">
        <v>3.1</v>
      </c>
    </row>
    <row r="464" spans="1:95">
      <c r="A464" t="str">
        <f t="shared" si="51"/>
        <v>2002AllSexAllEth22</v>
      </c>
      <c r="B464">
        <v>2002</v>
      </c>
      <c r="C464" t="s">
        <v>17</v>
      </c>
      <c r="D464" t="s">
        <v>27</v>
      </c>
      <c r="E464">
        <v>22</v>
      </c>
      <c r="F464">
        <v>96</v>
      </c>
      <c r="G464">
        <v>17.376823661441598</v>
      </c>
      <c r="H464">
        <v>3.5</v>
      </c>
      <c r="J464" s="340" t="str">
        <f t="shared" si="52"/>
        <v>2013FemaleNon-Maori191</v>
      </c>
      <c r="K464">
        <v>2013</v>
      </c>
      <c r="L464" t="s">
        <v>8</v>
      </c>
      <c r="M464" t="s">
        <v>19</v>
      </c>
      <c r="N464">
        <v>19</v>
      </c>
      <c r="O464">
        <v>1</v>
      </c>
      <c r="P464">
        <v>19</v>
      </c>
      <c r="Q464">
        <v>3.6185165324187198</v>
      </c>
      <c r="R464">
        <v>1.6</v>
      </c>
      <c r="T464" s="340" t="str">
        <f t="shared" si="53"/>
        <v>1998AllSexMaori22Firearms and explosives</v>
      </c>
      <c r="U464">
        <v>1998</v>
      </c>
      <c r="V464" t="s">
        <v>17</v>
      </c>
      <c r="W464" t="s">
        <v>18</v>
      </c>
      <c r="X464">
        <v>22</v>
      </c>
      <c r="Y464" t="s">
        <v>42</v>
      </c>
      <c r="Z464">
        <v>4</v>
      </c>
      <c r="AA464">
        <v>42</v>
      </c>
      <c r="AB464">
        <v>9.5</v>
      </c>
      <c r="CJ464" t="str">
        <f t="shared" si="54"/>
        <v>MaleMaori19Poisoning by gases and vapours</v>
      </c>
      <c r="CK464" t="s">
        <v>20</v>
      </c>
      <c r="CL464" t="s">
        <v>18</v>
      </c>
      <c r="CM464" t="s">
        <v>46</v>
      </c>
      <c r="CN464">
        <v>19</v>
      </c>
      <c r="CO464">
        <v>13</v>
      </c>
      <c r="CP464">
        <v>388</v>
      </c>
      <c r="CQ464">
        <v>3.4</v>
      </c>
    </row>
    <row r="465" spans="1:95">
      <c r="A465" t="str">
        <f t="shared" si="51"/>
        <v>2002AllSexAllEth23</v>
      </c>
      <c r="B465">
        <v>2002</v>
      </c>
      <c r="C465" t="s">
        <v>17</v>
      </c>
      <c r="D465" t="s">
        <v>27</v>
      </c>
      <c r="E465">
        <v>23</v>
      </c>
      <c r="F465">
        <v>213</v>
      </c>
      <c r="G465">
        <v>18.3301492229049</v>
      </c>
      <c r="H465">
        <v>2.5</v>
      </c>
      <c r="J465" s="340" t="str">
        <f t="shared" si="52"/>
        <v>2013FemaleNon-Maori192</v>
      </c>
      <c r="K465">
        <v>2013</v>
      </c>
      <c r="L465" t="s">
        <v>8</v>
      </c>
      <c r="M465" t="s">
        <v>19</v>
      </c>
      <c r="N465">
        <v>19</v>
      </c>
      <c r="O465">
        <v>2</v>
      </c>
      <c r="P465">
        <v>25</v>
      </c>
      <c r="Q465">
        <v>4.8728707967093596</v>
      </c>
      <c r="R465">
        <v>1.9</v>
      </c>
      <c r="T465" s="340" t="str">
        <f t="shared" si="53"/>
        <v>1998AllSexMaori23Firearms and explosives</v>
      </c>
      <c r="U465">
        <v>1998</v>
      </c>
      <c r="V465" t="s">
        <v>17</v>
      </c>
      <c r="W465" t="s">
        <v>18</v>
      </c>
      <c r="X465">
        <v>23</v>
      </c>
      <c r="Y465" t="s">
        <v>42</v>
      </c>
      <c r="Z465">
        <v>2</v>
      </c>
      <c r="AA465">
        <v>47</v>
      </c>
      <c r="AB465">
        <v>4.3</v>
      </c>
      <c r="CJ465" t="str">
        <f t="shared" si="54"/>
        <v>MaleMaori19Poisoning by solids and liquids</v>
      </c>
      <c r="CK465" t="s">
        <v>20</v>
      </c>
      <c r="CL465" t="s">
        <v>18</v>
      </c>
      <c r="CM465" t="s">
        <v>47</v>
      </c>
      <c r="CN465">
        <v>19</v>
      </c>
      <c r="CO465">
        <v>7</v>
      </c>
      <c r="CP465">
        <v>388</v>
      </c>
      <c r="CQ465">
        <v>1.8</v>
      </c>
    </row>
    <row r="466" spans="1:95">
      <c r="A466" t="str">
        <f t="shared" si="51"/>
        <v>2002AllSexAllEth24</v>
      </c>
      <c r="B466">
        <v>2002</v>
      </c>
      <c r="C466" t="s">
        <v>17</v>
      </c>
      <c r="D466" t="s">
        <v>27</v>
      </c>
      <c r="E466">
        <v>24</v>
      </c>
      <c r="F466">
        <v>113</v>
      </c>
      <c r="G466">
        <v>12.760575468076</v>
      </c>
      <c r="H466">
        <v>2.4</v>
      </c>
      <c r="J466" s="340" t="str">
        <f t="shared" si="52"/>
        <v>2013FemaleNon-Maori193</v>
      </c>
      <c r="K466">
        <v>2013</v>
      </c>
      <c r="L466" t="s">
        <v>8</v>
      </c>
      <c r="M466" t="s">
        <v>19</v>
      </c>
      <c r="N466">
        <v>19</v>
      </c>
      <c r="O466">
        <v>3</v>
      </c>
      <c r="P466">
        <v>21</v>
      </c>
      <c r="Q466">
        <v>5.2602220697961997</v>
      </c>
      <c r="R466">
        <v>2.2000000000000002</v>
      </c>
      <c r="T466" s="340" t="str">
        <f t="shared" si="53"/>
        <v>1998AllSexMaori24Firearms and explosives</v>
      </c>
      <c r="U466">
        <v>1998</v>
      </c>
      <c r="V466" t="s">
        <v>17</v>
      </c>
      <c r="W466" t="s">
        <v>18</v>
      </c>
      <c r="X466">
        <v>24</v>
      </c>
      <c r="Y466" t="s">
        <v>42</v>
      </c>
      <c r="Z466">
        <v>3</v>
      </c>
      <c r="AA466">
        <v>12</v>
      </c>
      <c r="AB466">
        <v>25</v>
      </c>
      <c r="CJ466" t="str">
        <f t="shared" si="54"/>
        <v>MaleMaori19Sharp object</v>
      </c>
      <c r="CK466" t="s">
        <v>20</v>
      </c>
      <c r="CL466" t="s">
        <v>18</v>
      </c>
      <c r="CM466" t="s">
        <v>48</v>
      </c>
      <c r="CN466">
        <v>19</v>
      </c>
      <c r="CO466">
        <v>4</v>
      </c>
      <c r="CP466">
        <v>388</v>
      </c>
      <c r="CQ466">
        <v>1</v>
      </c>
    </row>
    <row r="467" spans="1:95">
      <c r="A467" t="str">
        <f t="shared" si="51"/>
        <v>2002AllSexAllEth25</v>
      </c>
      <c r="B467">
        <v>2002</v>
      </c>
      <c r="C467" t="s">
        <v>17</v>
      </c>
      <c r="D467" t="s">
        <v>27</v>
      </c>
      <c r="E467">
        <v>25</v>
      </c>
      <c r="F467">
        <v>48</v>
      </c>
      <c r="G467">
        <v>10.268697586856099</v>
      </c>
      <c r="H467">
        <v>2.9</v>
      </c>
      <c r="J467" s="340" t="str">
        <f t="shared" si="52"/>
        <v>2013FemaleNon-Maori194</v>
      </c>
      <c r="K467">
        <v>2013</v>
      </c>
      <c r="L467" t="s">
        <v>8</v>
      </c>
      <c r="M467" t="s">
        <v>19</v>
      </c>
      <c r="N467">
        <v>19</v>
      </c>
      <c r="O467">
        <v>4</v>
      </c>
      <c r="P467">
        <v>12</v>
      </c>
      <c r="Q467">
        <v>3.4126486064716302</v>
      </c>
      <c r="R467">
        <v>1.9</v>
      </c>
      <c r="T467" s="340" t="str">
        <f t="shared" si="53"/>
        <v>1998AllSexMaori25Firearms and explosives</v>
      </c>
      <c r="U467">
        <v>1998</v>
      </c>
      <c r="V467" t="s">
        <v>17</v>
      </c>
      <c r="W467" t="s">
        <v>18</v>
      </c>
      <c r="X467">
        <v>25</v>
      </c>
      <c r="Y467" t="s">
        <v>42</v>
      </c>
      <c r="Z467">
        <v>1</v>
      </c>
      <c r="AA467">
        <v>2</v>
      </c>
      <c r="AB467">
        <v>50</v>
      </c>
      <c r="CJ467" t="str">
        <f t="shared" si="54"/>
        <v>MaleMaori19Submersion (drowning)</v>
      </c>
      <c r="CK467" t="s">
        <v>20</v>
      </c>
      <c r="CL467" t="s">
        <v>18</v>
      </c>
      <c r="CM467" t="s">
        <v>49</v>
      </c>
      <c r="CN467">
        <v>19</v>
      </c>
      <c r="CO467">
        <v>3</v>
      </c>
      <c r="CP467">
        <v>388</v>
      </c>
      <c r="CQ467">
        <v>0.8</v>
      </c>
    </row>
    <row r="468" spans="1:95">
      <c r="A468" t="str">
        <f t="shared" si="51"/>
        <v>2002AllSexMaori21</v>
      </c>
      <c r="B468">
        <v>2002</v>
      </c>
      <c r="C468" t="s">
        <v>17</v>
      </c>
      <c r="D468" t="s">
        <v>18</v>
      </c>
      <c r="E468">
        <v>21</v>
      </c>
      <c r="F468">
        <v>0</v>
      </c>
      <c r="G468">
        <v>0</v>
      </c>
      <c r="J468" s="340" t="str">
        <f t="shared" si="52"/>
        <v>2013FemaleNon-Maori195</v>
      </c>
      <c r="K468">
        <v>2013</v>
      </c>
      <c r="L468" t="s">
        <v>8</v>
      </c>
      <c r="M468" t="s">
        <v>19</v>
      </c>
      <c r="N468">
        <v>19</v>
      </c>
      <c r="O468">
        <v>5</v>
      </c>
      <c r="P468">
        <v>24</v>
      </c>
      <c r="Q468">
        <v>8.1194869125848506</v>
      </c>
      <c r="R468">
        <v>3.2</v>
      </c>
      <c r="T468" s="340" t="str">
        <f t="shared" si="53"/>
        <v>1998AllSexMaori21Hanging, strangulation and suffocation</v>
      </c>
      <c r="U468">
        <v>1998</v>
      </c>
      <c r="V468" t="s">
        <v>17</v>
      </c>
      <c r="W468" t="s">
        <v>18</v>
      </c>
      <c r="X468">
        <v>21</v>
      </c>
      <c r="Y468" t="s">
        <v>43</v>
      </c>
      <c r="Z468">
        <v>9</v>
      </c>
      <c r="AA468">
        <v>9</v>
      </c>
      <c r="AB468">
        <v>100</v>
      </c>
      <c r="CJ468" t="str">
        <f t="shared" si="54"/>
        <v>MaleOther19Firearms and explosives</v>
      </c>
      <c r="CK468" t="s">
        <v>20</v>
      </c>
      <c r="CL468" t="s">
        <v>45</v>
      </c>
      <c r="CM468" t="s">
        <v>42</v>
      </c>
      <c r="CN468">
        <v>19</v>
      </c>
      <c r="CO468">
        <v>189</v>
      </c>
      <c r="CP468">
        <v>1380</v>
      </c>
      <c r="CQ468">
        <v>13.7</v>
      </c>
    </row>
    <row r="469" spans="1:95">
      <c r="A469" t="str">
        <f t="shared" si="51"/>
        <v>2002AllSexMaori22</v>
      </c>
      <c r="B469">
        <v>2002</v>
      </c>
      <c r="C469" t="s">
        <v>17</v>
      </c>
      <c r="D469" t="s">
        <v>18</v>
      </c>
      <c r="E469">
        <v>22</v>
      </c>
      <c r="F469">
        <v>33</v>
      </c>
      <c r="G469">
        <v>31.252959560564399</v>
      </c>
      <c r="H469">
        <v>10.7</v>
      </c>
      <c r="J469" s="340" t="str">
        <f t="shared" si="52"/>
        <v>2014FemaleNon-Maori191</v>
      </c>
      <c r="K469">
        <v>2014</v>
      </c>
      <c r="L469" t="s">
        <v>8</v>
      </c>
      <c r="M469" t="s">
        <v>19</v>
      </c>
      <c r="N469">
        <v>19</v>
      </c>
      <c r="O469">
        <v>1</v>
      </c>
      <c r="P469">
        <v>11</v>
      </c>
      <c r="Q469">
        <v>1.99108092861444</v>
      </c>
      <c r="R469">
        <v>1.2</v>
      </c>
      <c r="T469" s="340" t="str">
        <f t="shared" si="53"/>
        <v>1998AllSexMaori22Hanging, strangulation and suffocation</v>
      </c>
      <c r="U469">
        <v>1998</v>
      </c>
      <c r="V469" t="s">
        <v>17</v>
      </c>
      <c r="W469" t="s">
        <v>18</v>
      </c>
      <c r="X469">
        <v>22</v>
      </c>
      <c r="Y469" t="s">
        <v>43</v>
      </c>
      <c r="Z469">
        <v>27</v>
      </c>
      <c r="AA469">
        <v>42</v>
      </c>
      <c r="AB469">
        <v>64.3</v>
      </c>
      <c r="CJ469" t="str">
        <f t="shared" si="54"/>
        <v>MaleOther19Hanging, strangulation and suffocation</v>
      </c>
      <c r="CK469" t="s">
        <v>20</v>
      </c>
      <c r="CL469" t="s">
        <v>45</v>
      </c>
      <c r="CM469" t="s">
        <v>43</v>
      </c>
      <c r="CN469">
        <v>19</v>
      </c>
      <c r="CO469">
        <v>754</v>
      </c>
      <c r="CP469">
        <v>1380</v>
      </c>
      <c r="CQ469">
        <v>54.6</v>
      </c>
    </row>
    <row r="470" spans="1:95">
      <c r="A470" t="str">
        <f t="shared" si="51"/>
        <v>2002AllSexMaori23</v>
      </c>
      <c r="B470">
        <v>2002</v>
      </c>
      <c r="C470" t="s">
        <v>17</v>
      </c>
      <c r="D470" t="s">
        <v>18</v>
      </c>
      <c r="E470">
        <v>23</v>
      </c>
      <c r="F470">
        <v>40</v>
      </c>
      <c r="G470">
        <v>23.602997580692701</v>
      </c>
      <c r="H470">
        <v>7.3</v>
      </c>
      <c r="J470" s="340" t="str">
        <f t="shared" si="52"/>
        <v>2014FemaleNon-Maori192</v>
      </c>
      <c r="K470">
        <v>2014</v>
      </c>
      <c r="L470" t="s">
        <v>8</v>
      </c>
      <c r="M470" t="s">
        <v>19</v>
      </c>
      <c r="N470">
        <v>19</v>
      </c>
      <c r="O470">
        <v>2</v>
      </c>
      <c r="P470">
        <v>23</v>
      </c>
      <c r="Q470">
        <v>4.7696489943992502</v>
      </c>
      <c r="R470">
        <v>1.9</v>
      </c>
      <c r="T470" s="340" t="str">
        <f t="shared" si="53"/>
        <v>1998AllSexMaori23Hanging, strangulation and suffocation</v>
      </c>
      <c r="U470">
        <v>1998</v>
      </c>
      <c r="V470" t="s">
        <v>17</v>
      </c>
      <c r="W470" t="s">
        <v>18</v>
      </c>
      <c r="X470">
        <v>23</v>
      </c>
      <c r="Y470" t="s">
        <v>43</v>
      </c>
      <c r="Z470">
        <v>35</v>
      </c>
      <c r="AA470">
        <v>47</v>
      </c>
      <c r="AB470">
        <v>74.5</v>
      </c>
      <c r="CJ470" t="str">
        <f t="shared" si="54"/>
        <v>MaleOther19Jumping from a high place</v>
      </c>
      <c r="CK470" t="s">
        <v>20</v>
      </c>
      <c r="CL470" t="s">
        <v>45</v>
      </c>
      <c r="CM470" t="s">
        <v>44</v>
      </c>
      <c r="CN470">
        <v>19</v>
      </c>
      <c r="CO470">
        <v>45</v>
      </c>
      <c r="CP470">
        <v>1380</v>
      </c>
      <c r="CQ470">
        <v>3.3</v>
      </c>
    </row>
    <row r="471" spans="1:95">
      <c r="A471" t="str">
        <f t="shared" si="51"/>
        <v>2002AllSexMaori24</v>
      </c>
      <c r="B471">
        <v>2002</v>
      </c>
      <c r="C471" t="s">
        <v>17</v>
      </c>
      <c r="D471" t="s">
        <v>18</v>
      </c>
      <c r="E471">
        <v>24</v>
      </c>
      <c r="F471">
        <v>7</v>
      </c>
      <c r="G471">
        <v>8.5637386836310192</v>
      </c>
      <c r="H471">
        <v>6.3</v>
      </c>
      <c r="J471" s="340" t="str">
        <f t="shared" si="52"/>
        <v>2014FemaleNon-Maori193</v>
      </c>
      <c r="K471">
        <v>2014</v>
      </c>
      <c r="L471" t="s">
        <v>8</v>
      </c>
      <c r="M471" t="s">
        <v>19</v>
      </c>
      <c r="N471">
        <v>19</v>
      </c>
      <c r="O471">
        <v>3</v>
      </c>
      <c r="P471">
        <v>20</v>
      </c>
      <c r="Q471">
        <v>4.8736540440224001</v>
      </c>
      <c r="R471">
        <v>2.1</v>
      </c>
      <c r="T471" s="340" t="str">
        <f t="shared" si="53"/>
        <v>1998AllSexMaori24Hanging, strangulation and suffocation</v>
      </c>
      <c r="U471">
        <v>1998</v>
      </c>
      <c r="V471" t="s">
        <v>17</v>
      </c>
      <c r="W471" t="s">
        <v>18</v>
      </c>
      <c r="X471">
        <v>24</v>
      </c>
      <c r="Y471" t="s">
        <v>43</v>
      </c>
      <c r="Z471">
        <v>3</v>
      </c>
      <c r="AA471">
        <v>12</v>
      </c>
      <c r="AB471">
        <v>25</v>
      </c>
      <c r="CJ471" t="str">
        <f t="shared" si="54"/>
        <v>MaleOther19Other</v>
      </c>
      <c r="CK471" t="s">
        <v>20</v>
      </c>
      <c r="CL471" t="s">
        <v>45</v>
      </c>
      <c r="CM471" t="s">
        <v>45</v>
      </c>
      <c r="CN471">
        <v>19</v>
      </c>
      <c r="CO471">
        <v>54</v>
      </c>
      <c r="CP471">
        <v>1380</v>
      </c>
      <c r="CQ471">
        <v>3.9</v>
      </c>
    </row>
    <row r="472" spans="1:95">
      <c r="A472" t="str">
        <f t="shared" si="51"/>
        <v>2002AllSexMaori25</v>
      </c>
      <c r="B472">
        <v>2002</v>
      </c>
      <c r="C472" t="s">
        <v>17</v>
      </c>
      <c r="D472" t="s">
        <v>18</v>
      </c>
      <c r="E472">
        <v>25</v>
      </c>
      <c r="F472">
        <v>0</v>
      </c>
      <c r="G472">
        <v>0</v>
      </c>
      <c r="J472" s="340" t="str">
        <f t="shared" si="52"/>
        <v>2014FemaleNon-Maori194</v>
      </c>
      <c r="K472">
        <v>2014</v>
      </c>
      <c r="L472" t="s">
        <v>8</v>
      </c>
      <c r="M472" t="s">
        <v>19</v>
      </c>
      <c r="N472">
        <v>19</v>
      </c>
      <c r="O472">
        <v>4</v>
      </c>
      <c r="P472">
        <v>23</v>
      </c>
      <c r="Q472">
        <v>5.9191322753122</v>
      </c>
      <c r="R472">
        <v>2.4</v>
      </c>
      <c r="T472" s="340" t="str">
        <f t="shared" si="53"/>
        <v>1998AllSexMaori22Jumping from a high place</v>
      </c>
      <c r="U472">
        <v>1998</v>
      </c>
      <c r="V472" t="s">
        <v>17</v>
      </c>
      <c r="W472" t="s">
        <v>18</v>
      </c>
      <c r="X472">
        <v>22</v>
      </c>
      <c r="Y472" t="s">
        <v>44</v>
      </c>
      <c r="Z472">
        <v>2</v>
      </c>
      <c r="AA472">
        <v>42</v>
      </c>
      <c r="AB472">
        <v>4.8</v>
      </c>
      <c r="CJ472" t="str">
        <f t="shared" si="54"/>
        <v>MaleOther19Poisoning by gases and vapours</v>
      </c>
      <c r="CK472" t="s">
        <v>20</v>
      </c>
      <c r="CL472" t="s">
        <v>45</v>
      </c>
      <c r="CM472" t="s">
        <v>46</v>
      </c>
      <c r="CN472">
        <v>19</v>
      </c>
      <c r="CO472">
        <v>157</v>
      </c>
      <c r="CP472">
        <v>1380</v>
      </c>
      <c r="CQ472">
        <v>11.4</v>
      </c>
    </row>
    <row r="473" spans="1:95">
      <c r="A473" t="str">
        <f t="shared" si="51"/>
        <v>2002AllSexNon-Maori21</v>
      </c>
      <c r="B473">
        <v>2002</v>
      </c>
      <c r="C473" t="s">
        <v>17</v>
      </c>
      <c r="D473" t="s">
        <v>19</v>
      </c>
      <c r="E473">
        <v>21</v>
      </c>
      <c r="F473">
        <v>0</v>
      </c>
      <c r="G473">
        <v>0</v>
      </c>
      <c r="J473" s="340" t="str">
        <f t="shared" si="52"/>
        <v>2014FemaleNon-Maori195</v>
      </c>
      <c r="K473">
        <v>2014</v>
      </c>
      <c r="L473" t="s">
        <v>8</v>
      </c>
      <c r="M473" t="s">
        <v>19</v>
      </c>
      <c r="N473">
        <v>19</v>
      </c>
      <c r="O473">
        <v>5</v>
      </c>
      <c r="P473">
        <v>25</v>
      </c>
      <c r="Q473">
        <v>7.7696096545256896</v>
      </c>
      <c r="R473">
        <v>3</v>
      </c>
      <c r="T473" s="340" t="str">
        <f t="shared" si="53"/>
        <v>1998AllSexMaori22Other</v>
      </c>
      <c r="U473">
        <v>1998</v>
      </c>
      <c r="V473" t="s">
        <v>17</v>
      </c>
      <c r="W473" t="s">
        <v>18</v>
      </c>
      <c r="X473">
        <v>22</v>
      </c>
      <c r="Y473" t="s">
        <v>45</v>
      </c>
      <c r="Z473">
        <v>1</v>
      </c>
      <c r="AA473">
        <v>42</v>
      </c>
      <c r="AB473">
        <v>2.4</v>
      </c>
      <c r="CJ473" t="str">
        <f t="shared" si="54"/>
        <v>MaleOther19Poisoning by solids and liquids</v>
      </c>
      <c r="CK473" t="s">
        <v>20</v>
      </c>
      <c r="CL473" t="s">
        <v>45</v>
      </c>
      <c r="CM473" t="s">
        <v>47</v>
      </c>
      <c r="CN473">
        <v>19</v>
      </c>
      <c r="CO473">
        <v>114</v>
      </c>
      <c r="CP473">
        <v>1380</v>
      </c>
      <c r="CQ473">
        <v>8.3000000000000007</v>
      </c>
    </row>
    <row r="474" spans="1:95">
      <c r="A474" t="str">
        <f t="shared" si="51"/>
        <v>2002AllSexNon-Maori22</v>
      </c>
      <c r="B474">
        <v>2002</v>
      </c>
      <c r="C474" t="s">
        <v>17</v>
      </c>
      <c r="D474" t="s">
        <v>19</v>
      </c>
      <c r="E474">
        <v>22</v>
      </c>
      <c r="F474">
        <v>63</v>
      </c>
      <c r="G474">
        <v>14.0980598384318</v>
      </c>
      <c r="H474">
        <v>3.5</v>
      </c>
      <c r="J474" s="340" t="str">
        <f t="shared" si="52"/>
        <v>2015FemaleNon-Maori191</v>
      </c>
      <c r="K474">
        <v>2015</v>
      </c>
      <c r="L474" t="s">
        <v>8</v>
      </c>
      <c r="M474" t="s">
        <v>19</v>
      </c>
      <c r="N474">
        <v>19</v>
      </c>
      <c r="O474">
        <v>1</v>
      </c>
      <c r="P474">
        <v>20</v>
      </c>
      <c r="Q474">
        <v>3.6891381052382499</v>
      </c>
      <c r="R474">
        <v>1.6</v>
      </c>
      <c r="T474" s="340" t="str">
        <f t="shared" si="53"/>
        <v>1998AllSexMaori23Other</v>
      </c>
      <c r="U474">
        <v>1998</v>
      </c>
      <c r="V474" t="s">
        <v>17</v>
      </c>
      <c r="W474" t="s">
        <v>18</v>
      </c>
      <c r="X474">
        <v>23</v>
      </c>
      <c r="Y474" t="s">
        <v>45</v>
      </c>
      <c r="Z474">
        <v>4</v>
      </c>
      <c r="AA474">
        <v>47</v>
      </c>
      <c r="AB474">
        <v>8.5</v>
      </c>
      <c r="CJ474" t="str">
        <f t="shared" si="54"/>
        <v>MaleOther19Sharp object</v>
      </c>
      <c r="CK474" t="s">
        <v>20</v>
      </c>
      <c r="CL474" t="s">
        <v>45</v>
      </c>
      <c r="CM474" t="s">
        <v>48</v>
      </c>
      <c r="CN474">
        <v>19</v>
      </c>
      <c r="CO474">
        <v>36</v>
      </c>
      <c r="CP474">
        <v>1380</v>
      </c>
      <c r="CQ474">
        <v>2.6</v>
      </c>
    </row>
    <row r="475" spans="1:95">
      <c r="A475" t="str">
        <f t="shared" si="51"/>
        <v>2002AllSexNon-Maori23</v>
      </c>
      <c r="B475">
        <v>2002</v>
      </c>
      <c r="C475" t="s">
        <v>17</v>
      </c>
      <c r="D475" t="s">
        <v>19</v>
      </c>
      <c r="E475">
        <v>23</v>
      </c>
      <c r="F475">
        <v>173</v>
      </c>
      <c r="G475">
        <v>17.429852400382899</v>
      </c>
      <c r="H475">
        <v>2.6</v>
      </c>
      <c r="J475" s="340" t="str">
        <f t="shared" si="52"/>
        <v>2015FemaleNon-Maori192</v>
      </c>
      <c r="K475">
        <v>2015</v>
      </c>
      <c r="L475" t="s">
        <v>8</v>
      </c>
      <c r="M475" t="s">
        <v>19</v>
      </c>
      <c r="N475">
        <v>19</v>
      </c>
      <c r="O475">
        <v>2</v>
      </c>
      <c r="P475">
        <v>18</v>
      </c>
      <c r="Q475">
        <v>3.8219592650691698</v>
      </c>
      <c r="R475">
        <v>1.8</v>
      </c>
      <c r="T475" s="340" t="str">
        <f t="shared" si="53"/>
        <v>1998AllSexMaori24Other</v>
      </c>
      <c r="U475">
        <v>1998</v>
      </c>
      <c r="V475" t="s">
        <v>17</v>
      </c>
      <c r="W475" t="s">
        <v>18</v>
      </c>
      <c r="X475">
        <v>24</v>
      </c>
      <c r="Y475" t="s">
        <v>45</v>
      </c>
      <c r="Z475">
        <v>1</v>
      </c>
      <c r="AA475">
        <v>12</v>
      </c>
      <c r="AB475">
        <v>8.3000000000000007</v>
      </c>
      <c r="CJ475" t="str">
        <f t="shared" si="54"/>
        <v>MaleOther19Submersion (drowning)</v>
      </c>
      <c r="CK475" t="s">
        <v>20</v>
      </c>
      <c r="CL475" t="s">
        <v>45</v>
      </c>
      <c r="CM475" t="s">
        <v>49</v>
      </c>
      <c r="CN475">
        <v>19</v>
      </c>
      <c r="CO475">
        <v>31</v>
      </c>
      <c r="CP475">
        <v>1380</v>
      </c>
      <c r="CQ475">
        <v>2.2000000000000002</v>
      </c>
    </row>
    <row r="476" spans="1:95">
      <c r="A476" t="str">
        <f t="shared" si="51"/>
        <v>2002AllSexNon-Maori24</v>
      </c>
      <c r="B476">
        <v>2002</v>
      </c>
      <c r="C476" t="s">
        <v>17</v>
      </c>
      <c r="D476" t="s">
        <v>19</v>
      </c>
      <c r="E476">
        <v>24</v>
      </c>
      <c r="F476">
        <v>106</v>
      </c>
      <c r="G476">
        <v>13.187360039810899</v>
      </c>
      <c r="H476">
        <v>2.5</v>
      </c>
      <c r="J476" s="340" t="str">
        <f t="shared" si="52"/>
        <v>2015FemaleNon-Maori193</v>
      </c>
      <c r="K476">
        <v>2015</v>
      </c>
      <c r="L476" t="s">
        <v>8</v>
      </c>
      <c r="M476" t="s">
        <v>19</v>
      </c>
      <c r="N476">
        <v>19</v>
      </c>
      <c r="O476">
        <v>3</v>
      </c>
      <c r="P476">
        <v>26</v>
      </c>
      <c r="Q476">
        <v>5.7061477079851297</v>
      </c>
      <c r="R476">
        <v>2.2000000000000002</v>
      </c>
      <c r="T476" s="340" t="str">
        <f t="shared" si="53"/>
        <v>1998AllSexMaori22Poisoning by gases and vapours</v>
      </c>
      <c r="U476">
        <v>1998</v>
      </c>
      <c r="V476" t="s">
        <v>17</v>
      </c>
      <c r="W476" t="s">
        <v>18</v>
      </c>
      <c r="X476">
        <v>22</v>
      </c>
      <c r="Y476" t="s">
        <v>46</v>
      </c>
      <c r="Z476">
        <v>3</v>
      </c>
      <c r="AA476">
        <v>42</v>
      </c>
      <c r="AB476">
        <v>7.1</v>
      </c>
      <c r="CJ476" t="str">
        <f t="shared" si="54"/>
        <v>MalePacific19Hanging, strangulation and suffocation</v>
      </c>
      <c r="CK476" t="s">
        <v>20</v>
      </c>
      <c r="CL476" t="s">
        <v>79</v>
      </c>
      <c r="CM476" t="s">
        <v>43</v>
      </c>
      <c r="CN476">
        <v>19</v>
      </c>
      <c r="CO476">
        <v>77</v>
      </c>
      <c r="CP476">
        <v>91</v>
      </c>
      <c r="CQ476">
        <v>84.6</v>
      </c>
    </row>
    <row r="477" spans="1:95">
      <c r="A477" t="str">
        <f t="shared" si="51"/>
        <v>2002AllSexNon-Maori25</v>
      </c>
      <c r="B477">
        <v>2002</v>
      </c>
      <c r="C477" t="s">
        <v>17</v>
      </c>
      <c r="D477" t="s">
        <v>19</v>
      </c>
      <c r="E477">
        <v>25</v>
      </c>
      <c r="F477">
        <v>48</v>
      </c>
      <c r="G477">
        <v>10.7481134821649</v>
      </c>
      <c r="H477">
        <v>3</v>
      </c>
      <c r="J477" s="340" t="str">
        <f t="shared" si="52"/>
        <v>2015FemaleNon-Maori194</v>
      </c>
      <c r="K477">
        <v>2015</v>
      </c>
      <c r="L477" t="s">
        <v>8</v>
      </c>
      <c r="M477" t="s">
        <v>19</v>
      </c>
      <c r="N477">
        <v>19</v>
      </c>
      <c r="O477">
        <v>4</v>
      </c>
      <c r="P477">
        <v>20</v>
      </c>
      <c r="Q477">
        <v>5.1218192563347902</v>
      </c>
      <c r="R477">
        <v>2.2000000000000002</v>
      </c>
      <c r="T477" s="340" t="str">
        <f t="shared" si="53"/>
        <v>1998AllSexMaori23Poisoning by gases and vapours</v>
      </c>
      <c r="U477">
        <v>1998</v>
      </c>
      <c r="V477" t="s">
        <v>17</v>
      </c>
      <c r="W477" t="s">
        <v>18</v>
      </c>
      <c r="X477">
        <v>23</v>
      </c>
      <c r="Y477" t="s">
        <v>46</v>
      </c>
      <c r="Z477">
        <v>4</v>
      </c>
      <c r="AA477">
        <v>47</v>
      </c>
      <c r="AB477">
        <v>8.5</v>
      </c>
      <c r="CJ477" t="str">
        <f t="shared" si="54"/>
        <v>MalePacific19Jumping from a high place</v>
      </c>
      <c r="CK477" t="s">
        <v>20</v>
      </c>
      <c r="CL477" t="s">
        <v>79</v>
      </c>
      <c r="CM477" t="s">
        <v>44</v>
      </c>
      <c r="CN477">
        <v>19</v>
      </c>
      <c r="CO477">
        <v>5</v>
      </c>
      <c r="CP477">
        <v>91</v>
      </c>
      <c r="CQ477">
        <v>5.5</v>
      </c>
    </row>
    <row r="478" spans="1:95">
      <c r="A478" t="str">
        <f t="shared" si="51"/>
        <v>2002FemaleAllEth21</v>
      </c>
      <c r="B478">
        <v>2002</v>
      </c>
      <c r="C478" t="s">
        <v>8</v>
      </c>
      <c r="D478" t="s">
        <v>27</v>
      </c>
      <c r="E478">
        <v>21</v>
      </c>
      <c r="F478">
        <v>0</v>
      </c>
      <c r="G478">
        <v>0</v>
      </c>
      <c r="J478" s="340" t="str">
        <f t="shared" si="52"/>
        <v>2015FemaleNon-Maori195</v>
      </c>
      <c r="K478">
        <v>2015</v>
      </c>
      <c r="L478" t="s">
        <v>8</v>
      </c>
      <c r="M478" t="s">
        <v>19</v>
      </c>
      <c r="N478">
        <v>19</v>
      </c>
      <c r="O478">
        <v>5</v>
      </c>
      <c r="P478">
        <v>20</v>
      </c>
      <c r="Q478">
        <v>6.1530615662063797</v>
      </c>
      <c r="R478">
        <v>2.7</v>
      </c>
      <c r="T478" s="340" t="str">
        <f t="shared" si="53"/>
        <v>1998AllSexMaori24Poisoning by gases and vapours</v>
      </c>
      <c r="U478">
        <v>1998</v>
      </c>
      <c r="V478" t="s">
        <v>17</v>
      </c>
      <c r="W478" t="s">
        <v>18</v>
      </c>
      <c r="X478">
        <v>24</v>
      </c>
      <c r="Y478" t="s">
        <v>46</v>
      </c>
      <c r="Z478">
        <v>1</v>
      </c>
      <c r="AA478">
        <v>12</v>
      </c>
      <c r="AB478">
        <v>8.3000000000000007</v>
      </c>
      <c r="CJ478" t="str">
        <f t="shared" si="54"/>
        <v>MalePacific19Other</v>
      </c>
      <c r="CK478" t="s">
        <v>20</v>
      </c>
      <c r="CL478" t="s">
        <v>79</v>
      </c>
      <c r="CM478" t="s">
        <v>45</v>
      </c>
      <c r="CN478">
        <v>19</v>
      </c>
      <c r="CO478">
        <v>1</v>
      </c>
      <c r="CP478">
        <v>91</v>
      </c>
      <c r="CQ478">
        <v>1.1000000000000001</v>
      </c>
    </row>
    <row r="479" spans="1:95">
      <c r="A479" t="str">
        <f t="shared" si="51"/>
        <v>2002FemaleAllEth22</v>
      </c>
      <c r="B479">
        <v>2002</v>
      </c>
      <c r="C479" t="s">
        <v>8</v>
      </c>
      <c r="D479" t="s">
        <v>27</v>
      </c>
      <c r="E479">
        <v>22</v>
      </c>
      <c r="F479">
        <v>30</v>
      </c>
      <c r="G479">
        <v>10.994246344413099</v>
      </c>
      <c r="H479">
        <v>3.9</v>
      </c>
      <c r="J479" s="340" t="str">
        <f t="shared" si="52"/>
        <v>2016FemaleNon-Maori191</v>
      </c>
      <c r="K479">
        <v>2016</v>
      </c>
      <c r="L479" t="s">
        <v>8</v>
      </c>
      <c r="M479" t="s">
        <v>19</v>
      </c>
      <c r="N479">
        <v>19</v>
      </c>
      <c r="O479">
        <v>1</v>
      </c>
      <c r="P479">
        <v>16</v>
      </c>
      <c r="Q479">
        <v>3.6280739205821302</v>
      </c>
      <c r="R479">
        <v>1.8</v>
      </c>
      <c r="T479" s="340" t="str">
        <f t="shared" si="53"/>
        <v>1998AllSexMaori25Poisoning by gases and vapours</v>
      </c>
      <c r="U479">
        <v>1998</v>
      </c>
      <c r="V479" t="s">
        <v>17</v>
      </c>
      <c r="W479" t="s">
        <v>18</v>
      </c>
      <c r="X479">
        <v>25</v>
      </c>
      <c r="Y479" t="s">
        <v>46</v>
      </c>
      <c r="Z479">
        <v>1</v>
      </c>
      <c r="AA479">
        <v>2</v>
      </c>
      <c r="AB479">
        <v>50</v>
      </c>
      <c r="CJ479" t="str">
        <f t="shared" si="54"/>
        <v>MalePacific19Poisoning by gases and vapours</v>
      </c>
      <c r="CK479" t="s">
        <v>20</v>
      </c>
      <c r="CL479" t="s">
        <v>79</v>
      </c>
      <c r="CM479" t="s">
        <v>46</v>
      </c>
      <c r="CN479">
        <v>19</v>
      </c>
      <c r="CO479">
        <v>1</v>
      </c>
      <c r="CP479">
        <v>91</v>
      </c>
      <c r="CQ479">
        <v>1.1000000000000001</v>
      </c>
    </row>
    <row r="480" spans="1:95">
      <c r="A480" t="str">
        <f t="shared" si="51"/>
        <v>2002FemaleAllEth23</v>
      </c>
      <c r="B480">
        <v>2002</v>
      </c>
      <c r="C480" t="s">
        <v>8</v>
      </c>
      <c r="D480" t="s">
        <v>27</v>
      </c>
      <c r="E480">
        <v>23</v>
      </c>
      <c r="F480">
        <v>47</v>
      </c>
      <c r="G480">
        <v>7.8309840381219002</v>
      </c>
      <c r="H480">
        <v>2.2000000000000002</v>
      </c>
      <c r="J480" s="340" t="str">
        <f t="shared" si="52"/>
        <v>2016FemaleNon-Maori192</v>
      </c>
      <c r="K480">
        <v>2016</v>
      </c>
      <c r="L480" t="s">
        <v>8</v>
      </c>
      <c r="M480" t="s">
        <v>19</v>
      </c>
      <c r="N480">
        <v>19</v>
      </c>
      <c r="O480">
        <v>2</v>
      </c>
      <c r="P480">
        <v>9</v>
      </c>
      <c r="Q480">
        <v>1.8932243799672599</v>
      </c>
      <c r="R480">
        <v>1.2</v>
      </c>
      <c r="T480" s="340" t="str">
        <f t="shared" si="53"/>
        <v>1998AllSexMaori22Poisoning by solids and liquids</v>
      </c>
      <c r="U480">
        <v>1998</v>
      </c>
      <c r="V480" t="s">
        <v>17</v>
      </c>
      <c r="W480" t="s">
        <v>18</v>
      </c>
      <c r="X480">
        <v>22</v>
      </c>
      <c r="Y480" t="s">
        <v>47</v>
      </c>
      <c r="Z480">
        <v>5</v>
      </c>
      <c r="AA480">
        <v>42</v>
      </c>
      <c r="AB480">
        <v>11.9</v>
      </c>
      <c r="CK480" t="s">
        <v>20</v>
      </c>
      <c r="CL480" t="s">
        <v>79</v>
      </c>
      <c r="CM480" t="s">
        <v>47</v>
      </c>
      <c r="CN480">
        <v>19</v>
      </c>
      <c r="CO480">
        <v>5</v>
      </c>
      <c r="CP480">
        <v>91</v>
      </c>
      <c r="CQ480">
        <v>5.5</v>
      </c>
    </row>
    <row r="481" spans="1:95">
      <c r="A481" t="str">
        <f t="shared" si="51"/>
        <v>2002FemaleAllEth24</v>
      </c>
      <c r="B481">
        <v>2002</v>
      </c>
      <c r="C481" t="s">
        <v>8</v>
      </c>
      <c r="D481" t="s">
        <v>27</v>
      </c>
      <c r="E481">
        <v>24</v>
      </c>
      <c r="F481">
        <v>25</v>
      </c>
      <c r="G481">
        <v>5.5867170216094202</v>
      </c>
      <c r="H481">
        <v>2.2000000000000002</v>
      </c>
      <c r="J481" s="340" t="str">
        <f t="shared" si="52"/>
        <v>2016FemaleNon-Maori193</v>
      </c>
      <c r="K481">
        <v>2016</v>
      </c>
      <c r="L481" t="s">
        <v>8</v>
      </c>
      <c r="M481" t="s">
        <v>19</v>
      </c>
      <c r="N481">
        <v>19</v>
      </c>
      <c r="O481">
        <v>3</v>
      </c>
      <c r="P481">
        <v>24</v>
      </c>
      <c r="Q481">
        <v>4.8048389956683897</v>
      </c>
      <c r="R481">
        <v>1.9</v>
      </c>
      <c r="T481" s="340" t="str">
        <f t="shared" si="53"/>
        <v>1998AllSexMaori23Poisoning by solids and liquids</v>
      </c>
      <c r="U481">
        <v>1998</v>
      </c>
      <c r="V481" t="s">
        <v>17</v>
      </c>
      <c r="W481" t="s">
        <v>18</v>
      </c>
      <c r="X481">
        <v>23</v>
      </c>
      <c r="Y481" t="s">
        <v>47</v>
      </c>
      <c r="Z481">
        <v>1</v>
      </c>
      <c r="AA481">
        <v>47</v>
      </c>
      <c r="AB481">
        <v>2.1</v>
      </c>
      <c r="CK481" t="s">
        <v>20</v>
      </c>
      <c r="CL481" t="s">
        <v>79</v>
      </c>
      <c r="CM481" t="s">
        <v>48</v>
      </c>
      <c r="CN481">
        <v>19</v>
      </c>
      <c r="CO481">
        <v>1</v>
      </c>
      <c r="CP481">
        <v>91</v>
      </c>
      <c r="CQ481">
        <v>1.1000000000000001</v>
      </c>
    </row>
    <row r="482" spans="1:95">
      <c r="A482" t="str">
        <f t="shared" si="51"/>
        <v>2002FemaleAllEth25</v>
      </c>
      <c r="B482">
        <v>2002</v>
      </c>
      <c r="C482" t="s">
        <v>8</v>
      </c>
      <c r="D482" t="s">
        <v>27</v>
      </c>
      <c r="E482">
        <v>25</v>
      </c>
      <c r="F482">
        <v>12</v>
      </c>
      <c r="G482">
        <v>4.5754375262134399</v>
      </c>
      <c r="H482">
        <v>2.6</v>
      </c>
      <c r="J482" s="340" t="str">
        <f t="shared" si="52"/>
        <v>2016FemaleNon-Maori194</v>
      </c>
      <c r="K482">
        <v>2016</v>
      </c>
      <c r="L482" t="s">
        <v>8</v>
      </c>
      <c r="M482" t="s">
        <v>19</v>
      </c>
      <c r="N482">
        <v>19</v>
      </c>
      <c r="O482">
        <v>4</v>
      </c>
      <c r="P482">
        <v>29</v>
      </c>
      <c r="Q482">
        <v>7.2488558752360497</v>
      </c>
      <c r="R482">
        <v>2.6</v>
      </c>
      <c r="T482" s="340" t="str">
        <f t="shared" si="53"/>
        <v>1998AllSexMaori24Poisoning by solids and liquids</v>
      </c>
      <c r="U482">
        <v>1998</v>
      </c>
      <c r="V482" t="s">
        <v>17</v>
      </c>
      <c r="W482" t="s">
        <v>18</v>
      </c>
      <c r="X482">
        <v>24</v>
      </c>
      <c r="Y482" t="s">
        <v>47</v>
      </c>
      <c r="Z482">
        <v>4</v>
      </c>
      <c r="AA482">
        <v>12</v>
      </c>
      <c r="AB482">
        <v>33.299999999999997</v>
      </c>
      <c r="CK482" t="s">
        <v>20</v>
      </c>
      <c r="CL482" t="s">
        <v>79</v>
      </c>
      <c r="CM482" t="s">
        <v>49</v>
      </c>
      <c r="CN482">
        <v>19</v>
      </c>
      <c r="CO482">
        <v>1</v>
      </c>
      <c r="CP482">
        <v>91</v>
      </c>
      <c r="CQ482">
        <v>1.1000000000000001</v>
      </c>
    </row>
    <row r="483" spans="1:95">
      <c r="A483" t="str">
        <f t="shared" si="51"/>
        <v>2002FemaleMaori21</v>
      </c>
      <c r="B483">
        <v>2002</v>
      </c>
      <c r="C483" t="s">
        <v>8</v>
      </c>
      <c r="D483" t="s">
        <v>18</v>
      </c>
      <c r="E483">
        <v>21</v>
      </c>
      <c r="F483">
        <v>0</v>
      </c>
      <c r="G483">
        <v>0</v>
      </c>
      <c r="J483" s="340" t="str">
        <f t="shared" si="52"/>
        <v>2016FemaleNon-Maori195</v>
      </c>
      <c r="K483">
        <v>2016</v>
      </c>
      <c r="L483" t="s">
        <v>8</v>
      </c>
      <c r="M483" t="s">
        <v>19</v>
      </c>
      <c r="N483">
        <v>19</v>
      </c>
      <c r="O483">
        <v>5</v>
      </c>
      <c r="P483">
        <v>26</v>
      </c>
      <c r="Q483">
        <v>7.6908379419505204</v>
      </c>
      <c r="R483">
        <v>3</v>
      </c>
      <c r="T483" s="340" t="str">
        <f t="shared" si="53"/>
        <v>1998AllSexMaori23Sharp object</v>
      </c>
      <c r="U483">
        <v>1998</v>
      </c>
      <c r="V483" t="s">
        <v>17</v>
      </c>
      <c r="W483" t="s">
        <v>18</v>
      </c>
      <c r="X483">
        <v>23</v>
      </c>
      <c r="Y483" t="s">
        <v>48</v>
      </c>
      <c r="Z483">
        <v>1</v>
      </c>
      <c r="AA483">
        <v>47</v>
      </c>
      <c r="AB483">
        <v>2.1</v>
      </c>
    </row>
    <row r="484" spans="1:95">
      <c r="A484" t="str">
        <f t="shared" si="51"/>
        <v>2002FemaleMaori22</v>
      </c>
      <c r="B484">
        <v>2002</v>
      </c>
      <c r="C484" t="s">
        <v>8</v>
      </c>
      <c r="D484" t="s">
        <v>18</v>
      </c>
      <c r="E484">
        <v>22</v>
      </c>
      <c r="F484">
        <v>10</v>
      </c>
      <c r="G484">
        <v>18.793459875963201</v>
      </c>
      <c r="H484">
        <v>11.6</v>
      </c>
      <c r="J484" s="340" t="str">
        <f t="shared" si="52"/>
        <v>2001MaleAllEth191</v>
      </c>
      <c r="K484">
        <v>2001</v>
      </c>
      <c r="L484" t="s">
        <v>20</v>
      </c>
      <c r="M484" t="s">
        <v>27</v>
      </c>
      <c r="N484">
        <v>19</v>
      </c>
      <c r="O484">
        <v>1</v>
      </c>
      <c r="P484">
        <v>47</v>
      </c>
      <c r="Q484">
        <v>12.6247835731339</v>
      </c>
      <c r="R484">
        <v>3.6</v>
      </c>
      <c r="T484" s="340" t="str">
        <f t="shared" si="53"/>
        <v>1998AllSexNon-Maori22Firearms and explosives</v>
      </c>
      <c r="U484">
        <v>1998</v>
      </c>
      <c r="V484" t="s">
        <v>17</v>
      </c>
      <c r="W484" t="s">
        <v>19</v>
      </c>
      <c r="X484">
        <v>22</v>
      </c>
      <c r="Y484" t="s">
        <v>42</v>
      </c>
      <c r="Z484">
        <v>11</v>
      </c>
      <c r="AA484">
        <v>97</v>
      </c>
      <c r="AB484">
        <v>11.3</v>
      </c>
    </row>
    <row r="485" spans="1:95">
      <c r="A485" t="str">
        <f t="shared" si="51"/>
        <v>2002FemaleMaori23</v>
      </c>
      <c r="B485">
        <v>2002</v>
      </c>
      <c r="C485" t="s">
        <v>8</v>
      </c>
      <c r="D485" t="s">
        <v>18</v>
      </c>
      <c r="E485">
        <v>23</v>
      </c>
      <c r="F485">
        <v>9</v>
      </c>
      <c r="G485">
        <v>10.097610232245</v>
      </c>
      <c r="H485">
        <v>6.6</v>
      </c>
      <c r="J485" s="340" t="str">
        <f t="shared" si="52"/>
        <v>2001MaleAllEth192</v>
      </c>
      <c r="K485">
        <v>2001</v>
      </c>
      <c r="L485" t="s">
        <v>20</v>
      </c>
      <c r="M485" t="s">
        <v>27</v>
      </c>
      <c r="N485">
        <v>19</v>
      </c>
      <c r="O485">
        <v>2</v>
      </c>
      <c r="P485">
        <v>57</v>
      </c>
      <c r="Q485">
        <v>14.1981301877871</v>
      </c>
      <c r="R485">
        <v>3.7</v>
      </c>
      <c r="T485" s="340" t="str">
        <f t="shared" si="53"/>
        <v>1998AllSexNon-Maori23Firearms and explosives</v>
      </c>
      <c r="U485">
        <v>1998</v>
      </c>
      <c r="V485" t="s">
        <v>17</v>
      </c>
      <c r="W485" t="s">
        <v>19</v>
      </c>
      <c r="X485">
        <v>23</v>
      </c>
      <c r="Y485" t="s">
        <v>42</v>
      </c>
      <c r="Z485">
        <v>20</v>
      </c>
      <c r="AA485">
        <v>202</v>
      </c>
      <c r="AB485">
        <v>9.9</v>
      </c>
    </row>
    <row r="486" spans="1:95">
      <c r="A486" t="str">
        <f t="shared" si="51"/>
        <v>2002FemaleMaori24</v>
      </c>
      <c r="B486">
        <v>2002</v>
      </c>
      <c r="C486" t="s">
        <v>8</v>
      </c>
      <c r="D486" t="s">
        <v>18</v>
      </c>
      <c r="E486">
        <v>24</v>
      </c>
      <c r="F486">
        <v>1</v>
      </c>
      <c r="G486">
        <v>2.3769907297361499</v>
      </c>
      <c r="H486">
        <v>4.7</v>
      </c>
      <c r="J486" s="340" t="str">
        <f t="shared" si="52"/>
        <v>2001MaleAllEth193</v>
      </c>
      <c r="K486">
        <v>2001</v>
      </c>
      <c r="L486" t="s">
        <v>20</v>
      </c>
      <c r="M486" t="s">
        <v>27</v>
      </c>
      <c r="N486">
        <v>19</v>
      </c>
      <c r="O486">
        <v>3</v>
      </c>
      <c r="P486">
        <v>73</v>
      </c>
      <c r="Q486">
        <v>18.727284186097101</v>
      </c>
      <c r="R486">
        <v>4.3</v>
      </c>
      <c r="T486" s="340" t="str">
        <f t="shared" si="53"/>
        <v>1998AllSexNon-Maori24Firearms and explosives</v>
      </c>
      <c r="U486">
        <v>1998</v>
      </c>
      <c r="V486" t="s">
        <v>17</v>
      </c>
      <c r="W486" t="s">
        <v>19</v>
      </c>
      <c r="X486">
        <v>24</v>
      </c>
      <c r="Y486" t="s">
        <v>42</v>
      </c>
      <c r="Z486">
        <v>25</v>
      </c>
      <c r="AA486">
        <v>102</v>
      </c>
      <c r="AB486">
        <v>24.5</v>
      </c>
    </row>
    <row r="487" spans="1:95">
      <c r="A487" t="str">
        <f t="shared" si="51"/>
        <v>2002FemaleMaori25</v>
      </c>
      <c r="B487">
        <v>2002</v>
      </c>
      <c r="C487" t="s">
        <v>8</v>
      </c>
      <c r="D487" t="s">
        <v>18</v>
      </c>
      <c r="E487">
        <v>25</v>
      </c>
      <c r="F487">
        <v>0</v>
      </c>
      <c r="G487">
        <v>0</v>
      </c>
      <c r="J487" s="340" t="str">
        <f t="shared" si="52"/>
        <v>2001MaleAllEth194</v>
      </c>
      <c r="K487">
        <v>2001</v>
      </c>
      <c r="L487" t="s">
        <v>20</v>
      </c>
      <c r="M487" t="s">
        <v>27</v>
      </c>
      <c r="N487">
        <v>19</v>
      </c>
      <c r="O487">
        <v>4</v>
      </c>
      <c r="P487">
        <v>89</v>
      </c>
      <c r="Q487">
        <v>23.079099370857701</v>
      </c>
      <c r="R487">
        <v>4.8</v>
      </c>
      <c r="T487" s="340" t="str">
        <f t="shared" si="53"/>
        <v>1998AllSexNon-Maori25Firearms and explosives</v>
      </c>
      <c r="U487">
        <v>1998</v>
      </c>
      <c r="V487" t="s">
        <v>17</v>
      </c>
      <c r="W487" t="s">
        <v>19</v>
      </c>
      <c r="X487">
        <v>25</v>
      </c>
      <c r="Y487" t="s">
        <v>42</v>
      </c>
      <c r="Z487">
        <v>6</v>
      </c>
      <c r="AA487">
        <v>62</v>
      </c>
      <c r="AB487">
        <v>9.6999999999999993</v>
      </c>
    </row>
    <row r="488" spans="1:95">
      <c r="A488" t="str">
        <f t="shared" si="51"/>
        <v>2002FemaleNon-Maori21</v>
      </c>
      <c r="B488">
        <v>2002</v>
      </c>
      <c r="C488" t="s">
        <v>8</v>
      </c>
      <c r="D488" t="s">
        <v>19</v>
      </c>
      <c r="E488">
        <v>21</v>
      </c>
      <c r="F488">
        <v>0</v>
      </c>
      <c r="G488">
        <v>0</v>
      </c>
      <c r="J488" s="340" t="str">
        <f t="shared" si="52"/>
        <v>2001MaleAllEth195</v>
      </c>
      <c r="K488">
        <v>2001</v>
      </c>
      <c r="L488" t="s">
        <v>20</v>
      </c>
      <c r="M488" t="s">
        <v>27</v>
      </c>
      <c r="N488">
        <v>19</v>
      </c>
      <c r="O488">
        <v>5</v>
      </c>
      <c r="P488">
        <v>80</v>
      </c>
      <c r="Q488">
        <v>21.9059223070015</v>
      </c>
      <c r="R488">
        <v>4.8</v>
      </c>
      <c r="T488" s="340" t="str">
        <f t="shared" si="53"/>
        <v>1998AllSexNon-Maori21Hanging, strangulation and suffocation</v>
      </c>
      <c r="U488">
        <v>1998</v>
      </c>
      <c r="V488" t="s">
        <v>17</v>
      </c>
      <c r="W488" t="s">
        <v>19</v>
      </c>
      <c r="X488">
        <v>21</v>
      </c>
      <c r="Y488" t="s">
        <v>43</v>
      </c>
      <c r="Z488">
        <v>2</v>
      </c>
      <c r="AA488">
        <v>3</v>
      </c>
      <c r="AB488">
        <v>66.7</v>
      </c>
    </row>
    <row r="489" spans="1:95">
      <c r="A489" t="str">
        <f t="shared" si="51"/>
        <v>2002FemaleNon-Maori22</v>
      </c>
      <c r="B489">
        <v>2002</v>
      </c>
      <c r="C489" t="s">
        <v>8</v>
      </c>
      <c r="D489" t="s">
        <v>19</v>
      </c>
      <c r="E489">
        <v>22</v>
      </c>
      <c r="F489">
        <v>20</v>
      </c>
      <c r="G489">
        <v>9.1049804242920906</v>
      </c>
      <c r="H489">
        <v>4</v>
      </c>
      <c r="J489" s="340" t="str">
        <f t="shared" si="52"/>
        <v>2002MaleAllEth191</v>
      </c>
      <c r="K489">
        <v>2002</v>
      </c>
      <c r="L489" t="s">
        <v>20</v>
      </c>
      <c r="M489" t="s">
        <v>27</v>
      </c>
      <c r="N489">
        <v>19</v>
      </c>
      <c r="O489">
        <v>1</v>
      </c>
      <c r="P489">
        <v>41</v>
      </c>
      <c r="Q489">
        <v>10.7542582039462</v>
      </c>
      <c r="R489">
        <v>3.3</v>
      </c>
      <c r="T489" s="340" t="str">
        <f t="shared" si="53"/>
        <v>1998AllSexNon-Maori22Hanging, strangulation and suffocation</v>
      </c>
      <c r="U489">
        <v>1998</v>
      </c>
      <c r="V489" t="s">
        <v>17</v>
      </c>
      <c r="W489" t="s">
        <v>19</v>
      </c>
      <c r="X489">
        <v>22</v>
      </c>
      <c r="Y489" t="s">
        <v>43</v>
      </c>
      <c r="Z489">
        <v>47</v>
      </c>
      <c r="AA489">
        <v>97</v>
      </c>
      <c r="AB489">
        <v>48.5</v>
      </c>
    </row>
    <row r="490" spans="1:95">
      <c r="A490" t="str">
        <f t="shared" si="51"/>
        <v>2002FemaleNon-Maori23</v>
      </c>
      <c r="B490">
        <v>2002</v>
      </c>
      <c r="C490" t="s">
        <v>8</v>
      </c>
      <c r="D490" t="s">
        <v>19</v>
      </c>
      <c r="E490">
        <v>23</v>
      </c>
      <c r="F490">
        <v>38</v>
      </c>
      <c r="G490">
        <v>7.4356716563937004</v>
      </c>
      <c r="H490">
        <v>2.4</v>
      </c>
      <c r="J490" s="340" t="str">
        <f t="shared" si="52"/>
        <v>2002MaleAllEth192</v>
      </c>
      <c r="K490">
        <v>2002</v>
      </c>
      <c r="L490" t="s">
        <v>20</v>
      </c>
      <c r="M490" t="s">
        <v>27</v>
      </c>
      <c r="N490">
        <v>19</v>
      </c>
      <c r="O490">
        <v>2</v>
      </c>
      <c r="P490">
        <v>80</v>
      </c>
      <c r="Q490">
        <v>20.331440073471001</v>
      </c>
      <c r="R490">
        <v>4.5</v>
      </c>
      <c r="T490" s="340" t="str">
        <f t="shared" si="53"/>
        <v>1998AllSexNon-Maori23Hanging, strangulation and suffocation</v>
      </c>
      <c r="U490">
        <v>1998</v>
      </c>
      <c r="V490" t="s">
        <v>17</v>
      </c>
      <c r="W490" t="s">
        <v>19</v>
      </c>
      <c r="X490">
        <v>23</v>
      </c>
      <c r="Y490" t="s">
        <v>43</v>
      </c>
      <c r="Z490">
        <v>86</v>
      </c>
      <c r="AA490">
        <v>202</v>
      </c>
      <c r="AB490">
        <v>42.6</v>
      </c>
    </row>
    <row r="491" spans="1:95">
      <c r="A491" t="str">
        <f t="shared" si="51"/>
        <v>2002FemaleNon-Maori24</v>
      </c>
      <c r="B491">
        <v>2002</v>
      </c>
      <c r="C491" t="s">
        <v>8</v>
      </c>
      <c r="D491" t="s">
        <v>19</v>
      </c>
      <c r="E491">
        <v>24</v>
      </c>
      <c r="F491">
        <v>24</v>
      </c>
      <c r="G491">
        <v>5.9197868876720401</v>
      </c>
      <c r="H491">
        <v>2.4</v>
      </c>
      <c r="J491" s="340" t="str">
        <f t="shared" si="52"/>
        <v>2002MaleAllEth193</v>
      </c>
      <c r="K491">
        <v>2002</v>
      </c>
      <c r="L491" t="s">
        <v>20</v>
      </c>
      <c r="M491" t="s">
        <v>27</v>
      </c>
      <c r="N491">
        <v>19</v>
      </c>
      <c r="O491">
        <v>3</v>
      </c>
      <c r="P491">
        <v>61</v>
      </c>
      <c r="Q491">
        <v>14.856339857707299</v>
      </c>
      <c r="R491">
        <v>3.7</v>
      </c>
      <c r="T491" s="340" t="str">
        <f t="shared" si="53"/>
        <v>1998AllSexNon-Maori24Hanging, strangulation and suffocation</v>
      </c>
      <c r="U491">
        <v>1998</v>
      </c>
      <c r="V491" t="s">
        <v>17</v>
      </c>
      <c r="W491" t="s">
        <v>19</v>
      </c>
      <c r="X491">
        <v>24</v>
      </c>
      <c r="Y491" t="s">
        <v>43</v>
      </c>
      <c r="Z491">
        <v>23</v>
      </c>
      <c r="AA491">
        <v>102</v>
      </c>
      <c r="AB491">
        <v>22.5</v>
      </c>
    </row>
    <row r="492" spans="1:95">
      <c r="A492" t="str">
        <f t="shared" si="51"/>
        <v>2002FemaleNon-Maori25</v>
      </c>
      <c r="B492">
        <v>2002</v>
      </c>
      <c r="C492" t="s">
        <v>8</v>
      </c>
      <c r="D492" t="s">
        <v>19</v>
      </c>
      <c r="E492">
        <v>25</v>
      </c>
      <c r="F492">
        <v>12</v>
      </c>
      <c r="G492">
        <v>4.7844982257485702</v>
      </c>
      <c r="H492">
        <v>2.7</v>
      </c>
      <c r="J492" s="340" t="str">
        <f t="shared" si="52"/>
        <v>2002MaleAllEth194</v>
      </c>
      <c r="K492">
        <v>2002</v>
      </c>
      <c r="L492" t="s">
        <v>20</v>
      </c>
      <c r="M492" t="s">
        <v>27</v>
      </c>
      <c r="N492">
        <v>19</v>
      </c>
      <c r="O492">
        <v>4</v>
      </c>
      <c r="P492">
        <v>71</v>
      </c>
      <c r="Q492">
        <v>18.149735187804001</v>
      </c>
      <c r="R492">
        <v>4.2</v>
      </c>
      <c r="T492" s="340" t="str">
        <f t="shared" si="53"/>
        <v>1998AllSexNon-Maori25Hanging, strangulation and suffocation</v>
      </c>
      <c r="U492">
        <v>1998</v>
      </c>
      <c r="V492" t="s">
        <v>17</v>
      </c>
      <c r="W492" t="s">
        <v>19</v>
      </c>
      <c r="X492">
        <v>25</v>
      </c>
      <c r="Y492" t="s">
        <v>43</v>
      </c>
      <c r="Z492">
        <v>18</v>
      </c>
      <c r="AA492">
        <v>62</v>
      </c>
      <c r="AB492">
        <v>29</v>
      </c>
    </row>
    <row r="493" spans="1:95">
      <c r="A493" t="str">
        <f t="shared" si="51"/>
        <v>2002MaleAllEth21</v>
      </c>
      <c r="B493">
        <v>2002</v>
      </c>
      <c r="C493" t="s">
        <v>20</v>
      </c>
      <c r="D493" t="s">
        <v>27</v>
      </c>
      <c r="E493">
        <v>21</v>
      </c>
      <c r="F493">
        <v>0</v>
      </c>
      <c r="G493">
        <v>0</v>
      </c>
      <c r="J493" s="340" t="str">
        <f t="shared" si="52"/>
        <v>2002MaleAllEth195</v>
      </c>
      <c r="K493">
        <v>2002</v>
      </c>
      <c r="L493" t="s">
        <v>20</v>
      </c>
      <c r="M493" t="s">
        <v>27</v>
      </c>
      <c r="N493">
        <v>19</v>
      </c>
      <c r="O493">
        <v>5</v>
      </c>
      <c r="P493">
        <v>77</v>
      </c>
      <c r="Q493">
        <v>20.710389697710099</v>
      </c>
      <c r="R493">
        <v>4.5999999999999996</v>
      </c>
      <c r="T493" s="340" t="str">
        <f t="shared" si="53"/>
        <v>1998AllSexNon-Maori22Jumping from a high place</v>
      </c>
      <c r="U493">
        <v>1998</v>
      </c>
      <c r="V493" t="s">
        <v>17</v>
      </c>
      <c r="W493" t="s">
        <v>19</v>
      </c>
      <c r="X493">
        <v>22</v>
      </c>
      <c r="Y493" t="s">
        <v>44</v>
      </c>
      <c r="Z493">
        <v>5</v>
      </c>
      <c r="AA493">
        <v>97</v>
      </c>
      <c r="AB493">
        <v>5.2</v>
      </c>
    </row>
    <row r="494" spans="1:95">
      <c r="A494" t="str">
        <f t="shared" si="51"/>
        <v>2002MaleAllEth22</v>
      </c>
      <c r="B494">
        <v>2002</v>
      </c>
      <c r="C494" t="s">
        <v>20</v>
      </c>
      <c r="D494" t="s">
        <v>27</v>
      </c>
      <c r="E494">
        <v>22</v>
      </c>
      <c r="F494">
        <v>66</v>
      </c>
      <c r="G494">
        <v>23.606838829673102</v>
      </c>
      <c r="H494">
        <v>5.7</v>
      </c>
      <c r="J494" s="340" t="str">
        <f t="shared" si="52"/>
        <v>2003MaleAllEth191</v>
      </c>
      <c r="K494">
        <v>2003</v>
      </c>
      <c r="L494" t="s">
        <v>20</v>
      </c>
      <c r="M494" t="s">
        <v>27</v>
      </c>
      <c r="N494">
        <v>19</v>
      </c>
      <c r="O494">
        <v>1</v>
      </c>
      <c r="P494">
        <v>48</v>
      </c>
      <c r="Q494">
        <v>11.6579714994652</v>
      </c>
      <c r="R494">
        <v>3.3</v>
      </c>
      <c r="T494" s="340" t="str">
        <f t="shared" si="53"/>
        <v>1998AllSexNon-Maori23Jumping from a high place</v>
      </c>
      <c r="U494">
        <v>1998</v>
      </c>
      <c r="V494" t="s">
        <v>17</v>
      </c>
      <c r="W494" t="s">
        <v>19</v>
      </c>
      <c r="X494">
        <v>23</v>
      </c>
      <c r="Y494" t="s">
        <v>44</v>
      </c>
      <c r="Z494">
        <v>6</v>
      </c>
      <c r="AA494">
        <v>202</v>
      </c>
      <c r="AB494">
        <v>3</v>
      </c>
    </row>
    <row r="495" spans="1:95">
      <c r="A495" t="str">
        <f t="shared" si="51"/>
        <v>2002MaleAllEth23</v>
      </c>
      <c r="B495">
        <v>2002</v>
      </c>
      <c r="C495" t="s">
        <v>20</v>
      </c>
      <c r="D495" t="s">
        <v>27</v>
      </c>
      <c r="E495">
        <v>23</v>
      </c>
      <c r="F495">
        <v>166</v>
      </c>
      <c r="G495">
        <v>29.545778157482602</v>
      </c>
      <c r="H495">
        <v>4.5</v>
      </c>
      <c r="J495" s="340" t="str">
        <f t="shared" si="52"/>
        <v>2003MaleAllEth192</v>
      </c>
      <c r="K495">
        <v>2003</v>
      </c>
      <c r="L495" t="s">
        <v>20</v>
      </c>
      <c r="M495" t="s">
        <v>27</v>
      </c>
      <c r="N495">
        <v>19</v>
      </c>
      <c r="O495">
        <v>2</v>
      </c>
      <c r="P495">
        <v>56</v>
      </c>
      <c r="Q495">
        <v>13.2698077125134</v>
      </c>
      <c r="R495">
        <v>3.5</v>
      </c>
      <c r="T495" s="340" t="str">
        <f t="shared" si="53"/>
        <v>1998AllSexNon-Maori24Jumping from a high place</v>
      </c>
      <c r="U495">
        <v>1998</v>
      </c>
      <c r="V495" t="s">
        <v>17</v>
      </c>
      <c r="W495" t="s">
        <v>19</v>
      </c>
      <c r="X495">
        <v>24</v>
      </c>
      <c r="Y495" t="s">
        <v>44</v>
      </c>
      <c r="Z495">
        <v>2</v>
      </c>
      <c r="AA495">
        <v>102</v>
      </c>
      <c r="AB495">
        <v>2</v>
      </c>
    </row>
    <row r="496" spans="1:95">
      <c r="A496" t="str">
        <f t="shared" si="51"/>
        <v>2002MaleAllEth24</v>
      </c>
      <c r="B496">
        <v>2002</v>
      </c>
      <c r="C496" t="s">
        <v>20</v>
      </c>
      <c r="D496" t="s">
        <v>27</v>
      </c>
      <c r="E496">
        <v>24</v>
      </c>
      <c r="F496">
        <v>88</v>
      </c>
      <c r="G496">
        <v>20.089030932541899</v>
      </c>
      <c r="H496">
        <v>4.2</v>
      </c>
      <c r="J496" s="340" t="str">
        <f t="shared" si="52"/>
        <v>2003MaleAllEth193</v>
      </c>
      <c r="K496">
        <v>2003</v>
      </c>
      <c r="L496" t="s">
        <v>20</v>
      </c>
      <c r="M496" t="s">
        <v>27</v>
      </c>
      <c r="N496">
        <v>19</v>
      </c>
      <c r="O496">
        <v>3</v>
      </c>
      <c r="P496">
        <v>86</v>
      </c>
      <c r="Q496">
        <v>20.226863250361799</v>
      </c>
      <c r="R496">
        <v>4.3</v>
      </c>
      <c r="T496" s="340" t="str">
        <f t="shared" si="53"/>
        <v>1998AllSexNon-Maori25Jumping from a high place</v>
      </c>
      <c r="U496">
        <v>1998</v>
      </c>
      <c r="V496" t="s">
        <v>17</v>
      </c>
      <c r="W496" t="s">
        <v>19</v>
      </c>
      <c r="X496">
        <v>25</v>
      </c>
      <c r="Y496" t="s">
        <v>44</v>
      </c>
      <c r="Z496">
        <v>1</v>
      </c>
      <c r="AA496">
        <v>62</v>
      </c>
      <c r="AB496">
        <v>1.6</v>
      </c>
    </row>
    <row r="497" spans="1:28">
      <c r="A497" t="str">
        <f t="shared" si="51"/>
        <v>2002MaleAllEth25</v>
      </c>
      <c r="B497">
        <v>2002</v>
      </c>
      <c r="C497" t="s">
        <v>20</v>
      </c>
      <c r="D497" t="s">
        <v>27</v>
      </c>
      <c r="E497">
        <v>25</v>
      </c>
      <c r="F497">
        <v>36</v>
      </c>
      <c r="G497">
        <v>17.5378769425635</v>
      </c>
      <c r="H497">
        <v>5.7</v>
      </c>
      <c r="J497" s="340" t="str">
        <f t="shared" si="52"/>
        <v>2003MaleAllEth194</v>
      </c>
      <c r="K497">
        <v>2003</v>
      </c>
      <c r="L497" t="s">
        <v>20</v>
      </c>
      <c r="M497" t="s">
        <v>27</v>
      </c>
      <c r="N497">
        <v>19</v>
      </c>
      <c r="O497">
        <v>4</v>
      </c>
      <c r="P497">
        <v>95</v>
      </c>
      <c r="Q497">
        <v>23.724245104379001</v>
      </c>
      <c r="R497">
        <v>4.8</v>
      </c>
      <c r="T497" s="340" t="str">
        <f t="shared" si="53"/>
        <v>1998AllSexNon-Maori22Other</v>
      </c>
      <c r="U497">
        <v>1998</v>
      </c>
      <c r="V497" t="s">
        <v>17</v>
      </c>
      <c r="W497" t="s">
        <v>19</v>
      </c>
      <c r="X497">
        <v>22</v>
      </c>
      <c r="Y497" t="s">
        <v>45</v>
      </c>
      <c r="Z497">
        <v>4</v>
      </c>
      <c r="AA497">
        <v>97</v>
      </c>
      <c r="AB497">
        <v>4.0999999999999996</v>
      </c>
    </row>
    <row r="498" spans="1:28">
      <c r="A498" t="str">
        <f t="shared" si="51"/>
        <v>2002MaleMaori21</v>
      </c>
      <c r="B498">
        <v>2002</v>
      </c>
      <c r="C498" t="s">
        <v>20</v>
      </c>
      <c r="D498" t="s">
        <v>18</v>
      </c>
      <c r="E498">
        <v>21</v>
      </c>
      <c r="F498">
        <v>0</v>
      </c>
      <c r="G498">
        <v>0</v>
      </c>
      <c r="J498" s="340" t="str">
        <f t="shared" si="52"/>
        <v>2003MaleAllEth195</v>
      </c>
      <c r="K498">
        <v>2003</v>
      </c>
      <c r="L498" t="s">
        <v>20</v>
      </c>
      <c r="M498" t="s">
        <v>27</v>
      </c>
      <c r="N498">
        <v>19</v>
      </c>
      <c r="O498">
        <v>5</v>
      </c>
      <c r="P498">
        <v>81</v>
      </c>
      <c r="Q498">
        <v>21.224772897083302</v>
      </c>
      <c r="R498">
        <v>4.5999999999999996</v>
      </c>
      <c r="T498" s="340" t="str">
        <f t="shared" si="53"/>
        <v>1998AllSexNon-Maori23Other</v>
      </c>
      <c r="U498">
        <v>1998</v>
      </c>
      <c r="V498" t="s">
        <v>17</v>
      </c>
      <c r="W498" t="s">
        <v>19</v>
      </c>
      <c r="X498">
        <v>23</v>
      </c>
      <c r="Y498" t="s">
        <v>45</v>
      </c>
      <c r="Z498">
        <v>8</v>
      </c>
      <c r="AA498">
        <v>202</v>
      </c>
      <c r="AB498">
        <v>4</v>
      </c>
    </row>
    <row r="499" spans="1:28">
      <c r="A499" t="str">
        <f t="shared" si="51"/>
        <v>2002MaleMaori22</v>
      </c>
      <c r="B499">
        <v>2002</v>
      </c>
      <c r="C499" t="s">
        <v>20</v>
      </c>
      <c r="D499" t="s">
        <v>18</v>
      </c>
      <c r="E499">
        <v>22</v>
      </c>
      <c r="F499">
        <v>23</v>
      </c>
      <c r="G499">
        <v>43.909889270713997</v>
      </c>
      <c r="H499">
        <v>17.899999999999999</v>
      </c>
      <c r="J499" s="340" t="str">
        <f t="shared" si="52"/>
        <v>2004MaleAllEth191</v>
      </c>
      <c r="K499">
        <v>2004</v>
      </c>
      <c r="L499" t="s">
        <v>20</v>
      </c>
      <c r="M499" t="s">
        <v>27</v>
      </c>
      <c r="N499">
        <v>19</v>
      </c>
      <c r="O499">
        <v>1</v>
      </c>
      <c r="P499">
        <v>54</v>
      </c>
      <c r="Q499">
        <v>13.8891764754203</v>
      </c>
      <c r="R499">
        <v>3.7</v>
      </c>
      <c r="T499" s="340" t="str">
        <f t="shared" si="53"/>
        <v>1998AllSexNon-Maori24Other</v>
      </c>
      <c r="U499">
        <v>1998</v>
      </c>
      <c r="V499" t="s">
        <v>17</v>
      </c>
      <c r="W499" t="s">
        <v>19</v>
      </c>
      <c r="X499">
        <v>24</v>
      </c>
      <c r="Y499" t="s">
        <v>45</v>
      </c>
      <c r="Z499">
        <v>2</v>
      </c>
      <c r="AA499">
        <v>102</v>
      </c>
      <c r="AB499">
        <v>2</v>
      </c>
    </row>
    <row r="500" spans="1:28">
      <c r="A500" t="str">
        <f t="shared" si="51"/>
        <v>2002MaleMaori23</v>
      </c>
      <c r="B500">
        <v>2002</v>
      </c>
      <c r="C500" t="s">
        <v>20</v>
      </c>
      <c r="D500" t="s">
        <v>18</v>
      </c>
      <c r="E500">
        <v>23</v>
      </c>
      <c r="F500">
        <v>31</v>
      </c>
      <c r="G500">
        <v>38.581207218419401</v>
      </c>
      <c r="H500">
        <v>13.6</v>
      </c>
      <c r="J500" s="340" t="str">
        <f t="shared" si="52"/>
        <v>2004MaleAllEth192</v>
      </c>
      <c r="K500">
        <v>2004</v>
      </c>
      <c r="L500" t="s">
        <v>20</v>
      </c>
      <c r="M500" t="s">
        <v>27</v>
      </c>
      <c r="N500">
        <v>19</v>
      </c>
      <c r="O500">
        <v>2</v>
      </c>
      <c r="P500">
        <v>53</v>
      </c>
      <c r="Q500">
        <v>12.699278681274</v>
      </c>
      <c r="R500">
        <v>3.4</v>
      </c>
      <c r="T500" s="340" t="str">
        <f t="shared" si="53"/>
        <v>1998AllSexNon-Maori25Other</v>
      </c>
      <c r="U500">
        <v>1998</v>
      </c>
      <c r="V500" t="s">
        <v>17</v>
      </c>
      <c r="W500" t="s">
        <v>19</v>
      </c>
      <c r="X500">
        <v>25</v>
      </c>
      <c r="Y500" t="s">
        <v>45</v>
      </c>
      <c r="Z500">
        <v>4</v>
      </c>
      <c r="AA500">
        <v>62</v>
      </c>
      <c r="AB500">
        <v>6.5</v>
      </c>
    </row>
    <row r="501" spans="1:28">
      <c r="A501" t="str">
        <f t="shared" si="51"/>
        <v>2002MaleMaori24</v>
      </c>
      <c r="B501">
        <v>2002</v>
      </c>
      <c r="C501" t="s">
        <v>20</v>
      </c>
      <c r="D501" t="s">
        <v>18</v>
      </c>
      <c r="E501">
        <v>24</v>
      </c>
      <c r="F501">
        <v>6</v>
      </c>
      <c r="G501">
        <v>15.1285930408472</v>
      </c>
      <c r="H501">
        <v>12.1</v>
      </c>
      <c r="J501" s="340" t="str">
        <f t="shared" si="52"/>
        <v>2004MaleAllEth193</v>
      </c>
      <c r="K501">
        <v>2004</v>
      </c>
      <c r="L501" t="s">
        <v>20</v>
      </c>
      <c r="M501" t="s">
        <v>27</v>
      </c>
      <c r="N501">
        <v>19</v>
      </c>
      <c r="O501">
        <v>3</v>
      </c>
      <c r="P501">
        <v>70</v>
      </c>
      <c r="Q501">
        <v>16.832828439782698</v>
      </c>
      <c r="R501">
        <v>3.9</v>
      </c>
      <c r="T501" s="340" t="str">
        <f t="shared" si="53"/>
        <v>1998AllSexNon-Maori22Poisoning by gases and vapours</v>
      </c>
      <c r="U501">
        <v>1998</v>
      </c>
      <c r="V501" t="s">
        <v>17</v>
      </c>
      <c r="W501" t="s">
        <v>19</v>
      </c>
      <c r="X501">
        <v>22</v>
      </c>
      <c r="Y501" t="s">
        <v>46</v>
      </c>
      <c r="Z501">
        <v>22</v>
      </c>
      <c r="AA501">
        <v>97</v>
      </c>
      <c r="AB501">
        <v>22.7</v>
      </c>
    </row>
    <row r="502" spans="1:28">
      <c r="A502" t="str">
        <f t="shared" si="51"/>
        <v>2002MaleMaori25</v>
      </c>
      <c r="B502">
        <v>2002</v>
      </c>
      <c r="C502" t="s">
        <v>20</v>
      </c>
      <c r="D502" t="s">
        <v>18</v>
      </c>
      <c r="E502">
        <v>25</v>
      </c>
      <c r="F502">
        <v>0</v>
      </c>
      <c r="G502">
        <v>0</v>
      </c>
      <c r="J502" s="340" t="str">
        <f t="shared" si="52"/>
        <v>2004MaleAllEth194</v>
      </c>
      <c r="K502">
        <v>2004</v>
      </c>
      <c r="L502" t="s">
        <v>20</v>
      </c>
      <c r="M502" t="s">
        <v>27</v>
      </c>
      <c r="N502">
        <v>19</v>
      </c>
      <c r="O502">
        <v>4</v>
      </c>
      <c r="P502">
        <v>91</v>
      </c>
      <c r="Q502">
        <v>22.1181066383208</v>
      </c>
      <c r="R502">
        <v>4.5</v>
      </c>
      <c r="T502" s="340" t="str">
        <f t="shared" si="53"/>
        <v>1998AllSexNon-Maori23Poisoning by gases and vapours</v>
      </c>
      <c r="U502">
        <v>1998</v>
      </c>
      <c r="V502" t="s">
        <v>17</v>
      </c>
      <c r="W502" t="s">
        <v>19</v>
      </c>
      <c r="X502">
        <v>23</v>
      </c>
      <c r="Y502" t="s">
        <v>46</v>
      </c>
      <c r="Z502">
        <v>53</v>
      </c>
      <c r="AA502">
        <v>202</v>
      </c>
      <c r="AB502">
        <v>26.2</v>
      </c>
    </row>
    <row r="503" spans="1:28">
      <c r="A503" t="str">
        <f t="shared" si="51"/>
        <v>2002MaleNon-Maori21</v>
      </c>
      <c r="B503">
        <v>2002</v>
      </c>
      <c r="C503" t="s">
        <v>20</v>
      </c>
      <c r="D503" t="s">
        <v>19</v>
      </c>
      <c r="E503">
        <v>21</v>
      </c>
      <c r="F503">
        <v>0</v>
      </c>
      <c r="G503">
        <v>0</v>
      </c>
      <c r="J503" s="340" t="str">
        <f t="shared" si="52"/>
        <v>2004MaleAllEth195</v>
      </c>
      <c r="K503">
        <v>2004</v>
      </c>
      <c r="L503" t="s">
        <v>20</v>
      </c>
      <c r="M503" t="s">
        <v>27</v>
      </c>
      <c r="N503">
        <v>19</v>
      </c>
      <c r="O503">
        <v>5</v>
      </c>
      <c r="P503">
        <v>97</v>
      </c>
      <c r="Q503">
        <v>24.648499684422301</v>
      </c>
      <c r="R503">
        <v>4.9000000000000004</v>
      </c>
      <c r="T503" s="340" t="str">
        <f t="shared" si="53"/>
        <v>1998AllSexNon-Maori24Poisoning by gases and vapours</v>
      </c>
      <c r="U503">
        <v>1998</v>
      </c>
      <c r="V503" t="s">
        <v>17</v>
      </c>
      <c r="W503" t="s">
        <v>19</v>
      </c>
      <c r="X503">
        <v>24</v>
      </c>
      <c r="Y503" t="s">
        <v>46</v>
      </c>
      <c r="Z503">
        <v>25</v>
      </c>
      <c r="AA503">
        <v>102</v>
      </c>
      <c r="AB503">
        <v>24.5</v>
      </c>
    </row>
    <row r="504" spans="1:28">
      <c r="A504" t="str">
        <f t="shared" si="51"/>
        <v>2002MaleNon-Maori22</v>
      </c>
      <c r="B504">
        <v>2002</v>
      </c>
      <c r="C504" t="s">
        <v>20</v>
      </c>
      <c r="D504" t="s">
        <v>19</v>
      </c>
      <c r="E504">
        <v>22</v>
      </c>
      <c r="F504">
        <v>43</v>
      </c>
      <c r="G504">
        <v>18.9260563380282</v>
      </c>
      <c r="H504">
        <v>5.7</v>
      </c>
      <c r="J504" s="340" t="str">
        <f t="shared" si="52"/>
        <v>2005MaleAllEth191</v>
      </c>
      <c r="K504">
        <v>2005</v>
      </c>
      <c r="L504" t="s">
        <v>20</v>
      </c>
      <c r="M504" t="s">
        <v>27</v>
      </c>
      <c r="N504">
        <v>19</v>
      </c>
      <c r="O504">
        <v>1</v>
      </c>
      <c r="P504">
        <v>53</v>
      </c>
      <c r="Q504">
        <v>12.9882794356828</v>
      </c>
      <c r="R504">
        <v>3.5</v>
      </c>
      <c r="T504" s="340" t="str">
        <f t="shared" si="53"/>
        <v>1998AllSexNon-Maori25Poisoning by gases and vapours</v>
      </c>
      <c r="U504">
        <v>1998</v>
      </c>
      <c r="V504" t="s">
        <v>17</v>
      </c>
      <c r="W504" t="s">
        <v>19</v>
      </c>
      <c r="X504">
        <v>25</v>
      </c>
      <c r="Y504" t="s">
        <v>46</v>
      </c>
      <c r="Z504">
        <v>25</v>
      </c>
      <c r="AA504">
        <v>62</v>
      </c>
      <c r="AB504">
        <v>40.299999999999997</v>
      </c>
    </row>
    <row r="505" spans="1:28">
      <c r="A505" t="str">
        <f t="shared" si="51"/>
        <v>2002MaleNon-Maori23</v>
      </c>
      <c r="B505">
        <v>2002</v>
      </c>
      <c r="C505" t="s">
        <v>20</v>
      </c>
      <c r="D505" t="s">
        <v>19</v>
      </c>
      <c r="E505">
        <v>23</v>
      </c>
      <c r="F505">
        <v>135</v>
      </c>
      <c r="G505">
        <v>28.0379654821492</v>
      </c>
      <c r="H505">
        <v>4.7</v>
      </c>
      <c r="J505" s="340" t="str">
        <f t="shared" si="52"/>
        <v>2005MaleAllEth192</v>
      </c>
      <c r="K505">
        <v>2005</v>
      </c>
      <c r="L505" t="s">
        <v>20</v>
      </c>
      <c r="M505" t="s">
        <v>27</v>
      </c>
      <c r="N505">
        <v>19</v>
      </c>
      <c r="O505">
        <v>2</v>
      </c>
      <c r="P505">
        <v>59</v>
      </c>
      <c r="Q505">
        <v>13.854753083927701</v>
      </c>
      <c r="R505">
        <v>3.5</v>
      </c>
      <c r="T505" s="340" t="str">
        <f t="shared" si="53"/>
        <v>1998AllSexNon-Maori21Poisoning by solids and liquids</v>
      </c>
      <c r="U505">
        <v>1998</v>
      </c>
      <c r="V505" t="s">
        <v>17</v>
      </c>
      <c r="W505" t="s">
        <v>19</v>
      </c>
      <c r="X505">
        <v>21</v>
      </c>
      <c r="Y505" t="s">
        <v>47</v>
      </c>
      <c r="Z505">
        <v>1</v>
      </c>
      <c r="AA505">
        <v>3</v>
      </c>
      <c r="AB505">
        <v>33.299999999999997</v>
      </c>
    </row>
    <row r="506" spans="1:28">
      <c r="A506" t="str">
        <f t="shared" si="51"/>
        <v>2002MaleNon-Maori24</v>
      </c>
      <c r="B506">
        <v>2002</v>
      </c>
      <c r="C506" t="s">
        <v>20</v>
      </c>
      <c r="D506" t="s">
        <v>19</v>
      </c>
      <c r="E506">
        <v>24</v>
      </c>
      <c r="F506">
        <v>82</v>
      </c>
      <c r="G506">
        <v>20.5828459549688</v>
      </c>
      <c r="H506">
        <v>4.5</v>
      </c>
      <c r="J506" s="340" t="str">
        <f t="shared" si="52"/>
        <v>2005MaleAllEth193</v>
      </c>
      <c r="K506">
        <v>2005</v>
      </c>
      <c r="L506" t="s">
        <v>20</v>
      </c>
      <c r="M506" t="s">
        <v>27</v>
      </c>
      <c r="N506">
        <v>19</v>
      </c>
      <c r="O506">
        <v>3</v>
      </c>
      <c r="P506">
        <v>61</v>
      </c>
      <c r="Q506">
        <v>14.662766690768899</v>
      </c>
      <c r="R506">
        <v>3.7</v>
      </c>
      <c r="T506" s="340" t="str">
        <f t="shared" si="53"/>
        <v>1998AllSexNon-Maori22Poisoning by solids and liquids</v>
      </c>
      <c r="U506">
        <v>1998</v>
      </c>
      <c r="V506" t="s">
        <v>17</v>
      </c>
      <c r="W506" t="s">
        <v>19</v>
      </c>
      <c r="X506">
        <v>22</v>
      </c>
      <c r="Y506" t="s">
        <v>47</v>
      </c>
      <c r="Z506">
        <v>8</v>
      </c>
      <c r="AA506">
        <v>97</v>
      </c>
      <c r="AB506">
        <v>8.1999999999999993</v>
      </c>
    </row>
    <row r="507" spans="1:28">
      <c r="A507" t="str">
        <f t="shared" si="51"/>
        <v>2002MaleNon-Maori25</v>
      </c>
      <c r="B507">
        <v>2002</v>
      </c>
      <c r="C507" t="s">
        <v>20</v>
      </c>
      <c r="D507" t="s">
        <v>19</v>
      </c>
      <c r="E507">
        <v>25</v>
      </c>
      <c r="F507">
        <v>36</v>
      </c>
      <c r="G507">
        <v>18.379537448307602</v>
      </c>
      <c r="H507">
        <v>6</v>
      </c>
      <c r="J507" s="340" t="str">
        <f t="shared" si="52"/>
        <v>2005MaleAllEth194</v>
      </c>
      <c r="K507">
        <v>2005</v>
      </c>
      <c r="L507" t="s">
        <v>20</v>
      </c>
      <c r="M507" t="s">
        <v>27</v>
      </c>
      <c r="N507">
        <v>19</v>
      </c>
      <c r="O507">
        <v>4</v>
      </c>
      <c r="P507">
        <v>87</v>
      </c>
      <c r="Q507">
        <v>21.307518276174701</v>
      </c>
      <c r="R507">
        <v>4.5</v>
      </c>
      <c r="T507" s="340" t="str">
        <f t="shared" si="53"/>
        <v>1998AllSexNon-Maori23Poisoning by solids and liquids</v>
      </c>
      <c r="U507">
        <v>1998</v>
      </c>
      <c r="V507" t="s">
        <v>17</v>
      </c>
      <c r="W507" t="s">
        <v>19</v>
      </c>
      <c r="X507">
        <v>23</v>
      </c>
      <c r="Y507" t="s">
        <v>47</v>
      </c>
      <c r="Z507">
        <v>23</v>
      </c>
      <c r="AA507">
        <v>202</v>
      </c>
      <c r="AB507">
        <v>11.4</v>
      </c>
    </row>
    <row r="508" spans="1:28">
      <c r="A508" t="str">
        <f t="shared" si="51"/>
        <v>2003AllSexAllEth21</v>
      </c>
      <c r="B508">
        <v>2003</v>
      </c>
      <c r="C508" t="s">
        <v>17</v>
      </c>
      <c r="D508" t="s">
        <v>27</v>
      </c>
      <c r="E508">
        <v>21</v>
      </c>
      <c r="F508">
        <v>5</v>
      </c>
      <c r="G508">
        <v>0.56206299602059395</v>
      </c>
      <c r="H508">
        <v>0.5</v>
      </c>
      <c r="J508" s="340" t="str">
        <f t="shared" si="52"/>
        <v>2005MaleAllEth195</v>
      </c>
      <c r="K508">
        <v>2005</v>
      </c>
      <c r="L508" t="s">
        <v>20</v>
      </c>
      <c r="M508" t="s">
        <v>27</v>
      </c>
      <c r="N508">
        <v>19</v>
      </c>
      <c r="O508">
        <v>5</v>
      </c>
      <c r="P508">
        <v>105</v>
      </c>
      <c r="Q508">
        <v>27.352538790555201</v>
      </c>
      <c r="R508">
        <v>5.2</v>
      </c>
      <c r="T508" s="340" t="str">
        <f t="shared" si="53"/>
        <v>1998AllSexNon-Maori24Poisoning by solids and liquids</v>
      </c>
      <c r="U508">
        <v>1998</v>
      </c>
      <c r="V508" t="s">
        <v>17</v>
      </c>
      <c r="W508" t="s">
        <v>19</v>
      </c>
      <c r="X508">
        <v>24</v>
      </c>
      <c r="Y508" t="s">
        <v>47</v>
      </c>
      <c r="Z508">
        <v>16</v>
      </c>
      <c r="AA508">
        <v>102</v>
      </c>
      <c r="AB508">
        <v>15.7</v>
      </c>
    </row>
    <row r="509" spans="1:28">
      <c r="A509" t="str">
        <f t="shared" si="51"/>
        <v>2003AllSexAllEth22</v>
      </c>
      <c r="B509">
        <v>2003</v>
      </c>
      <c r="C509" t="s">
        <v>17</v>
      </c>
      <c r="D509" t="s">
        <v>27</v>
      </c>
      <c r="E509">
        <v>22</v>
      </c>
      <c r="F509">
        <v>98</v>
      </c>
      <c r="G509">
        <v>17.088949727099902</v>
      </c>
      <c r="H509">
        <v>3.4</v>
      </c>
      <c r="J509" s="340" t="str">
        <f t="shared" si="52"/>
        <v>2006MaleAllEth191</v>
      </c>
      <c r="K509">
        <v>2006</v>
      </c>
      <c r="L509" t="s">
        <v>20</v>
      </c>
      <c r="M509" t="s">
        <v>27</v>
      </c>
      <c r="N509">
        <v>19</v>
      </c>
      <c r="O509">
        <v>1</v>
      </c>
      <c r="P509">
        <v>49</v>
      </c>
      <c r="Q509">
        <v>11.7073332502529</v>
      </c>
      <c r="R509">
        <v>3.3</v>
      </c>
      <c r="T509" s="340" t="str">
        <f t="shared" si="53"/>
        <v>1998AllSexNon-Maori25Poisoning by solids and liquids</v>
      </c>
      <c r="U509">
        <v>1998</v>
      </c>
      <c r="V509" t="s">
        <v>17</v>
      </c>
      <c r="W509" t="s">
        <v>19</v>
      </c>
      <c r="X509">
        <v>25</v>
      </c>
      <c r="Y509" t="s">
        <v>47</v>
      </c>
      <c r="Z509">
        <v>6</v>
      </c>
      <c r="AA509">
        <v>62</v>
      </c>
      <c r="AB509">
        <v>9.6999999999999993</v>
      </c>
    </row>
    <row r="510" spans="1:28">
      <c r="A510" t="str">
        <f t="shared" si="51"/>
        <v>2003AllSexAllEth23</v>
      </c>
      <c r="B510">
        <v>2003</v>
      </c>
      <c r="C510" t="s">
        <v>17</v>
      </c>
      <c r="D510" t="s">
        <v>27</v>
      </c>
      <c r="E510">
        <v>23</v>
      </c>
      <c r="F510">
        <v>217</v>
      </c>
      <c r="G510">
        <v>18.4775204359673</v>
      </c>
      <c r="H510">
        <v>2.5</v>
      </c>
      <c r="J510" s="340" t="str">
        <f t="shared" si="52"/>
        <v>2006MaleAllEth192</v>
      </c>
      <c r="K510">
        <v>2006</v>
      </c>
      <c r="L510" t="s">
        <v>20</v>
      </c>
      <c r="M510" t="s">
        <v>27</v>
      </c>
      <c r="N510">
        <v>19</v>
      </c>
      <c r="O510">
        <v>2</v>
      </c>
      <c r="P510">
        <v>65</v>
      </c>
      <c r="Q510">
        <v>14.679615920843499</v>
      </c>
      <c r="R510">
        <v>3.6</v>
      </c>
      <c r="T510" s="340" t="str">
        <f t="shared" si="53"/>
        <v>1998AllSexNon-Maori23Sharp object</v>
      </c>
      <c r="U510">
        <v>1998</v>
      </c>
      <c r="V510" t="s">
        <v>17</v>
      </c>
      <c r="W510" t="s">
        <v>19</v>
      </c>
      <c r="X510">
        <v>23</v>
      </c>
      <c r="Y510" t="s">
        <v>48</v>
      </c>
      <c r="Z510">
        <v>4</v>
      </c>
      <c r="AA510">
        <v>202</v>
      </c>
      <c r="AB510">
        <v>2</v>
      </c>
    </row>
    <row r="511" spans="1:28">
      <c r="A511" t="str">
        <f t="shared" si="51"/>
        <v>2003AllSexAllEth24</v>
      </c>
      <c r="B511">
        <v>2003</v>
      </c>
      <c r="C511" t="s">
        <v>17</v>
      </c>
      <c r="D511" t="s">
        <v>27</v>
      </c>
      <c r="E511">
        <v>24</v>
      </c>
      <c r="F511">
        <v>135</v>
      </c>
      <c r="G511">
        <v>14.759744164434499</v>
      </c>
      <c r="H511">
        <v>2.5</v>
      </c>
      <c r="J511" s="340" t="str">
        <f t="shared" si="52"/>
        <v>2006MaleAllEth193</v>
      </c>
      <c r="K511">
        <v>2006</v>
      </c>
      <c r="L511" t="s">
        <v>20</v>
      </c>
      <c r="M511" t="s">
        <v>27</v>
      </c>
      <c r="N511">
        <v>19</v>
      </c>
      <c r="O511">
        <v>3</v>
      </c>
      <c r="P511">
        <v>71</v>
      </c>
      <c r="Q511">
        <v>16.606073448723802</v>
      </c>
      <c r="R511">
        <v>3.9</v>
      </c>
      <c r="T511" s="340" t="str">
        <f t="shared" si="53"/>
        <v>1998AllSexNon-Maori24Sharp object</v>
      </c>
      <c r="U511">
        <v>1998</v>
      </c>
      <c r="V511" t="s">
        <v>17</v>
      </c>
      <c r="W511" t="s">
        <v>19</v>
      </c>
      <c r="X511">
        <v>24</v>
      </c>
      <c r="Y511" t="s">
        <v>48</v>
      </c>
      <c r="Z511">
        <v>3</v>
      </c>
      <c r="AA511">
        <v>102</v>
      </c>
      <c r="AB511">
        <v>2.9</v>
      </c>
    </row>
    <row r="512" spans="1:28">
      <c r="A512" t="str">
        <f t="shared" si="51"/>
        <v>2003AllSexAllEth25</v>
      </c>
      <c r="B512">
        <v>2003</v>
      </c>
      <c r="C512" t="s">
        <v>17</v>
      </c>
      <c r="D512" t="s">
        <v>27</v>
      </c>
      <c r="E512">
        <v>25</v>
      </c>
      <c r="F512">
        <v>67</v>
      </c>
      <c r="G512">
        <v>14.086283744008099</v>
      </c>
      <c r="H512">
        <v>3.4</v>
      </c>
      <c r="J512" s="340" t="str">
        <f t="shared" si="52"/>
        <v>2006MaleAllEth194</v>
      </c>
      <c r="K512">
        <v>2006</v>
      </c>
      <c r="L512" t="s">
        <v>20</v>
      </c>
      <c r="M512" t="s">
        <v>27</v>
      </c>
      <c r="N512">
        <v>19</v>
      </c>
      <c r="O512">
        <v>4</v>
      </c>
      <c r="P512">
        <v>76</v>
      </c>
      <c r="Q512">
        <v>18.318327574495498</v>
      </c>
      <c r="R512">
        <v>4.0999999999999996</v>
      </c>
      <c r="T512" s="340" t="str">
        <f t="shared" si="53"/>
        <v>1998AllSexNon-Maori23Submersion (drowning)</v>
      </c>
      <c r="U512">
        <v>1998</v>
      </c>
      <c r="V512" t="s">
        <v>17</v>
      </c>
      <c r="W512" t="s">
        <v>19</v>
      </c>
      <c r="X512">
        <v>23</v>
      </c>
      <c r="Y512" t="s">
        <v>49</v>
      </c>
      <c r="Z512">
        <v>2</v>
      </c>
      <c r="AA512">
        <v>202</v>
      </c>
      <c r="AB512">
        <v>1</v>
      </c>
    </row>
    <row r="513" spans="1:28">
      <c r="A513" t="str">
        <f t="shared" si="51"/>
        <v>2003AllSexMaori21</v>
      </c>
      <c r="B513">
        <v>2003</v>
      </c>
      <c r="C513" t="s">
        <v>17</v>
      </c>
      <c r="D513" t="s">
        <v>18</v>
      </c>
      <c r="E513">
        <v>21</v>
      </c>
      <c r="F513">
        <v>5</v>
      </c>
      <c r="G513">
        <v>2.2990619827110499</v>
      </c>
      <c r="H513">
        <v>2</v>
      </c>
      <c r="J513" s="340" t="str">
        <f t="shared" si="52"/>
        <v>2006MaleAllEth195</v>
      </c>
      <c r="K513">
        <v>2006</v>
      </c>
      <c r="L513" t="s">
        <v>20</v>
      </c>
      <c r="M513" t="s">
        <v>27</v>
      </c>
      <c r="N513">
        <v>19</v>
      </c>
      <c r="O513">
        <v>5</v>
      </c>
      <c r="P513">
        <v>113</v>
      </c>
      <c r="Q513">
        <v>28.780033814011201</v>
      </c>
      <c r="R513">
        <v>5.3</v>
      </c>
      <c r="T513" s="340" t="str">
        <f t="shared" si="53"/>
        <v>1998AllSexNon-Maori24Submersion (drowning)</v>
      </c>
      <c r="U513">
        <v>1998</v>
      </c>
      <c r="V513" t="s">
        <v>17</v>
      </c>
      <c r="W513" t="s">
        <v>19</v>
      </c>
      <c r="X513">
        <v>24</v>
      </c>
      <c r="Y513" t="s">
        <v>49</v>
      </c>
      <c r="Z513">
        <v>6</v>
      </c>
      <c r="AA513">
        <v>102</v>
      </c>
      <c r="AB513">
        <v>5.9</v>
      </c>
    </row>
    <row r="514" spans="1:28">
      <c r="A514" t="str">
        <f t="shared" si="51"/>
        <v>2003AllSexMaori22</v>
      </c>
      <c r="B514">
        <v>2003</v>
      </c>
      <c r="C514" t="s">
        <v>17</v>
      </c>
      <c r="D514" t="s">
        <v>18</v>
      </c>
      <c r="E514">
        <v>22</v>
      </c>
      <c r="F514">
        <v>31</v>
      </c>
      <c r="G514">
        <v>28.6162651158497</v>
      </c>
      <c r="H514">
        <v>10.1</v>
      </c>
      <c r="J514" s="340" t="str">
        <f t="shared" si="52"/>
        <v>2007MaleAllEth191</v>
      </c>
      <c r="K514">
        <v>2007</v>
      </c>
      <c r="L514" t="s">
        <v>20</v>
      </c>
      <c r="M514" t="s">
        <v>27</v>
      </c>
      <c r="N514">
        <v>19</v>
      </c>
      <c r="O514">
        <v>1</v>
      </c>
      <c r="P514">
        <v>52</v>
      </c>
      <c r="Q514">
        <v>12.5941055922708</v>
      </c>
      <c r="R514">
        <v>3.4</v>
      </c>
      <c r="T514" s="340" t="str">
        <f t="shared" si="53"/>
        <v>1998AllSexNon-Maori25Submersion (drowning)</v>
      </c>
      <c r="U514">
        <v>1998</v>
      </c>
      <c r="V514" t="s">
        <v>17</v>
      </c>
      <c r="W514" t="s">
        <v>19</v>
      </c>
      <c r="X514">
        <v>25</v>
      </c>
      <c r="Y514" t="s">
        <v>49</v>
      </c>
      <c r="Z514">
        <v>2</v>
      </c>
      <c r="AA514">
        <v>62</v>
      </c>
      <c r="AB514">
        <v>3.2</v>
      </c>
    </row>
    <row r="515" spans="1:28">
      <c r="A515" t="str">
        <f t="shared" si="51"/>
        <v>2003AllSexMaori23</v>
      </c>
      <c r="B515">
        <v>2003</v>
      </c>
      <c r="C515" t="s">
        <v>17</v>
      </c>
      <c r="D515" t="s">
        <v>18</v>
      </c>
      <c r="E515">
        <v>23</v>
      </c>
      <c r="F515">
        <v>46</v>
      </c>
      <c r="G515">
        <v>27.093886205677901</v>
      </c>
      <c r="H515">
        <v>7.8</v>
      </c>
      <c r="J515" s="340" t="str">
        <f t="shared" si="52"/>
        <v>2007MaleAllEth192</v>
      </c>
      <c r="K515">
        <v>2007</v>
      </c>
      <c r="L515" t="s">
        <v>20</v>
      </c>
      <c r="M515" t="s">
        <v>27</v>
      </c>
      <c r="N515">
        <v>19</v>
      </c>
      <c r="O515">
        <v>2</v>
      </c>
      <c r="P515">
        <v>53</v>
      </c>
      <c r="Q515">
        <v>11.6028861834361</v>
      </c>
      <c r="R515">
        <v>3.1</v>
      </c>
      <c r="T515" s="340" t="str">
        <f t="shared" si="53"/>
        <v>1998FemaleAllEth24Firearms and explosives</v>
      </c>
      <c r="U515">
        <v>1998</v>
      </c>
      <c r="V515" t="s">
        <v>8</v>
      </c>
      <c r="W515" t="s">
        <v>27</v>
      </c>
      <c r="X515">
        <v>24</v>
      </c>
      <c r="Y515" t="s">
        <v>42</v>
      </c>
      <c r="Z515">
        <v>1</v>
      </c>
      <c r="AA515">
        <v>24</v>
      </c>
      <c r="AB515">
        <v>4.2</v>
      </c>
    </row>
    <row r="516" spans="1:28">
      <c r="A516" t="str">
        <f t="shared" ref="A516:A579" si="55">B516&amp;C516&amp;D516&amp;E516</f>
        <v>2003AllSexMaori24</v>
      </c>
      <c r="B516">
        <v>2003</v>
      </c>
      <c r="C516" t="s">
        <v>17</v>
      </c>
      <c r="D516" t="s">
        <v>18</v>
      </c>
      <c r="E516">
        <v>24</v>
      </c>
      <c r="F516">
        <v>5</v>
      </c>
      <c r="G516">
        <v>5.8486372675166702</v>
      </c>
      <c r="H516">
        <v>5.0999999999999996</v>
      </c>
      <c r="J516" s="340" t="str">
        <f t="shared" ref="J516:J579" si="56">K516&amp;L516&amp;M516&amp;N516&amp;O516</f>
        <v>2007MaleAllEth193</v>
      </c>
      <c r="K516">
        <v>2007</v>
      </c>
      <c r="L516" t="s">
        <v>20</v>
      </c>
      <c r="M516" t="s">
        <v>27</v>
      </c>
      <c r="N516">
        <v>19</v>
      </c>
      <c r="O516">
        <v>3</v>
      </c>
      <c r="P516">
        <v>81</v>
      </c>
      <c r="Q516">
        <v>18.999903182903601</v>
      </c>
      <c r="R516">
        <v>4.0999999999999996</v>
      </c>
      <c r="T516" s="340" t="str">
        <f t="shared" si="53"/>
        <v>1998FemaleAllEth21Hanging, strangulation and suffocation</v>
      </c>
      <c r="U516">
        <v>1998</v>
      </c>
      <c r="V516" t="s">
        <v>8</v>
      </c>
      <c r="W516" t="s">
        <v>27</v>
      </c>
      <c r="X516">
        <v>21</v>
      </c>
      <c r="Y516" t="s">
        <v>43</v>
      </c>
      <c r="Z516">
        <v>3</v>
      </c>
      <c r="AA516">
        <v>4</v>
      </c>
      <c r="AB516">
        <v>75</v>
      </c>
    </row>
    <row r="517" spans="1:28">
      <c r="A517" t="str">
        <f t="shared" si="55"/>
        <v>2003AllSexMaori25</v>
      </c>
      <c r="B517">
        <v>2003</v>
      </c>
      <c r="C517" t="s">
        <v>17</v>
      </c>
      <c r="D517" t="s">
        <v>18</v>
      </c>
      <c r="E517">
        <v>25</v>
      </c>
      <c r="F517">
        <v>0</v>
      </c>
      <c r="G517">
        <v>0</v>
      </c>
      <c r="J517" s="340" t="str">
        <f t="shared" si="56"/>
        <v>2007MaleAllEth194</v>
      </c>
      <c r="K517">
        <v>2007</v>
      </c>
      <c r="L517" t="s">
        <v>20</v>
      </c>
      <c r="M517" t="s">
        <v>27</v>
      </c>
      <c r="N517">
        <v>19</v>
      </c>
      <c r="O517">
        <v>4</v>
      </c>
      <c r="P517">
        <v>87</v>
      </c>
      <c r="Q517">
        <v>20.099156960381102</v>
      </c>
      <c r="R517">
        <v>4.2</v>
      </c>
      <c r="T517" s="340" t="str">
        <f t="shared" ref="T517:T580" si="57">U517&amp;V517&amp;W517&amp;X517&amp;Y517</f>
        <v>1998FemaleAllEth22Hanging, strangulation and suffocation</v>
      </c>
      <c r="U517">
        <v>1998</v>
      </c>
      <c r="V517" t="s">
        <v>8</v>
      </c>
      <c r="W517" t="s">
        <v>27</v>
      </c>
      <c r="X517">
        <v>22</v>
      </c>
      <c r="Y517" t="s">
        <v>43</v>
      </c>
      <c r="Z517">
        <v>21</v>
      </c>
      <c r="AA517">
        <v>35</v>
      </c>
      <c r="AB517">
        <v>60</v>
      </c>
    </row>
    <row r="518" spans="1:28">
      <c r="A518" t="str">
        <f t="shared" si="55"/>
        <v>2003AllSexNon-Maori21</v>
      </c>
      <c r="B518">
        <v>2003</v>
      </c>
      <c r="C518" t="s">
        <v>17</v>
      </c>
      <c r="D518" t="s">
        <v>19</v>
      </c>
      <c r="E518">
        <v>21</v>
      </c>
      <c r="F518">
        <v>0</v>
      </c>
      <c r="G518">
        <v>0</v>
      </c>
      <c r="J518" s="340" t="str">
        <f t="shared" si="56"/>
        <v>2007MaleAllEth195</v>
      </c>
      <c r="K518">
        <v>2007</v>
      </c>
      <c r="L518" t="s">
        <v>20</v>
      </c>
      <c r="M518" t="s">
        <v>27</v>
      </c>
      <c r="N518">
        <v>19</v>
      </c>
      <c r="O518">
        <v>5</v>
      </c>
      <c r="P518">
        <v>91</v>
      </c>
      <c r="Q518">
        <v>23.2431358648392</v>
      </c>
      <c r="R518">
        <v>4.8</v>
      </c>
      <c r="T518" s="340" t="str">
        <f t="shared" si="57"/>
        <v>1998FemaleAllEth23Hanging, strangulation and suffocation</v>
      </c>
      <c r="U518">
        <v>1998</v>
      </c>
      <c r="V518" t="s">
        <v>8</v>
      </c>
      <c r="W518" t="s">
        <v>27</v>
      </c>
      <c r="X518">
        <v>23</v>
      </c>
      <c r="Y518" t="s">
        <v>43</v>
      </c>
      <c r="Z518">
        <v>32</v>
      </c>
      <c r="AA518">
        <v>54</v>
      </c>
      <c r="AB518">
        <v>59.3</v>
      </c>
    </row>
    <row r="519" spans="1:28">
      <c r="A519" t="str">
        <f t="shared" si="55"/>
        <v>2003AllSexNon-Maori22</v>
      </c>
      <c r="B519">
        <v>2003</v>
      </c>
      <c r="C519" t="s">
        <v>17</v>
      </c>
      <c r="D519" t="s">
        <v>19</v>
      </c>
      <c r="E519">
        <v>22</v>
      </c>
      <c r="F519">
        <v>67</v>
      </c>
      <c r="G519">
        <v>14.4042653824655</v>
      </c>
      <c r="H519">
        <v>3.4</v>
      </c>
      <c r="J519" s="340" t="str">
        <f t="shared" si="56"/>
        <v>2008MaleAllEth191</v>
      </c>
      <c r="K519">
        <v>2008</v>
      </c>
      <c r="L519" t="s">
        <v>20</v>
      </c>
      <c r="M519" t="s">
        <v>27</v>
      </c>
      <c r="N519">
        <v>19</v>
      </c>
      <c r="O519">
        <v>1</v>
      </c>
      <c r="P519">
        <v>62</v>
      </c>
      <c r="Q519">
        <v>14.8510810707393</v>
      </c>
      <c r="R519">
        <v>3.7</v>
      </c>
      <c r="T519" s="340" t="str">
        <f t="shared" si="57"/>
        <v>1998FemaleAllEth24Hanging, strangulation and suffocation</v>
      </c>
      <c r="U519">
        <v>1998</v>
      </c>
      <c r="V519" t="s">
        <v>8</v>
      </c>
      <c r="W519" t="s">
        <v>27</v>
      </c>
      <c r="X519">
        <v>24</v>
      </c>
      <c r="Y519" t="s">
        <v>43</v>
      </c>
      <c r="Z519">
        <v>1</v>
      </c>
      <c r="AA519">
        <v>24</v>
      </c>
      <c r="AB519">
        <v>4.2</v>
      </c>
    </row>
    <row r="520" spans="1:28">
      <c r="A520" t="str">
        <f t="shared" si="55"/>
        <v>2003AllSexNon-Maori23</v>
      </c>
      <c r="B520">
        <v>2003</v>
      </c>
      <c r="C520" t="s">
        <v>17</v>
      </c>
      <c r="D520" t="s">
        <v>19</v>
      </c>
      <c r="E520">
        <v>23</v>
      </c>
      <c r="F520">
        <v>171</v>
      </c>
      <c r="G520">
        <v>17.0213613107444</v>
      </c>
      <c r="H520">
        <v>2.6</v>
      </c>
      <c r="J520" s="340" t="str">
        <f t="shared" si="56"/>
        <v>2008MaleAllEth192</v>
      </c>
      <c r="K520">
        <v>2008</v>
      </c>
      <c r="L520" t="s">
        <v>20</v>
      </c>
      <c r="M520" t="s">
        <v>27</v>
      </c>
      <c r="N520">
        <v>19</v>
      </c>
      <c r="O520">
        <v>2</v>
      </c>
      <c r="P520">
        <v>61</v>
      </c>
      <c r="Q520">
        <v>13.7450566156518</v>
      </c>
      <c r="R520">
        <v>3.4</v>
      </c>
      <c r="T520" s="340" t="str">
        <f t="shared" si="57"/>
        <v>1998FemaleAllEth25Hanging, strangulation and suffocation</v>
      </c>
      <c r="U520">
        <v>1998</v>
      </c>
      <c r="V520" t="s">
        <v>8</v>
      </c>
      <c r="W520" t="s">
        <v>27</v>
      </c>
      <c r="X520">
        <v>25</v>
      </c>
      <c r="Y520" t="s">
        <v>43</v>
      </c>
      <c r="Z520">
        <v>4</v>
      </c>
      <c r="AA520">
        <v>16</v>
      </c>
      <c r="AB520">
        <v>25</v>
      </c>
    </row>
    <row r="521" spans="1:28">
      <c r="A521" t="str">
        <f t="shared" si="55"/>
        <v>2003AllSexNon-Maori24</v>
      </c>
      <c r="B521">
        <v>2003</v>
      </c>
      <c r="C521" t="s">
        <v>17</v>
      </c>
      <c r="D521" t="s">
        <v>19</v>
      </c>
      <c r="E521">
        <v>24</v>
      </c>
      <c r="F521">
        <v>130</v>
      </c>
      <c r="G521">
        <v>15.6785180182353</v>
      </c>
      <c r="H521">
        <v>2.7</v>
      </c>
      <c r="J521" s="340" t="str">
        <f t="shared" si="56"/>
        <v>2008MaleAllEth193</v>
      </c>
      <c r="K521">
        <v>2008</v>
      </c>
      <c r="L521" t="s">
        <v>20</v>
      </c>
      <c r="M521" t="s">
        <v>27</v>
      </c>
      <c r="N521">
        <v>19</v>
      </c>
      <c r="O521">
        <v>3</v>
      </c>
      <c r="P521">
        <v>72</v>
      </c>
      <c r="Q521">
        <v>16.2948414480312</v>
      </c>
      <c r="R521">
        <v>3.8</v>
      </c>
      <c r="T521" s="340" t="str">
        <f t="shared" si="57"/>
        <v>1998FemaleAllEth23Jumping from a high place</v>
      </c>
      <c r="U521">
        <v>1998</v>
      </c>
      <c r="V521" t="s">
        <v>8</v>
      </c>
      <c r="W521" t="s">
        <v>27</v>
      </c>
      <c r="X521">
        <v>23</v>
      </c>
      <c r="Y521" t="s">
        <v>44</v>
      </c>
      <c r="Z521">
        <v>3</v>
      </c>
      <c r="AA521">
        <v>54</v>
      </c>
      <c r="AB521">
        <v>5.6</v>
      </c>
    </row>
    <row r="522" spans="1:28">
      <c r="A522" t="str">
        <f t="shared" si="55"/>
        <v>2003AllSexNon-Maori25</v>
      </c>
      <c r="B522">
        <v>2003</v>
      </c>
      <c r="C522" t="s">
        <v>17</v>
      </c>
      <c r="D522" t="s">
        <v>19</v>
      </c>
      <c r="E522">
        <v>25</v>
      </c>
      <c r="F522">
        <v>67</v>
      </c>
      <c r="G522">
        <v>14.766816538834499</v>
      </c>
      <c r="H522">
        <v>3.5</v>
      </c>
      <c r="J522" s="340" t="str">
        <f t="shared" si="56"/>
        <v>2008MaleAllEth194</v>
      </c>
      <c r="K522">
        <v>2008</v>
      </c>
      <c r="L522" t="s">
        <v>20</v>
      </c>
      <c r="M522" t="s">
        <v>27</v>
      </c>
      <c r="N522">
        <v>19</v>
      </c>
      <c r="O522">
        <v>4</v>
      </c>
      <c r="P522">
        <v>79</v>
      </c>
      <c r="Q522">
        <v>18.758767968392899</v>
      </c>
      <c r="R522">
        <v>4.0999999999999996</v>
      </c>
      <c r="T522" s="340" t="str">
        <f t="shared" si="57"/>
        <v>1998FemaleAllEth24Jumping from a high place</v>
      </c>
      <c r="U522">
        <v>1998</v>
      </c>
      <c r="V522" t="s">
        <v>8</v>
      </c>
      <c r="W522" t="s">
        <v>27</v>
      </c>
      <c r="X522">
        <v>24</v>
      </c>
      <c r="Y522" t="s">
        <v>44</v>
      </c>
      <c r="Z522">
        <v>1</v>
      </c>
      <c r="AA522">
        <v>24</v>
      </c>
      <c r="AB522">
        <v>4.2</v>
      </c>
    </row>
    <row r="523" spans="1:28">
      <c r="A523" t="str">
        <f t="shared" si="55"/>
        <v>2003FemaleAllEth21</v>
      </c>
      <c r="B523">
        <v>2003</v>
      </c>
      <c r="C523" t="s">
        <v>8</v>
      </c>
      <c r="D523" t="s">
        <v>27</v>
      </c>
      <c r="E523">
        <v>21</v>
      </c>
      <c r="F523">
        <v>1</v>
      </c>
      <c r="G523">
        <v>0.23065922406236999</v>
      </c>
      <c r="H523">
        <v>0.5</v>
      </c>
      <c r="J523" s="340" t="str">
        <f t="shared" si="56"/>
        <v>2008MaleAllEth195</v>
      </c>
      <c r="K523">
        <v>2008</v>
      </c>
      <c r="L523" t="s">
        <v>20</v>
      </c>
      <c r="M523" t="s">
        <v>27</v>
      </c>
      <c r="N523">
        <v>19</v>
      </c>
      <c r="O523">
        <v>5</v>
      </c>
      <c r="P523">
        <v>89</v>
      </c>
      <c r="Q523">
        <v>22.000250981121599</v>
      </c>
      <c r="R523">
        <v>4.5999999999999996</v>
      </c>
      <c r="T523" s="340" t="str">
        <f t="shared" si="57"/>
        <v>1998FemaleAllEth25Jumping from a high place</v>
      </c>
      <c r="U523">
        <v>1998</v>
      </c>
      <c r="V523" t="s">
        <v>8</v>
      </c>
      <c r="W523" t="s">
        <v>27</v>
      </c>
      <c r="X523">
        <v>25</v>
      </c>
      <c r="Y523" t="s">
        <v>44</v>
      </c>
      <c r="Z523">
        <v>1</v>
      </c>
      <c r="AA523">
        <v>16</v>
      </c>
      <c r="AB523">
        <v>6.2</v>
      </c>
    </row>
    <row r="524" spans="1:28">
      <c r="A524" t="str">
        <f t="shared" si="55"/>
        <v>2003FemaleAllEth22</v>
      </c>
      <c r="B524">
        <v>2003</v>
      </c>
      <c r="C524" t="s">
        <v>8</v>
      </c>
      <c r="D524" t="s">
        <v>27</v>
      </c>
      <c r="E524">
        <v>22</v>
      </c>
      <c r="F524">
        <v>31</v>
      </c>
      <c r="G524">
        <v>10.955612100650299</v>
      </c>
      <c r="H524">
        <v>3.9</v>
      </c>
      <c r="J524" s="340" t="str">
        <f t="shared" si="56"/>
        <v>2009MaleAllEth191</v>
      </c>
      <c r="K524">
        <v>2009</v>
      </c>
      <c r="L524" t="s">
        <v>20</v>
      </c>
      <c r="M524" t="s">
        <v>27</v>
      </c>
      <c r="N524">
        <v>19</v>
      </c>
      <c r="O524">
        <v>1</v>
      </c>
      <c r="P524">
        <v>62</v>
      </c>
      <c r="Q524">
        <v>13.672965099776199</v>
      </c>
      <c r="R524">
        <v>3.4</v>
      </c>
      <c r="T524" s="340" t="str">
        <f t="shared" si="57"/>
        <v>1998FemaleAllEth22Other</v>
      </c>
      <c r="U524">
        <v>1998</v>
      </c>
      <c r="V524" t="s">
        <v>8</v>
      </c>
      <c r="W524" t="s">
        <v>27</v>
      </c>
      <c r="X524">
        <v>22</v>
      </c>
      <c r="Y524" t="s">
        <v>45</v>
      </c>
      <c r="Z524">
        <v>2</v>
      </c>
      <c r="AA524">
        <v>35</v>
      </c>
      <c r="AB524">
        <v>5.7</v>
      </c>
    </row>
    <row r="525" spans="1:28">
      <c r="A525" t="str">
        <f t="shared" si="55"/>
        <v>2003FemaleAllEth23</v>
      </c>
      <c r="B525">
        <v>2003</v>
      </c>
      <c r="C525" t="s">
        <v>8</v>
      </c>
      <c r="D525" t="s">
        <v>27</v>
      </c>
      <c r="E525">
        <v>23</v>
      </c>
      <c r="F525">
        <v>54</v>
      </c>
      <c r="G525">
        <v>8.8953315981945806</v>
      </c>
      <c r="H525">
        <v>2.4</v>
      </c>
      <c r="J525" s="340" t="str">
        <f t="shared" si="56"/>
        <v>2009MaleAllEth192</v>
      </c>
      <c r="K525">
        <v>2009</v>
      </c>
      <c r="L525" t="s">
        <v>20</v>
      </c>
      <c r="M525" t="s">
        <v>27</v>
      </c>
      <c r="N525">
        <v>19</v>
      </c>
      <c r="O525">
        <v>2</v>
      </c>
      <c r="P525">
        <v>71</v>
      </c>
      <c r="Q525">
        <v>15.6322775264307</v>
      </c>
      <c r="R525">
        <v>3.6</v>
      </c>
      <c r="T525" s="340" t="str">
        <f t="shared" si="57"/>
        <v>1998FemaleAllEth23Other</v>
      </c>
      <c r="U525">
        <v>1998</v>
      </c>
      <c r="V525" t="s">
        <v>8</v>
      </c>
      <c r="W525" t="s">
        <v>27</v>
      </c>
      <c r="X525">
        <v>23</v>
      </c>
      <c r="Y525" t="s">
        <v>45</v>
      </c>
      <c r="Z525">
        <v>2</v>
      </c>
      <c r="AA525">
        <v>54</v>
      </c>
      <c r="AB525">
        <v>3.7</v>
      </c>
    </row>
    <row r="526" spans="1:28">
      <c r="A526" t="str">
        <f t="shared" si="55"/>
        <v>2003FemaleAllEth24</v>
      </c>
      <c r="B526">
        <v>2003</v>
      </c>
      <c r="C526" t="s">
        <v>8</v>
      </c>
      <c r="D526" t="s">
        <v>27</v>
      </c>
      <c r="E526">
        <v>24</v>
      </c>
      <c r="F526">
        <v>35</v>
      </c>
      <c r="G526">
        <v>7.5651140170755404</v>
      </c>
      <c r="H526">
        <v>2.5</v>
      </c>
      <c r="J526" s="340" t="str">
        <f t="shared" si="56"/>
        <v>2009MaleAllEth193</v>
      </c>
      <c r="K526">
        <v>2009</v>
      </c>
      <c r="L526" t="s">
        <v>20</v>
      </c>
      <c r="M526" t="s">
        <v>27</v>
      </c>
      <c r="N526">
        <v>19</v>
      </c>
      <c r="O526">
        <v>3</v>
      </c>
      <c r="P526">
        <v>63</v>
      </c>
      <c r="Q526">
        <v>14.769474357958099</v>
      </c>
      <c r="R526">
        <v>3.6</v>
      </c>
      <c r="T526" s="340" t="str">
        <f t="shared" si="57"/>
        <v>1998FemaleAllEth24Other</v>
      </c>
      <c r="U526">
        <v>1998</v>
      </c>
      <c r="V526" t="s">
        <v>8</v>
      </c>
      <c r="W526" t="s">
        <v>27</v>
      </c>
      <c r="X526">
        <v>24</v>
      </c>
      <c r="Y526" t="s">
        <v>45</v>
      </c>
      <c r="Z526">
        <v>1</v>
      </c>
      <c r="AA526">
        <v>24</v>
      </c>
      <c r="AB526">
        <v>4.2</v>
      </c>
    </row>
    <row r="527" spans="1:28">
      <c r="A527" t="str">
        <f t="shared" si="55"/>
        <v>2003FemaleAllEth25</v>
      </c>
      <c r="B527">
        <v>2003</v>
      </c>
      <c r="C527" t="s">
        <v>8</v>
      </c>
      <c r="D527" t="s">
        <v>27</v>
      </c>
      <c r="E527">
        <v>25</v>
      </c>
      <c r="F527">
        <v>21</v>
      </c>
      <c r="G527">
        <v>7.8982999849556199</v>
      </c>
      <c r="H527">
        <v>3.4</v>
      </c>
      <c r="J527" s="340" t="str">
        <f t="shared" si="56"/>
        <v>2009MaleAllEth194</v>
      </c>
      <c r="K527">
        <v>2009</v>
      </c>
      <c r="L527" t="s">
        <v>20</v>
      </c>
      <c r="M527" t="s">
        <v>27</v>
      </c>
      <c r="N527">
        <v>19</v>
      </c>
      <c r="O527">
        <v>4</v>
      </c>
      <c r="P527">
        <v>95</v>
      </c>
      <c r="Q527">
        <v>22.008575617776099</v>
      </c>
      <c r="R527">
        <v>4.4000000000000004</v>
      </c>
      <c r="T527" s="340" t="str">
        <f t="shared" si="57"/>
        <v>1998FemaleAllEth25Other</v>
      </c>
      <c r="U527">
        <v>1998</v>
      </c>
      <c r="V527" t="s">
        <v>8</v>
      </c>
      <c r="W527" t="s">
        <v>27</v>
      </c>
      <c r="X527">
        <v>25</v>
      </c>
      <c r="Y527" t="s">
        <v>45</v>
      </c>
      <c r="Z527">
        <v>1</v>
      </c>
      <c r="AA527">
        <v>16</v>
      </c>
      <c r="AB527">
        <v>6.2</v>
      </c>
    </row>
    <row r="528" spans="1:28">
      <c r="A528" t="str">
        <f t="shared" si="55"/>
        <v>2003FemaleMaori21</v>
      </c>
      <c r="B528">
        <v>2003</v>
      </c>
      <c r="C528" t="s">
        <v>8</v>
      </c>
      <c r="D528" t="s">
        <v>18</v>
      </c>
      <c r="E528">
        <v>21</v>
      </c>
      <c r="F528">
        <v>1</v>
      </c>
      <c r="G528">
        <v>0.94464386926128896</v>
      </c>
      <c r="H528">
        <v>1.9</v>
      </c>
      <c r="J528" s="340" t="str">
        <f t="shared" si="56"/>
        <v>2009MaleAllEth195</v>
      </c>
      <c r="K528">
        <v>2009</v>
      </c>
      <c r="L528" t="s">
        <v>20</v>
      </c>
      <c r="M528" t="s">
        <v>27</v>
      </c>
      <c r="N528">
        <v>19</v>
      </c>
      <c r="O528">
        <v>5</v>
      </c>
      <c r="P528">
        <v>100</v>
      </c>
      <c r="Q528">
        <v>24.881574896415898</v>
      </c>
      <c r="R528">
        <v>4.9000000000000004</v>
      </c>
      <c r="T528" s="340" t="str">
        <f t="shared" si="57"/>
        <v>1998FemaleAllEth22Poisoning by gases and vapours</v>
      </c>
      <c r="U528">
        <v>1998</v>
      </c>
      <c r="V528" t="s">
        <v>8</v>
      </c>
      <c r="W528" t="s">
        <v>27</v>
      </c>
      <c r="X528">
        <v>22</v>
      </c>
      <c r="Y528" t="s">
        <v>46</v>
      </c>
      <c r="Z528">
        <v>2</v>
      </c>
      <c r="AA528">
        <v>35</v>
      </c>
      <c r="AB528">
        <v>5.7</v>
      </c>
    </row>
    <row r="529" spans="1:28">
      <c r="A529" t="str">
        <f t="shared" si="55"/>
        <v>2003FemaleMaori22</v>
      </c>
      <c r="B529">
        <v>2003</v>
      </c>
      <c r="C529" t="s">
        <v>8</v>
      </c>
      <c r="D529" t="s">
        <v>18</v>
      </c>
      <c r="E529">
        <v>22</v>
      </c>
      <c r="F529">
        <v>11</v>
      </c>
      <c r="G529">
        <v>20.106013525863599</v>
      </c>
      <c r="H529">
        <v>11.9</v>
      </c>
      <c r="J529" s="340" t="str">
        <f t="shared" si="56"/>
        <v>2010MaleAllEth191</v>
      </c>
      <c r="K529">
        <v>2010</v>
      </c>
      <c r="L529" t="s">
        <v>20</v>
      </c>
      <c r="M529" t="s">
        <v>27</v>
      </c>
      <c r="N529">
        <v>19</v>
      </c>
      <c r="O529">
        <v>1</v>
      </c>
      <c r="P529">
        <v>60</v>
      </c>
      <c r="Q529">
        <v>14.145474507651899</v>
      </c>
      <c r="R529">
        <v>3.6</v>
      </c>
      <c r="T529" s="340" t="str">
        <f t="shared" si="57"/>
        <v>1998FemaleAllEth23Poisoning by gases and vapours</v>
      </c>
      <c r="U529">
        <v>1998</v>
      </c>
      <c r="V529" t="s">
        <v>8</v>
      </c>
      <c r="W529" t="s">
        <v>27</v>
      </c>
      <c r="X529">
        <v>23</v>
      </c>
      <c r="Y529" t="s">
        <v>46</v>
      </c>
      <c r="Z529">
        <v>8</v>
      </c>
      <c r="AA529">
        <v>54</v>
      </c>
      <c r="AB529">
        <v>14.8</v>
      </c>
    </row>
    <row r="530" spans="1:28">
      <c r="A530" t="str">
        <f t="shared" si="55"/>
        <v>2003FemaleMaori23</v>
      </c>
      <c r="B530">
        <v>2003</v>
      </c>
      <c r="C530" t="s">
        <v>8</v>
      </c>
      <c r="D530" t="s">
        <v>18</v>
      </c>
      <c r="E530">
        <v>23</v>
      </c>
      <c r="F530">
        <v>7</v>
      </c>
      <c r="G530">
        <v>7.8238515703587801</v>
      </c>
      <c r="H530">
        <v>5.8</v>
      </c>
      <c r="J530" s="340" t="str">
        <f t="shared" si="56"/>
        <v>2010MaleAllEth192</v>
      </c>
      <c r="K530">
        <v>2010</v>
      </c>
      <c r="L530" t="s">
        <v>20</v>
      </c>
      <c r="M530" t="s">
        <v>27</v>
      </c>
      <c r="N530">
        <v>19</v>
      </c>
      <c r="O530">
        <v>2</v>
      </c>
      <c r="P530">
        <v>61</v>
      </c>
      <c r="Q530">
        <v>12.5788110241902</v>
      </c>
      <c r="R530">
        <v>3.2</v>
      </c>
      <c r="T530" s="340" t="str">
        <f t="shared" si="57"/>
        <v>1998FemaleAllEth24Poisoning by gases and vapours</v>
      </c>
      <c r="U530">
        <v>1998</v>
      </c>
      <c r="V530" t="s">
        <v>8</v>
      </c>
      <c r="W530" t="s">
        <v>27</v>
      </c>
      <c r="X530">
        <v>24</v>
      </c>
      <c r="Y530" t="s">
        <v>46</v>
      </c>
      <c r="Z530">
        <v>7</v>
      </c>
      <c r="AA530">
        <v>24</v>
      </c>
      <c r="AB530">
        <v>29.2</v>
      </c>
    </row>
    <row r="531" spans="1:28">
      <c r="A531" t="str">
        <f t="shared" si="55"/>
        <v>2003FemaleMaori24</v>
      </c>
      <c r="B531">
        <v>2003</v>
      </c>
      <c r="C531" t="s">
        <v>8</v>
      </c>
      <c r="D531" t="s">
        <v>18</v>
      </c>
      <c r="E531">
        <v>24</v>
      </c>
      <c r="F531">
        <v>1</v>
      </c>
      <c r="G531">
        <v>2.2675736961451198</v>
      </c>
      <c r="H531">
        <v>4.4000000000000004</v>
      </c>
      <c r="J531" s="340" t="str">
        <f t="shared" si="56"/>
        <v>2010MaleAllEth193</v>
      </c>
      <c r="K531">
        <v>2010</v>
      </c>
      <c r="L531" t="s">
        <v>20</v>
      </c>
      <c r="M531" t="s">
        <v>27</v>
      </c>
      <c r="N531">
        <v>19</v>
      </c>
      <c r="O531">
        <v>3</v>
      </c>
      <c r="P531">
        <v>74</v>
      </c>
      <c r="Q531">
        <v>16.768718439865602</v>
      </c>
      <c r="R531">
        <v>3.8</v>
      </c>
      <c r="T531" s="340" t="str">
        <f t="shared" si="57"/>
        <v>1998FemaleAllEth25Poisoning by gases and vapours</v>
      </c>
      <c r="U531">
        <v>1998</v>
      </c>
      <c r="V531" t="s">
        <v>8</v>
      </c>
      <c r="W531" t="s">
        <v>27</v>
      </c>
      <c r="X531">
        <v>25</v>
      </c>
      <c r="Y531" t="s">
        <v>46</v>
      </c>
      <c r="Z531">
        <v>6</v>
      </c>
      <c r="AA531">
        <v>16</v>
      </c>
      <c r="AB531">
        <v>37.5</v>
      </c>
    </row>
    <row r="532" spans="1:28">
      <c r="A532" t="str">
        <f t="shared" si="55"/>
        <v>2003FemaleMaori25</v>
      </c>
      <c r="B532">
        <v>2003</v>
      </c>
      <c r="C532" t="s">
        <v>8</v>
      </c>
      <c r="D532" t="s">
        <v>18</v>
      </c>
      <c r="E532">
        <v>25</v>
      </c>
      <c r="F532">
        <v>0</v>
      </c>
      <c r="G532">
        <v>0</v>
      </c>
      <c r="J532" s="340" t="str">
        <f t="shared" si="56"/>
        <v>2010MaleAllEth194</v>
      </c>
      <c r="K532">
        <v>2010</v>
      </c>
      <c r="L532" t="s">
        <v>20</v>
      </c>
      <c r="M532" t="s">
        <v>27</v>
      </c>
      <c r="N532">
        <v>19</v>
      </c>
      <c r="O532">
        <v>4</v>
      </c>
      <c r="P532">
        <v>88</v>
      </c>
      <c r="Q532">
        <v>19.758547312996701</v>
      </c>
      <c r="R532">
        <v>4.0999999999999996</v>
      </c>
      <c r="T532" s="340" t="str">
        <f t="shared" si="57"/>
        <v>1998FemaleAllEth21Poisoning by solids and liquids</v>
      </c>
      <c r="U532">
        <v>1998</v>
      </c>
      <c r="V532" t="s">
        <v>8</v>
      </c>
      <c r="W532" t="s">
        <v>27</v>
      </c>
      <c r="X532">
        <v>21</v>
      </c>
      <c r="Y532" t="s">
        <v>47</v>
      </c>
      <c r="Z532">
        <v>1</v>
      </c>
      <c r="AA532">
        <v>4</v>
      </c>
      <c r="AB532">
        <v>25</v>
      </c>
    </row>
    <row r="533" spans="1:28">
      <c r="A533" t="str">
        <f t="shared" si="55"/>
        <v>2003FemaleNon-Maori21</v>
      </c>
      <c r="B533">
        <v>2003</v>
      </c>
      <c r="C533" t="s">
        <v>8</v>
      </c>
      <c r="D533" t="s">
        <v>19</v>
      </c>
      <c r="E533">
        <v>21</v>
      </c>
      <c r="F533">
        <v>0</v>
      </c>
      <c r="G533">
        <v>0</v>
      </c>
      <c r="J533" s="340" t="str">
        <f t="shared" si="56"/>
        <v>2010MaleAllEth195</v>
      </c>
      <c r="K533">
        <v>2010</v>
      </c>
      <c r="L533" t="s">
        <v>20</v>
      </c>
      <c r="M533" t="s">
        <v>27</v>
      </c>
      <c r="N533">
        <v>19</v>
      </c>
      <c r="O533">
        <v>5</v>
      </c>
      <c r="P533">
        <v>88</v>
      </c>
      <c r="Q533">
        <v>21.9325783022839</v>
      </c>
      <c r="R533">
        <v>4.5999999999999996</v>
      </c>
      <c r="T533" s="340" t="str">
        <f t="shared" si="57"/>
        <v>1998FemaleAllEth22Poisoning by solids and liquids</v>
      </c>
      <c r="U533">
        <v>1998</v>
      </c>
      <c r="V533" t="s">
        <v>8</v>
      </c>
      <c r="W533" t="s">
        <v>27</v>
      </c>
      <c r="X533">
        <v>22</v>
      </c>
      <c r="Y533" t="s">
        <v>47</v>
      </c>
      <c r="Z533">
        <v>10</v>
      </c>
      <c r="AA533">
        <v>35</v>
      </c>
      <c r="AB533">
        <v>28.6</v>
      </c>
    </row>
    <row r="534" spans="1:28">
      <c r="A534" t="str">
        <f t="shared" si="55"/>
        <v>2003FemaleNon-Maori22</v>
      </c>
      <c r="B534">
        <v>2003</v>
      </c>
      <c r="C534" t="s">
        <v>8</v>
      </c>
      <c r="D534" t="s">
        <v>19</v>
      </c>
      <c r="E534">
        <v>22</v>
      </c>
      <c r="F534">
        <v>20</v>
      </c>
      <c r="G534">
        <v>8.7623220153340604</v>
      </c>
      <c r="H534">
        <v>3.8</v>
      </c>
      <c r="J534" s="340" t="str">
        <f t="shared" si="56"/>
        <v>2011MaleAllEth191</v>
      </c>
      <c r="K534">
        <v>2011</v>
      </c>
      <c r="L534" t="s">
        <v>20</v>
      </c>
      <c r="M534" t="s">
        <v>27</v>
      </c>
      <c r="N534">
        <v>19</v>
      </c>
      <c r="O534">
        <v>1</v>
      </c>
      <c r="P534">
        <v>57</v>
      </c>
      <c r="Q534">
        <v>13.239357279649701</v>
      </c>
      <c r="R534">
        <v>3.4</v>
      </c>
      <c r="T534" s="340" t="str">
        <f t="shared" si="57"/>
        <v>1998FemaleAllEth23Poisoning by solids and liquids</v>
      </c>
      <c r="U534">
        <v>1998</v>
      </c>
      <c r="V534" t="s">
        <v>8</v>
      </c>
      <c r="W534" t="s">
        <v>27</v>
      </c>
      <c r="X534">
        <v>23</v>
      </c>
      <c r="Y534" t="s">
        <v>47</v>
      </c>
      <c r="Z534">
        <v>8</v>
      </c>
      <c r="AA534">
        <v>54</v>
      </c>
      <c r="AB534">
        <v>14.8</v>
      </c>
    </row>
    <row r="535" spans="1:28">
      <c r="A535" t="str">
        <f t="shared" si="55"/>
        <v>2003FemaleNon-Maori23</v>
      </c>
      <c r="B535">
        <v>2003</v>
      </c>
      <c r="C535" t="s">
        <v>8</v>
      </c>
      <c r="D535" t="s">
        <v>19</v>
      </c>
      <c r="E535">
        <v>23</v>
      </c>
      <c r="F535">
        <v>47</v>
      </c>
      <c r="G535">
        <v>9.0805463784076199</v>
      </c>
      <c r="H535">
        <v>2.6</v>
      </c>
      <c r="J535" s="340" t="str">
        <f t="shared" si="56"/>
        <v>2011MaleAllEth192</v>
      </c>
      <c r="K535">
        <v>2011</v>
      </c>
      <c r="L535" t="s">
        <v>20</v>
      </c>
      <c r="M535" t="s">
        <v>27</v>
      </c>
      <c r="N535">
        <v>19</v>
      </c>
      <c r="O535">
        <v>2</v>
      </c>
      <c r="P535">
        <v>62</v>
      </c>
      <c r="Q535">
        <v>14.540831325937299</v>
      </c>
      <c r="R535">
        <v>3.6</v>
      </c>
      <c r="T535" s="340" t="str">
        <f t="shared" si="57"/>
        <v>1998FemaleAllEth24Poisoning by solids and liquids</v>
      </c>
      <c r="U535">
        <v>1998</v>
      </c>
      <c r="V535" t="s">
        <v>8</v>
      </c>
      <c r="W535" t="s">
        <v>27</v>
      </c>
      <c r="X535">
        <v>24</v>
      </c>
      <c r="Y535" t="s">
        <v>47</v>
      </c>
      <c r="Z535">
        <v>11</v>
      </c>
      <c r="AA535">
        <v>24</v>
      </c>
      <c r="AB535">
        <v>45.8</v>
      </c>
    </row>
    <row r="536" spans="1:28">
      <c r="A536" t="str">
        <f t="shared" si="55"/>
        <v>2003FemaleNon-Maori24</v>
      </c>
      <c r="B536">
        <v>2003</v>
      </c>
      <c r="C536" t="s">
        <v>8</v>
      </c>
      <c r="D536" t="s">
        <v>19</v>
      </c>
      <c r="E536">
        <v>24</v>
      </c>
      <c r="F536">
        <v>34</v>
      </c>
      <c r="G536">
        <v>8.1232827619161405</v>
      </c>
      <c r="H536">
        <v>2.7</v>
      </c>
      <c r="J536" s="340" t="str">
        <f t="shared" si="56"/>
        <v>2011MaleAllEth193</v>
      </c>
      <c r="K536">
        <v>2011</v>
      </c>
      <c r="L536" t="s">
        <v>20</v>
      </c>
      <c r="M536" t="s">
        <v>27</v>
      </c>
      <c r="N536">
        <v>19</v>
      </c>
      <c r="O536">
        <v>3</v>
      </c>
      <c r="P536">
        <v>87</v>
      </c>
      <c r="Q536">
        <v>19.0319542103353</v>
      </c>
      <c r="R536">
        <v>4</v>
      </c>
      <c r="T536" s="340" t="str">
        <f t="shared" si="57"/>
        <v>1998FemaleAllEth25Poisoning by solids and liquids</v>
      </c>
      <c r="U536">
        <v>1998</v>
      </c>
      <c r="V536" t="s">
        <v>8</v>
      </c>
      <c r="W536" t="s">
        <v>27</v>
      </c>
      <c r="X536">
        <v>25</v>
      </c>
      <c r="Y536" t="s">
        <v>47</v>
      </c>
      <c r="Z536">
        <v>3</v>
      </c>
      <c r="AA536">
        <v>16</v>
      </c>
      <c r="AB536">
        <v>18.8</v>
      </c>
    </row>
    <row r="537" spans="1:28">
      <c r="A537" t="str">
        <f t="shared" si="55"/>
        <v>2003FemaleNon-Maori25</v>
      </c>
      <c r="B537">
        <v>2003</v>
      </c>
      <c r="C537" t="s">
        <v>8</v>
      </c>
      <c r="D537" t="s">
        <v>19</v>
      </c>
      <c r="E537">
        <v>25</v>
      </c>
      <c r="F537">
        <v>21</v>
      </c>
      <c r="G537">
        <v>8.2726019302737797</v>
      </c>
      <c r="H537">
        <v>3.5</v>
      </c>
      <c r="J537" s="340" t="str">
        <f t="shared" si="56"/>
        <v>2011MaleAllEth194</v>
      </c>
      <c r="K537">
        <v>2011</v>
      </c>
      <c r="L537" t="s">
        <v>20</v>
      </c>
      <c r="M537" t="s">
        <v>27</v>
      </c>
      <c r="N537">
        <v>19</v>
      </c>
      <c r="O537">
        <v>4</v>
      </c>
      <c r="P537">
        <v>66</v>
      </c>
      <c r="Q537">
        <v>15.145499660123701</v>
      </c>
      <c r="R537">
        <v>3.7</v>
      </c>
      <c r="T537" s="340" t="str">
        <f t="shared" si="57"/>
        <v>1998FemaleAllEth24Sharp object</v>
      </c>
      <c r="U537">
        <v>1998</v>
      </c>
      <c r="V537" t="s">
        <v>8</v>
      </c>
      <c r="W537" t="s">
        <v>27</v>
      </c>
      <c r="X537">
        <v>24</v>
      </c>
      <c r="Y537" t="s">
        <v>48</v>
      </c>
      <c r="Z537">
        <v>1</v>
      </c>
      <c r="AA537">
        <v>24</v>
      </c>
      <c r="AB537">
        <v>4.2</v>
      </c>
    </row>
    <row r="538" spans="1:28">
      <c r="A538" t="str">
        <f t="shared" si="55"/>
        <v>2003MaleAllEth21</v>
      </c>
      <c r="B538">
        <v>2003</v>
      </c>
      <c r="C538" t="s">
        <v>20</v>
      </c>
      <c r="D538" t="s">
        <v>27</v>
      </c>
      <c r="E538">
        <v>21</v>
      </c>
      <c r="F538">
        <v>4</v>
      </c>
      <c r="G538">
        <v>0.87713527618797005</v>
      </c>
      <c r="H538">
        <v>0.9</v>
      </c>
      <c r="J538" s="340" t="str">
        <f t="shared" si="56"/>
        <v>2011MaleAllEth195</v>
      </c>
      <c r="K538">
        <v>2011</v>
      </c>
      <c r="L538" t="s">
        <v>20</v>
      </c>
      <c r="M538" t="s">
        <v>27</v>
      </c>
      <c r="N538">
        <v>19</v>
      </c>
      <c r="O538">
        <v>5</v>
      </c>
      <c r="P538">
        <v>92</v>
      </c>
      <c r="Q538">
        <v>22.542784776259801</v>
      </c>
      <c r="R538">
        <v>4.5999999999999996</v>
      </c>
      <c r="T538" s="340" t="str">
        <f t="shared" si="57"/>
        <v>1998FemaleAllEth23Submersion (drowning)</v>
      </c>
      <c r="U538">
        <v>1998</v>
      </c>
      <c r="V538" t="s">
        <v>8</v>
      </c>
      <c r="W538" t="s">
        <v>27</v>
      </c>
      <c r="X538">
        <v>23</v>
      </c>
      <c r="Y538" t="s">
        <v>49</v>
      </c>
      <c r="Z538">
        <v>1</v>
      </c>
      <c r="AA538">
        <v>54</v>
      </c>
      <c r="AB538">
        <v>1.9</v>
      </c>
    </row>
    <row r="539" spans="1:28">
      <c r="A539" t="str">
        <f t="shared" si="55"/>
        <v>2003MaleAllEth22</v>
      </c>
      <c r="B539">
        <v>2003</v>
      </c>
      <c r="C539" t="s">
        <v>20</v>
      </c>
      <c r="D539" t="s">
        <v>27</v>
      </c>
      <c r="E539">
        <v>22</v>
      </c>
      <c r="F539">
        <v>67</v>
      </c>
      <c r="G539">
        <v>23.062889401397499</v>
      </c>
      <c r="H539">
        <v>5.5</v>
      </c>
      <c r="J539" s="340" t="str">
        <f t="shared" si="56"/>
        <v>2012MaleAllEth191</v>
      </c>
      <c r="K539">
        <v>2012</v>
      </c>
      <c r="L539" t="s">
        <v>20</v>
      </c>
      <c r="M539" t="s">
        <v>27</v>
      </c>
      <c r="N539">
        <v>19</v>
      </c>
      <c r="O539">
        <v>1</v>
      </c>
      <c r="P539">
        <v>44</v>
      </c>
      <c r="Q539">
        <v>10.046935011885701</v>
      </c>
      <c r="R539">
        <v>3</v>
      </c>
      <c r="T539" s="340" t="str">
        <f t="shared" si="57"/>
        <v>1998FemaleAllEth24Submersion (drowning)</v>
      </c>
      <c r="U539">
        <v>1998</v>
      </c>
      <c r="V539" t="s">
        <v>8</v>
      </c>
      <c r="W539" t="s">
        <v>27</v>
      </c>
      <c r="X539">
        <v>24</v>
      </c>
      <c r="Y539" t="s">
        <v>49</v>
      </c>
      <c r="Z539">
        <v>1</v>
      </c>
      <c r="AA539">
        <v>24</v>
      </c>
      <c r="AB539">
        <v>4.2</v>
      </c>
    </row>
    <row r="540" spans="1:28">
      <c r="A540" t="str">
        <f t="shared" si="55"/>
        <v>2003MaleAllEth23</v>
      </c>
      <c r="B540">
        <v>2003</v>
      </c>
      <c r="C540" t="s">
        <v>20</v>
      </c>
      <c r="D540" t="s">
        <v>27</v>
      </c>
      <c r="E540">
        <v>23</v>
      </c>
      <c r="F540">
        <v>163</v>
      </c>
      <c r="G540">
        <v>28.730567208375899</v>
      </c>
      <c r="H540">
        <v>4.4000000000000004</v>
      </c>
      <c r="J540" s="340" t="str">
        <f t="shared" si="56"/>
        <v>2012MaleAllEth192</v>
      </c>
      <c r="K540">
        <v>2012</v>
      </c>
      <c r="L540" t="s">
        <v>20</v>
      </c>
      <c r="M540" t="s">
        <v>27</v>
      </c>
      <c r="N540">
        <v>19</v>
      </c>
      <c r="O540">
        <v>2</v>
      </c>
      <c r="P540">
        <v>63</v>
      </c>
      <c r="Q540">
        <v>13.6769389350941</v>
      </c>
      <c r="R540">
        <v>3.4</v>
      </c>
      <c r="T540" s="340" t="str">
        <f t="shared" si="57"/>
        <v>1998FemaleAllEth25Submersion (drowning)</v>
      </c>
      <c r="U540">
        <v>1998</v>
      </c>
      <c r="V540" t="s">
        <v>8</v>
      </c>
      <c r="W540" t="s">
        <v>27</v>
      </c>
      <c r="X540">
        <v>25</v>
      </c>
      <c r="Y540" t="s">
        <v>49</v>
      </c>
      <c r="Z540">
        <v>1</v>
      </c>
      <c r="AA540">
        <v>16</v>
      </c>
      <c r="AB540">
        <v>6.2</v>
      </c>
    </row>
    <row r="541" spans="1:28">
      <c r="A541" t="str">
        <f t="shared" si="55"/>
        <v>2003MaleAllEth24</v>
      </c>
      <c r="B541">
        <v>2003</v>
      </c>
      <c r="C541" t="s">
        <v>20</v>
      </c>
      <c r="D541" t="s">
        <v>27</v>
      </c>
      <c r="E541">
        <v>24</v>
      </c>
      <c r="F541">
        <v>100</v>
      </c>
      <c r="G541">
        <v>22.124383282816002</v>
      </c>
      <c r="H541">
        <v>4.3</v>
      </c>
      <c r="J541" s="340" t="str">
        <f t="shared" si="56"/>
        <v>2012MaleAllEth193</v>
      </c>
      <c r="K541">
        <v>2012</v>
      </c>
      <c r="L541" t="s">
        <v>20</v>
      </c>
      <c r="M541" t="s">
        <v>27</v>
      </c>
      <c r="N541">
        <v>19</v>
      </c>
      <c r="O541">
        <v>3</v>
      </c>
      <c r="P541">
        <v>96</v>
      </c>
      <c r="Q541">
        <v>21.841854529688</v>
      </c>
      <c r="R541">
        <v>4.4000000000000004</v>
      </c>
      <c r="T541" s="340" t="str">
        <f t="shared" si="57"/>
        <v>1998FemaleMaori21Hanging, strangulation and suffocation</v>
      </c>
      <c r="U541">
        <v>1998</v>
      </c>
      <c r="V541" t="s">
        <v>8</v>
      </c>
      <c r="W541" t="s">
        <v>18</v>
      </c>
      <c r="X541">
        <v>21</v>
      </c>
      <c r="Y541" t="s">
        <v>43</v>
      </c>
      <c r="Z541">
        <v>3</v>
      </c>
      <c r="AA541">
        <v>3</v>
      </c>
      <c r="AB541">
        <v>100</v>
      </c>
    </row>
    <row r="542" spans="1:28">
      <c r="A542" t="str">
        <f t="shared" si="55"/>
        <v>2003MaleAllEth25</v>
      </c>
      <c r="B542">
        <v>2003</v>
      </c>
      <c r="C542" t="s">
        <v>20</v>
      </c>
      <c r="D542" t="s">
        <v>27</v>
      </c>
      <c r="E542">
        <v>25</v>
      </c>
      <c r="F542">
        <v>46</v>
      </c>
      <c r="G542">
        <v>21.930870083432701</v>
      </c>
      <c r="H542">
        <v>6.3</v>
      </c>
      <c r="J542" s="340" t="str">
        <f t="shared" si="56"/>
        <v>2012MaleAllEth194</v>
      </c>
      <c r="K542">
        <v>2012</v>
      </c>
      <c r="L542" t="s">
        <v>20</v>
      </c>
      <c r="M542" t="s">
        <v>27</v>
      </c>
      <c r="N542">
        <v>19</v>
      </c>
      <c r="O542">
        <v>4</v>
      </c>
      <c r="P542">
        <v>95</v>
      </c>
      <c r="Q542">
        <v>22.4574835839713</v>
      </c>
      <c r="R542">
        <v>4.5</v>
      </c>
      <c r="T542" s="340" t="str">
        <f t="shared" si="57"/>
        <v>1998FemaleMaori22Hanging, strangulation and suffocation</v>
      </c>
      <c r="U542">
        <v>1998</v>
      </c>
      <c r="V542" t="s">
        <v>8</v>
      </c>
      <c r="W542" t="s">
        <v>18</v>
      </c>
      <c r="X542">
        <v>22</v>
      </c>
      <c r="Y542" t="s">
        <v>43</v>
      </c>
      <c r="Z542">
        <v>9</v>
      </c>
      <c r="AA542">
        <v>13</v>
      </c>
      <c r="AB542">
        <v>69.2</v>
      </c>
    </row>
    <row r="543" spans="1:28">
      <c r="A543" t="str">
        <f t="shared" si="55"/>
        <v>2003MaleMaori21</v>
      </c>
      <c r="B543">
        <v>2003</v>
      </c>
      <c r="C543" t="s">
        <v>20</v>
      </c>
      <c r="D543" t="s">
        <v>18</v>
      </c>
      <c r="E543">
        <v>21</v>
      </c>
      <c r="F543">
        <v>4</v>
      </c>
      <c r="G543">
        <v>3.5842293906810001</v>
      </c>
      <c r="H543">
        <v>3.5</v>
      </c>
      <c r="J543" s="340" t="str">
        <f t="shared" si="56"/>
        <v>2012MaleAllEth195</v>
      </c>
      <c r="K543">
        <v>2012</v>
      </c>
      <c r="L543" t="s">
        <v>20</v>
      </c>
      <c r="M543" t="s">
        <v>27</v>
      </c>
      <c r="N543">
        <v>19</v>
      </c>
      <c r="O543">
        <v>5</v>
      </c>
      <c r="P543">
        <v>93</v>
      </c>
      <c r="Q543">
        <v>22.331571256110301</v>
      </c>
      <c r="R543">
        <v>4.5</v>
      </c>
      <c r="T543" s="340" t="str">
        <f t="shared" si="57"/>
        <v>1998FemaleMaori23Hanging, strangulation and suffocation</v>
      </c>
      <c r="U543">
        <v>1998</v>
      </c>
      <c r="V543" t="s">
        <v>8</v>
      </c>
      <c r="W543" t="s">
        <v>18</v>
      </c>
      <c r="X543">
        <v>23</v>
      </c>
      <c r="Y543" t="s">
        <v>43</v>
      </c>
      <c r="Z543">
        <v>5</v>
      </c>
      <c r="AA543">
        <v>7</v>
      </c>
      <c r="AB543">
        <v>71.400000000000006</v>
      </c>
    </row>
    <row r="544" spans="1:28">
      <c r="A544" t="str">
        <f t="shared" si="55"/>
        <v>2003MaleMaori22</v>
      </c>
      <c r="B544">
        <v>2003</v>
      </c>
      <c r="C544" t="s">
        <v>20</v>
      </c>
      <c r="D544" t="s">
        <v>18</v>
      </c>
      <c r="E544">
        <v>22</v>
      </c>
      <c r="F544">
        <v>20</v>
      </c>
      <c r="G544">
        <v>37.306472673008798</v>
      </c>
      <c r="H544">
        <v>16.3</v>
      </c>
      <c r="J544" s="340" t="str">
        <f t="shared" si="56"/>
        <v>2013MaleAllEth191</v>
      </c>
      <c r="K544">
        <v>2013</v>
      </c>
      <c r="L544" t="s">
        <v>20</v>
      </c>
      <c r="M544" t="s">
        <v>27</v>
      </c>
      <c r="N544">
        <v>19</v>
      </c>
      <c r="O544">
        <v>1</v>
      </c>
      <c r="P544">
        <v>53</v>
      </c>
      <c r="Q544">
        <v>10.1047073133151</v>
      </c>
      <c r="R544">
        <v>2.7</v>
      </c>
      <c r="T544" s="340" t="str">
        <f t="shared" si="57"/>
        <v>1998FemaleMaori23Other</v>
      </c>
      <c r="U544">
        <v>1998</v>
      </c>
      <c r="V544" t="s">
        <v>8</v>
      </c>
      <c r="W544" t="s">
        <v>18</v>
      </c>
      <c r="X544">
        <v>23</v>
      </c>
      <c r="Y544" t="s">
        <v>45</v>
      </c>
      <c r="Z544">
        <v>1</v>
      </c>
      <c r="AA544">
        <v>7</v>
      </c>
      <c r="AB544">
        <v>14.3</v>
      </c>
    </row>
    <row r="545" spans="1:28">
      <c r="A545" t="str">
        <f t="shared" si="55"/>
        <v>2003MaleMaori23</v>
      </c>
      <c r="B545">
        <v>2003</v>
      </c>
      <c r="C545" t="s">
        <v>20</v>
      </c>
      <c r="D545" t="s">
        <v>18</v>
      </c>
      <c r="E545">
        <v>23</v>
      </c>
      <c r="F545">
        <v>39</v>
      </c>
      <c r="G545">
        <v>48.555776892430302</v>
      </c>
      <c r="H545">
        <v>15.2</v>
      </c>
      <c r="J545" s="340" t="str">
        <f t="shared" si="56"/>
        <v>2013MaleAllEth192</v>
      </c>
      <c r="K545">
        <v>2013</v>
      </c>
      <c r="L545" t="s">
        <v>20</v>
      </c>
      <c r="M545" t="s">
        <v>27</v>
      </c>
      <c r="N545">
        <v>19</v>
      </c>
      <c r="O545">
        <v>2</v>
      </c>
      <c r="P545">
        <v>55</v>
      </c>
      <c r="Q545">
        <v>11.615740197445501</v>
      </c>
      <c r="R545">
        <v>3.1</v>
      </c>
      <c r="T545" s="340" t="str">
        <f t="shared" si="57"/>
        <v>1998FemaleMaori22Poisoning by solids and liquids</v>
      </c>
      <c r="U545">
        <v>1998</v>
      </c>
      <c r="V545" t="s">
        <v>8</v>
      </c>
      <c r="W545" t="s">
        <v>18</v>
      </c>
      <c r="X545">
        <v>22</v>
      </c>
      <c r="Y545" t="s">
        <v>47</v>
      </c>
      <c r="Z545">
        <v>4</v>
      </c>
      <c r="AA545">
        <v>13</v>
      </c>
      <c r="AB545">
        <v>30.8</v>
      </c>
    </row>
    <row r="546" spans="1:28">
      <c r="A546" t="str">
        <f t="shared" si="55"/>
        <v>2003MaleMaori24</v>
      </c>
      <c r="B546">
        <v>2003</v>
      </c>
      <c r="C546" t="s">
        <v>20</v>
      </c>
      <c r="D546" t="s">
        <v>18</v>
      </c>
      <c r="E546">
        <v>24</v>
      </c>
      <c r="F546">
        <v>4</v>
      </c>
      <c r="G546">
        <v>9.6641700893935703</v>
      </c>
      <c r="H546">
        <v>9.5</v>
      </c>
      <c r="J546" s="340" t="str">
        <f t="shared" si="56"/>
        <v>2013MaleAllEth193</v>
      </c>
      <c r="K546">
        <v>2013</v>
      </c>
      <c r="L546" t="s">
        <v>20</v>
      </c>
      <c r="M546" t="s">
        <v>27</v>
      </c>
      <c r="N546">
        <v>19</v>
      </c>
      <c r="O546">
        <v>3</v>
      </c>
      <c r="P546">
        <v>72</v>
      </c>
      <c r="Q546">
        <v>14.5565056681946</v>
      </c>
      <c r="R546">
        <v>3.4</v>
      </c>
      <c r="T546" s="340" t="str">
        <f t="shared" si="57"/>
        <v>1998FemaleMaori23Poisoning by solids and liquids</v>
      </c>
      <c r="U546">
        <v>1998</v>
      </c>
      <c r="V546" t="s">
        <v>8</v>
      </c>
      <c r="W546" t="s">
        <v>18</v>
      </c>
      <c r="X546">
        <v>23</v>
      </c>
      <c r="Y546" t="s">
        <v>47</v>
      </c>
      <c r="Z546">
        <v>1</v>
      </c>
      <c r="AA546">
        <v>7</v>
      </c>
      <c r="AB546">
        <v>14.3</v>
      </c>
    </row>
    <row r="547" spans="1:28">
      <c r="A547" t="str">
        <f t="shared" si="55"/>
        <v>2003MaleMaori25</v>
      </c>
      <c r="B547">
        <v>2003</v>
      </c>
      <c r="C547" t="s">
        <v>20</v>
      </c>
      <c r="D547" t="s">
        <v>18</v>
      </c>
      <c r="E547">
        <v>25</v>
      </c>
      <c r="F547">
        <v>0</v>
      </c>
      <c r="G547">
        <v>0</v>
      </c>
      <c r="J547" s="340" t="str">
        <f t="shared" si="56"/>
        <v>2013MaleAllEth194</v>
      </c>
      <c r="K547">
        <v>2013</v>
      </c>
      <c r="L547" t="s">
        <v>20</v>
      </c>
      <c r="M547" t="s">
        <v>27</v>
      </c>
      <c r="N547">
        <v>19</v>
      </c>
      <c r="O547">
        <v>4</v>
      </c>
      <c r="P547">
        <v>76</v>
      </c>
      <c r="Q547">
        <v>17.298751296226801</v>
      </c>
      <c r="R547">
        <v>3.9</v>
      </c>
      <c r="T547" s="340" t="str">
        <f t="shared" si="57"/>
        <v>1998FemaleMaori24Poisoning by solids and liquids</v>
      </c>
      <c r="U547">
        <v>1998</v>
      </c>
      <c r="V547" t="s">
        <v>8</v>
      </c>
      <c r="W547" t="s">
        <v>18</v>
      </c>
      <c r="X547">
        <v>24</v>
      </c>
      <c r="Y547" t="s">
        <v>47</v>
      </c>
      <c r="Z547">
        <v>2</v>
      </c>
      <c r="AA547">
        <v>2</v>
      </c>
      <c r="AB547">
        <v>100</v>
      </c>
    </row>
    <row r="548" spans="1:28">
      <c r="A548" t="str">
        <f t="shared" si="55"/>
        <v>2003MaleNon-Maori21</v>
      </c>
      <c r="B548">
        <v>2003</v>
      </c>
      <c r="C548" t="s">
        <v>20</v>
      </c>
      <c r="D548" t="s">
        <v>19</v>
      </c>
      <c r="E548">
        <v>21</v>
      </c>
      <c r="F548">
        <v>0</v>
      </c>
      <c r="G548">
        <v>0</v>
      </c>
      <c r="J548" s="340" t="str">
        <f t="shared" si="56"/>
        <v>2013MaleAllEth195</v>
      </c>
      <c r="K548">
        <v>2013</v>
      </c>
      <c r="L548" t="s">
        <v>20</v>
      </c>
      <c r="M548" t="s">
        <v>27</v>
      </c>
      <c r="N548">
        <v>19</v>
      </c>
      <c r="O548">
        <v>5</v>
      </c>
      <c r="P548">
        <v>89</v>
      </c>
      <c r="Q548">
        <v>21.510814033369101</v>
      </c>
      <c r="R548">
        <v>4.5</v>
      </c>
      <c r="T548" s="340" t="str">
        <f t="shared" si="57"/>
        <v>1998FemaleNon-Maori24Firearms and explosives</v>
      </c>
      <c r="U548">
        <v>1998</v>
      </c>
      <c r="V548" t="s">
        <v>8</v>
      </c>
      <c r="W548" t="s">
        <v>19</v>
      </c>
      <c r="X548">
        <v>24</v>
      </c>
      <c r="Y548" t="s">
        <v>42</v>
      </c>
      <c r="Z548">
        <v>1</v>
      </c>
      <c r="AA548">
        <v>22</v>
      </c>
      <c r="AB548">
        <v>4.5</v>
      </c>
    </row>
    <row r="549" spans="1:28">
      <c r="A549" t="str">
        <f t="shared" si="55"/>
        <v>2003MaleNon-Maori22</v>
      </c>
      <c r="B549">
        <v>2003</v>
      </c>
      <c r="C549" t="s">
        <v>20</v>
      </c>
      <c r="D549" t="s">
        <v>19</v>
      </c>
      <c r="E549">
        <v>22</v>
      </c>
      <c r="F549">
        <v>47</v>
      </c>
      <c r="G549">
        <v>19.839594765723898</v>
      </c>
      <c r="H549">
        <v>5.7</v>
      </c>
      <c r="J549" s="340" t="str">
        <f t="shared" si="56"/>
        <v>2014MaleAllEth191</v>
      </c>
      <c r="K549">
        <v>2014</v>
      </c>
      <c r="L549" t="s">
        <v>20</v>
      </c>
      <c r="M549" t="s">
        <v>27</v>
      </c>
      <c r="N549">
        <v>19</v>
      </c>
      <c r="O549">
        <v>1</v>
      </c>
      <c r="P549">
        <v>49</v>
      </c>
      <c r="Q549">
        <v>10.623591071432999</v>
      </c>
      <c r="R549">
        <v>3</v>
      </c>
      <c r="T549" s="340" t="str">
        <f t="shared" si="57"/>
        <v>1998FemaleNon-Maori22Hanging, strangulation and suffocation</v>
      </c>
      <c r="U549">
        <v>1998</v>
      </c>
      <c r="V549" t="s">
        <v>8</v>
      </c>
      <c r="W549" t="s">
        <v>19</v>
      </c>
      <c r="X549">
        <v>22</v>
      </c>
      <c r="Y549" t="s">
        <v>43</v>
      </c>
      <c r="Z549">
        <v>12</v>
      </c>
      <c r="AA549">
        <v>22</v>
      </c>
      <c r="AB549">
        <v>54.5</v>
      </c>
    </row>
    <row r="550" spans="1:28">
      <c r="A550" t="str">
        <f t="shared" si="55"/>
        <v>2003MaleNon-Maori23</v>
      </c>
      <c r="B550">
        <v>2003</v>
      </c>
      <c r="C550" t="s">
        <v>20</v>
      </c>
      <c r="D550" t="s">
        <v>19</v>
      </c>
      <c r="E550">
        <v>23</v>
      </c>
      <c r="F550">
        <v>124</v>
      </c>
      <c r="G550">
        <v>25.4609666954129</v>
      </c>
      <c r="H550">
        <v>4.5</v>
      </c>
      <c r="J550" s="340" t="str">
        <f t="shared" si="56"/>
        <v>2014MaleAllEth192</v>
      </c>
      <c r="K550">
        <v>2014</v>
      </c>
      <c r="L550" t="s">
        <v>20</v>
      </c>
      <c r="M550" t="s">
        <v>27</v>
      </c>
      <c r="N550">
        <v>19</v>
      </c>
      <c r="O550">
        <v>2</v>
      </c>
      <c r="P550">
        <v>49</v>
      </c>
      <c r="Q550">
        <v>10.781463058969599</v>
      </c>
      <c r="R550">
        <v>3</v>
      </c>
      <c r="T550" s="340" t="str">
        <f t="shared" si="57"/>
        <v>1998FemaleNon-Maori23Hanging, strangulation and suffocation</v>
      </c>
      <c r="U550">
        <v>1998</v>
      </c>
      <c r="V550" t="s">
        <v>8</v>
      </c>
      <c r="W550" t="s">
        <v>19</v>
      </c>
      <c r="X550">
        <v>23</v>
      </c>
      <c r="Y550" t="s">
        <v>43</v>
      </c>
      <c r="Z550">
        <v>27</v>
      </c>
      <c r="AA550">
        <v>47</v>
      </c>
      <c r="AB550">
        <v>57.4</v>
      </c>
    </row>
    <row r="551" spans="1:28">
      <c r="A551" t="str">
        <f t="shared" si="55"/>
        <v>2003MaleNon-Maori24</v>
      </c>
      <c r="B551">
        <v>2003</v>
      </c>
      <c r="C551" t="s">
        <v>20</v>
      </c>
      <c r="D551" t="s">
        <v>19</v>
      </c>
      <c r="E551">
        <v>24</v>
      </c>
      <c r="F551">
        <v>96</v>
      </c>
      <c r="G551">
        <v>23.3804188991719</v>
      </c>
      <c r="H551">
        <v>4.7</v>
      </c>
      <c r="J551" s="340" t="str">
        <f t="shared" si="56"/>
        <v>2014MaleAllEth193</v>
      </c>
      <c r="K551">
        <v>2014</v>
      </c>
      <c r="L551" t="s">
        <v>20</v>
      </c>
      <c r="M551" t="s">
        <v>27</v>
      </c>
      <c r="N551">
        <v>19</v>
      </c>
      <c r="O551">
        <v>3</v>
      </c>
      <c r="P551">
        <v>71</v>
      </c>
      <c r="Q551">
        <v>15.486617317140601</v>
      </c>
      <c r="R551">
        <v>3.6</v>
      </c>
      <c r="T551" s="340" t="str">
        <f t="shared" si="57"/>
        <v>1998FemaleNon-Maori24Hanging, strangulation and suffocation</v>
      </c>
      <c r="U551">
        <v>1998</v>
      </c>
      <c r="V551" t="s">
        <v>8</v>
      </c>
      <c r="W551" t="s">
        <v>19</v>
      </c>
      <c r="X551">
        <v>24</v>
      </c>
      <c r="Y551" t="s">
        <v>43</v>
      </c>
      <c r="Z551">
        <v>1</v>
      </c>
      <c r="AA551">
        <v>22</v>
      </c>
      <c r="AB551">
        <v>4.5</v>
      </c>
    </row>
    <row r="552" spans="1:28">
      <c r="A552" t="str">
        <f t="shared" si="55"/>
        <v>2003MaleNon-Maori25</v>
      </c>
      <c r="B552">
        <v>2003</v>
      </c>
      <c r="C552" t="s">
        <v>20</v>
      </c>
      <c r="D552" t="s">
        <v>19</v>
      </c>
      <c r="E552">
        <v>25</v>
      </c>
      <c r="F552">
        <v>46</v>
      </c>
      <c r="G552">
        <v>23.013808284970999</v>
      </c>
      <c r="H552">
        <v>6.7</v>
      </c>
      <c r="J552" s="340" t="str">
        <f t="shared" si="56"/>
        <v>2014MaleAllEth194</v>
      </c>
      <c r="K552">
        <v>2014</v>
      </c>
      <c r="L552" t="s">
        <v>20</v>
      </c>
      <c r="M552" t="s">
        <v>27</v>
      </c>
      <c r="N552">
        <v>19</v>
      </c>
      <c r="O552">
        <v>4</v>
      </c>
      <c r="P552">
        <v>93</v>
      </c>
      <c r="Q552">
        <v>19.917192811807801</v>
      </c>
      <c r="R552">
        <v>4</v>
      </c>
      <c r="T552" s="340" t="str">
        <f t="shared" si="57"/>
        <v>1998FemaleNon-Maori25Hanging, strangulation and suffocation</v>
      </c>
      <c r="U552">
        <v>1998</v>
      </c>
      <c r="V552" t="s">
        <v>8</v>
      </c>
      <c r="W552" t="s">
        <v>19</v>
      </c>
      <c r="X552">
        <v>25</v>
      </c>
      <c r="Y552" t="s">
        <v>43</v>
      </c>
      <c r="Z552">
        <v>4</v>
      </c>
      <c r="AA552">
        <v>16</v>
      </c>
      <c r="AB552">
        <v>25</v>
      </c>
    </row>
    <row r="553" spans="1:28">
      <c r="A553" t="str">
        <f t="shared" si="55"/>
        <v>2004AllSexAllEth21</v>
      </c>
      <c r="B553">
        <v>2004</v>
      </c>
      <c r="C553" t="s">
        <v>17</v>
      </c>
      <c r="D553" t="s">
        <v>27</v>
      </c>
      <c r="E553">
        <v>21</v>
      </c>
      <c r="F553">
        <v>6</v>
      </c>
      <c r="G553">
        <v>0.67226890756302504</v>
      </c>
      <c r="H553">
        <v>0.5</v>
      </c>
      <c r="J553" s="340" t="str">
        <f t="shared" si="56"/>
        <v>2014MaleAllEth195</v>
      </c>
      <c r="K553">
        <v>2014</v>
      </c>
      <c r="L553" t="s">
        <v>20</v>
      </c>
      <c r="M553" t="s">
        <v>27</v>
      </c>
      <c r="N553">
        <v>19</v>
      </c>
      <c r="O553">
        <v>5</v>
      </c>
      <c r="P553">
        <v>102</v>
      </c>
      <c r="Q553">
        <v>23.8597128321342</v>
      </c>
      <c r="R553">
        <v>4.5999999999999996</v>
      </c>
      <c r="T553" s="340" t="str">
        <f t="shared" si="57"/>
        <v>1998FemaleNon-Maori23Jumping from a high place</v>
      </c>
      <c r="U553">
        <v>1998</v>
      </c>
      <c r="V553" t="s">
        <v>8</v>
      </c>
      <c r="W553" t="s">
        <v>19</v>
      </c>
      <c r="X553">
        <v>23</v>
      </c>
      <c r="Y553" t="s">
        <v>44</v>
      </c>
      <c r="Z553">
        <v>3</v>
      </c>
      <c r="AA553">
        <v>47</v>
      </c>
      <c r="AB553">
        <v>6.4</v>
      </c>
    </row>
    <row r="554" spans="1:28">
      <c r="A554" t="str">
        <f t="shared" si="55"/>
        <v>2004AllSexAllEth22</v>
      </c>
      <c r="B554">
        <v>2004</v>
      </c>
      <c r="C554" t="s">
        <v>17</v>
      </c>
      <c r="D554" t="s">
        <v>27</v>
      </c>
      <c r="E554">
        <v>22</v>
      </c>
      <c r="F554">
        <v>114</v>
      </c>
      <c r="G554">
        <v>19.449941991401101</v>
      </c>
      <c r="H554">
        <v>3.6</v>
      </c>
      <c r="J554" s="340" t="str">
        <f t="shared" si="56"/>
        <v>2015MaleAllEth191</v>
      </c>
      <c r="K554">
        <v>2015</v>
      </c>
      <c r="L554" t="s">
        <v>20</v>
      </c>
      <c r="M554" t="s">
        <v>27</v>
      </c>
      <c r="N554">
        <v>19</v>
      </c>
      <c r="O554">
        <v>1</v>
      </c>
      <c r="P554">
        <v>59</v>
      </c>
      <c r="Q554">
        <v>12.2381526035751</v>
      </c>
      <c r="R554">
        <v>3.1</v>
      </c>
      <c r="T554" s="340" t="str">
        <f t="shared" si="57"/>
        <v>1998FemaleNon-Maori24Jumping from a high place</v>
      </c>
      <c r="U554">
        <v>1998</v>
      </c>
      <c r="V554" t="s">
        <v>8</v>
      </c>
      <c r="W554" t="s">
        <v>19</v>
      </c>
      <c r="X554">
        <v>24</v>
      </c>
      <c r="Y554" t="s">
        <v>44</v>
      </c>
      <c r="Z554">
        <v>1</v>
      </c>
      <c r="AA554">
        <v>22</v>
      </c>
      <c r="AB554">
        <v>4.5</v>
      </c>
    </row>
    <row r="555" spans="1:28">
      <c r="A555" t="str">
        <f t="shared" si="55"/>
        <v>2004AllSexAllEth23</v>
      </c>
      <c r="B555">
        <v>2004</v>
      </c>
      <c r="C555" t="s">
        <v>17</v>
      </c>
      <c r="D555" t="s">
        <v>27</v>
      </c>
      <c r="E555">
        <v>23</v>
      </c>
      <c r="F555">
        <v>201</v>
      </c>
      <c r="G555">
        <v>17.0137125444388</v>
      </c>
      <c r="H555">
        <v>2.4</v>
      </c>
      <c r="J555" s="340" t="str">
        <f t="shared" si="56"/>
        <v>2015MaleAllEth192</v>
      </c>
      <c r="K555">
        <v>2015</v>
      </c>
      <c r="L555" t="s">
        <v>20</v>
      </c>
      <c r="M555" t="s">
        <v>27</v>
      </c>
      <c r="N555">
        <v>19</v>
      </c>
      <c r="O555">
        <v>2</v>
      </c>
      <c r="P555">
        <v>71</v>
      </c>
      <c r="Q555">
        <v>13.9128564839435</v>
      </c>
      <c r="R555">
        <v>3.2</v>
      </c>
      <c r="T555" s="340" t="str">
        <f t="shared" si="57"/>
        <v>1998FemaleNon-Maori25Jumping from a high place</v>
      </c>
      <c r="U555">
        <v>1998</v>
      </c>
      <c r="V555" t="s">
        <v>8</v>
      </c>
      <c r="W555" t="s">
        <v>19</v>
      </c>
      <c r="X555">
        <v>25</v>
      </c>
      <c r="Y555" t="s">
        <v>44</v>
      </c>
      <c r="Z555">
        <v>1</v>
      </c>
      <c r="AA555">
        <v>16</v>
      </c>
      <c r="AB555">
        <v>6.2</v>
      </c>
    </row>
    <row r="556" spans="1:28">
      <c r="A556" t="str">
        <f t="shared" si="55"/>
        <v>2004AllSexAllEth24</v>
      </c>
      <c r="B556">
        <v>2004</v>
      </c>
      <c r="C556" t="s">
        <v>17</v>
      </c>
      <c r="D556" t="s">
        <v>27</v>
      </c>
      <c r="E556">
        <v>24</v>
      </c>
      <c r="F556">
        <v>118</v>
      </c>
      <c r="G556">
        <v>12.500662111340599</v>
      </c>
      <c r="H556">
        <v>2.2999999999999998</v>
      </c>
      <c r="J556" s="340" t="str">
        <f t="shared" si="56"/>
        <v>2015MaleAllEth193</v>
      </c>
      <c r="K556">
        <v>2015</v>
      </c>
      <c r="L556" t="s">
        <v>20</v>
      </c>
      <c r="M556" t="s">
        <v>27</v>
      </c>
      <c r="N556">
        <v>19</v>
      </c>
      <c r="O556">
        <v>3</v>
      </c>
      <c r="P556">
        <v>61</v>
      </c>
      <c r="Q556">
        <v>13.055623124427999</v>
      </c>
      <c r="R556">
        <v>3.3</v>
      </c>
      <c r="T556" s="340" t="str">
        <f t="shared" si="57"/>
        <v>1998FemaleNon-Maori22Other</v>
      </c>
      <c r="U556">
        <v>1998</v>
      </c>
      <c r="V556" t="s">
        <v>8</v>
      </c>
      <c r="W556" t="s">
        <v>19</v>
      </c>
      <c r="X556">
        <v>22</v>
      </c>
      <c r="Y556" t="s">
        <v>45</v>
      </c>
      <c r="Z556">
        <v>2</v>
      </c>
      <c r="AA556">
        <v>22</v>
      </c>
      <c r="AB556">
        <v>9.1</v>
      </c>
    </row>
    <row r="557" spans="1:28">
      <c r="A557" t="str">
        <f t="shared" si="55"/>
        <v>2004AllSexAllEth25</v>
      </c>
      <c r="B557">
        <v>2004</v>
      </c>
      <c r="C557" t="s">
        <v>17</v>
      </c>
      <c r="D557" t="s">
        <v>27</v>
      </c>
      <c r="E557">
        <v>25</v>
      </c>
      <c r="F557">
        <v>55</v>
      </c>
      <c r="G557">
        <v>11.345820612261701</v>
      </c>
      <c r="H557">
        <v>3</v>
      </c>
      <c r="J557" s="340" t="str">
        <f t="shared" si="56"/>
        <v>2015MaleAllEth194</v>
      </c>
      <c r="K557">
        <v>2015</v>
      </c>
      <c r="L557" t="s">
        <v>20</v>
      </c>
      <c r="M557" t="s">
        <v>27</v>
      </c>
      <c r="N557">
        <v>19</v>
      </c>
      <c r="O557">
        <v>4</v>
      </c>
      <c r="P557">
        <v>90</v>
      </c>
      <c r="Q557">
        <v>19.284999089191</v>
      </c>
      <c r="R557">
        <v>4</v>
      </c>
      <c r="T557" s="340" t="str">
        <f t="shared" si="57"/>
        <v>1998FemaleNon-Maori23Other</v>
      </c>
      <c r="U557">
        <v>1998</v>
      </c>
      <c r="V557" t="s">
        <v>8</v>
      </c>
      <c r="W557" t="s">
        <v>19</v>
      </c>
      <c r="X557">
        <v>23</v>
      </c>
      <c r="Y557" t="s">
        <v>45</v>
      </c>
      <c r="Z557">
        <v>1</v>
      </c>
      <c r="AA557">
        <v>47</v>
      </c>
      <c r="AB557">
        <v>2.1</v>
      </c>
    </row>
    <row r="558" spans="1:28">
      <c r="A558" t="str">
        <f t="shared" si="55"/>
        <v>2004AllSexMaori21</v>
      </c>
      <c r="B558">
        <v>2004</v>
      </c>
      <c r="C558" t="s">
        <v>17</v>
      </c>
      <c r="D558" t="s">
        <v>18</v>
      </c>
      <c r="E558">
        <v>21</v>
      </c>
      <c r="F558">
        <v>3</v>
      </c>
      <c r="G558">
        <v>1.3810247203424899</v>
      </c>
      <c r="H558">
        <v>1.6</v>
      </c>
      <c r="J558" s="340" t="str">
        <f t="shared" si="56"/>
        <v>2015MaleAllEth195</v>
      </c>
      <c r="K558">
        <v>2015</v>
      </c>
      <c r="L558" t="s">
        <v>20</v>
      </c>
      <c r="M558" t="s">
        <v>27</v>
      </c>
      <c r="N558">
        <v>19</v>
      </c>
      <c r="O558">
        <v>5</v>
      </c>
      <c r="P558">
        <v>98</v>
      </c>
      <c r="Q558">
        <v>22.636918747205399</v>
      </c>
      <c r="R558">
        <v>4.5</v>
      </c>
      <c r="T558" s="340" t="str">
        <f t="shared" si="57"/>
        <v>1998FemaleNon-Maori24Other</v>
      </c>
      <c r="U558">
        <v>1998</v>
      </c>
      <c r="V558" t="s">
        <v>8</v>
      </c>
      <c r="W558" t="s">
        <v>19</v>
      </c>
      <c r="X558">
        <v>24</v>
      </c>
      <c r="Y558" t="s">
        <v>45</v>
      </c>
      <c r="Z558">
        <v>1</v>
      </c>
      <c r="AA558">
        <v>22</v>
      </c>
      <c r="AB558">
        <v>4.5</v>
      </c>
    </row>
    <row r="559" spans="1:28">
      <c r="A559" t="str">
        <f t="shared" si="55"/>
        <v>2004AllSexMaori22</v>
      </c>
      <c r="B559">
        <v>2004</v>
      </c>
      <c r="C559" t="s">
        <v>17</v>
      </c>
      <c r="D559" t="s">
        <v>18</v>
      </c>
      <c r="E559">
        <v>22</v>
      </c>
      <c r="F559">
        <v>42</v>
      </c>
      <c r="G559">
        <v>37.732458898571601</v>
      </c>
      <c r="H559">
        <v>11.4</v>
      </c>
      <c r="J559" s="340" t="str">
        <f t="shared" si="56"/>
        <v>2016MaleAllEth191</v>
      </c>
      <c r="K559">
        <v>2016</v>
      </c>
      <c r="L559" t="s">
        <v>20</v>
      </c>
      <c r="M559" t="s">
        <v>27</v>
      </c>
      <c r="N559">
        <v>19</v>
      </c>
      <c r="O559">
        <v>1</v>
      </c>
      <c r="P559">
        <v>54</v>
      </c>
      <c r="Q559">
        <v>10.058569821738599</v>
      </c>
      <c r="R559">
        <v>2.7</v>
      </c>
      <c r="T559" s="340" t="str">
        <f t="shared" si="57"/>
        <v>1998FemaleNon-Maori25Other</v>
      </c>
      <c r="U559">
        <v>1998</v>
      </c>
      <c r="V559" t="s">
        <v>8</v>
      </c>
      <c r="W559" t="s">
        <v>19</v>
      </c>
      <c r="X559">
        <v>25</v>
      </c>
      <c r="Y559" t="s">
        <v>45</v>
      </c>
      <c r="Z559">
        <v>1</v>
      </c>
      <c r="AA559">
        <v>16</v>
      </c>
      <c r="AB559">
        <v>6.2</v>
      </c>
    </row>
    <row r="560" spans="1:28">
      <c r="A560" t="str">
        <f t="shared" si="55"/>
        <v>2004AllSexMaori23</v>
      </c>
      <c r="B560">
        <v>2004</v>
      </c>
      <c r="C560" t="s">
        <v>17</v>
      </c>
      <c r="D560" t="s">
        <v>18</v>
      </c>
      <c r="E560">
        <v>23</v>
      </c>
      <c r="F560">
        <v>55</v>
      </c>
      <c r="G560">
        <v>32.433069937492597</v>
      </c>
      <c r="H560">
        <v>8.6</v>
      </c>
      <c r="J560" s="340" t="str">
        <f t="shared" si="56"/>
        <v>2016MaleAllEth192</v>
      </c>
      <c r="K560">
        <v>2016</v>
      </c>
      <c r="L560" t="s">
        <v>20</v>
      </c>
      <c r="M560" t="s">
        <v>27</v>
      </c>
      <c r="N560">
        <v>19</v>
      </c>
      <c r="O560">
        <v>2</v>
      </c>
      <c r="P560">
        <v>61</v>
      </c>
      <c r="Q560">
        <v>11.818560868545401</v>
      </c>
      <c r="R560">
        <v>3</v>
      </c>
      <c r="T560" s="340" t="str">
        <f t="shared" si="57"/>
        <v>1998FemaleNon-Maori22Poisoning by gases and vapours</v>
      </c>
      <c r="U560">
        <v>1998</v>
      </c>
      <c r="V560" t="s">
        <v>8</v>
      </c>
      <c r="W560" t="s">
        <v>19</v>
      </c>
      <c r="X560">
        <v>22</v>
      </c>
      <c r="Y560" t="s">
        <v>46</v>
      </c>
      <c r="Z560">
        <v>2</v>
      </c>
      <c r="AA560">
        <v>22</v>
      </c>
      <c r="AB560">
        <v>9.1</v>
      </c>
    </row>
    <row r="561" spans="1:28">
      <c r="A561" t="str">
        <f t="shared" si="55"/>
        <v>2004AllSexMaori24</v>
      </c>
      <c r="B561">
        <v>2004</v>
      </c>
      <c r="C561" t="s">
        <v>17</v>
      </c>
      <c r="D561" t="s">
        <v>18</v>
      </c>
      <c r="E561">
        <v>24</v>
      </c>
      <c r="F561">
        <v>9</v>
      </c>
      <c r="G561">
        <v>10.058113544926201</v>
      </c>
      <c r="H561">
        <v>6.6</v>
      </c>
      <c r="J561" s="340" t="str">
        <f t="shared" si="56"/>
        <v>2016MaleAllEth193</v>
      </c>
      <c r="K561">
        <v>2016</v>
      </c>
      <c r="L561" t="s">
        <v>20</v>
      </c>
      <c r="M561" t="s">
        <v>27</v>
      </c>
      <c r="N561">
        <v>19</v>
      </c>
      <c r="O561">
        <v>3</v>
      </c>
      <c r="P561">
        <v>71</v>
      </c>
      <c r="Q561">
        <v>14.0212373132489</v>
      </c>
      <c r="R561">
        <v>3.3</v>
      </c>
      <c r="T561" s="340" t="str">
        <f t="shared" si="57"/>
        <v>1998FemaleNon-Maori23Poisoning by gases and vapours</v>
      </c>
      <c r="U561">
        <v>1998</v>
      </c>
      <c r="V561" t="s">
        <v>8</v>
      </c>
      <c r="W561" t="s">
        <v>19</v>
      </c>
      <c r="X561">
        <v>23</v>
      </c>
      <c r="Y561" t="s">
        <v>46</v>
      </c>
      <c r="Z561">
        <v>8</v>
      </c>
      <c r="AA561">
        <v>47</v>
      </c>
      <c r="AB561">
        <v>17</v>
      </c>
    </row>
    <row r="562" spans="1:28">
      <c r="A562" t="str">
        <f t="shared" si="55"/>
        <v>2004AllSexMaori25</v>
      </c>
      <c r="B562">
        <v>2004</v>
      </c>
      <c r="C562" t="s">
        <v>17</v>
      </c>
      <c r="D562" t="s">
        <v>18</v>
      </c>
      <c r="E562">
        <v>25</v>
      </c>
      <c r="F562">
        <v>2</v>
      </c>
      <c r="G562">
        <v>8.6805555555555607</v>
      </c>
      <c r="H562">
        <v>12</v>
      </c>
      <c r="J562" s="340" t="str">
        <f t="shared" si="56"/>
        <v>2016MaleAllEth194</v>
      </c>
      <c r="K562">
        <v>2016</v>
      </c>
      <c r="L562" t="s">
        <v>20</v>
      </c>
      <c r="M562" t="s">
        <v>27</v>
      </c>
      <c r="N562">
        <v>19</v>
      </c>
      <c r="O562">
        <v>4</v>
      </c>
      <c r="P562">
        <v>120</v>
      </c>
      <c r="Q562">
        <v>25.566757306723702</v>
      </c>
      <c r="R562">
        <v>4.5999999999999996</v>
      </c>
      <c r="T562" s="340" t="str">
        <f t="shared" si="57"/>
        <v>1998FemaleNon-Maori24Poisoning by gases and vapours</v>
      </c>
      <c r="U562">
        <v>1998</v>
      </c>
      <c r="V562" t="s">
        <v>8</v>
      </c>
      <c r="W562" t="s">
        <v>19</v>
      </c>
      <c r="X562">
        <v>24</v>
      </c>
      <c r="Y562" t="s">
        <v>46</v>
      </c>
      <c r="Z562">
        <v>7</v>
      </c>
      <c r="AA562">
        <v>22</v>
      </c>
      <c r="AB562">
        <v>31.8</v>
      </c>
    </row>
    <row r="563" spans="1:28">
      <c r="A563" t="str">
        <f t="shared" si="55"/>
        <v>2004AllSexNon-Maori21</v>
      </c>
      <c r="B563">
        <v>2004</v>
      </c>
      <c r="C563" t="s">
        <v>17</v>
      </c>
      <c r="D563" t="s">
        <v>19</v>
      </c>
      <c r="E563">
        <v>21</v>
      </c>
      <c r="F563">
        <v>3</v>
      </c>
      <c r="G563">
        <v>0.444266737749345</v>
      </c>
      <c r="H563">
        <v>0.5</v>
      </c>
      <c r="J563" s="340" t="str">
        <f t="shared" si="56"/>
        <v>2016MaleAllEth195</v>
      </c>
      <c r="K563">
        <v>2016</v>
      </c>
      <c r="L563" t="s">
        <v>20</v>
      </c>
      <c r="M563" t="s">
        <v>27</v>
      </c>
      <c r="N563">
        <v>19</v>
      </c>
      <c r="O563">
        <v>5</v>
      </c>
      <c r="P563">
        <v>105</v>
      </c>
      <c r="Q563">
        <v>23.8130206354015</v>
      </c>
      <c r="R563">
        <v>4.5999999999999996</v>
      </c>
      <c r="T563" s="340" t="str">
        <f t="shared" si="57"/>
        <v>1998FemaleNon-Maori25Poisoning by gases and vapours</v>
      </c>
      <c r="U563">
        <v>1998</v>
      </c>
      <c r="V563" t="s">
        <v>8</v>
      </c>
      <c r="W563" t="s">
        <v>19</v>
      </c>
      <c r="X563">
        <v>25</v>
      </c>
      <c r="Y563" t="s">
        <v>46</v>
      </c>
      <c r="Z563">
        <v>6</v>
      </c>
      <c r="AA563">
        <v>16</v>
      </c>
      <c r="AB563">
        <v>37.5</v>
      </c>
    </row>
    <row r="564" spans="1:28">
      <c r="A564" t="str">
        <f t="shared" si="55"/>
        <v>2004AllSexNon-Maori22</v>
      </c>
      <c r="B564">
        <v>2004</v>
      </c>
      <c r="C564" t="s">
        <v>17</v>
      </c>
      <c r="D564" t="s">
        <v>19</v>
      </c>
      <c r="E564">
        <v>22</v>
      </c>
      <c r="F564">
        <v>72</v>
      </c>
      <c r="G564">
        <v>15.163960320970499</v>
      </c>
      <c r="H564">
        <v>3.5</v>
      </c>
      <c r="J564" s="340" t="str">
        <f t="shared" si="56"/>
        <v>2001MaleMaori191</v>
      </c>
      <c r="K564">
        <v>2001</v>
      </c>
      <c r="L564" t="s">
        <v>20</v>
      </c>
      <c r="M564" t="s">
        <v>18</v>
      </c>
      <c r="N564">
        <v>19</v>
      </c>
      <c r="O564">
        <v>1</v>
      </c>
      <c r="P564">
        <v>1</v>
      </c>
      <c r="Q564">
        <v>4.2159221756742102</v>
      </c>
      <c r="R564">
        <v>8.3000000000000007</v>
      </c>
      <c r="T564" s="340" t="str">
        <f t="shared" si="57"/>
        <v>1998FemaleNon-Maori21Poisoning by solids and liquids</v>
      </c>
      <c r="U564">
        <v>1998</v>
      </c>
      <c r="V564" t="s">
        <v>8</v>
      </c>
      <c r="W564" t="s">
        <v>19</v>
      </c>
      <c r="X564">
        <v>21</v>
      </c>
      <c r="Y564" t="s">
        <v>47</v>
      </c>
      <c r="Z564">
        <v>1</v>
      </c>
      <c r="AA564">
        <v>1</v>
      </c>
      <c r="AB564">
        <v>100</v>
      </c>
    </row>
    <row r="565" spans="1:28">
      <c r="A565" t="str">
        <f t="shared" si="55"/>
        <v>2004AllSexNon-Maori23</v>
      </c>
      <c r="B565">
        <v>2004</v>
      </c>
      <c r="C565" t="s">
        <v>17</v>
      </c>
      <c r="D565" t="s">
        <v>19</v>
      </c>
      <c r="E565">
        <v>23</v>
      </c>
      <c r="F565">
        <v>146</v>
      </c>
      <c r="G565">
        <v>14.429443972248</v>
      </c>
      <c r="H565">
        <v>2.2999999999999998</v>
      </c>
      <c r="J565" s="340" t="str">
        <f t="shared" si="56"/>
        <v>2001MaleMaori192</v>
      </c>
      <c r="K565">
        <v>2001</v>
      </c>
      <c r="L565" t="s">
        <v>20</v>
      </c>
      <c r="M565" t="s">
        <v>18</v>
      </c>
      <c r="N565">
        <v>19</v>
      </c>
      <c r="O565">
        <v>2</v>
      </c>
      <c r="P565">
        <v>6</v>
      </c>
      <c r="Q565">
        <v>20.8491292461622</v>
      </c>
      <c r="R565">
        <v>16.7</v>
      </c>
      <c r="T565" s="340" t="str">
        <f t="shared" si="57"/>
        <v>1998FemaleNon-Maori22Poisoning by solids and liquids</v>
      </c>
      <c r="U565">
        <v>1998</v>
      </c>
      <c r="V565" t="s">
        <v>8</v>
      </c>
      <c r="W565" t="s">
        <v>19</v>
      </c>
      <c r="X565">
        <v>22</v>
      </c>
      <c r="Y565" t="s">
        <v>47</v>
      </c>
      <c r="Z565">
        <v>6</v>
      </c>
      <c r="AA565">
        <v>22</v>
      </c>
      <c r="AB565">
        <v>27.3</v>
      </c>
    </row>
    <row r="566" spans="1:28">
      <c r="A566" t="str">
        <f t="shared" si="55"/>
        <v>2004AllSexNon-Maori24</v>
      </c>
      <c r="B566">
        <v>2004</v>
      </c>
      <c r="C566" t="s">
        <v>17</v>
      </c>
      <c r="D566" t="s">
        <v>19</v>
      </c>
      <c r="E566">
        <v>24</v>
      </c>
      <c r="F566">
        <v>109</v>
      </c>
      <c r="G566">
        <v>12.756445515933899</v>
      </c>
      <c r="H566">
        <v>2.4</v>
      </c>
      <c r="J566" s="340" t="str">
        <f t="shared" si="56"/>
        <v>2001MaleMaori193</v>
      </c>
      <c r="K566">
        <v>2001</v>
      </c>
      <c r="L566" t="s">
        <v>20</v>
      </c>
      <c r="M566" t="s">
        <v>18</v>
      </c>
      <c r="N566">
        <v>19</v>
      </c>
      <c r="O566">
        <v>3</v>
      </c>
      <c r="P566">
        <v>9</v>
      </c>
      <c r="Q566">
        <v>18.309193086759201</v>
      </c>
      <c r="R566">
        <v>12</v>
      </c>
      <c r="T566" s="340" t="str">
        <f t="shared" si="57"/>
        <v>1998FemaleNon-Maori23Poisoning by solids and liquids</v>
      </c>
      <c r="U566">
        <v>1998</v>
      </c>
      <c r="V566" t="s">
        <v>8</v>
      </c>
      <c r="W566" t="s">
        <v>19</v>
      </c>
      <c r="X566">
        <v>23</v>
      </c>
      <c r="Y566" t="s">
        <v>47</v>
      </c>
      <c r="Z566">
        <v>7</v>
      </c>
      <c r="AA566">
        <v>47</v>
      </c>
      <c r="AB566">
        <v>14.9</v>
      </c>
    </row>
    <row r="567" spans="1:28">
      <c r="A567" t="str">
        <f t="shared" si="55"/>
        <v>2004AllSexNon-Maori25</v>
      </c>
      <c r="B567">
        <v>2004</v>
      </c>
      <c r="C567" t="s">
        <v>17</v>
      </c>
      <c r="D567" t="s">
        <v>19</v>
      </c>
      <c r="E567">
        <v>25</v>
      </c>
      <c r="F567">
        <v>53</v>
      </c>
      <c r="G567">
        <v>11.478818331456299</v>
      </c>
      <c r="H567">
        <v>3.1</v>
      </c>
      <c r="J567" s="340" t="str">
        <f t="shared" si="56"/>
        <v>2001MaleMaori194</v>
      </c>
      <c r="K567">
        <v>2001</v>
      </c>
      <c r="L567" t="s">
        <v>20</v>
      </c>
      <c r="M567" t="s">
        <v>18</v>
      </c>
      <c r="N567">
        <v>19</v>
      </c>
      <c r="O567">
        <v>4</v>
      </c>
      <c r="P567">
        <v>12</v>
      </c>
      <c r="Q567">
        <v>17.609200913076201</v>
      </c>
      <c r="R567">
        <v>10</v>
      </c>
      <c r="T567" s="340" t="str">
        <f t="shared" si="57"/>
        <v>1998FemaleNon-Maori24Poisoning by solids and liquids</v>
      </c>
      <c r="U567">
        <v>1998</v>
      </c>
      <c r="V567" t="s">
        <v>8</v>
      </c>
      <c r="W567" t="s">
        <v>19</v>
      </c>
      <c r="X567">
        <v>24</v>
      </c>
      <c r="Y567" t="s">
        <v>47</v>
      </c>
      <c r="Z567">
        <v>9</v>
      </c>
      <c r="AA567">
        <v>22</v>
      </c>
      <c r="AB567">
        <v>40.9</v>
      </c>
    </row>
    <row r="568" spans="1:28">
      <c r="A568" t="str">
        <f t="shared" si="55"/>
        <v>2004FemaleAllEth21</v>
      </c>
      <c r="B568">
        <v>2004</v>
      </c>
      <c r="C568" t="s">
        <v>8</v>
      </c>
      <c r="D568" t="s">
        <v>27</v>
      </c>
      <c r="E568">
        <v>21</v>
      </c>
      <c r="F568">
        <v>2</v>
      </c>
      <c r="G568">
        <v>0.45969614085089799</v>
      </c>
      <c r="H568">
        <v>0.6</v>
      </c>
      <c r="J568" s="340" t="str">
        <f t="shared" si="56"/>
        <v>2001MaleMaori195</v>
      </c>
      <c r="K568">
        <v>2001</v>
      </c>
      <c r="L568" t="s">
        <v>20</v>
      </c>
      <c r="M568" t="s">
        <v>18</v>
      </c>
      <c r="N568">
        <v>19</v>
      </c>
      <c r="O568">
        <v>5</v>
      </c>
      <c r="P568">
        <v>26</v>
      </c>
      <c r="Q568">
        <v>26.609530931243999</v>
      </c>
      <c r="R568">
        <v>10.199999999999999</v>
      </c>
      <c r="T568" s="340" t="str">
        <f t="shared" si="57"/>
        <v>1998FemaleNon-Maori25Poisoning by solids and liquids</v>
      </c>
      <c r="U568">
        <v>1998</v>
      </c>
      <c r="V568" t="s">
        <v>8</v>
      </c>
      <c r="W568" t="s">
        <v>19</v>
      </c>
      <c r="X568">
        <v>25</v>
      </c>
      <c r="Y568" t="s">
        <v>47</v>
      </c>
      <c r="Z568">
        <v>3</v>
      </c>
      <c r="AA568">
        <v>16</v>
      </c>
      <c r="AB568">
        <v>18.8</v>
      </c>
    </row>
    <row r="569" spans="1:28">
      <c r="A569" t="str">
        <f t="shared" si="55"/>
        <v>2004FemaleAllEth22</v>
      </c>
      <c r="B569">
        <v>2004</v>
      </c>
      <c r="C569" t="s">
        <v>8</v>
      </c>
      <c r="D569" t="s">
        <v>27</v>
      </c>
      <c r="E569">
        <v>22</v>
      </c>
      <c r="F569">
        <v>31</v>
      </c>
      <c r="G569">
        <v>10.711447427525</v>
      </c>
      <c r="H569">
        <v>3.8</v>
      </c>
      <c r="J569" s="340" t="str">
        <f t="shared" si="56"/>
        <v>2002MaleMaori191</v>
      </c>
      <c r="K569">
        <v>2002</v>
      </c>
      <c r="L569" t="s">
        <v>20</v>
      </c>
      <c r="M569" t="s">
        <v>18</v>
      </c>
      <c r="N569">
        <v>19</v>
      </c>
      <c r="O569">
        <v>1</v>
      </c>
      <c r="P569">
        <v>3</v>
      </c>
      <c r="Q569">
        <v>12.063584586405099</v>
      </c>
      <c r="R569">
        <v>13.7</v>
      </c>
      <c r="T569" s="340" t="str">
        <f t="shared" si="57"/>
        <v>1998FemaleNon-Maori24Sharp object</v>
      </c>
      <c r="U569">
        <v>1998</v>
      </c>
      <c r="V569" t="s">
        <v>8</v>
      </c>
      <c r="W569" t="s">
        <v>19</v>
      </c>
      <c r="X569">
        <v>24</v>
      </c>
      <c r="Y569" t="s">
        <v>48</v>
      </c>
      <c r="Z569">
        <v>1</v>
      </c>
      <c r="AA569">
        <v>22</v>
      </c>
      <c r="AB569">
        <v>4.5</v>
      </c>
    </row>
    <row r="570" spans="1:28">
      <c r="A570" t="str">
        <f t="shared" si="55"/>
        <v>2004FemaleAllEth23</v>
      </c>
      <c r="B570">
        <v>2004</v>
      </c>
      <c r="C570" t="s">
        <v>8</v>
      </c>
      <c r="D570" t="s">
        <v>27</v>
      </c>
      <c r="E570">
        <v>23</v>
      </c>
      <c r="F570">
        <v>40</v>
      </c>
      <c r="G570">
        <v>6.5392600827216398</v>
      </c>
      <c r="H570">
        <v>2</v>
      </c>
      <c r="J570" s="340" t="str">
        <f t="shared" si="56"/>
        <v>2002MaleMaori192</v>
      </c>
      <c r="K570">
        <v>2002</v>
      </c>
      <c r="L570" t="s">
        <v>20</v>
      </c>
      <c r="M570" t="s">
        <v>18</v>
      </c>
      <c r="N570">
        <v>19</v>
      </c>
      <c r="O570">
        <v>2</v>
      </c>
      <c r="P570">
        <v>7</v>
      </c>
      <c r="Q570">
        <v>21.721829456289001</v>
      </c>
      <c r="R570">
        <v>16.100000000000001</v>
      </c>
      <c r="T570" s="340" t="str">
        <f t="shared" si="57"/>
        <v>1998FemaleNon-Maori23Submersion (drowning)</v>
      </c>
      <c r="U570">
        <v>1998</v>
      </c>
      <c r="V570" t="s">
        <v>8</v>
      </c>
      <c r="W570" t="s">
        <v>19</v>
      </c>
      <c r="X570">
        <v>23</v>
      </c>
      <c r="Y570" t="s">
        <v>49</v>
      </c>
      <c r="Z570">
        <v>1</v>
      </c>
      <c r="AA570">
        <v>47</v>
      </c>
      <c r="AB570">
        <v>2.1</v>
      </c>
    </row>
    <row r="571" spans="1:28">
      <c r="A571" t="str">
        <f t="shared" si="55"/>
        <v>2004FemaleAllEth24</v>
      </c>
      <c r="B571">
        <v>2004</v>
      </c>
      <c r="C571" t="s">
        <v>8</v>
      </c>
      <c r="D571" t="s">
        <v>27</v>
      </c>
      <c r="E571">
        <v>24</v>
      </c>
      <c r="F571">
        <v>30</v>
      </c>
      <c r="G571">
        <v>6.2768071974055903</v>
      </c>
      <c r="H571">
        <v>2.2000000000000002</v>
      </c>
      <c r="J571" s="340" t="str">
        <f t="shared" si="56"/>
        <v>2002MaleMaori193</v>
      </c>
      <c r="K571">
        <v>2002</v>
      </c>
      <c r="L571" t="s">
        <v>20</v>
      </c>
      <c r="M571" t="s">
        <v>18</v>
      </c>
      <c r="N571">
        <v>19</v>
      </c>
      <c r="O571">
        <v>3</v>
      </c>
      <c r="P571">
        <v>5</v>
      </c>
      <c r="Q571">
        <v>10.1304481416764</v>
      </c>
      <c r="R571">
        <v>8.9</v>
      </c>
      <c r="T571" s="340" t="str">
        <f t="shared" si="57"/>
        <v>1998FemaleNon-Maori24Submersion (drowning)</v>
      </c>
      <c r="U571">
        <v>1998</v>
      </c>
      <c r="V571" t="s">
        <v>8</v>
      </c>
      <c r="W571" t="s">
        <v>19</v>
      </c>
      <c r="X571">
        <v>24</v>
      </c>
      <c r="Y571" t="s">
        <v>49</v>
      </c>
      <c r="Z571">
        <v>1</v>
      </c>
      <c r="AA571">
        <v>22</v>
      </c>
      <c r="AB571">
        <v>4.5</v>
      </c>
    </row>
    <row r="572" spans="1:28">
      <c r="A572" t="str">
        <f t="shared" si="55"/>
        <v>2004FemaleAllEth25</v>
      </c>
      <c r="B572">
        <v>2004</v>
      </c>
      <c r="C572" t="s">
        <v>8</v>
      </c>
      <c r="D572" t="s">
        <v>27</v>
      </c>
      <c r="E572">
        <v>25</v>
      </c>
      <c r="F572">
        <v>9</v>
      </c>
      <c r="G572">
        <v>3.33123588851464</v>
      </c>
      <c r="H572">
        <v>2.2000000000000002</v>
      </c>
      <c r="J572" s="340" t="str">
        <f t="shared" si="56"/>
        <v>2002MaleMaori194</v>
      </c>
      <c r="K572">
        <v>2002</v>
      </c>
      <c r="L572" t="s">
        <v>20</v>
      </c>
      <c r="M572" t="s">
        <v>18</v>
      </c>
      <c r="N572">
        <v>19</v>
      </c>
      <c r="O572">
        <v>4</v>
      </c>
      <c r="P572">
        <v>15</v>
      </c>
      <c r="Q572">
        <v>24.989534818154901</v>
      </c>
      <c r="R572">
        <v>12.6</v>
      </c>
      <c r="T572" s="340" t="str">
        <f t="shared" si="57"/>
        <v>1998FemaleNon-Maori25Submersion (drowning)</v>
      </c>
      <c r="U572">
        <v>1998</v>
      </c>
      <c r="V572" t="s">
        <v>8</v>
      </c>
      <c r="W572" t="s">
        <v>19</v>
      </c>
      <c r="X572">
        <v>25</v>
      </c>
      <c r="Y572" t="s">
        <v>49</v>
      </c>
      <c r="Z572">
        <v>1</v>
      </c>
      <c r="AA572">
        <v>16</v>
      </c>
      <c r="AB572">
        <v>6.2</v>
      </c>
    </row>
    <row r="573" spans="1:28">
      <c r="A573" t="str">
        <f t="shared" si="55"/>
        <v>2004FemaleMaori21</v>
      </c>
      <c r="B573">
        <v>2004</v>
      </c>
      <c r="C573" t="s">
        <v>8</v>
      </c>
      <c r="D573" t="s">
        <v>18</v>
      </c>
      <c r="E573">
        <v>21</v>
      </c>
      <c r="F573">
        <v>1</v>
      </c>
      <c r="G573">
        <v>0.94652153336488398</v>
      </c>
      <c r="H573">
        <v>1.9</v>
      </c>
      <c r="J573" s="340" t="str">
        <f t="shared" si="56"/>
        <v>2002MaleMaori195</v>
      </c>
      <c r="K573">
        <v>2002</v>
      </c>
      <c r="L573" t="s">
        <v>20</v>
      </c>
      <c r="M573" t="s">
        <v>18</v>
      </c>
      <c r="N573">
        <v>19</v>
      </c>
      <c r="O573">
        <v>5</v>
      </c>
      <c r="P573">
        <v>24</v>
      </c>
      <c r="Q573">
        <v>22.271678656913501</v>
      </c>
      <c r="R573">
        <v>8.9</v>
      </c>
      <c r="T573" s="340" t="str">
        <f t="shared" si="57"/>
        <v>1998MaleAllEth22Firearms and explosives</v>
      </c>
      <c r="U573">
        <v>1998</v>
      </c>
      <c r="V573" t="s">
        <v>20</v>
      </c>
      <c r="W573" t="s">
        <v>27</v>
      </c>
      <c r="X573">
        <v>22</v>
      </c>
      <c r="Y573" t="s">
        <v>42</v>
      </c>
      <c r="Z573">
        <v>15</v>
      </c>
      <c r="AA573">
        <v>104</v>
      </c>
      <c r="AB573">
        <v>14.4</v>
      </c>
    </row>
    <row r="574" spans="1:28">
      <c r="A574" t="str">
        <f t="shared" si="55"/>
        <v>2004FemaleMaori22</v>
      </c>
      <c r="B574">
        <v>2004</v>
      </c>
      <c r="C574" t="s">
        <v>8</v>
      </c>
      <c r="D574" t="s">
        <v>18</v>
      </c>
      <c r="E574">
        <v>22</v>
      </c>
      <c r="F574">
        <v>14</v>
      </c>
      <c r="G574">
        <v>24.857954545454501</v>
      </c>
      <c r="H574">
        <v>13</v>
      </c>
      <c r="J574" s="340" t="str">
        <f t="shared" si="56"/>
        <v>2003MaleMaori191</v>
      </c>
      <c r="K574">
        <v>2003</v>
      </c>
      <c r="L574" t="s">
        <v>20</v>
      </c>
      <c r="M574" t="s">
        <v>18</v>
      </c>
      <c r="N574">
        <v>19</v>
      </c>
      <c r="O574">
        <v>1</v>
      </c>
      <c r="P574">
        <v>3</v>
      </c>
      <c r="Q574">
        <v>13.685970096828999</v>
      </c>
      <c r="R574">
        <v>15.5</v>
      </c>
      <c r="T574" s="340" t="str">
        <f t="shared" si="57"/>
        <v>1998MaleAllEth23Firearms and explosives</v>
      </c>
      <c r="U574">
        <v>1998</v>
      </c>
      <c r="V574" t="s">
        <v>20</v>
      </c>
      <c r="W574" t="s">
        <v>27</v>
      </c>
      <c r="X574">
        <v>23</v>
      </c>
      <c r="Y574" t="s">
        <v>42</v>
      </c>
      <c r="Z574">
        <v>22</v>
      </c>
      <c r="AA574">
        <v>195</v>
      </c>
      <c r="AB574">
        <v>11.3</v>
      </c>
    </row>
    <row r="575" spans="1:28">
      <c r="A575" t="str">
        <f t="shared" si="55"/>
        <v>2004FemaleMaori23</v>
      </c>
      <c r="B575">
        <v>2004</v>
      </c>
      <c r="C575" t="s">
        <v>8</v>
      </c>
      <c r="D575" t="s">
        <v>18</v>
      </c>
      <c r="E575">
        <v>23</v>
      </c>
      <c r="F575">
        <v>11</v>
      </c>
      <c r="G575">
        <v>12.279526680062499</v>
      </c>
      <c r="H575">
        <v>7.3</v>
      </c>
      <c r="J575" s="340" t="str">
        <f t="shared" si="56"/>
        <v>2003MaleMaori192</v>
      </c>
      <c r="K575">
        <v>2003</v>
      </c>
      <c r="L575" t="s">
        <v>20</v>
      </c>
      <c r="M575" t="s">
        <v>18</v>
      </c>
      <c r="N575">
        <v>19</v>
      </c>
      <c r="O575">
        <v>2</v>
      </c>
      <c r="P575">
        <v>4</v>
      </c>
      <c r="Q575">
        <v>11.730664092039399</v>
      </c>
      <c r="R575">
        <v>11.5</v>
      </c>
      <c r="T575" s="340" t="str">
        <f t="shared" si="57"/>
        <v>1998MaleAllEth24Firearms and explosives</v>
      </c>
      <c r="U575">
        <v>1998</v>
      </c>
      <c r="V575" t="s">
        <v>20</v>
      </c>
      <c r="W575" t="s">
        <v>27</v>
      </c>
      <c r="X575">
        <v>24</v>
      </c>
      <c r="Y575" t="s">
        <v>42</v>
      </c>
      <c r="Z575">
        <v>27</v>
      </c>
      <c r="AA575">
        <v>90</v>
      </c>
      <c r="AB575">
        <v>30</v>
      </c>
    </row>
    <row r="576" spans="1:28">
      <c r="A576" t="str">
        <f t="shared" si="55"/>
        <v>2004FemaleMaori24</v>
      </c>
      <c r="B576">
        <v>2004</v>
      </c>
      <c r="C576" t="s">
        <v>8</v>
      </c>
      <c r="D576" t="s">
        <v>18</v>
      </c>
      <c r="E576">
        <v>24</v>
      </c>
      <c r="F576">
        <v>2</v>
      </c>
      <c r="G576">
        <v>4.3215211754537597</v>
      </c>
      <c r="H576">
        <v>6</v>
      </c>
      <c r="J576" s="340" t="str">
        <f t="shared" si="56"/>
        <v>2003MaleMaori193</v>
      </c>
      <c r="K576">
        <v>2003</v>
      </c>
      <c r="L576" t="s">
        <v>20</v>
      </c>
      <c r="M576" t="s">
        <v>18</v>
      </c>
      <c r="N576">
        <v>19</v>
      </c>
      <c r="O576">
        <v>3</v>
      </c>
      <c r="P576">
        <v>14</v>
      </c>
      <c r="Q576">
        <v>28.024576551723001</v>
      </c>
      <c r="R576">
        <v>14.7</v>
      </c>
      <c r="T576" s="340" t="str">
        <f t="shared" si="57"/>
        <v>1998MaleAllEth25Firearms and explosives</v>
      </c>
      <c r="U576">
        <v>1998</v>
      </c>
      <c r="V576" t="s">
        <v>20</v>
      </c>
      <c r="W576" t="s">
        <v>27</v>
      </c>
      <c r="X576">
        <v>25</v>
      </c>
      <c r="Y576" t="s">
        <v>42</v>
      </c>
      <c r="Z576">
        <v>7</v>
      </c>
      <c r="AA576">
        <v>48</v>
      </c>
      <c r="AB576">
        <v>14.6</v>
      </c>
    </row>
    <row r="577" spans="1:28">
      <c r="A577" t="str">
        <f t="shared" si="55"/>
        <v>2004FemaleMaori25</v>
      </c>
      <c r="B577">
        <v>2004</v>
      </c>
      <c r="C577" t="s">
        <v>8</v>
      </c>
      <c r="D577" t="s">
        <v>18</v>
      </c>
      <c r="E577">
        <v>25</v>
      </c>
      <c r="F577">
        <v>0</v>
      </c>
      <c r="G577">
        <v>0</v>
      </c>
      <c r="J577" s="340" t="str">
        <f t="shared" si="56"/>
        <v>2003MaleMaori194</v>
      </c>
      <c r="K577">
        <v>2003</v>
      </c>
      <c r="L577" t="s">
        <v>20</v>
      </c>
      <c r="M577" t="s">
        <v>18</v>
      </c>
      <c r="N577">
        <v>19</v>
      </c>
      <c r="O577">
        <v>4</v>
      </c>
      <c r="P577">
        <v>14</v>
      </c>
      <c r="Q577">
        <v>20.519137857722502</v>
      </c>
      <c r="R577">
        <v>10.7</v>
      </c>
      <c r="T577" s="340" t="str">
        <f t="shared" si="57"/>
        <v>1998MaleAllEth21Hanging, strangulation and suffocation</v>
      </c>
      <c r="U577">
        <v>1998</v>
      </c>
      <c r="V577" t="s">
        <v>20</v>
      </c>
      <c r="W577" t="s">
        <v>27</v>
      </c>
      <c r="X577">
        <v>21</v>
      </c>
      <c r="Y577" t="s">
        <v>43</v>
      </c>
      <c r="Z577">
        <v>8</v>
      </c>
      <c r="AA577">
        <v>8</v>
      </c>
      <c r="AB577">
        <v>100</v>
      </c>
    </row>
    <row r="578" spans="1:28">
      <c r="A578" t="str">
        <f t="shared" si="55"/>
        <v>2004FemaleNon-Maori21</v>
      </c>
      <c r="B578">
        <v>2004</v>
      </c>
      <c r="C578" t="s">
        <v>8</v>
      </c>
      <c r="D578" t="s">
        <v>19</v>
      </c>
      <c r="E578">
        <v>21</v>
      </c>
      <c r="F578">
        <v>1</v>
      </c>
      <c r="G578">
        <v>0.30356383947544202</v>
      </c>
      <c r="H578">
        <v>0.6</v>
      </c>
      <c r="J578" s="340" t="str">
        <f t="shared" si="56"/>
        <v>2003MaleMaori195</v>
      </c>
      <c r="K578">
        <v>2003</v>
      </c>
      <c r="L578" t="s">
        <v>20</v>
      </c>
      <c r="M578" t="s">
        <v>18</v>
      </c>
      <c r="N578">
        <v>19</v>
      </c>
      <c r="O578">
        <v>5</v>
      </c>
      <c r="P578">
        <v>30</v>
      </c>
      <c r="Q578">
        <v>26.426577062394699</v>
      </c>
      <c r="R578">
        <v>9.5</v>
      </c>
      <c r="T578" s="340" t="str">
        <f t="shared" si="57"/>
        <v>1998MaleAllEth22Hanging, strangulation and suffocation</v>
      </c>
      <c r="U578">
        <v>1998</v>
      </c>
      <c r="V578" t="s">
        <v>20</v>
      </c>
      <c r="W578" t="s">
        <v>27</v>
      </c>
      <c r="X578">
        <v>22</v>
      </c>
      <c r="Y578" t="s">
        <v>43</v>
      </c>
      <c r="Z578">
        <v>53</v>
      </c>
      <c r="AA578">
        <v>104</v>
      </c>
      <c r="AB578">
        <v>51</v>
      </c>
    </row>
    <row r="579" spans="1:28">
      <c r="A579" t="str">
        <f t="shared" si="55"/>
        <v>2004FemaleNon-Maori22</v>
      </c>
      <c r="B579">
        <v>2004</v>
      </c>
      <c r="C579" t="s">
        <v>8</v>
      </c>
      <c r="D579" t="s">
        <v>19</v>
      </c>
      <c r="E579">
        <v>22</v>
      </c>
      <c r="F579">
        <v>17</v>
      </c>
      <c r="G579">
        <v>7.2933201767557598</v>
      </c>
      <c r="H579">
        <v>3.5</v>
      </c>
      <c r="J579" s="340" t="str">
        <f t="shared" si="56"/>
        <v>2004MaleMaori191</v>
      </c>
      <c r="K579">
        <v>2004</v>
      </c>
      <c r="L579" t="s">
        <v>20</v>
      </c>
      <c r="M579" t="s">
        <v>18</v>
      </c>
      <c r="N579">
        <v>19</v>
      </c>
      <c r="O579">
        <v>1</v>
      </c>
      <c r="P579">
        <v>2</v>
      </c>
      <c r="Q579">
        <v>7.6580081112988196</v>
      </c>
      <c r="R579">
        <v>10.6</v>
      </c>
      <c r="T579" s="340" t="str">
        <f t="shared" si="57"/>
        <v>1998MaleAllEth23Hanging, strangulation and suffocation</v>
      </c>
      <c r="U579">
        <v>1998</v>
      </c>
      <c r="V579" t="s">
        <v>20</v>
      </c>
      <c r="W579" t="s">
        <v>27</v>
      </c>
      <c r="X579">
        <v>23</v>
      </c>
      <c r="Y579" t="s">
        <v>43</v>
      </c>
      <c r="Z579">
        <v>89</v>
      </c>
      <c r="AA579">
        <v>195</v>
      </c>
      <c r="AB579">
        <v>45.6</v>
      </c>
    </row>
    <row r="580" spans="1:28">
      <c r="A580" t="str">
        <f t="shared" ref="A580:A643" si="58">B580&amp;C580&amp;D580&amp;E580</f>
        <v>2004FemaleNon-Maori23</v>
      </c>
      <c r="B580">
        <v>2004</v>
      </c>
      <c r="C580" t="s">
        <v>8</v>
      </c>
      <c r="D580" t="s">
        <v>19</v>
      </c>
      <c r="E580">
        <v>23</v>
      </c>
      <c r="F580">
        <v>29</v>
      </c>
      <c r="G580">
        <v>5.5543850912642903</v>
      </c>
      <c r="H580">
        <v>2</v>
      </c>
      <c r="J580" s="340" t="str">
        <f t="shared" ref="J580:J643" si="59">K580&amp;L580&amp;M580&amp;N580&amp;O580</f>
        <v>2004MaleMaori192</v>
      </c>
      <c r="K580">
        <v>2004</v>
      </c>
      <c r="L580" t="s">
        <v>20</v>
      </c>
      <c r="M580" t="s">
        <v>18</v>
      </c>
      <c r="N580">
        <v>19</v>
      </c>
      <c r="O580">
        <v>2</v>
      </c>
      <c r="P580">
        <v>8</v>
      </c>
      <c r="Q580">
        <v>25.179207442834901</v>
      </c>
      <c r="R580">
        <v>17.399999999999999</v>
      </c>
      <c r="T580" s="340" t="str">
        <f t="shared" si="57"/>
        <v>1998MaleAllEth24Hanging, strangulation and suffocation</v>
      </c>
      <c r="U580">
        <v>1998</v>
      </c>
      <c r="V580" t="s">
        <v>20</v>
      </c>
      <c r="W580" t="s">
        <v>27</v>
      </c>
      <c r="X580">
        <v>24</v>
      </c>
      <c r="Y580" t="s">
        <v>43</v>
      </c>
      <c r="Z580">
        <v>25</v>
      </c>
      <c r="AA580">
        <v>90</v>
      </c>
      <c r="AB580">
        <v>27.8</v>
      </c>
    </row>
    <row r="581" spans="1:28">
      <c r="A581" t="str">
        <f t="shared" si="58"/>
        <v>2004FemaleNon-Maori24</v>
      </c>
      <c r="B581">
        <v>2004</v>
      </c>
      <c r="C581" t="s">
        <v>8</v>
      </c>
      <c r="D581" t="s">
        <v>19</v>
      </c>
      <c r="E581">
        <v>24</v>
      </c>
      <c r="F581">
        <v>28</v>
      </c>
      <c r="G581">
        <v>6.4864363981745301</v>
      </c>
      <c r="H581">
        <v>2.4</v>
      </c>
      <c r="J581" s="340" t="str">
        <f t="shared" si="59"/>
        <v>2004MaleMaori193</v>
      </c>
      <c r="K581">
        <v>2004</v>
      </c>
      <c r="L581" t="s">
        <v>20</v>
      </c>
      <c r="M581" t="s">
        <v>18</v>
      </c>
      <c r="N581">
        <v>19</v>
      </c>
      <c r="O581">
        <v>3</v>
      </c>
      <c r="P581">
        <v>6</v>
      </c>
      <c r="Q581">
        <v>11.7648338720465</v>
      </c>
      <c r="R581">
        <v>9.4</v>
      </c>
      <c r="T581" s="340" t="str">
        <f t="shared" ref="T581:T644" si="60">U581&amp;V581&amp;W581&amp;X581&amp;Y581</f>
        <v>1998MaleAllEth25Hanging, strangulation and suffocation</v>
      </c>
      <c r="U581">
        <v>1998</v>
      </c>
      <c r="V581" t="s">
        <v>20</v>
      </c>
      <c r="W581" t="s">
        <v>27</v>
      </c>
      <c r="X581">
        <v>25</v>
      </c>
      <c r="Y581" t="s">
        <v>43</v>
      </c>
      <c r="Z581">
        <v>14</v>
      </c>
      <c r="AA581">
        <v>48</v>
      </c>
      <c r="AB581">
        <v>29.2</v>
      </c>
    </row>
    <row r="582" spans="1:28">
      <c r="A582" t="str">
        <f t="shared" si="58"/>
        <v>2004FemaleNon-Maori25</v>
      </c>
      <c r="B582">
        <v>2004</v>
      </c>
      <c r="C582" t="s">
        <v>8</v>
      </c>
      <c r="D582" t="s">
        <v>19</v>
      </c>
      <c r="E582">
        <v>25</v>
      </c>
      <c r="F582">
        <v>9</v>
      </c>
      <c r="G582">
        <v>3.49473847707063</v>
      </c>
      <c r="H582">
        <v>2.2999999999999998</v>
      </c>
      <c r="J582" s="340" t="str">
        <f t="shared" si="59"/>
        <v>2004MaleMaori194</v>
      </c>
      <c r="K582">
        <v>2004</v>
      </c>
      <c r="L582" t="s">
        <v>20</v>
      </c>
      <c r="M582" t="s">
        <v>18</v>
      </c>
      <c r="N582">
        <v>19</v>
      </c>
      <c r="O582">
        <v>4</v>
      </c>
      <c r="P582">
        <v>23</v>
      </c>
      <c r="Q582">
        <v>35.083602009879499</v>
      </c>
      <c r="R582">
        <v>14.3</v>
      </c>
      <c r="T582" s="340" t="str">
        <f t="shared" si="60"/>
        <v>1998MaleAllEth22Jumping from a high place</v>
      </c>
      <c r="U582">
        <v>1998</v>
      </c>
      <c r="V582" t="s">
        <v>20</v>
      </c>
      <c r="W582" t="s">
        <v>27</v>
      </c>
      <c r="X582">
        <v>22</v>
      </c>
      <c r="Y582" t="s">
        <v>44</v>
      </c>
      <c r="Z582">
        <v>7</v>
      </c>
      <c r="AA582">
        <v>104</v>
      </c>
      <c r="AB582">
        <v>6.7</v>
      </c>
    </row>
    <row r="583" spans="1:28">
      <c r="A583" t="str">
        <f t="shared" si="58"/>
        <v>2004MaleAllEth21</v>
      </c>
      <c r="B583">
        <v>2004</v>
      </c>
      <c r="C583" t="s">
        <v>20</v>
      </c>
      <c r="D583" t="s">
        <v>27</v>
      </c>
      <c r="E583">
        <v>21</v>
      </c>
      <c r="F583">
        <v>4</v>
      </c>
      <c r="G583">
        <v>0.87446985265182997</v>
      </c>
      <c r="H583">
        <v>0.9</v>
      </c>
      <c r="J583" s="340" t="str">
        <f t="shared" si="59"/>
        <v>2004MaleMaori195</v>
      </c>
      <c r="K583">
        <v>2004</v>
      </c>
      <c r="L583" t="s">
        <v>20</v>
      </c>
      <c r="M583" t="s">
        <v>18</v>
      </c>
      <c r="N583">
        <v>19</v>
      </c>
      <c r="O583">
        <v>5</v>
      </c>
      <c r="P583">
        <v>42</v>
      </c>
      <c r="Q583">
        <v>39.301460309223103</v>
      </c>
      <c r="R583">
        <v>11.9</v>
      </c>
      <c r="T583" s="340" t="str">
        <f t="shared" si="60"/>
        <v>1998MaleAllEth23Jumping from a high place</v>
      </c>
      <c r="U583">
        <v>1998</v>
      </c>
      <c r="V583" t="s">
        <v>20</v>
      </c>
      <c r="W583" t="s">
        <v>27</v>
      </c>
      <c r="X583">
        <v>23</v>
      </c>
      <c r="Y583" t="s">
        <v>44</v>
      </c>
      <c r="Z583">
        <v>3</v>
      </c>
      <c r="AA583">
        <v>195</v>
      </c>
      <c r="AB583">
        <v>1.5</v>
      </c>
    </row>
    <row r="584" spans="1:28">
      <c r="A584" t="str">
        <f t="shared" si="58"/>
        <v>2004MaleAllEth22</v>
      </c>
      <c r="B584">
        <v>2004</v>
      </c>
      <c r="C584" t="s">
        <v>20</v>
      </c>
      <c r="D584" t="s">
        <v>27</v>
      </c>
      <c r="E584">
        <v>22</v>
      </c>
      <c r="F584">
        <v>83</v>
      </c>
      <c r="G584">
        <v>27.974384900573</v>
      </c>
      <c r="H584">
        <v>6</v>
      </c>
      <c r="J584" s="340" t="str">
        <f t="shared" si="59"/>
        <v>2005MaleMaori191</v>
      </c>
      <c r="K584">
        <v>2005</v>
      </c>
      <c r="L584" t="s">
        <v>20</v>
      </c>
      <c r="M584" t="s">
        <v>18</v>
      </c>
      <c r="N584">
        <v>19</v>
      </c>
      <c r="O584">
        <v>1</v>
      </c>
      <c r="P584">
        <v>2</v>
      </c>
      <c r="Q584">
        <v>9.1711561818240099</v>
      </c>
      <c r="R584">
        <v>12.7</v>
      </c>
      <c r="T584" s="340" t="str">
        <f t="shared" si="60"/>
        <v>1998MaleAllEth24Jumping from a high place</v>
      </c>
      <c r="U584">
        <v>1998</v>
      </c>
      <c r="V584" t="s">
        <v>20</v>
      </c>
      <c r="W584" t="s">
        <v>27</v>
      </c>
      <c r="X584">
        <v>24</v>
      </c>
      <c r="Y584" t="s">
        <v>44</v>
      </c>
      <c r="Z584">
        <v>1</v>
      </c>
      <c r="AA584">
        <v>90</v>
      </c>
      <c r="AB584">
        <v>1.1000000000000001</v>
      </c>
    </row>
    <row r="585" spans="1:28">
      <c r="A585" t="str">
        <f t="shared" si="58"/>
        <v>2004MaleAllEth23</v>
      </c>
      <c r="B585">
        <v>2004</v>
      </c>
      <c r="C585" t="s">
        <v>20</v>
      </c>
      <c r="D585" t="s">
        <v>27</v>
      </c>
      <c r="E585">
        <v>23</v>
      </c>
      <c r="F585">
        <v>161</v>
      </c>
      <c r="G585">
        <v>28.260487976127799</v>
      </c>
      <c r="H585">
        <v>4.4000000000000004</v>
      </c>
      <c r="J585" s="340" t="str">
        <f t="shared" si="59"/>
        <v>2005MaleMaori192</v>
      </c>
      <c r="K585">
        <v>2005</v>
      </c>
      <c r="L585" t="s">
        <v>20</v>
      </c>
      <c r="M585" t="s">
        <v>18</v>
      </c>
      <c r="N585">
        <v>19</v>
      </c>
      <c r="O585">
        <v>2</v>
      </c>
      <c r="P585">
        <v>7</v>
      </c>
      <c r="Q585">
        <v>19.072426010463801</v>
      </c>
      <c r="R585">
        <v>14.1</v>
      </c>
      <c r="T585" s="340" t="str">
        <f t="shared" si="60"/>
        <v>1998MaleAllEth22Other</v>
      </c>
      <c r="U585">
        <v>1998</v>
      </c>
      <c r="V585" t="s">
        <v>20</v>
      </c>
      <c r="W585" t="s">
        <v>27</v>
      </c>
      <c r="X585">
        <v>22</v>
      </c>
      <c r="Y585" t="s">
        <v>45</v>
      </c>
      <c r="Z585">
        <v>3</v>
      </c>
      <c r="AA585">
        <v>104</v>
      </c>
      <c r="AB585">
        <v>2.9</v>
      </c>
    </row>
    <row r="586" spans="1:28">
      <c r="A586" t="str">
        <f t="shared" si="58"/>
        <v>2004MaleAllEth24</v>
      </c>
      <c r="B586">
        <v>2004</v>
      </c>
      <c r="C586" t="s">
        <v>20</v>
      </c>
      <c r="D586" t="s">
        <v>27</v>
      </c>
      <c r="E586">
        <v>24</v>
      </c>
      <c r="F586">
        <v>88</v>
      </c>
      <c r="G586">
        <v>18.883714941739399</v>
      </c>
      <c r="H586">
        <v>3.9</v>
      </c>
      <c r="J586" s="340" t="str">
        <f t="shared" si="59"/>
        <v>2005MaleMaori193</v>
      </c>
      <c r="K586">
        <v>2005</v>
      </c>
      <c r="L586" t="s">
        <v>20</v>
      </c>
      <c r="M586" t="s">
        <v>18</v>
      </c>
      <c r="N586">
        <v>19</v>
      </c>
      <c r="O586">
        <v>3</v>
      </c>
      <c r="P586">
        <v>7</v>
      </c>
      <c r="Q586">
        <v>14.353591018868199</v>
      </c>
      <c r="R586">
        <v>10.6</v>
      </c>
      <c r="T586" s="340" t="str">
        <f t="shared" si="60"/>
        <v>1998MaleAllEth23Other</v>
      </c>
      <c r="U586">
        <v>1998</v>
      </c>
      <c r="V586" t="s">
        <v>20</v>
      </c>
      <c r="W586" t="s">
        <v>27</v>
      </c>
      <c r="X586">
        <v>23</v>
      </c>
      <c r="Y586" t="s">
        <v>45</v>
      </c>
      <c r="Z586">
        <v>10</v>
      </c>
      <c r="AA586">
        <v>195</v>
      </c>
      <c r="AB586">
        <v>5.0999999999999996</v>
      </c>
    </row>
    <row r="587" spans="1:28">
      <c r="A587" t="str">
        <f t="shared" si="58"/>
        <v>2004MaleAllEth25</v>
      </c>
      <c r="B587">
        <v>2004</v>
      </c>
      <c r="C587" t="s">
        <v>20</v>
      </c>
      <c r="D587" t="s">
        <v>27</v>
      </c>
      <c r="E587">
        <v>25</v>
      </c>
      <c r="F587">
        <v>46</v>
      </c>
      <c r="G587">
        <v>21.446221269056799</v>
      </c>
      <c r="H587">
        <v>6.2</v>
      </c>
      <c r="J587" s="340" t="str">
        <f t="shared" si="59"/>
        <v>2005MaleMaori194</v>
      </c>
      <c r="K587">
        <v>2005</v>
      </c>
      <c r="L587" t="s">
        <v>20</v>
      </c>
      <c r="M587" t="s">
        <v>18</v>
      </c>
      <c r="N587">
        <v>19</v>
      </c>
      <c r="O587">
        <v>4</v>
      </c>
      <c r="P587">
        <v>19</v>
      </c>
      <c r="Q587">
        <v>26.667750449804799</v>
      </c>
      <c r="R587">
        <v>12</v>
      </c>
      <c r="T587" s="340" t="str">
        <f t="shared" si="60"/>
        <v>1998MaleAllEth24Other</v>
      </c>
      <c r="U587">
        <v>1998</v>
      </c>
      <c r="V587" t="s">
        <v>20</v>
      </c>
      <c r="W587" t="s">
        <v>27</v>
      </c>
      <c r="X587">
        <v>24</v>
      </c>
      <c r="Y587" t="s">
        <v>45</v>
      </c>
      <c r="Z587">
        <v>2</v>
      </c>
      <c r="AA587">
        <v>90</v>
      </c>
      <c r="AB587">
        <v>2.2000000000000002</v>
      </c>
    </row>
    <row r="588" spans="1:28">
      <c r="A588" t="str">
        <f t="shared" si="58"/>
        <v>2004MaleMaori21</v>
      </c>
      <c r="B588">
        <v>2004</v>
      </c>
      <c r="C588" t="s">
        <v>20</v>
      </c>
      <c r="D588" t="s">
        <v>18</v>
      </c>
      <c r="E588">
        <v>21</v>
      </c>
      <c r="F588">
        <v>2</v>
      </c>
      <c r="G588">
        <v>1.79259657614054</v>
      </c>
      <c r="H588">
        <v>2.5</v>
      </c>
      <c r="J588" s="340" t="str">
        <f t="shared" si="59"/>
        <v>2005MaleMaori195</v>
      </c>
      <c r="K588">
        <v>2005</v>
      </c>
      <c r="L588" t="s">
        <v>20</v>
      </c>
      <c r="M588" t="s">
        <v>18</v>
      </c>
      <c r="N588">
        <v>19</v>
      </c>
      <c r="O588">
        <v>5</v>
      </c>
      <c r="P588">
        <v>39</v>
      </c>
      <c r="Q588">
        <v>37.569508011026599</v>
      </c>
      <c r="R588">
        <v>11.8</v>
      </c>
      <c r="T588" s="340" t="str">
        <f t="shared" si="60"/>
        <v>1998MaleAllEth25Other</v>
      </c>
      <c r="U588">
        <v>1998</v>
      </c>
      <c r="V588" t="s">
        <v>20</v>
      </c>
      <c r="W588" t="s">
        <v>27</v>
      </c>
      <c r="X588">
        <v>25</v>
      </c>
      <c r="Y588" t="s">
        <v>45</v>
      </c>
      <c r="Z588">
        <v>3</v>
      </c>
      <c r="AA588">
        <v>48</v>
      </c>
      <c r="AB588">
        <v>6.2</v>
      </c>
    </row>
    <row r="589" spans="1:28">
      <c r="A589" t="str">
        <f t="shared" si="58"/>
        <v>2004MaleMaori22</v>
      </c>
      <c r="B589">
        <v>2004</v>
      </c>
      <c r="C589" t="s">
        <v>20</v>
      </c>
      <c r="D589" t="s">
        <v>18</v>
      </c>
      <c r="E589">
        <v>22</v>
      </c>
      <c r="F589">
        <v>28</v>
      </c>
      <c r="G589">
        <v>50.918348790689201</v>
      </c>
      <c r="H589">
        <v>18.899999999999999</v>
      </c>
      <c r="J589" s="340" t="str">
        <f t="shared" si="59"/>
        <v>2006MaleMaori191</v>
      </c>
      <c r="K589">
        <v>2006</v>
      </c>
      <c r="L589" t="s">
        <v>20</v>
      </c>
      <c r="M589" t="s">
        <v>18</v>
      </c>
      <c r="N589">
        <v>19</v>
      </c>
      <c r="O589">
        <v>1</v>
      </c>
      <c r="P589">
        <v>6</v>
      </c>
      <c r="Q589">
        <v>26.1204377504429</v>
      </c>
      <c r="R589">
        <v>20.9</v>
      </c>
      <c r="T589" s="340" t="str">
        <f t="shared" si="60"/>
        <v>1998MaleAllEth22Poisoning by gases and vapours</v>
      </c>
      <c r="U589">
        <v>1998</v>
      </c>
      <c r="V589" t="s">
        <v>20</v>
      </c>
      <c r="W589" t="s">
        <v>27</v>
      </c>
      <c r="X589">
        <v>22</v>
      </c>
      <c r="Y589" t="s">
        <v>46</v>
      </c>
      <c r="Z589">
        <v>23</v>
      </c>
      <c r="AA589">
        <v>104</v>
      </c>
      <c r="AB589">
        <v>22.1</v>
      </c>
    </row>
    <row r="590" spans="1:28">
      <c r="A590" t="str">
        <f t="shared" si="58"/>
        <v>2004MaleMaori23</v>
      </c>
      <c r="B590">
        <v>2004</v>
      </c>
      <c r="C590" t="s">
        <v>20</v>
      </c>
      <c r="D590" t="s">
        <v>18</v>
      </c>
      <c r="E590">
        <v>23</v>
      </c>
      <c r="F590">
        <v>44</v>
      </c>
      <c r="G590">
        <v>55</v>
      </c>
      <c r="H590">
        <v>16.3</v>
      </c>
      <c r="J590" s="340" t="str">
        <f t="shared" si="59"/>
        <v>2006MaleMaori192</v>
      </c>
      <c r="K590">
        <v>2006</v>
      </c>
      <c r="L590" t="s">
        <v>20</v>
      </c>
      <c r="M590" t="s">
        <v>18</v>
      </c>
      <c r="N590">
        <v>19</v>
      </c>
      <c r="O590">
        <v>2</v>
      </c>
      <c r="P590">
        <v>6</v>
      </c>
      <c r="Q590">
        <v>17.161184366023502</v>
      </c>
      <c r="R590">
        <v>13.7</v>
      </c>
      <c r="T590" s="340" t="str">
        <f t="shared" si="60"/>
        <v>1998MaleAllEth23Poisoning by gases and vapours</v>
      </c>
      <c r="U590">
        <v>1998</v>
      </c>
      <c r="V590" t="s">
        <v>20</v>
      </c>
      <c r="W590" t="s">
        <v>27</v>
      </c>
      <c r="X590">
        <v>23</v>
      </c>
      <c r="Y590" t="s">
        <v>46</v>
      </c>
      <c r="Z590">
        <v>49</v>
      </c>
      <c r="AA590">
        <v>195</v>
      </c>
      <c r="AB590">
        <v>25.1</v>
      </c>
    </row>
    <row r="591" spans="1:28">
      <c r="A591" t="str">
        <f t="shared" si="58"/>
        <v>2004MaleMaori24</v>
      </c>
      <c r="B591">
        <v>2004</v>
      </c>
      <c r="C591" t="s">
        <v>20</v>
      </c>
      <c r="D591" t="s">
        <v>18</v>
      </c>
      <c r="E591">
        <v>24</v>
      </c>
      <c r="F591">
        <v>7</v>
      </c>
      <c r="G591">
        <v>16.199953714418001</v>
      </c>
      <c r="H591">
        <v>12</v>
      </c>
      <c r="J591" s="340" t="str">
        <f t="shared" si="59"/>
        <v>2006MaleMaori193</v>
      </c>
      <c r="K591">
        <v>2006</v>
      </c>
      <c r="L591" t="s">
        <v>20</v>
      </c>
      <c r="M591" t="s">
        <v>18</v>
      </c>
      <c r="N591">
        <v>19</v>
      </c>
      <c r="O591">
        <v>3</v>
      </c>
      <c r="P591">
        <v>7</v>
      </c>
      <c r="Q591">
        <v>14.117594148245701</v>
      </c>
      <c r="R591">
        <v>10.5</v>
      </c>
      <c r="T591" s="340" t="str">
        <f t="shared" si="60"/>
        <v>1998MaleAllEth24Poisoning by gases and vapours</v>
      </c>
      <c r="U591">
        <v>1998</v>
      </c>
      <c r="V591" t="s">
        <v>20</v>
      </c>
      <c r="W591" t="s">
        <v>27</v>
      </c>
      <c r="X591">
        <v>24</v>
      </c>
      <c r="Y591" t="s">
        <v>46</v>
      </c>
      <c r="Z591">
        <v>19</v>
      </c>
      <c r="AA591">
        <v>90</v>
      </c>
      <c r="AB591">
        <v>21.1</v>
      </c>
    </row>
    <row r="592" spans="1:28">
      <c r="A592" t="str">
        <f t="shared" si="58"/>
        <v>2004MaleMaori25</v>
      </c>
      <c r="B592">
        <v>2004</v>
      </c>
      <c r="C592" t="s">
        <v>20</v>
      </c>
      <c r="D592" t="s">
        <v>18</v>
      </c>
      <c r="E592">
        <v>25</v>
      </c>
      <c r="F592">
        <v>2</v>
      </c>
      <c r="G592">
        <v>19.267822736030801</v>
      </c>
      <c r="H592">
        <v>26.7</v>
      </c>
      <c r="J592" s="340" t="str">
        <f t="shared" si="59"/>
        <v>2006MaleMaori194</v>
      </c>
      <c r="K592">
        <v>2006</v>
      </c>
      <c r="L592" t="s">
        <v>20</v>
      </c>
      <c r="M592" t="s">
        <v>18</v>
      </c>
      <c r="N592">
        <v>19</v>
      </c>
      <c r="O592">
        <v>4</v>
      </c>
      <c r="P592">
        <v>18</v>
      </c>
      <c r="Q592">
        <v>26.6379082307303</v>
      </c>
      <c r="R592">
        <v>12.3</v>
      </c>
      <c r="T592" s="340" t="str">
        <f t="shared" si="60"/>
        <v>1998MaleAllEth25Poisoning by gases and vapours</v>
      </c>
      <c r="U592">
        <v>1998</v>
      </c>
      <c r="V592" t="s">
        <v>20</v>
      </c>
      <c r="W592" t="s">
        <v>27</v>
      </c>
      <c r="X592">
        <v>25</v>
      </c>
      <c r="Y592" t="s">
        <v>46</v>
      </c>
      <c r="Z592">
        <v>20</v>
      </c>
      <c r="AA592">
        <v>48</v>
      </c>
      <c r="AB592">
        <v>41.7</v>
      </c>
    </row>
    <row r="593" spans="1:28">
      <c r="A593" t="str">
        <f t="shared" si="58"/>
        <v>2004MaleNon-Maori21</v>
      </c>
      <c r="B593">
        <v>2004</v>
      </c>
      <c r="C593" t="s">
        <v>20</v>
      </c>
      <c r="D593" t="s">
        <v>19</v>
      </c>
      <c r="E593">
        <v>21</v>
      </c>
      <c r="F593">
        <v>2</v>
      </c>
      <c r="G593">
        <v>0.57828538383692396</v>
      </c>
      <c r="H593">
        <v>0.8</v>
      </c>
      <c r="J593" s="340" t="str">
        <f t="shared" si="59"/>
        <v>2006MaleMaori195</v>
      </c>
      <c r="K593">
        <v>2006</v>
      </c>
      <c r="L593" t="s">
        <v>20</v>
      </c>
      <c r="M593" t="s">
        <v>18</v>
      </c>
      <c r="N593">
        <v>19</v>
      </c>
      <c r="O593">
        <v>5</v>
      </c>
      <c r="P593">
        <v>38</v>
      </c>
      <c r="Q593">
        <v>32.974374863619303</v>
      </c>
      <c r="R593">
        <v>10.5</v>
      </c>
      <c r="T593" s="340" t="str">
        <f t="shared" si="60"/>
        <v>1998MaleAllEth22Poisoning by solids and liquids</v>
      </c>
      <c r="U593">
        <v>1998</v>
      </c>
      <c r="V593" t="s">
        <v>20</v>
      </c>
      <c r="W593" t="s">
        <v>27</v>
      </c>
      <c r="X593">
        <v>22</v>
      </c>
      <c r="Y593" t="s">
        <v>47</v>
      </c>
      <c r="Z593">
        <v>3</v>
      </c>
      <c r="AA593">
        <v>104</v>
      </c>
      <c r="AB593">
        <v>2.9</v>
      </c>
    </row>
    <row r="594" spans="1:28">
      <c r="A594" t="str">
        <f t="shared" si="58"/>
        <v>2004MaleNon-Maori22</v>
      </c>
      <c r="B594">
        <v>2004</v>
      </c>
      <c r="C594" t="s">
        <v>20</v>
      </c>
      <c r="D594" t="s">
        <v>19</v>
      </c>
      <c r="E594">
        <v>22</v>
      </c>
      <c r="F594">
        <v>55</v>
      </c>
      <c r="G594">
        <v>22.754540565140001</v>
      </c>
      <c r="H594">
        <v>6</v>
      </c>
      <c r="J594" s="340" t="str">
        <f t="shared" si="59"/>
        <v>2007MaleMaori191</v>
      </c>
      <c r="K594">
        <v>2007</v>
      </c>
      <c r="L594" t="s">
        <v>20</v>
      </c>
      <c r="M594" t="s">
        <v>18</v>
      </c>
      <c r="N594">
        <v>19</v>
      </c>
      <c r="O594">
        <v>1</v>
      </c>
      <c r="P594">
        <v>9</v>
      </c>
      <c r="Q594">
        <v>38.447830593242998</v>
      </c>
      <c r="R594">
        <v>25.1</v>
      </c>
      <c r="T594" s="340" t="str">
        <f t="shared" si="60"/>
        <v>1998MaleAllEth23Poisoning by solids and liquids</v>
      </c>
      <c r="U594">
        <v>1998</v>
      </c>
      <c r="V594" t="s">
        <v>20</v>
      </c>
      <c r="W594" t="s">
        <v>27</v>
      </c>
      <c r="X594">
        <v>23</v>
      </c>
      <c r="Y594" t="s">
        <v>47</v>
      </c>
      <c r="Z594">
        <v>16</v>
      </c>
      <c r="AA594">
        <v>195</v>
      </c>
      <c r="AB594">
        <v>8.1999999999999993</v>
      </c>
    </row>
    <row r="595" spans="1:28">
      <c r="A595" t="str">
        <f t="shared" si="58"/>
        <v>2004MaleNon-Maori23</v>
      </c>
      <c r="B595">
        <v>2004</v>
      </c>
      <c r="C595" t="s">
        <v>20</v>
      </c>
      <c r="D595" t="s">
        <v>19</v>
      </c>
      <c r="E595">
        <v>23</v>
      </c>
      <c r="F595">
        <v>117</v>
      </c>
      <c r="G595">
        <v>23.892178885031701</v>
      </c>
      <c r="H595">
        <v>4.3</v>
      </c>
      <c r="J595" s="340" t="str">
        <f t="shared" si="59"/>
        <v>2007MaleMaori192</v>
      </c>
      <c r="K595">
        <v>2007</v>
      </c>
      <c r="L595" t="s">
        <v>20</v>
      </c>
      <c r="M595" t="s">
        <v>18</v>
      </c>
      <c r="N595">
        <v>19</v>
      </c>
      <c r="O595">
        <v>2</v>
      </c>
      <c r="P595">
        <v>4</v>
      </c>
      <c r="Q595">
        <v>11.3592963415695</v>
      </c>
      <c r="R595">
        <v>11.1</v>
      </c>
      <c r="T595" s="340" t="str">
        <f t="shared" si="60"/>
        <v>1998MaleAllEth24Poisoning by solids and liquids</v>
      </c>
      <c r="U595">
        <v>1998</v>
      </c>
      <c r="V595" t="s">
        <v>20</v>
      </c>
      <c r="W595" t="s">
        <v>27</v>
      </c>
      <c r="X595">
        <v>24</v>
      </c>
      <c r="Y595" t="s">
        <v>47</v>
      </c>
      <c r="Z595">
        <v>9</v>
      </c>
      <c r="AA595">
        <v>90</v>
      </c>
      <c r="AB595">
        <v>10</v>
      </c>
    </row>
    <row r="596" spans="1:28">
      <c r="A596" t="str">
        <f t="shared" si="58"/>
        <v>2004MaleNon-Maori24</v>
      </c>
      <c r="B596">
        <v>2004</v>
      </c>
      <c r="C596" t="s">
        <v>20</v>
      </c>
      <c r="D596" t="s">
        <v>19</v>
      </c>
      <c r="E596">
        <v>24</v>
      </c>
      <c r="F596">
        <v>81</v>
      </c>
      <c r="G596">
        <v>19.157994323557201</v>
      </c>
      <c r="H596">
        <v>4.2</v>
      </c>
      <c r="J596" s="340" t="str">
        <f t="shared" si="59"/>
        <v>2007MaleMaori193</v>
      </c>
      <c r="K596">
        <v>2007</v>
      </c>
      <c r="L596" t="s">
        <v>20</v>
      </c>
      <c r="M596" t="s">
        <v>18</v>
      </c>
      <c r="N596">
        <v>19</v>
      </c>
      <c r="O596">
        <v>3</v>
      </c>
      <c r="P596">
        <v>12</v>
      </c>
      <c r="Q596">
        <v>25.2150847706131</v>
      </c>
      <c r="R596">
        <v>14.3</v>
      </c>
      <c r="T596" s="340" t="str">
        <f t="shared" si="60"/>
        <v>1998MaleAllEth25Poisoning by solids and liquids</v>
      </c>
      <c r="U596">
        <v>1998</v>
      </c>
      <c r="V596" t="s">
        <v>20</v>
      </c>
      <c r="W596" t="s">
        <v>27</v>
      </c>
      <c r="X596">
        <v>25</v>
      </c>
      <c r="Y596" t="s">
        <v>47</v>
      </c>
      <c r="Z596">
        <v>3</v>
      </c>
      <c r="AA596">
        <v>48</v>
      </c>
      <c r="AB596">
        <v>6.2</v>
      </c>
    </row>
    <row r="597" spans="1:28">
      <c r="A597" t="str">
        <f t="shared" si="58"/>
        <v>2004MaleNon-Maori25</v>
      </c>
      <c r="B597">
        <v>2004</v>
      </c>
      <c r="C597" t="s">
        <v>20</v>
      </c>
      <c r="D597" t="s">
        <v>19</v>
      </c>
      <c r="E597">
        <v>25</v>
      </c>
      <c r="F597">
        <v>44</v>
      </c>
      <c r="G597">
        <v>21.5570035765029</v>
      </c>
      <c r="H597">
        <v>6.4</v>
      </c>
      <c r="J597" s="340" t="str">
        <f t="shared" si="59"/>
        <v>2007MaleMaori194</v>
      </c>
      <c r="K597">
        <v>2007</v>
      </c>
      <c r="L597" t="s">
        <v>20</v>
      </c>
      <c r="M597" t="s">
        <v>18</v>
      </c>
      <c r="N597">
        <v>19</v>
      </c>
      <c r="O597">
        <v>4</v>
      </c>
      <c r="P597">
        <v>12</v>
      </c>
      <c r="Q597">
        <v>17.2344186669044</v>
      </c>
      <c r="R597">
        <v>9.8000000000000007</v>
      </c>
      <c r="T597" s="340" t="str">
        <f t="shared" si="60"/>
        <v>1998MaleAllEth23Sharp object</v>
      </c>
      <c r="U597">
        <v>1998</v>
      </c>
      <c r="V597" t="s">
        <v>20</v>
      </c>
      <c r="W597" t="s">
        <v>27</v>
      </c>
      <c r="X597">
        <v>23</v>
      </c>
      <c r="Y597" t="s">
        <v>48</v>
      </c>
      <c r="Z597">
        <v>5</v>
      </c>
      <c r="AA597">
        <v>195</v>
      </c>
      <c r="AB597">
        <v>2.6</v>
      </c>
    </row>
    <row r="598" spans="1:28">
      <c r="A598" t="str">
        <f t="shared" si="58"/>
        <v>2005AllSexAllEth21</v>
      </c>
      <c r="B598">
        <v>2005</v>
      </c>
      <c r="C598" t="s">
        <v>17</v>
      </c>
      <c r="D598" t="s">
        <v>27</v>
      </c>
      <c r="E598">
        <v>21</v>
      </c>
      <c r="F598">
        <v>3</v>
      </c>
      <c r="G598">
        <v>0.33702185024995801</v>
      </c>
      <c r="H598">
        <v>0.4</v>
      </c>
      <c r="J598" s="340" t="str">
        <f t="shared" si="59"/>
        <v>2007MaleMaori195</v>
      </c>
      <c r="K598">
        <v>2007</v>
      </c>
      <c r="L598" t="s">
        <v>20</v>
      </c>
      <c r="M598" t="s">
        <v>18</v>
      </c>
      <c r="N598">
        <v>19</v>
      </c>
      <c r="O598">
        <v>5</v>
      </c>
      <c r="P598">
        <v>36</v>
      </c>
      <c r="Q598">
        <v>32.638184995194898</v>
      </c>
      <c r="R598">
        <v>10.7</v>
      </c>
      <c r="T598" s="340" t="str">
        <f t="shared" si="60"/>
        <v>1998MaleAllEth24Sharp object</v>
      </c>
      <c r="U598">
        <v>1998</v>
      </c>
      <c r="V598" t="s">
        <v>20</v>
      </c>
      <c r="W598" t="s">
        <v>27</v>
      </c>
      <c r="X598">
        <v>24</v>
      </c>
      <c r="Y598" t="s">
        <v>48</v>
      </c>
      <c r="Z598">
        <v>2</v>
      </c>
      <c r="AA598">
        <v>90</v>
      </c>
      <c r="AB598">
        <v>2.2000000000000002</v>
      </c>
    </row>
    <row r="599" spans="1:28">
      <c r="A599" t="str">
        <f t="shared" si="58"/>
        <v>2005AllSexAllEth22</v>
      </c>
      <c r="B599">
        <v>2005</v>
      </c>
      <c r="C599" t="s">
        <v>17</v>
      </c>
      <c r="D599" t="s">
        <v>27</v>
      </c>
      <c r="E599">
        <v>22</v>
      </c>
      <c r="F599">
        <v>109</v>
      </c>
      <c r="G599">
        <v>18.311326143197899</v>
      </c>
      <c r="H599">
        <v>3.4</v>
      </c>
      <c r="J599" s="340" t="str">
        <f t="shared" si="59"/>
        <v>2008MaleMaori191</v>
      </c>
      <c r="K599">
        <v>2008</v>
      </c>
      <c r="L599" t="s">
        <v>20</v>
      </c>
      <c r="M599" t="s">
        <v>18</v>
      </c>
      <c r="N599">
        <v>19</v>
      </c>
      <c r="O599">
        <v>1</v>
      </c>
      <c r="P599">
        <v>2</v>
      </c>
      <c r="Q599">
        <v>9.2318476057031198</v>
      </c>
      <c r="R599">
        <v>12.8</v>
      </c>
      <c r="T599" s="340" t="str">
        <f t="shared" si="60"/>
        <v>1998MaleAllEth23Submersion (drowning)</v>
      </c>
      <c r="U599">
        <v>1998</v>
      </c>
      <c r="V599" t="s">
        <v>20</v>
      </c>
      <c r="W599" t="s">
        <v>27</v>
      </c>
      <c r="X599">
        <v>23</v>
      </c>
      <c r="Y599" t="s">
        <v>49</v>
      </c>
      <c r="Z599">
        <v>1</v>
      </c>
      <c r="AA599">
        <v>195</v>
      </c>
      <c r="AB599">
        <v>0.5</v>
      </c>
    </row>
    <row r="600" spans="1:28">
      <c r="A600" t="str">
        <f t="shared" si="58"/>
        <v>2005AllSexAllEth23</v>
      </c>
      <c r="B600">
        <v>2005</v>
      </c>
      <c r="C600" t="s">
        <v>17</v>
      </c>
      <c r="D600" t="s">
        <v>27</v>
      </c>
      <c r="E600">
        <v>23</v>
      </c>
      <c r="F600">
        <v>219</v>
      </c>
      <c r="G600">
        <v>18.5221208251224</v>
      </c>
      <c r="H600">
        <v>2.5</v>
      </c>
      <c r="J600" s="340" t="str">
        <f t="shared" si="59"/>
        <v>2008MaleMaori192</v>
      </c>
      <c r="K600">
        <v>2008</v>
      </c>
      <c r="L600" t="s">
        <v>20</v>
      </c>
      <c r="M600" t="s">
        <v>18</v>
      </c>
      <c r="N600">
        <v>19</v>
      </c>
      <c r="O600">
        <v>2</v>
      </c>
      <c r="P600">
        <v>4</v>
      </c>
      <c r="Q600">
        <v>11.555692087246401</v>
      </c>
      <c r="R600">
        <v>11.3</v>
      </c>
      <c r="T600" s="340" t="str">
        <f t="shared" si="60"/>
        <v>1998MaleAllEth24Submersion (drowning)</v>
      </c>
      <c r="U600">
        <v>1998</v>
      </c>
      <c r="V600" t="s">
        <v>20</v>
      </c>
      <c r="W600" t="s">
        <v>27</v>
      </c>
      <c r="X600">
        <v>24</v>
      </c>
      <c r="Y600" t="s">
        <v>49</v>
      </c>
      <c r="Z600">
        <v>5</v>
      </c>
      <c r="AA600">
        <v>90</v>
      </c>
      <c r="AB600">
        <v>5.6</v>
      </c>
    </row>
    <row r="601" spans="1:28">
      <c r="A601" t="str">
        <f t="shared" si="58"/>
        <v>2005AllSexAllEth24</v>
      </c>
      <c r="B601">
        <v>2005</v>
      </c>
      <c r="C601" t="s">
        <v>17</v>
      </c>
      <c r="D601" t="s">
        <v>27</v>
      </c>
      <c r="E601">
        <v>24</v>
      </c>
      <c r="F601">
        <v>136</v>
      </c>
      <c r="G601">
        <v>13.998970663921799</v>
      </c>
      <c r="H601">
        <v>2.4</v>
      </c>
      <c r="J601" s="340" t="str">
        <f t="shared" si="59"/>
        <v>2008MaleMaori193</v>
      </c>
      <c r="K601">
        <v>2008</v>
      </c>
      <c r="L601" t="s">
        <v>20</v>
      </c>
      <c r="M601" t="s">
        <v>18</v>
      </c>
      <c r="N601">
        <v>19</v>
      </c>
      <c r="O601">
        <v>3</v>
      </c>
      <c r="P601">
        <v>9</v>
      </c>
      <c r="Q601">
        <v>20.6196977347565</v>
      </c>
      <c r="R601">
        <v>13.5</v>
      </c>
      <c r="T601" s="340" t="str">
        <f t="shared" si="60"/>
        <v>1998MaleAllEth25Submersion (drowning)</v>
      </c>
      <c r="U601">
        <v>1998</v>
      </c>
      <c r="V601" t="s">
        <v>20</v>
      </c>
      <c r="W601" t="s">
        <v>27</v>
      </c>
      <c r="X601">
        <v>25</v>
      </c>
      <c r="Y601" t="s">
        <v>49</v>
      </c>
      <c r="Z601">
        <v>1</v>
      </c>
      <c r="AA601">
        <v>48</v>
      </c>
      <c r="AB601">
        <v>2.1</v>
      </c>
    </row>
    <row r="602" spans="1:28">
      <c r="A602" t="str">
        <f t="shared" si="58"/>
        <v>2005AllSexAllEth25</v>
      </c>
      <c r="B602">
        <v>2005</v>
      </c>
      <c r="C602" t="s">
        <v>17</v>
      </c>
      <c r="D602" t="s">
        <v>27</v>
      </c>
      <c r="E602">
        <v>25</v>
      </c>
      <c r="F602">
        <v>48</v>
      </c>
      <c r="G602">
        <v>9.6622247272434496</v>
      </c>
      <c r="H602">
        <v>2.7</v>
      </c>
      <c r="J602" s="340" t="str">
        <f t="shared" si="59"/>
        <v>2008MaleMaori194</v>
      </c>
      <c r="K602">
        <v>2008</v>
      </c>
      <c r="L602" t="s">
        <v>20</v>
      </c>
      <c r="M602" t="s">
        <v>18</v>
      </c>
      <c r="N602">
        <v>19</v>
      </c>
      <c r="O602">
        <v>4</v>
      </c>
      <c r="P602">
        <v>14</v>
      </c>
      <c r="Q602">
        <v>20.549126103411201</v>
      </c>
      <c r="R602">
        <v>10.8</v>
      </c>
      <c r="T602" s="340" t="str">
        <f t="shared" si="60"/>
        <v>1998MaleMaori22Firearms and explosives</v>
      </c>
      <c r="U602">
        <v>1998</v>
      </c>
      <c r="V602" t="s">
        <v>20</v>
      </c>
      <c r="W602" t="s">
        <v>18</v>
      </c>
      <c r="X602">
        <v>22</v>
      </c>
      <c r="Y602" t="s">
        <v>42</v>
      </c>
      <c r="Z602">
        <v>4</v>
      </c>
      <c r="AA602">
        <v>29</v>
      </c>
      <c r="AB602">
        <v>13.8</v>
      </c>
    </row>
    <row r="603" spans="1:28">
      <c r="A603" t="str">
        <f t="shared" si="58"/>
        <v>2005AllSexMaori21</v>
      </c>
      <c r="B603">
        <v>2005</v>
      </c>
      <c r="C603" t="s">
        <v>17</v>
      </c>
      <c r="D603" t="s">
        <v>18</v>
      </c>
      <c r="E603">
        <v>21</v>
      </c>
      <c r="F603">
        <v>2</v>
      </c>
      <c r="G603">
        <v>0.92502659451459202</v>
      </c>
      <c r="H603">
        <v>1.3</v>
      </c>
      <c r="J603" s="340" t="str">
        <f t="shared" si="59"/>
        <v>2008MaleMaori195</v>
      </c>
      <c r="K603">
        <v>2008</v>
      </c>
      <c r="L603" t="s">
        <v>20</v>
      </c>
      <c r="M603" t="s">
        <v>18</v>
      </c>
      <c r="N603">
        <v>19</v>
      </c>
      <c r="O603">
        <v>5</v>
      </c>
      <c r="P603">
        <v>27</v>
      </c>
      <c r="Q603">
        <v>23.5316705592072</v>
      </c>
      <c r="R603">
        <v>8.9</v>
      </c>
      <c r="T603" s="340" t="str">
        <f t="shared" si="60"/>
        <v>1998MaleMaori23Firearms and explosives</v>
      </c>
      <c r="U603">
        <v>1998</v>
      </c>
      <c r="V603" t="s">
        <v>20</v>
      </c>
      <c r="W603" t="s">
        <v>18</v>
      </c>
      <c r="X603">
        <v>23</v>
      </c>
      <c r="Y603" t="s">
        <v>42</v>
      </c>
      <c r="Z603">
        <v>2</v>
      </c>
      <c r="AA603">
        <v>40</v>
      </c>
      <c r="AB603">
        <v>5</v>
      </c>
    </row>
    <row r="604" spans="1:28">
      <c r="A604" t="str">
        <f t="shared" si="58"/>
        <v>2005AllSexMaori22</v>
      </c>
      <c r="B604">
        <v>2005</v>
      </c>
      <c r="C604" t="s">
        <v>17</v>
      </c>
      <c r="D604" t="s">
        <v>18</v>
      </c>
      <c r="E604">
        <v>22</v>
      </c>
      <c r="F604">
        <v>40</v>
      </c>
      <c r="G604">
        <v>35.010940919037203</v>
      </c>
      <c r="H604">
        <v>10.8</v>
      </c>
      <c r="J604" s="340" t="str">
        <f t="shared" si="59"/>
        <v>2009MaleMaori191</v>
      </c>
      <c r="K604">
        <v>2009</v>
      </c>
      <c r="L604" t="s">
        <v>20</v>
      </c>
      <c r="M604" t="s">
        <v>18</v>
      </c>
      <c r="N604">
        <v>19</v>
      </c>
      <c r="O604">
        <v>1</v>
      </c>
      <c r="P604">
        <v>4</v>
      </c>
      <c r="Q604">
        <v>21.802100648253901</v>
      </c>
      <c r="R604">
        <v>21.4</v>
      </c>
      <c r="T604" s="340" t="str">
        <f t="shared" si="60"/>
        <v>1998MaleMaori24Firearms and explosives</v>
      </c>
      <c r="U604">
        <v>1998</v>
      </c>
      <c r="V604" t="s">
        <v>20</v>
      </c>
      <c r="W604" t="s">
        <v>18</v>
      </c>
      <c r="X604">
        <v>24</v>
      </c>
      <c r="Y604" t="s">
        <v>42</v>
      </c>
      <c r="Z604">
        <v>3</v>
      </c>
      <c r="AA604">
        <v>10</v>
      </c>
      <c r="AB604">
        <v>30</v>
      </c>
    </row>
    <row r="605" spans="1:28">
      <c r="A605" t="str">
        <f t="shared" si="58"/>
        <v>2005AllSexMaori23</v>
      </c>
      <c r="B605">
        <v>2005</v>
      </c>
      <c r="C605" t="s">
        <v>17</v>
      </c>
      <c r="D605" t="s">
        <v>18</v>
      </c>
      <c r="E605">
        <v>23</v>
      </c>
      <c r="F605">
        <v>54</v>
      </c>
      <c r="G605">
        <v>31.865927062433599</v>
      </c>
      <c r="H605">
        <v>8.5</v>
      </c>
      <c r="J605" s="340" t="str">
        <f t="shared" si="59"/>
        <v>2009MaleMaori192</v>
      </c>
      <c r="K605">
        <v>2009</v>
      </c>
      <c r="L605" t="s">
        <v>20</v>
      </c>
      <c r="M605" t="s">
        <v>18</v>
      </c>
      <c r="N605">
        <v>19</v>
      </c>
      <c r="O605">
        <v>2</v>
      </c>
      <c r="P605">
        <v>7</v>
      </c>
      <c r="Q605">
        <v>20.6504601562728</v>
      </c>
      <c r="R605">
        <v>15.3</v>
      </c>
      <c r="T605" s="340" t="str">
        <f t="shared" si="60"/>
        <v>1998MaleMaori25Firearms and explosives</v>
      </c>
      <c r="U605">
        <v>1998</v>
      </c>
      <c r="V605" t="s">
        <v>20</v>
      </c>
      <c r="W605" t="s">
        <v>18</v>
      </c>
      <c r="X605">
        <v>25</v>
      </c>
      <c r="Y605" t="s">
        <v>42</v>
      </c>
      <c r="Z605">
        <v>1</v>
      </c>
      <c r="AA605">
        <v>2</v>
      </c>
      <c r="AB605">
        <v>50</v>
      </c>
    </row>
    <row r="606" spans="1:28">
      <c r="A606" t="str">
        <f t="shared" si="58"/>
        <v>2005AllSexMaori24</v>
      </c>
      <c r="B606">
        <v>2005</v>
      </c>
      <c r="C606" t="s">
        <v>17</v>
      </c>
      <c r="D606" t="s">
        <v>18</v>
      </c>
      <c r="E606">
        <v>24</v>
      </c>
      <c r="F606">
        <v>7</v>
      </c>
      <c r="G606">
        <v>7.4994643239768601</v>
      </c>
      <c r="H606">
        <v>5.6</v>
      </c>
      <c r="J606" s="340" t="str">
        <f t="shared" si="59"/>
        <v>2009MaleMaori193</v>
      </c>
      <c r="K606">
        <v>2009</v>
      </c>
      <c r="L606" t="s">
        <v>20</v>
      </c>
      <c r="M606" t="s">
        <v>18</v>
      </c>
      <c r="N606">
        <v>19</v>
      </c>
      <c r="O606">
        <v>3</v>
      </c>
      <c r="P606">
        <v>9</v>
      </c>
      <c r="Q606">
        <v>17.294507835804101</v>
      </c>
      <c r="R606">
        <v>11.3</v>
      </c>
      <c r="T606" s="340" t="str">
        <f t="shared" si="60"/>
        <v>1998MaleMaori21Hanging, strangulation and suffocation</v>
      </c>
      <c r="U606">
        <v>1998</v>
      </c>
      <c r="V606" t="s">
        <v>20</v>
      </c>
      <c r="W606" t="s">
        <v>18</v>
      </c>
      <c r="X606">
        <v>21</v>
      </c>
      <c r="Y606" t="s">
        <v>43</v>
      </c>
      <c r="Z606">
        <v>6</v>
      </c>
      <c r="AA606">
        <v>6</v>
      </c>
      <c r="AB606">
        <v>100</v>
      </c>
    </row>
    <row r="607" spans="1:28">
      <c r="A607" t="str">
        <f t="shared" si="58"/>
        <v>2005AllSexMaori25</v>
      </c>
      <c r="B607">
        <v>2005</v>
      </c>
      <c r="C607" t="s">
        <v>17</v>
      </c>
      <c r="D607" t="s">
        <v>18</v>
      </c>
      <c r="E607">
        <v>25</v>
      </c>
      <c r="F607">
        <v>2</v>
      </c>
      <c r="G607">
        <v>8.2068116536725508</v>
      </c>
      <c r="H607">
        <v>11.4</v>
      </c>
      <c r="J607" s="340" t="str">
        <f t="shared" si="59"/>
        <v>2009MaleMaori194</v>
      </c>
      <c r="K607">
        <v>2009</v>
      </c>
      <c r="L607" t="s">
        <v>20</v>
      </c>
      <c r="M607" t="s">
        <v>18</v>
      </c>
      <c r="N607">
        <v>19</v>
      </c>
      <c r="O607">
        <v>4</v>
      </c>
      <c r="P607">
        <v>11</v>
      </c>
      <c r="Q607">
        <v>15.912104960182401</v>
      </c>
      <c r="R607">
        <v>9.4</v>
      </c>
      <c r="T607" s="340" t="str">
        <f t="shared" si="60"/>
        <v>1998MaleMaori22Hanging, strangulation and suffocation</v>
      </c>
      <c r="U607">
        <v>1998</v>
      </c>
      <c r="V607" t="s">
        <v>20</v>
      </c>
      <c r="W607" t="s">
        <v>18</v>
      </c>
      <c r="X607">
        <v>22</v>
      </c>
      <c r="Y607" t="s">
        <v>43</v>
      </c>
      <c r="Z607">
        <v>18</v>
      </c>
      <c r="AA607">
        <v>29</v>
      </c>
      <c r="AB607">
        <v>62.1</v>
      </c>
    </row>
    <row r="608" spans="1:28">
      <c r="A608" t="str">
        <f t="shared" si="58"/>
        <v>2005AllSexNon-Maori21</v>
      </c>
      <c r="B608">
        <v>2005</v>
      </c>
      <c r="C608" t="s">
        <v>17</v>
      </c>
      <c r="D608" t="s">
        <v>19</v>
      </c>
      <c r="E608">
        <v>21</v>
      </c>
      <c r="F608">
        <v>1</v>
      </c>
      <c r="G608">
        <v>0.14838116152773201</v>
      </c>
      <c r="H608">
        <v>0.3</v>
      </c>
      <c r="J608" s="340" t="str">
        <f t="shared" si="59"/>
        <v>2009MaleMaori195</v>
      </c>
      <c r="K608">
        <v>2009</v>
      </c>
      <c r="L608" t="s">
        <v>20</v>
      </c>
      <c r="M608" t="s">
        <v>18</v>
      </c>
      <c r="N608">
        <v>19</v>
      </c>
      <c r="O608">
        <v>5</v>
      </c>
      <c r="P608">
        <v>27</v>
      </c>
      <c r="Q608">
        <v>22.594786225044199</v>
      </c>
      <c r="R608">
        <v>8.5</v>
      </c>
      <c r="T608" s="340" t="str">
        <f t="shared" si="60"/>
        <v>1998MaleMaori23Hanging, strangulation and suffocation</v>
      </c>
      <c r="U608">
        <v>1998</v>
      </c>
      <c r="V608" t="s">
        <v>20</v>
      </c>
      <c r="W608" t="s">
        <v>18</v>
      </c>
      <c r="X608">
        <v>23</v>
      </c>
      <c r="Y608" t="s">
        <v>43</v>
      </c>
      <c r="Z608">
        <v>30</v>
      </c>
      <c r="AA608">
        <v>40</v>
      </c>
      <c r="AB608">
        <v>75</v>
      </c>
    </row>
    <row r="609" spans="1:28">
      <c r="A609" t="str">
        <f t="shared" si="58"/>
        <v>2005AllSexNon-Maori22</v>
      </c>
      <c r="B609">
        <v>2005</v>
      </c>
      <c r="C609" t="s">
        <v>17</v>
      </c>
      <c r="D609" t="s">
        <v>19</v>
      </c>
      <c r="E609">
        <v>22</v>
      </c>
      <c r="F609">
        <v>69</v>
      </c>
      <c r="G609">
        <v>14.344816116089101</v>
      </c>
      <c r="H609">
        <v>3.4</v>
      </c>
      <c r="J609" s="340" t="str">
        <f t="shared" si="59"/>
        <v>2010MaleMaori191</v>
      </c>
      <c r="K609">
        <v>2010</v>
      </c>
      <c r="L609" t="s">
        <v>20</v>
      </c>
      <c r="M609" t="s">
        <v>18</v>
      </c>
      <c r="N609">
        <v>19</v>
      </c>
      <c r="O609">
        <v>1</v>
      </c>
      <c r="P609">
        <v>1</v>
      </c>
      <c r="Q609">
        <v>3.6221627571929602</v>
      </c>
      <c r="R609">
        <v>7.1</v>
      </c>
      <c r="T609" s="340" t="str">
        <f t="shared" si="60"/>
        <v>1998MaleMaori24Hanging, strangulation and suffocation</v>
      </c>
      <c r="U609">
        <v>1998</v>
      </c>
      <c r="V609" t="s">
        <v>20</v>
      </c>
      <c r="W609" t="s">
        <v>18</v>
      </c>
      <c r="X609">
        <v>24</v>
      </c>
      <c r="Y609" t="s">
        <v>43</v>
      </c>
      <c r="Z609">
        <v>3</v>
      </c>
      <c r="AA609">
        <v>10</v>
      </c>
      <c r="AB609">
        <v>30</v>
      </c>
    </row>
    <row r="610" spans="1:28">
      <c r="A610" t="str">
        <f t="shared" si="58"/>
        <v>2005AllSexNon-Maori23</v>
      </c>
      <c r="B610">
        <v>2005</v>
      </c>
      <c r="C610" t="s">
        <v>17</v>
      </c>
      <c r="D610" t="s">
        <v>19</v>
      </c>
      <c r="E610">
        <v>23</v>
      </c>
      <c r="F610">
        <v>165</v>
      </c>
      <c r="G610">
        <v>16.289699973344099</v>
      </c>
      <c r="H610">
        <v>2.5</v>
      </c>
      <c r="J610" s="340" t="str">
        <f t="shared" si="59"/>
        <v>2010MaleMaori192</v>
      </c>
      <c r="K610">
        <v>2010</v>
      </c>
      <c r="L610" t="s">
        <v>20</v>
      </c>
      <c r="M610" t="s">
        <v>18</v>
      </c>
      <c r="N610">
        <v>19</v>
      </c>
      <c r="O610">
        <v>2</v>
      </c>
      <c r="P610">
        <v>8</v>
      </c>
      <c r="Q610">
        <v>21.821143528825498</v>
      </c>
      <c r="R610">
        <v>15.1</v>
      </c>
      <c r="T610" s="340" t="str">
        <f t="shared" si="60"/>
        <v>1998MaleMaori22Jumping from a high place</v>
      </c>
      <c r="U610">
        <v>1998</v>
      </c>
      <c r="V610" t="s">
        <v>20</v>
      </c>
      <c r="W610" t="s">
        <v>18</v>
      </c>
      <c r="X610">
        <v>22</v>
      </c>
      <c r="Y610" t="s">
        <v>44</v>
      </c>
      <c r="Z610">
        <v>2</v>
      </c>
      <c r="AA610">
        <v>29</v>
      </c>
      <c r="AB610">
        <v>6.9</v>
      </c>
    </row>
    <row r="611" spans="1:28">
      <c r="A611" t="str">
        <f t="shared" si="58"/>
        <v>2005AllSexNon-Maori24</v>
      </c>
      <c r="B611">
        <v>2005</v>
      </c>
      <c r="C611" t="s">
        <v>17</v>
      </c>
      <c r="D611" t="s">
        <v>19</v>
      </c>
      <c r="E611">
        <v>24</v>
      </c>
      <c r="F611">
        <v>129</v>
      </c>
      <c r="G611">
        <v>14.689805957912</v>
      </c>
      <c r="H611">
        <v>2.5</v>
      </c>
      <c r="J611" s="340" t="str">
        <f t="shared" si="59"/>
        <v>2010MaleMaori193</v>
      </c>
      <c r="K611">
        <v>2010</v>
      </c>
      <c r="L611" t="s">
        <v>20</v>
      </c>
      <c r="M611" t="s">
        <v>18</v>
      </c>
      <c r="N611">
        <v>19</v>
      </c>
      <c r="O611">
        <v>3</v>
      </c>
      <c r="P611">
        <v>9</v>
      </c>
      <c r="Q611">
        <v>18.083880964863599</v>
      </c>
      <c r="R611">
        <v>11.8</v>
      </c>
      <c r="T611" s="340" t="str">
        <f t="shared" si="60"/>
        <v>1998MaleMaori22Other</v>
      </c>
      <c r="U611">
        <v>1998</v>
      </c>
      <c r="V611" t="s">
        <v>20</v>
      </c>
      <c r="W611" t="s">
        <v>18</v>
      </c>
      <c r="X611">
        <v>22</v>
      </c>
      <c r="Y611" t="s">
        <v>45</v>
      </c>
      <c r="Z611">
        <v>1</v>
      </c>
      <c r="AA611">
        <v>29</v>
      </c>
      <c r="AB611">
        <v>3.4</v>
      </c>
    </row>
    <row r="612" spans="1:28">
      <c r="A612" t="str">
        <f t="shared" si="58"/>
        <v>2005AllSexNon-Maori25</v>
      </c>
      <c r="B612">
        <v>2005</v>
      </c>
      <c r="C612" t="s">
        <v>17</v>
      </c>
      <c r="D612" t="s">
        <v>19</v>
      </c>
      <c r="E612">
        <v>25</v>
      </c>
      <c r="F612">
        <v>46</v>
      </c>
      <c r="G612">
        <v>9.7373044601088008</v>
      </c>
      <c r="H612">
        <v>2.8</v>
      </c>
      <c r="J612" s="340" t="str">
        <f t="shared" si="59"/>
        <v>2010MaleMaori194</v>
      </c>
      <c r="K612">
        <v>2010</v>
      </c>
      <c r="L612" t="s">
        <v>20</v>
      </c>
      <c r="M612" t="s">
        <v>18</v>
      </c>
      <c r="N612">
        <v>19</v>
      </c>
      <c r="O612">
        <v>4</v>
      </c>
      <c r="P612">
        <v>14</v>
      </c>
      <c r="Q612">
        <v>19.006144790160899</v>
      </c>
      <c r="R612">
        <v>10</v>
      </c>
      <c r="T612" s="340" t="str">
        <f t="shared" si="60"/>
        <v>1998MaleMaori23Other</v>
      </c>
      <c r="U612">
        <v>1998</v>
      </c>
      <c r="V612" t="s">
        <v>20</v>
      </c>
      <c r="W612" t="s">
        <v>18</v>
      </c>
      <c r="X612">
        <v>23</v>
      </c>
      <c r="Y612" t="s">
        <v>45</v>
      </c>
      <c r="Z612">
        <v>3</v>
      </c>
      <c r="AA612">
        <v>40</v>
      </c>
      <c r="AB612">
        <v>7.5</v>
      </c>
    </row>
    <row r="613" spans="1:28">
      <c r="A613" t="str">
        <f t="shared" si="58"/>
        <v>2005FemaleAllEth21</v>
      </c>
      <c r="B613">
        <v>2005</v>
      </c>
      <c r="C613" t="s">
        <v>8</v>
      </c>
      <c r="D613" t="s">
        <v>27</v>
      </c>
      <c r="E613">
        <v>21</v>
      </c>
      <c r="F613">
        <v>2</v>
      </c>
      <c r="G613">
        <v>0.46090383241536698</v>
      </c>
      <c r="H613">
        <v>0.6</v>
      </c>
      <c r="J613" s="340" t="str">
        <f t="shared" si="59"/>
        <v>2010MaleMaori195</v>
      </c>
      <c r="K613">
        <v>2010</v>
      </c>
      <c r="L613" t="s">
        <v>20</v>
      </c>
      <c r="M613" t="s">
        <v>18</v>
      </c>
      <c r="N613">
        <v>19</v>
      </c>
      <c r="O613">
        <v>5</v>
      </c>
      <c r="P613">
        <v>38</v>
      </c>
      <c r="Q613">
        <v>32.244772351682499</v>
      </c>
      <c r="R613">
        <v>10.3</v>
      </c>
      <c r="T613" s="340" t="str">
        <f t="shared" si="60"/>
        <v>1998MaleMaori24Other</v>
      </c>
      <c r="U613">
        <v>1998</v>
      </c>
      <c r="V613" t="s">
        <v>20</v>
      </c>
      <c r="W613" t="s">
        <v>18</v>
      </c>
      <c r="X613">
        <v>24</v>
      </c>
      <c r="Y613" t="s">
        <v>45</v>
      </c>
      <c r="Z613">
        <v>1</v>
      </c>
      <c r="AA613">
        <v>10</v>
      </c>
      <c r="AB613">
        <v>10</v>
      </c>
    </row>
    <row r="614" spans="1:28">
      <c r="A614" t="str">
        <f t="shared" si="58"/>
        <v>2005FemaleAllEth22</v>
      </c>
      <c r="B614">
        <v>2005</v>
      </c>
      <c r="C614" t="s">
        <v>8</v>
      </c>
      <c r="D614" t="s">
        <v>27</v>
      </c>
      <c r="E614">
        <v>22</v>
      </c>
      <c r="F614">
        <v>25</v>
      </c>
      <c r="G614">
        <v>8.4895408856289105</v>
      </c>
      <c r="H614">
        <v>3.3</v>
      </c>
      <c r="J614" s="340" t="str">
        <f t="shared" si="59"/>
        <v>2011MaleMaori191</v>
      </c>
      <c r="K614">
        <v>2011</v>
      </c>
      <c r="L614" t="s">
        <v>20</v>
      </c>
      <c r="M614" t="s">
        <v>18</v>
      </c>
      <c r="N614">
        <v>19</v>
      </c>
      <c r="O614">
        <v>1</v>
      </c>
      <c r="P614">
        <v>6</v>
      </c>
      <c r="Q614">
        <v>21.031405461350399</v>
      </c>
      <c r="R614">
        <v>16.8</v>
      </c>
      <c r="T614" s="340" t="str">
        <f t="shared" si="60"/>
        <v>1998MaleMaori22Poisoning by gases and vapours</v>
      </c>
      <c r="U614">
        <v>1998</v>
      </c>
      <c r="V614" t="s">
        <v>20</v>
      </c>
      <c r="W614" t="s">
        <v>18</v>
      </c>
      <c r="X614">
        <v>22</v>
      </c>
      <c r="Y614" t="s">
        <v>46</v>
      </c>
      <c r="Z614">
        <v>3</v>
      </c>
      <c r="AA614">
        <v>29</v>
      </c>
      <c r="AB614">
        <v>10.3</v>
      </c>
    </row>
    <row r="615" spans="1:28">
      <c r="A615" t="str">
        <f t="shared" si="58"/>
        <v>2005FemaleAllEth23</v>
      </c>
      <c r="B615">
        <v>2005</v>
      </c>
      <c r="C615" t="s">
        <v>8</v>
      </c>
      <c r="D615" t="s">
        <v>27</v>
      </c>
      <c r="E615">
        <v>23</v>
      </c>
      <c r="F615">
        <v>58</v>
      </c>
      <c r="G615">
        <v>9.4612009200202305</v>
      </c>
      <c r="H615">
        <v>2.4</v>
      </c>
      <c r="J615" s="340" t="str">
        <f t="shared" si="59"/>
        <v>2011MaleMaori192</v>
      </c>
      <c r="K615">
        <v>2011</v>
      </c>
      <c r="L615" t="s">
        <v>20</v>
      </c>
      <c r="M615" t="s">
        <v>18</v>
      </c>
      <c r="N615">
        <v>19</v>
      </c>
      <c r="O615">
        <v>2</v>
      </c>
      <c r="P615">
        <v>14</v>
      </c>
      <c r="Q615">
        <v>35.582468817473703</v>
      </c>
      <c r="R615">
        <v>18.600000000000001</v>
      </c>
      <c r="T615" s="340" t="str">
        <f t="shared" si="60"/>
        <v>1998MaleMaori23Poisoning by gases and vapours</v>
      </c>
      <c r="U615">
        <v>1998</v>
      </c>
      <c r="V615" t="s">
        <v>20</v>
      </c>
      <c r="W615" t="s">
        <v>18</v>
      </c>
      <c r="X615">
        <v>23</v>
      </c>
      <c r="Y615" t="s">
        <v>46</v>
      </c>
      <c r="Z615">
        <v>4</v>
      </c>
      <c r="AA615">
        <v>40</v>
      </c>
      <c r="AB615">
        <v>10</v>
      </c>
    </row>
    <row r="616" spans="1:28">
      <c r="A616" t="str">
        <f t="shared" si="58"/>
        <v>2005FemaleAllEth24</v>
      </c>
      <c r="B616">
        <v>2005</v>
      </c>
      <c r="C616" t="s">
        <v>8</v>
      </c>
      <c r="D616" t="s">
        <v>27</v>
      </c>
      <c r="E616">
        <v>24</v>
      </c>
      <c r="F616">
        <v>31</v>
      </c>
      <c r="G616">
        <v>6.2923720212722802</v>
      </c>
      <c r="H616">
        <v>2.2000000000000002</v>
      </c>
      <c r="J616" s="340" t="str">
        <f t="shared" si="59"/>
        <v>2011MaleMaori193</v>
      </c>
      <c r="K616">
        <v>2011</v>
      </c>
      <c r="L616" t="s">
        <v>20</v>
      </c>
      <c r="M616" t="s">
        <v>18</v>
      </c>
      <c r="N616">
        <v>19</v>
      </c>
      <c r="O616">
        <v>3</v>
      </c>
      <c r="P616">
        <v>10</v>
      </c>
      <c r="Q616">
        <v>17.476526126949899</v>
      </c>
      <c r="R616">
        <v>10.8</v>
      </c>
      <c r="T616" s="340" t="str">
        <f t="shared" si="60"/>
        <v>1998MaleMaori24Poisoning by gases and vapours</v>
      </c>
      <c r="U616">
        <v>1998</v>
      </c>
      <c r="V616" t="s">
        <v>20</v>
      </c>
      <c r="W616" t="s">
        <v>18</v>
      </c>
      <c r="X616">
        <v>24</v>
      </c>
      <c r="Y616" t="s">
        <v>46</v>
      </c>
      <c r="Z616">
        <v>1</v>
      </c>
      <c r="AA616">
        <v>10</v>
      </c>
      <c r="AB616">
        <v>10</v>
      </c>
    </row>
    <row r="617" spans="1:28">
      <c r="A617" t="str">
        <f t="shared" si="58"/>
        <v>2005FemaleAllEth25</v>
      </c>
      <c r="B617">
        <v>2005</v>
      </c>
      <c r="C617" t="s">
        <v>8</v>
      </c>
      <c r="D617" t="s">
        <v>27</v>
      </c>
      <c r="E617">
        <v>25</v>
      </c>
      <c r="F617">
        <v>16</v>
      </c>
      <c r="G617">
        <v>5.8025676361790097</v>
      </c>
      <c r="H617">
        <v>2.8</v>
      </c>
      <c r="J617" s="340" t="str">
        <f t="shared" si="59"/>
        <v>2011MaleMaori194</v>
      </c>
      <c r="K617">
        <v>2011</v>
      </c>
      <c r="L617" t="s">
        <v>20</v>
      </c>
      <c r="M617" t="s">
        <v>18</v>
      </c>
      <c r="N617">
        <v>19</v>
      </c>
      <c r="O617">
        <v>4</v>
      </c>
      <c r="P617">
        <v>14</v>
      </c>
      <c r="Q617">
        <v>18.479623619768098</v>
      </c>
      <c r="R617">
        <v>9.6999999999999993</v>
      </c>
      <c r="T617" s="340" t="str">
        <f t="shared" si="60"/>
        <v>1998MaleMaori25Poisoning by gases and vapours</v>
      </c>
      <c r="U617">
        <v>1998</v>
      </c>
      <c r="V617" t="s">
        <v>20</v>
      </c>
      <c r="W617" t="s">
        <v>18</v>
      </c>
      <c r="X617">
        <v>25</v>
      </c>
      <c r="Y617" t="s">
        <v>46</v>
      </c>
      <c r="Z617">
        <v>1</v>
      </c>
      <c r="AA617">
        <v>2</v>
      </c>
      <c r="AB617">
        <v>50</v>
      </c>
    </row>
    <row r="618" spans="1:28">
      <c r="A618" t="str">
        <f t="shared" si="58"/>
        <v>2005FemaleMaori21</v>
      </c>
      <c r="B618">
        <v>2005</v>
      </c>
      <c r="C618" t="s">
        <v>8</v>
      </c>
      <c r="D618" t="s">
        <v>18</v>
      </c>
      <c r="E618">
        <v>21</v>
      </c>
      <c r="F618">
        <v>2</v>
      </c>
      <c r="G618">
        <v>1.90276852820854</v>
      </c>
      <c r="H618">
        <v>2.6</v>
      </c>
      <c r="J618" s="340" t="str">
        <f t="shared" si="59"/>
        <v>2011MaleMaori195</v>
      </c>
      <c r="K618">
        <v>2011</v>
      </c>
      <c r="L618" t="s">
        <v>20</v>
      </c>
      <c r="M618" t="s">
        <v>18</v>
      </c>
      <c r="N618">
        <v>19</v>
      </c>
      <c r="O618">
        <v>5</v>
      </c>
      <c r="P618">
        <v>37</v>
      </c>
      <c r="Q618">
        <v>33.540339974759902</v>
      </c>
      <c r="R618">
        <v>10.8</v>
      </c>
      <c r="T618" s="340" t="str">
        <f t="shared" si="60"/>
        <v>1998MaleMaori22Poisoning by solids and liquids</v>
      </c>
      <c r="U618">
        <v>1998</v>
      </c>
      <c r="V618" t="s">
        <v>20</v>
      </c>
      <c r="W618" t="s">
        <v>18</v>
      </c>
      <c r="X618">
        <v>22</v>
      </c>
      <c r="Y618" t="s">
        <v>47</v>
      </c>
      <c r="Z618">
        <v>1</v>
      </c>
      <c r="AA618">
        <v>29</v>
      </c>
      <c r="AB618">
        <v>3.4</v>
      </c>
    </row>
    <row r="619" spans="1:28">
      <c r="A619" t="str">
        <f t="shared" si="58"/>
        <v>2005FemaleMaori22</v>
      </c>
      <c r="B619">
        <v>2005</v>
      </c>
      <c r="C619" t="s">
        <v>8</v>
      </c>
      <c r="D619" t="s">
        <v>18</v>
      </c>
      <c r="E619">
        <v>22</v>
      </c>
      <c r="F619">
        <v>11</v>
      </c>
      <c r="G619">
        <v>18.9753320683112</v>
      </c>
      <c r="H619">
        <v>11.2</v>
      </c>
      <c r="J619" s="340" t="str">
        <f t="shared" si="59"/>
        <v>2012MaleMaori191</v>
      </c>
      <c r="K619">
        <v>2012</v>
      </c>
      <c r="L619" t="s">
        <v>20</v>
      </c>
      <c r="M619" t="s">
        <v>18</v>
      </c>
      <c r="N619">
        <v>19</v>
      </c>
      <c r="O619">
        <v>1</v>
      </c>
      <c r="P619">
        <v>2</v>
      </c>
      <c r="Q619">
        <v>9.9349077523031699</v>
      </c>
      <c r="R619">
        <v>13.8</v>
      </c>
      <c r="T619" s="340" t="str">
        <f t="shared" si="60"/>
        <v>1998MaleMaori24Poisoning by solids and liquids</v>
      </c>
      <c r="U619">
        <v>1998</v>
      </c>
      <c r="V619" t="s">
        <v>20</v>
      </c>
      <c r="W619" t="s">
        <v>18</v>
      </c>
      <c r="X619">
        <v>24</v>
      </c>
      <c r="Y619" t="s">
        <v>47</v>
      </c>
      <c r="Z619">
        <v>2</v>
      </c>
      <c r="AA619">
        <v>10</v>
      </c>
      <c r="AB619">
        <v>20</v>
      </c>
    </row>
    <row r="620" spans="1:28">
      <c r="A620" t="str">
        <f t="shared" si="58"/>
        <v>2005FemaleMaori23</v>
      </c>
      <c r="B620">
        <v>2005</v>
      </c>
      <c r="C620" t="s">
        <v>8</v>
      </c>
      <c r="D620" t="s">
        <v>18</v>
      </c>
      <c r="E620">
        <v>23</v>
      </c>
      <c r="F620">
        <v>12</v>
      </c>
      <c r="G620">
        <v>13.386880856760399</v>
      </c>
      <c r="H620">
        <v>7.6</v>
      </c>
      <c r="J620" s="340" t="str">
        <f t="shared" si="59"/>
        <v>2012MaleMaori192</v>
      </c>
      <c r="K620">
        <v>2012</v>
      </c>
      <c r="L620" t="s">
        <v>20</v>
      </c>
      <c r="M620" t="s">
        <v>18</v>
      </c>
      <c r="N620">
        <v>19</v>
      </c>
      <c r="O620">
        <v>2</v>
      </c>
      <c r="P620">
        <v>7</v>
      </c>
      <c r="Q620">
        <v>20.315618247905999</v>
      </c>
      <c r="R620">
        <v>15</v>
      </c>
      <c r="T620" s="340" t="str">
        <f t="shared" si="60"/>
        <v>1998MaleMaori23Sharp object</v>
      </c>
      <c r="U620">
        <v>1998</v>
      </c>
      <c r="V620" t="s">
        <v>20</v>
      </c>
      <c r="W620" t="s">
        <v>18</v>
      </c>
      <c r="X620">
        <v>23</v>
      </c>
      <c r="Y620" t="s">
        <v>48</v>
      </c>
      <c r="Z620">
        <v>1</v>
      </c>
      <c r="AA620">
        <v>40</v>
      </c>
      <c r="AB620">
        <v>2.5</v>
      </c>
    </row>
    <row r="621" spans="1:28">
      <c r="A621" t="str">
        <f t="shared" si="58"/>
        <v>2005FemaleMaori24</v>
      </c>
      <c r="B621">
        <v>2005</v>
      </c>
      <c r="C621" t="s">
        <v>8</v>
      </c>
      <c r="D621" t="s">
        <v>18</v>
      </c>
      <c r="E621">
        <v>24</v>
      </c>
      <c r="F621">
        <v>2</v>
      </c>
      <c r="G621">
        <v>4.12456176531244</v>
      </c>
      <c r="H621">
        <v>5.7</v>
      </c>
      <c r="J621" s="340" t="str">
        <f t="shared" si="59"/>
        <v>2012MaleMaori193</v>
      </c>
      <c r="K621">
        <v>2012</v>
      </c>
      <c r="L621" t="s">
        <v>20</v>
      </c>
      <c r="M621" t="s">
        <v>18</v>
      </c>
      <c r="N621">
        <v>19</v>
      </c>
      <c r="O621">
        <v>3</v>
      </c>
      <c r="P621">
        <v>15</v>
      </c>
      <c r="Q621">
        <v>27.275895217243601</v>
      </c>
      <c r="R621">
        <v>13.8</v>
      </c>
      <c r="T621" s="340" t="str">
        <f t="shared" si="60"/>
        <v>1998MaleNon-Maori22Firearms and explosives</v>
      </c>
      <c r="U621">
        <v>1998</v>
      </c>
      <c r="V621" t="s">
        <v>20</v>
      </c>
      <c r="W621" t="s">
        <v>19</v>
      </c>
      <c r="X621">
        <v>22</v>
      </c>
      <c r="Y621" t="s">
        <v>42</v>
      </c>
      <c r="Z621">
        <v>11</v>
      </c>
      <c r="AA621">
        <v>75</v>
      </c>
      <c r="AB621">
        <v>14.7</v>
      </c>
    </row>
    <row r="622" spans="1:28">
      <c r="A622" t="str">
        <f t="shared" si="58"/>
        <v>2005FemaleMaori25</v>
      </c>
      <c r="B622">
        <v>2005</v>
      </c>
      <c r="C622" t="s">
        <v>8</v>
      </c>
      <c r="D622" t="s">
        <v>18</v>
      </c>
      <c r="E622">
        <v>25</v>
      </c>
      <c r="F622">
        <v>0</v>
      </c>
      <c r="G622">
        <v>0</v>
      </c>
      <c r="J622" s="340" t="str">
        <f t="shared" si="59"/>
        <v>2012MaleMaori194</v>
      </c>
      <c r="K622">
        <v>2012</v>
      </c>
      <c r="L622" t="s">
        <v>20</v>
      </c>
      <c r="M622" t="s">
        <v>18</v>
      </c>
      <c r="N622">
        <v>19</v>
      </c>
      <c r="O622">
        <v>4</v>
      </c>
      <c r="P622">
        <v>22</v>
      </c>
      <c r="Q622">
        <v>28.486159057413701</v>
      </c>
      <c r="R622">
        <v>11.9</v>
      </c>
      <c r="T622" s="340" t="str">
        <f t="shared" si="60"/>
        <v>1998MaleNon-Maori23Firearms and explosives</v>
      </c>
      <c r="U622">
        <v>1998</v>
      </c>
      <c r="V622" t="s">
        <v>20</v>
      </c>
      <c r="W622" t="s">
        <v>19</v>
      </c>
      <c r="X622">
        <v>23</v>
      </c>
      <c r="Y622" t="s">
        <v>42</v>
      </c>
      <c r="Z622">
        <v>20</v>
      </c>
      <c r="AA622">
        <v>155</v>
      </c>
      <c r="AB622">
        <v>12.9</v>
      </c>
    </row>
    <row r="623" spans="1:28">
      <c r="A623" t="str">
        <f t="shared" si="58"/>
        <v>2005FemaleNon-Maori21</v>
      </c>
      <c r="B623">
        <v>2005</v>
      </c>
      <c r="C623" t="s">
        <v>8</v>
      </c>
      <c r="D623" t="s">
        <v>19</v>
      </c>
      <c r="E623">
        <v>21</v>
      </c>
      <c r="F623">
        <v>0</v>
      </c>
      <c r="G623">
        <v>0</v>
      </c>
      <c r="J623" s="340" t="str">
        <f t="shared" si="59"/>
        <v>2012MaleMaori195</v>
      </c>
      <c r="K623">
        <v>2012</v>
      </c>
      <c r="L623" t="s">
        <v>20</v>
      </c>
      <c r="M623" t="s">
        <v>18</v>
      </c>
      <c r="N623">
        <v>19</v>
      </c>
      <c r="O623">
        <v>5</v>
      </c>
      <c r="P623">
        <v>33</v>
      </c>
      <c r="Q623">
        <v>27.218884263904702</v>
      </c>
      <c r="R623">
        <v>9.3000000000000007</v>
      </c>
      <c r="T623" s="340" t="str">
        <f t="shared" si="60"/>
        <v>1998MaleNon-Maori24Firearms and explosives</v>
      </c>
      <c r="U623">
        <v>1998</v>
      </c>
      <c r="V623" t="s">
        <v>20</v>
      </c>
      <c r="W623" t="s">
        <v>19</v>
      </c>
      <c r="X623">
        <v>24</v>
      </c>
      <c r="Y623" t="s">
        <v>42</v>
      </c>
      <c r="Z623">
        <v>24</v>
      </c>
      <c r="AA623">
        <v>80</v>
      </c>
      <c r="AB623">
        <v>30</v>
      </c>
    </row>
    <row r="624" spans="1:28">
      <c r="A624" t="str">
        <f t="shared" si="58"/>
        <v>2005FemaleNon-Maori22</v>
      </c>
      <c r="B624">
        <v>2005</v>
      </c>
      <c r="C624" t="s">
        <v>8</v>
      </c>
      <c r="D624" t="s">
        <v>19</v>
      </c>
      <c r="E624">
        <v>22</v>
      </c>
      <c r="F624">
        <v>14</v>
      </c>
      <c r="G624">
        <v>5.9194114413766901</v>
      </c>
      <c r="H624">
        <v>3.1</v>
      </c>
      <c r="J624" s="340" t="str">
        <f t="shared" si="59"/>
        <v>2013MaleMaori191</v>
      </c>
      <c r="K624">
        <v>2013</v>
      </c>
      <c r="L624" t="s">
        <v>20</v>
      </c>
      <c r="M624" t="s">
        <v>18</v>
      </c>
      <c r="N624">
        <v>19</v>
      </c>
      <c r="O624">
        <v>1</v>
      </c>
      <c r="P624">
        <v>2</v>
      </c>
      <c r="Q624">
        <v>6.4088357149927502</v>
      </c>
      <c r="R624">
        <v>8.9</v>
      </c>
      <c r="T624" s="340" t="str">
        <f t="shared" si="60"/>
        <v>1998MaleNon-Maori25Firearms and explosives</v>
      </c>
      <c r="U624">
        <v>1998</v>
      </c>
      <c r="V624" t="s">
        <v>20</v>
      </c>
      <c r="W624" t="s">
        <v>19</v>
      </c>
      <c r="X624">
        <v>25</v>
      </c>
      <c r="Y624" t="s">
        <v>42</v>
      </c>
      <c r="Z624">
        <v>6</v>
      </c>
      <c r="AA624">
        <v>46</v>
      </c>
      <c r="AB624">
        <v>13</v>
      </c>
    </row>
    <row r="625" spans="1:28">
      <c r="A625" t="str">
        <f t="shared" si="58"/>
        <v>2005FemaleNon-Maori23</v>
      </c>
      <c r="B625">
        <v>2005</v>
      </c>
      <c r="C625" t="s">
        <v>8</v>
      </c>
      <c r="D625" t="s">
        <v>19</v>
      </c>
      <c r="E625">
        <v>23</v>
      </c>
      <c r="F625">
        <v>46</v>
      </c>
      <c r="G625">
        <v>8.7888572574944099</v>
      </c>
      <c r="H625">
        <v>2.5</v>
      </c>
      <c r="J625" s="340" t="str">
        <f t="shared" si="59"/>
        <v>2013MaleMaori192</v>
      </c>
      <c r="K625">
        <v>2013</v>
      </c>
      <c r="L625" t="s">
        <v>20</v>
      </c>
      <c r="M625" t="s">
        <v>18</v>
      </c>
      <c r="N625">
        <v>19</v>
      </c>
      <c r="O625">
        <v>2</v>
      </c>
      <c r="P625">
        <v>6</v>
      </c>
      <c r="Q625">
        <v>17.9278818688732</v>
      </c>
      <c r="R625">
        <v>14.3</v>
      </c>
      <c r="T625" s="340" t="str">
        <f t="shared" si="60"/>
        <v>1998MaleNon-Maori21Hanging, strangulation and suffocation</v>
      </c>
      <c r="U625">
        <v>1998</v>
      </c>
      <c r="V625" t="s">
        <v>20</v>
      </c>
      <c r="W625" t="s">
        <v>19</v>
      </c>
      <c r="X625">
        <v>21</v>
      </c>
      <c r="Y625" t="s">
        <v>43</v>
      </c>
      <c r="Z625">
        <v>2</v>
      </c>
      <c r="AA625">
        <v>2</v>
      </c>
      <c r="AB625">
        <v>100</v>
      </c>
    </row>
    <row r="626" spans="1:28">
      <c r="A626" t="str">
        <f t="shared" si="58"/>
        <v>2005FemaleNon-Maori24</v>
      </c>
      <c r="B626">
        <v>2005</v>
      </c>
      <c r="C626" t="s">
        <v>8</v>
      </c>
      <c r="D626" t="s">
        <v>19</v>
      </c>
      <c r="E626">
        <v>24</v>
      </c>
      <c r="F626">
        <v>29</v>
      </c>
      <c r="G626">
        <v>6.5290316770605799</v>
      </c>
      <c r="H626">
        <v>2.4</v>
      </c>
      <c r="J626" s="340" t="str">
        <f t="shared" si="59"/>
        <v>2013MaleMaori193</v>
      </c>
      <c r="K626">
        <v>2013</v>
      </c>
      <c r="L626" t="s">
        <v>20</v>
      </c>
      <c r="M626" t="s">
        <v>18</v>
      </c>
      <c r="N626">
        <v>19</v>
      </c>
      <c r="O626">
        <v>3</v>
      </c>
      <c r="P626">
        <v>6</v>
      </c>
      <c r="Q626">
        <v>10.045706445353</v>
      </c>
      <c r="R626">
        <v>8</v>
      </c>
      <c r="T626" s="340" t="str">
        <f t="shared" si="60"/>
        <v>1998MaleNon-Maori22Hanging, strangulation and suffocation</v>
      </c>
      <c r="U626">
        <v>1998</v>
      </c>
      <c r="V626" t="s">
        <v>20</v>
      </c>
      <c r="W626" t="s">
        <v>19</v>
      </c>
      <c r="X626">
        <v>22</v>
      </c>
      <c r="Y626" t="s">
        <v>43</v>
      </c>
      <c r="Z626">
        <v>35</v>
      </c>
      <c r="AA626">
        <v>75</v>
      </c>
      <c r="AB626">
        <v>46.7</v>
      </c>
    </row>
    <row r="627" spans="1:28">
      <c r="A627" t="str">
        <f t="shared" si="58"/>
        <v>2005FemaleNon-Maori25</v>
      </c>
      <c r="B627">
        <v>2005</v>
      </c>
      <c r="C627" t="s">
        <v>8</v>
      </c>
      <c r="D627" t="s">
        <v>19</v>
      </c>
      <c r="E627">
        <v>25</v>
      </c>
      <c r="F627">
        <v>16</v>
      </c>
      <c r="G627">
        <v>6.0966316110349004</v>
      </c>
      <c r="H627">
        <v>3</v>
      </c>
      <c r="J627" s="340" t="str">
        <f t="shared" si="59"/>
        <v>2013MaleMaori194</v>
      </c>
      <c r="K627">
        <v>2013</v>
      </c>
      <c r="L627" t="s">
        <v>20</v>
      </c>
      <c r="M627" t="s">
        <v>18</v>
      </c>
      <c r="N627">
        <v>19</v>
      </c>
      <c r="O627">
        <v>4</v>
      </c>
      <c r="P627">
        <v>17</v>
      </c>
      <c r="Q627">
        <v>23.2503882927688</v>
      </c>
      <c r="R627">
        <v>11.1</v>
      </c>
      <c r="T627" s="340" t="str">
        <f t="shared" si="60"/>
        <v>1998MaleNon-Maori23Hanging, strangulation and suffocation</v>
      </c>
      <c r="U627">
        <v>1998</v>
      </c>
      <c r="V627" t="s">
        <v>20</v>
      </c>
      <c r="W627" t="s">
        <v>19</v>
      </c>
      <c r="X627">
        <v>23</v>
      </c>
      <c r="Y627" t="s">
        <v>43</v>
      </c>
      <c r="Z627">
        <v>59</v>
      </c>
      <c r="AA627">
        <v>155</v>
      </c>
      <c r="AB627">
        <v>38.1</v>
      </c>
    </row>
    <row r="628" spans="1:28">
      <c r="A628" t="str">
        <f t="shared" si="58"/>
        <v>2005MaleAllEth21</v>
      </c>
      <c r="B628">
        <v>2005</v>
      </c>
      <c r="C628" t="s">
        <v>20</v>
      </c>
      <c r="D628" t="s">
        <v>27</v>
      </c>
      <c r="E628">
        <v>21</v>
      </c>
      <c r="F628">
        <v>1</v>
      </c>
      <c r="G628">
        <v>0.21919249484897599</v>
      </c>
      <c r="H628">
        <v>0.4</v>
      </c>
      <c r="J628" s="340" t="str">
        <f t="shared" si="59"/>
        <v>2013MaleMaori195</v>
      </c>
      <c r="K628">
        <v>2013</v>
      </c>
      <c r="L628" t="s">
        <v>20</v>
      </c>
      <c r="M628" t="s">
        <v>18</v>
      </c>
      <c r="N628">
        <v>19</v>
      </c>
      <c r="O628">
        <v>5</v>
      </c>
      <c r="P628">
        <v>33</v>
      </c>
      <c r="Q628">
        <v>28.871051560293999</v>
      </c>
      <c r="R628">
        <v>9.9</v>
      </c>
      <c r="T628" s="340" t="str">
        <f t="shared" si="60"/>
        <v>1998MaleNon-Maori24Hanging, strangulation and suffocation</v>
      </c>
      <c r="U628">
        <v>1998</v>
      </c>
      <c r="V628" t="s">
        <v>20</v>
      </c>
      <c r="W628" t="s">
        <v>19</v>
      </c>
      <c r="X628">
        <v>24</v>
      </c>
      <c r="Y628" t="s">
        <v>43</v>
      </c>
      <c r="Z628">
        <v>22</v>
      </c>
      <c r="AA628">
        <v>80</v>
      </c>
      <c r="AB628">
        <v>27.5</v>
      </c>
    </row>
    <row r="629" spans="1:28">
      <c r="A629" t="str">
        <f t="shared" si="58"/>
        <v>2005MaleAllEth22</v>
      </c>
      <c r="B629">
        <v>2005</v>
      </c>
      <c r="C629" t="s">
        <v>20</v>
      </c>
      <c r="D629" t="s">
        <v>27</v>
      </c>
      <c r="E629">
        <v>22</v>
      </c>
      <c r="F629">
        <v>84</v>
      </c>
      <c r="G629">
        <v>27.9273887891482</v>
      </c>
      <c r="H629">
        <v>6</v>
      </c>
      <c r="J629" s="340" t="str">
        <f t="shared" si="59"/>
        <v>2014MaleMaori191</v>
      </c>
      <c r="K629">
        <v>2014</v>
      </c>
      <c r="L629" t="s">
        <v>20</v>
      </c>
      <c r="M629" t="s">
        <v>18</v>
      </c>
      <c r="N629">
        <v>19</v>
      </c>
      <c r="O629">
        <v>1</v>
      </c>
      <c r="P629">
        <v>5</v>
      </c>
      <c r="Q629">
        <v>18.9380644396051</v>
      </c>
      <c r="R629">
        <v>16.600000000000001</v>
      </c>
      <c r="T629" s="340" t="str">
        <f t="shared" si="60"/>
        <v>1998MaleNon-Maori25Hanging, strangulation and suffocation</v>
      </c>
      <c r="U629">
        <v>1998</v>
      </c>
      <c r="V629" t="s">
        <v>20</v>
      </c>
      <c r="W629" t="s">
        <v>19</v>
      </c>
      <c r="X629">
        <v>25</v>
      </c>
      <c r="Y629" t="s">
        <v>43</v>
      </c>
      <c r="Z629">
        <v>14</v>
      </c>
      <c r="AA629">
        <v>46</v>
      </c>
      <c r="AB629">
        <v>30.4</v>
      </c>
    </row>
    <row r="630" spans="1:28">
      <c r="A630" t="str">
        <f t="shared" si="58"/>
        <v>2005MaleAllEth23</v>
      </c>
      <c r="B630">
        <v>2005</v>
      </c>
      <c r="C630" t="s">
        <v>20</v>
      </c>
      <c r="D630" t="s">
        <v>27</v>
      </c>
      <c r="E630">
        <v>23</v>
      </c>
      <c r="F630">
        <v>161</v>
      </c>
      <c r="G630">
        <v>28.278854091651599</v>
      </c>
      <c r="H630">
        <v>4.4000000000000004</v>
      </c>
      <c r="J630" s="340" t="str">
        <f t="shared" si="59"/>
        <v>2014MaleMaori192</v>
      </c>
      <c r="K630">
        <v>2014</v>
      </c>
      <c r="L630" t="s">
        <v>20</v>
      </c>
      <c r="M630" t="s">
        <v>18</v>
      </c>
      <c r="N630">
        <v>19</v>
      </c>
      <c r="O630">
        <v>2</v>
      </c>
      <c r="P630">
        <v>4</v>
      </c>
      <c r="Q630">
        <v>10.3405570763633</v>
      </c>
      <c r="R630">
        <v>10.1</v>
      </c>
      <c r="T630" s="340" t="str">
        <f t="shared" si="60"/>
        <v>1998MaleNon-Maori22Jumping from a high place</v>
      </c>
      <c r="U630">
        <v>1998</v>
      </c>
      <c r="V630" t="s">
        <v>20</v>
      </c>
      <c r="W630" t="s">
        <v>19</v>
      </c>
      <c r="X630">
        <v>22</v>
      </c>
      <c r="Y630" t="s">
        <v>44</v>
      </c>
      <c r="Z630">
        <v>5</v>
      </c>
      <c r="AA630">
        <v>75</v>
      </c>
      <c r="AB630">
        <v>6.7</v>
      </c>
    </row>
    <row r="631" spans="1:28">
      <c r="A631" t="str">
        <f t="shared" si="58"/>
        <v>2005MaleAllEth24</v>
      </c>
      <c r="B631">
        <v>2005</v>
      </c>
      <c r="C631" t="s">
        <v>20</v>
      </c>
      <c r="D631" t="s">
        <v>27</v>
      </c>
      <c r="E631">
        <v>24</v>
      </c>
      <c r="F631">
        <v>105</v>
      </c>
      <c r="G631">
        <v>21.927992648901501</v>
      </c>
      <c r="H631">
        <v>4.2</v>
      </c>
      <c r="J631" s="340" t="str">
        <f t="shared" si="59"/>
        <v>2014MaleMaori193</v>
      </c>
      <c r="K631">
        <v>2014</v>
      </c>
      <c r="L631" t="s">
        <v>20</v>
      </c>
      <c r="M631" t="s">
        <v>18</v>
      </c>
      <c r="N631">
        <v>19</v>
      </c>
      <c r="O631">
        <v>3</v>
      </c>
      <c r="P631">
        <v>15</v>
      </c>
      <c r="Q631">
        <v>30.433849150878899</v>
      </c>
      <c r="R631">
        <v>15.4</v>
      </c>
      <c r="T631" s="340" t="str">
        <f t="shared" si="60"/>
        <v>1998MaleNon-Maori23Jumping from a high place</v>
      </c>
      <c r="U631">
        <v>1998</v>
      </c>
      <c r="V631" t="s">
        <v>20</v>
      </c>
      <c r="W631" t="s">
        <v>19</v>
      </c>
      <c r="X631">
        <v>23</v>
      </c>
      <c r="Y631" t="s">
        <v>44</v>
      </c>
      <c r="Z631">
        <v>3</v>
      </c>
      <c r="AA631">
        <v>155</v>
      </c>
      <c r="AB631">
        <v>1.9</v>
      </c>
    </row>
    <row r="632" spans="1:28">
      <c r="A632" t="str">
        <f t="shared" si="58"/>
        <v>2005MaleAllEth25</v>
      </c>
      <c r="B632">
        <v>2005</v>
      </c>
      <c r="C632" t="s">
        <v>20</v>
      </c>
      <c r="D632" t="s">
        <v>27</v>
      </c>
      <c r="E632">
        <v>25</v>
      </c>
      <c r="F632">
        <v>32</v>
      </c>
      <c r="G632">
        <v>14.4783277531445</v>
      </c>
      <c r="H632">
        <v>5</v>
      </c>
      <c r="J632" s="340" t="str">
        <f t="shared" si="59"/>
        <v>2014MaleMaori194</v>
      </c>
      <c r="K632">
        <v>2014</v>
      </c>
      <c r="L632" t="s">
        <v>20</v>
      </c>
      <c r="M632" t="s">
        <v>18</v>
      </c>
      <c r="N632">
        <v>19</v>
      </c>
      <c r="O632">
        <v>4</v>
      </c>
      <c r="P632">
        <v>15</v>
      </c>
      <c r="Q632">
        <v>21.0059271067922</v>
      </c>
      <c r="R632">
        <v>10.6</v>
      </c>
      <c r="T632" s="340" t="str">
        <f t="shared" si="60"/>
        <v>1998MaleNon-Maori24Jumping from a high place</v>
      </c>
      <c r="U632">
        <v>1998</v>
      </c>
      <c r="V632" t="s">
        <v>20</v>
      </c>
      <c r="W632" t="s">
        <v>19</v>
      </c>
      <c r="X632">
        <v>24</v>
      </c>
      <c r="Y632" t="s">
        <v>44</v>
      </c>
      <c r="Z632">
        <v>1</v>
      </c>
      <c r="AA632">
        <v>80</v>
      </c>
      <c r="AB632">
        <v>1.2</v>
      </c>
    </row>
    <row r="633" spans="1:28">
      <c r="A633" t="str">
        <f t="shared" si="58"/>
        <v>2005MaleMaori21</v>
      </c>
      <c r="B633">
        <v>2005</v>
      </c>
      <c r="C633" t="s">
        <v>20</v>
      </c>
      <c r="D633" t="s">
        <v>18</v>
      </c>
      <c r="E633">
        <v>21</v>
      </c>
      <c r="F633">
        <v>0</v>
      </c>
      <c r="G633">
        <v>0</v>
      </c>
      <c r="J633" s="340" t="str">
        <f t="shared" si="59"/>
        <v>2014MaleMaori195</v>
      </c>
      <c r="K633">
        <v>2014</v>
      </c>
      <c r="L633" t="s">
        <v>20</v>
      </c>
      <c r="M633" t="s">
        <v>18</v>
      </c>
      <c r="N633">
        <v>19</v>
      </c>
      <c r="O633">
        <v>5</v>
      </c>
      <c r="P633">
        <v>26</v>
      </c>
      <c r="Q633">
        <v>22.325467443982301</v>
      </c>
      <c r="R633">
        <v>8.6</v>
      </c>
      <c r="T633" s="340" t="str">
        <f t="shared" si="60"/>
        <v>1998MaleNon-Maori22Other</v>
      </c>
      <c r="U633">
        <v>1998</v>
      </c>
      <c r="V633" t="s">
        <v>20</v>
      </c>
      <c r="W633" t="s">
        <v>19</v>
      </c>
      <c r="X633">
        <v>22</v>
      </c>
      <c r="Y633" t="s">
        <v>45</v>
      </c>
      <c r="Z633">
        <v>2</v>
      </c>
      <c r="AA633">
        <v>75</v>
      </c>
      <c r="AB633">
        <v>2.7</v>
      </c>
    </row>
    <row r="634" spans="1:28">
      <c r="A634" t="str">
        <f t="shared" si="58"/>
        <v>2005MaleMaori22</v>
      </c>
      <c r="B634">
        <v>2005</v>
      </c>
      <c r="C634" t="s">
        <v>20</v>
      </c>
      <c r="D634" t="s">
        <v>18</v>
      </c>
      <c r="E634">
        <v>22</v>
      </c>
      <c r="F634">
        <v>29</v>
      </c>
      <c r="G634">
        <v>51.5280739161336</v>
      </c>
      <c r="H634">
        <v>18.8</v>
      </c>
      <c r="J634" s="340" t="str">
        <f t="shared" si="59"/>
        <v>2015MaleMaori191</v>
      </c>
      <c r="K634">
        <v>2015</v>
      </c>
      <c r="L634" t="s">
        <v>20</v>
      </c>
      <c r="M634" t="s">
        <v>18</v>
      </c>
      <c r="N634">
        <v>19</v>
      </c>
      <c r="O634">
        <v>1</v>
      </c>
      <c r="P634">
        <v>1</v>
      </c>
      <c r="Q634">
        <v>2.5486536302487601</v>
      </c>
      <c r="R634">
        <v>5</v>
      </c>
      <c r="T634" s="340" t="str">
        <f t="shared" si="60"/>
        <v>1998MaleNon-Maori23Other</v>
      </c>
      <c r="U634">
        <v>1998</v>
      </c>
      <c r="V634" t="s">
        <v>20</v>
      </c>
      <c r="W634" t="s">
        <v>19</v>
      </c>
      <c r="X634">
        <v>23</v>
      </c>
      <c r="Y634" t="s">
        <v>45</v>
      </c>
      <c r="Z634">
        <v>7</v>
      </c>
      <c r="AA634">
        <v>155</v>
      </c>
      <c r="AB634">
        <v>4.5</v>
      </c>
    </row>
    <row r="635" spans="1:28">
      <c r="A635" t="str">
        <f t="shared" si="58"/>
        <v>2005MaleMaori23</v>
      </c>
      <c r="B635">
        <v>2005</v>
      </c>
      <c r="C635" t="s">
        <v>20</v>
      </c>
      <c r="D635" t="s">
        <v>18</v>
      </c>
      <c r="E635">
        <v>23</v>
      </c>
      <c r="F635">
        <v>42</v>
      </c>
      <c r="G635">
        <v>52.618391380606397</v>
      </c>
      <c r="H635">
        <v>15.9</v>
      </c>
      <c r="J635" s="340" t="str">
        <f t="shared" si="59"/>
        <v>2015MaleMaori192</v>
      </c>
      <c r="K635">
        <v>2015</v>
      </c>
      <c r="L635" t="s">
        <v>20</v>
      </c>
      <c r="M635" t="s">
        <v>18</v>
      </c>
      <c r="N635">
        <v>19</v>
      </c>
      <c r="O635">
        <v>2</v>
      </c>
      <c r="P635">
        <v>9</v>
      </c>
      <c r="Q635">
        <v>21.8733877258367</v>
      </c>
      <c r="R635">
        <v>14.3</v>
      </c>
      <c r="T635" s="340" t="str">
        <f t="shared" si="60"/>
        <v>1998MaleNon-Maori24Other</v>
      </c>
      <c r="U635">
        <v>1998</v>
      </c>
      <c r="V635" t="s">
        <v>20</v>
      </c>
      <c r="W635" t="s">
        <v>19</v>
      </c>
      <c r="X635">
        <v>24</v>
      </c>
      <c r="Y635" t="s">
        <v>45</v>
      </c>
      <c r="Z635">
        <v>1</v>
      </c>
      <c r="AA635">
        <v>80</v>
      </c>
      <c r="AB635">
        <v>1.2</v>
      </c>
    </row>
    <row r="636" spans="1:28">
      <c r="A636" t="str">
        <f t="shared" si="58"/>
        <v>2005MaleMaori24</v>
      </c>
      <c r="B636">
        <v>2005</v>
      </c>
      <c r="C636" t="s">
        <v>20</v>
      </c>
      <c r="D636" t="s">
        <v>18</v>
      </c>
      <c r="E636">
        <v>24</v>
      </c>
      <c r="F636">
        <v>5</v>
      </c>
      <c r="G636">
        <v>11.148272017837201</v>
      </c>
      <c r="H636">
        <v>9.8000000000000007</v>
      </c>
      <c r="J636" s="340" t="str">
        <f t="shared" si="59"/>
        <v>2015MaleMaori193</v>
      </c>
      <c r="K636">
        <v>2015</v>
      </c>
      <c r="L636" t="s">
        <v>20</v>
      </c>
      <c r="M636" t="s">
        <v>18</v>
      </c>
      <c r="N636">
        <v>19</v>
      </c>
      <c r="O636">
        <v>3</v>
      </c>
      <c r="P636">
        <v>13</v>
      </c>
      <c r="Q636">
        <v>24.340288343566499</v>
      </c>
      <c r="R636">
        <v>13.2</v>
      </c>
      <c r="T636" s="340" t="str">
        <f t="shared" si="60"/>
        <v>1998MaleNon-Maori25Other</v>
      </c>
      <c r="U636">
        <v>1998</v>
      </c>
      <c r="V636" t="s">
        <v>20</v>
      </c>
      <c r="W636" t="s">
        <v>19</v>
      </c>
      <c r="X636">
        <v>25</v>
      </c>
      <c r="Y636" t="s">
        <v>45</v>
      </c>
      <c r="Z636">
        <v>3</v>
      </c>
      <c r="AA636">
        <v>46</v>
      </c>
      <c r="AB636">
        <v>6.5</v>
      </c>
    </row>
    <row r="637" spans="1:28">
      <c r="A637" t="str">
        <f t="shared" si="58"/>
        <v>2005MaleMaori25</v>
      </c>
      <c r="B637">
        <v>2005</v>
      </c>
      <c r="C637" t="s">
        <v>20</v>
      </c>
      <c r="D637" t="s">
        <v>18</v>
      </c>
      <c r="E637">
        <v>25</v>
      </c>
      <c r="F637">
        <v>2</v>
      </c>
      <c r="G637">
        <v>18.06684733514</v>
      </c>
      <c r="H637">
        <v>25</v>
      </c>
      <c r="J637" s="340" t="str">
        <f t="shared" si="59"/>
        <v>2015MaleMaori194</v>
      </c>
      <c r="K637">
        <v>2015</v>
      </c>
      <c r="L637" t="s">
        <v>20</v>
      </c>
      <c r="M637" t="s">
        <v>18</v>
      </c>
      <c r="N637">
        <v>19</v>
      </c>
      <c r="O637">
        <v>4</v>
      </c>
      <c r="P637">
        <v>19</v>
      </c>
      <c r="Q637">
        <v>26.3488237145753</v>
      </c>
      <c r="R637">
        <v>11.8</v>
      </c>
      <c r="T637" s="340" t="str">
        <f t="shared" si="60"/>
        <v>1998MaleNon-Maori22Poisoning by gases and vapours</v>
      </c>
      <c r="U637">
        <v>1998</v>
      </c>
      <c r="V637" t="s">
        <v>20</v>
      </c>
      <c r="W637" t="s">
        <v>19</v>
      </c>
      <c r="X637">
        <v>22</v>
      </c>
      <c r="Y637" t="s">
        <v>46</v>
      </c>
      <c r="Z637">
        <v>20</v>
      </c>
      <c r="AA637">
        <v>75</v>
      </c>
      <c r="AB637">
        <v>26.7</v>
      </c>
    </row>
    <row r="638" spans="1:28">
      <c r="A638" t="str">
        <f t="shared" si="58"/>
        <v>2005MaleNon-Maori21</v>
      </c>
      <c r="B638">
        <v>2005</v>
      </c>
      <c r="C638" t="s">
        <v>20</v>
      </c>
      <c r="D638" t="s">
        <v>19</v>
      </c>
      <c r="E638">
        <v>21</v>
      </c>
      <c r="F638">
        <v>1</v>
      </c>
      <c r="G638">
        <v>0.289754288363468</v>
      </c>
      <c r="H638">
        <v>0.6</v>
      </c>
      <c r="J638" s="340" t="str">
        <f t="shared" si="59"/>
        <v>2015MaleMaori195</v>
      </c>
      <c r="K638">
        <v>2015</v>
      </c>
      <c r="L638" t="s">
        <v>20</v>
      </c>
      <c r="M638" t="s">
        <v>18</v>
      </c>
      <c r="N638">
        <v>19</v>
      </c>
      <c r="O638">
        <v>5</v>
      </c>
      <c r="P638">
        <v>36</v>
      </c>
      <c r="Q638">
        <v>32.2169781311718</v>
      </c>
      <c r="R638">
        <v>10.5</v>
      </c>
      <c r="T638" s="340" t="str">
        <f t="shared" si="60"/>
        <v>1998MaleNon-Maori23Poisoning by gases and vapours</v>
      </c>
      <c r="U638">
        <v>1998</v>
      </c>
      <c r="V638" t="s">
        <v>20</v>
      </c>
      <c r="W638" t="s">
        <v>19</v>
      </c>
      <c r="X638">
        <v>23</v>
      </c>
      <c r="Y638" t="s">
        <v>46</v>
      </c>
      <c r="Z638">
        <v>45</v>
      </c>
      <c r="AA638">
        <v>155</v>
      </c>
      <c r="AB638">
        <v>29</v>
      </c>
    </row>
    <row r="639" spans="1:28">
      <c r="A639" t="str">
        <f t="shared" si="58"/>
        <v>2005MaleNon-Maori22</v>
      </c>
      <c r="B639">
        <v>2005</v>
      </c>
      <c r="C639" t="s">
        <v>20</v>
      </c>
      <c r="D639" t="s">
        <v>19</v>
      </c>
      <c r="E639">
        <v>22</v>
      </c>
      <c r="F639">
        <v>55</v>
      </c>
      <c r="G639">
        <v>22.494887525562401</v>
      </c>
      <c r="H639">
        <v>5.9</v>
      </c>
      <c r="J639" s="340" t="str">
        <f t="shared" si="59"/>
        <v>2016MaleMaori191</v>
      </c>
      <c r="K639">
        <v>2016</v>
      </c>
      <c r="L639" t="s">
        <v>20</v>
      </c>
      <c r="M639" t="s">
        <v>18</v>
      </c>
      <c r="N639">
        <v>19</v>
      </c>
      <c r="O639">
        <v>1</v>
      </c>
      <c r="P639">
        <v>0</v>
      </c>
      <c r="Q639">
        <v>0</v>
      </c>
      <c r="T639" s="340" t="str">
        <f t="shared" si="60"/>
        <v>1998MaleNon-Maori24Poisoning by gases and vapours</v>
      </c>
      <c r="U639">
        <v>1998</v>
      </c>
      <c r="V639" t="s">
        <v>20</v>
      </c>
      <c r="W639" t="s">
        <v>19</v>
      </c>
      <c r="X639">
        <v>24</v>
      </c>
      <c r="Y639" t="s">
        <v>46</v>
      </c>
      <c r="Z639">
        <v>18</v>
      </c>
      <c r="AA639">
        <v>80</v>
      </c>
      <c r="AB639">
        <v>22.5</v>
      </c>
    </row>
    <row r="640" spans="1:28">
      <c r="A640" t="str">
        <f t="shared" si="58"/>
        <v>2005MaleNon-Maori23</v>
      </c>
      <c r="B640">
        <v>2005</v>
      </c>
      <c r="C640" t="s">
        <v>20</v>
      </c>
      <c r="D640" t="s">
        <v>19</v>
      </c>
      <c r="E640">
        <v>23</v>
      </c>
      <c r="F640">
        <v>119</v>
      </c>
      <c r="G640">
        <v>24.3100243100243</v>
      </c>
      <c r="H640">
        <v>4.4000000000000004</v>
      </c>
      <c r="J640" s="340" t="str">
        <f t="shared" si="59"/>
        <v>2016MaleMaori192</v>
      </c>
      <c r="K640">
        <v>2016</v>
      </c>
      <c r="L640" t="s">
        <v>20</v>
      </c>
      <c r="M640" t="s">
        <v>18</v>
      </c>
      <c r="N640">
        <v>19</v>
      </c>
      <c r="O640">
        <v>2</v>
      </c>
      <c r="P640">
        <v>5</v>
      </c>
      <c r="Q640">
        <v>12.0720232264673</v>
      </c>
      <c r="R640">
        <v>10.6</v>
      </c>
      <c r="T640" s="340" t="str">
        <f t="shared" si="60"/>
        <v>1998MaleNon-Maori25Poisoning by gases and vapours</v>
      </c>
      <c r="U640">
        <v>1998</v>
      </c>
      <c r="V640" t="s">
        <v>20</v>
      </c>
      <c r="W640" t="s">
        <v>19</v>
      </c>
      <c r="X640">
        <v>25</v>
      </c>
      <c r="Y640" t="s">
        <v>46</v>
      </c>
      <c r="Z640">
        <v>19</v>
      </c>
      <c r="AA640">
        <v>46</v>
      </c>
      <c r="AB640">
        <v>41.3</v>
      </c>
    </row>
    <row r="641" spans="1:28">
      <c r="A641" t="str">
        <f t="shared" si="58"/>
        <v>2005MaleNon-Maori24</v>
      </c>
      <c r="B641">
        <v>2005</v>
      </c>
      <c r="C641" t="s">
        <v>20</v>
      </c>
      <c r="D641" t="s">
        <v>19</v>
      </c>
      <c r="E641">
        <v>24</v>
      </c>
      <c r="F641">
        <v>100</v>
      </c>
      <c r="G641">
        <v>23.042005576165302</v>
      </c>
      <c r="H641">
        <v>4.5</v>
      </c>
      <c r="J641" s="340" t="str">
        <f t="shared" si="59"/>
        <v>2016MaleMaori193</v>
      </c>
      <c r="K641">
        <v>2016</v>
      </c>
      <c r="L641" t="s">
        <v>20</v>
      </c>
      <c r="M641" t="s">
        <v>18</v>
      </c>
      <c r="N641">
        <v>19</v>
      </c>
      <c r="O641">
        <v>3</v>
      </c>
      <c r="P641">
        <v>10</v>
      </c>
      <c r="Q641">
        <v>18.043777223227501</v>
      </c>
      <c r="R641">
        <v>11.2</v>
      </c>
      <c r="T641" s="340" t="str">
        <f t="shared" si="60"/>
        <v>1998MaleNon-Maori22Poisoning by solids and liquids</v>
      </c>
      <c r="U641">
        <v>1998</v>
      </c>
      <c r="V641" t="s">
        <v>20</v>
      </c>
      <c r="W641" t="s">
        <v>19</v>
      </c>
      <c r="X641">
        <v>22</v>
      </c>
      <c r="Y641" t="s">
        <v>47</v>
      </c>
      <c r="Z641">
        <v>2</v>
      </c>
      <c r="AA641">
        <v>75</v>
      </c>
      <c r="AB641">
        <v>2.7</v>
      </c>
    </row>
    <row r="642" spans="1:28">
      <c r="A642" t="str">
        <f t="shared" si="58"/>
        <v>2005MaleNon-Maori25</v>
      </c>
      <c r="B642">
        <v>2005</v>
      </c>
      <c r="C642" t="s">
        <v>20</v>
      </c>
      <c r="D642" t="s">
        <v>19</v>
      </c>
      <c r="E642">
        <v>25</v>
      </c>
      <c r="F642">
        <v>30</v>
      </c>
      <c r="G642">
        <v>14.2891164562991</v>
      </c>
      <c r="H642">
        <v>5.0999999999999996</v>
      </c>
      <c r="J642" s="340" t="str">
        <f t="shared" si="59"/>
        <v>2016MaleMaori194</v>
      </c>
      <c r="K642">
        <v>2016</v>
      </c>
      <c r="L642" t="s">
        <v>20</v>
      </c>
      <c r="M642" t="s">
        <v>18</v>
      </c>
      <c r="N642">
        <v>19</v>
      </c>
      <c r="O642">
        <v>4</v>
      </c>
      <c r="P642">
        <v>34</v>
      </c>
      <c r="Q642">
        <v>41.186467107752101</v>
      </c>
      <c r="R642">
        <v>13.8</v>
      </c>
      <c r="T642" s="340" t="str">
        <f t="shared" si="60"/>
        <v>1998MaleNon-Maori23Poisoning by solids and liquids</v>
      </c>
      <c r="U642">
        <v>1998</v>
      </c>
      <c r="V642" t="s">
        <v>20</v>
      </c>
      <c r="W642" t="s">
        <v>19</v>
      </c>
      <c r="X642">
        <v>23</v>
      </c>
      <c r="Y642" t="s">
        <v>47</v>
      </c>
      <c r="Z642">
        <v>16</v>
      </c>
      <c r="AA642">
        <v>155</v>
      </c>
      <c r="AB642">
        <v>10.3</v>
      </c>
    </row>
    <row r="643" spans="1:28">
      <c r="A643" t="str">
        <f t="shared" si="58"/>
        <v>2006AllSexAllEth21</v>
      </c>
      <c r="B643">
        <v>2006</v>
      </c>
      <c r="C643" t="s">
        <v>17</v>
      </c>
      <c r="D643" t="s">
        <v>27</v>
      </c>
      <c r="E643">
        <v>21</v>
      </c>
      <c r="F643">
        <v>6</v>
      </c>
      <c r="G643">
        <v>0.67521944632005404</v>
      </c>
      <c r="H643">
        <v>0.5</v>
      </c>
      <c r="J643" s="340" t="str">
        <f t="shared" si="59"/>
        <v>2016MaleMaori195</v>
      </c>
      <c r="K643">
        <v>2016</v>
      </c>
      <c r="L643" t="s">
        <v>20</v>
      </c>
      <c r="M643" t="s">
        <v>18</v>
      </c>
      <c r="N643">
        <v>19</v>
      </c>
      <c r="O643">
        <v>5</v>
      </c>
      <c r="P643">
        <v>49</v>
      </c>
      <c r="Q643">
        <v>43.8965007842788</v>
      </c>
      <c r="R643">
        <v>12.3</v>
      </c>
      <c r="T643" s="340" t="str">
        <f t="shared" si="60"/>
        <v>1998MaleNon-Maori24Poisoning by solids and liquids</v>
      </c>
      <c r="U643">
        <v>1998</v>
      </c>
      <c r="V643" t="s">
        <v>20</v>
      </c>
      <c r="W643" t="s">
        <v>19</v>
      </c>
      <c r="X643">
        <v>24</v>
      </c>
      <c r="Y643" t="s">
        <v>47</v>
      </c>
      <c r="Z643">
        <v>7</v>
      </c>
      <c r="AA643">
        <v>80</v>
      </c>
      <c r="AB643">
        <v>8.8000000000000007</v>
      </c>
    </row>
    <row r="644" spans="1:28">
      <c r="A644" t="str">
        <f t="shared" ref="A644:A707" si="61">B644&amp;C644&amp;D644&amp;E644</f>
        <v>2006AllSexAllEth22</v>
      </c>
      <c r="B644">
        <v>2006</v>
      </c>
      <c r="C644" t="s">
        <v>17</v>
      </c>
      <c r="D644" t="s">
        <v>27</v>
      </c>
      <c r="E644">
        <v>22</v>
      </c>
      <c r="F644">
        <v>119</v>
      </c>
      <c r="G644">
        <v>19.688621961913299</v>
      </c>
      <c r="H644">
        <v>3.5</v>
      </c>
      <c r="J644" s="340" t="str">
        <f t="shared" ref="J644:J707" si="62">K644&amp;L644&amp;M644&amp;N644&amp;O644</f>
        <v>2001MaleNon-Maori191</v>
      </c>
      <c r="K644">
        <v>2001</v>
      </c>
      <c r="L644" t="s">
        <v>20</v>
      </c>
      <c r="M644" t="s">
        <v>19</v>
      </c>
      <c r="N644">
        <v>19</v>
      </c>
      <c r="O644">
        <v>1</v>
      </c>
      <c r="P644">
        <v>46</v>
      </c>
      <c r="Q644">
        <v>12.753765311137199</v>
      </c>
      <c r="R644">
        <v>3.7</v>
      </c>
      <c r="T644" s="340" t="str">
        <f t="shared" si="60"/>
        <v>1998MaleNon-Maori25Poisoning by solids and liquids</v>
      </c>
      <c r="U644">
        <v>1998</v>
      </c>
      <c r="V644" t="s">
        <v>20</v>
      </c>
      <c r="W644" t="s">
        <v>19</v>
      </c>
      <c r="X644">
        <v>25</v>
      </c>
      <c r="Y644" t="s">
        <v>47</v>
      </c>
      <c r="Z644">
        <v>3</v>
      </c>
      <c r="AA644">
        <v>46</v>
      </c>
      <c r="AB644">
        <v>6.5</v>
      </c>
    </row>
    <row r="645" spans="1:28">
      <c r="A645" t="str">
        <f t="shared" si="61"/>
        <v>2006AllSexAllEth23</v>
      </c>
      <c r="B645">
        <v>2006</v>
      </c>
      <c r="C645" t="s">
        <v>17</v>
      </c>
      <c r="D645" t="s">
        <v>27</v>
      </c>
      <c r="E645">
        <v>23</v>
      </c>
      <c r="F645">
        <v>207</v>
      </c>
      <c r="G645">
        <v>17.510023854235399</v>
      </c>
      <c r="H645">
        <v>2.4</v>
      </c>
      <c r="J645" s="340" t="str">
        <f t="shared" si="62"/>
        <v>2001MaleNon-Maori192</v>
      </c>
      <c r="K645">
        <v>2001</v>
      </c>
      <c r="L645" t="s">
        <v>20</v>
      </c>
      <c r="M645" t="s">
        <v>19</v>
      </c>
      <c r="N645">
        <v>19</v>
      </c>
      <c r="O645">
        <v>2</v>
      </c>
      <c r="P645">
        <v>51</v>
      </c>
      <c r="Q645">
        <v>13.1822343419113</v>
      </c>
      <c r="R645">
        <v>3.6</v>
      </c>
      <c r="T645" s="340" t="str">
        <f t="shared" ref="T645:T708" si="63">U645&amp;V645&amp;W645&amp;X645&amp;Y645</f>
        <v>1998MaleNon-Maori23Sharp object</v>
      </c>
      <c r="U645">
        <v>1998</v>
      </c>
      <c r="V645" t="s">
        <v>20</v>
      </c>
      <c r="W645" t="s">
        <v>19</v>
      </c>
      <c r="X645">
        <v>23</v>
      </c>
      <c r="Y645" t="s">
        <v>48</v>
      </c>
      <c r="Z645">
        <v>4</v>
      </c>
      <c r="AA645">
        <v>155</v>
      </c>
      <c r="AB645">
        <v>2.6</v>
      </c>
    </row>
    <row r="646" spans="1:28">
      <c r="A646" t="str">
        <f t="shared" si="61"/>
        <v>2006AllSexAllEth24</v>
      </c>
      <c r="B646">
        <v>2006</v>
      </c>
      <c r="C646" t="s">
        <v>17</v>
      </c>
      <c r="D646" t="s">
        <v>27</v>
      </c>
      <c r="E646">
        <v>24</v>
      </c>
      <c r="F646">
        <v>141</v>
      </c>
      <c r="G646">
        <v>14.119060731988201</v>
      </c>
      <c r="H646">
        <v>2.2999999999999998</v>
      </c>
      <c r="J646" s="340" t="str">
        <f t="shared" si="62"/>
        <v>2001MaleNon-Maori193</v>
      </c>
      <c r="K646">
        <v>2001</v>
      </c>
      <c r="L646" t="s">
        <v>20</v>
      </c>
      <c r="M646" t="s">
        <v>19</v>
      </c>
      <c r="N646">
        <v>19</v>
      </c>
      <c r="O646">
        <v>3</v>
      </c>
      <c r="P646">
        <v>64</v>
      </c>
      <c r="Q646">
        <v>18.305282757028699</v>
      </c>
      <c r="R646">
        <v>4.5</v>
      </c>
      <c r="T646" s="340" t="str">
        <f t="shared" si="63"/>
        <v>1998MaleNon-Maori24Sharp object</v>
      </c>
      <c r="U646">
        <v>1998</v>
      </c>
      <c r="V646" t="s">
        <v>20</v>
      </c>
      <c r="W646" t="s">
        <v>19</v>
      </c>
      <c r="X646">
        <v>24</v>
      </c>
      <c r="Y646" t="s">
        <v>48</v>
      </c>
      <c r="Z646">
        <v>2</v>
      </c>
      <c r="AA646">
        <v>80</v>
      </c>
      <c r="AB646">
        <v>2.5</v>
      </c>
    </row>
    <row r="647" spans="1:28">
      <c r="A647" t="str">
        <f t="shared" si="61"/>
        <v>2006AllSexAllEth25</v>
      </c>
      <c r="B647">
        <v>2006</v>
      </c>
      <c r="C647" t="s">
        <v>17</v>
      </c>
      <c r="D647" t="s">
        <v>27</v>
      </c>
      <c r="E647">
        <v>25</v>
      </c>
      <c r="F647">
        <v>51</v>
      </c>
      <c r="G647">
        <v>9.97125931139656</v>
      </c>
      <c r="H647">
        <v>2.7</v>
      </c>
      <c r="J647" s="340" t="str">
        <f t="shared" si="62"/>
        <v>2001MaleNon-Maori194</v>
      </c>
      <c r="K647">
        <v>2001</v>
      </c>
      <c r="L647" t="s">
        <v>20</v>
      </c>
      <c r="M647" t="s">
        <v>19</v>
      </c>
      <c r="N647">
        <v>19</v>
      </c>
      <c r="O647">
        <v>4</v>
      </c>
      <c r="P647">
        <v>77</v>
      </c>
      <c r="Q647">
        <v>24.0862494386717</v>
      </c>
      <c r="R647">
        <v>5.4</v>
      </c>
      <c r="T647" s="340" t="str">
        <f t="shared" si="63"/>
        <v>1998MaleNon-Maori23Submersion (drowning)</v>
      </c>
      <c r="U647">
        <v>1998</v>
      </c>
      <c r="V647" t="s">
        <v>20</v>
      </c>
      <c r="W647" t="s">
        <v>19</v>
      </c>
      <c r="X647">
        <v>23</v>
      </c>
      <c r="Y647" t="s">
        <v>49</v>
      </c>
      <c r="Z647">
        <v>1</v>
      </c>
      <c r="AA647">
        <v>155</v>
      </c>
      <c r="AB647">
        <v>0.6</v>
      </c>
    </row>
    <row r="648" spans="1:28">
      <c r="A648" t="str">
        <f t="shared" si="61"/>
        <v>2006AllSexMaori21</v>
      </c>
      <c r="B648">
        <v>2006</v>
      </c>
      <c r="C648" t="s">
        <v>17</v>
      </c>
      <c r="D648" t="s">
        <v>18</v>
      </c>
      <c r="E648">
        <v>21</v>
      </c>
      <c r="F648">
        <v>4</v>
      </c>
      <c r="G648">
        <v>1.8547713994250199</v>
      </c>
      <c r="H648">
        <v>1.8</v>
      </c>
      <c r="J648" s="340" t="str">
        <f t="shared" si="62"/>
        <v>2001MaleNon-Maori195</v>
      </c>
      <c r="K648">
        <v>2001</v>
      </c>
      <c r="L648" t="s">
        <v>20</v>
      </c>
      <c r="M648" t="s">
        <v>19</v>
      </c>
      <c r="N648">
        <v>19</v>
      </c>
      <c r="O648">
        <v>5</v>
      </c>
      <c r="P648">
        <v>54</v>
      </c>
      <c r="Q648">
        <v>20.890638611172498</v>
      </c>
      <c r="R648">
        <v>5.6</v>
      </c>
      <c r="T648" s="340" t="str">
        <f t="shared" si="63"/>
        <v>1998MaleNon-Maori24Submersion (drowning)</v>
      </c>
      <c r="U648">
        <v>1998</v>
      </c>
      <c r="V648" t="s">
        <v>20</v>
      </c>
      <c r="W648" t="s">
        <v>19</v>
      </c>
      <c r="X648">
        <v>24</v>
      </c>
      <c r="Y648" t="s">
        <v>49</v>
      </c>
      <c r="Z648">
        <v>5</v>
      </c>
      <c r="AA648">
        <v>80</v>
      </c>
      <c r="AB648">
        <v>6.2</v>
      </c>
    </row>
    <row r="649" spans="1:28">
      <c r="A649" t="str">
        <f t="shared" si="61"/>
        <v>2006AllSexMaori22</v>
      </c>
      <c r="B649">
        <v>2006</v>
      </c>
      <c r="C649" t="s">
        <v>17</v>
      </c>
      <c r="D649" t="s">
        <v>18</v>
      </c>
      <c r="E649">
        <v>22</v>
      </c>
      <c r="F649">
        <v>37</v>
      </c>
      <c r="G649">
        <v>31.8498751829216</v>
      </c>
      <c r="H649">
        <v>10.3</v>
      </c>
      <c r="J649" s="340" t="str">
        <f t="shared" si="62"/>
        <v>2002MaleNon-Maori191</v>
      </c>
      <c r="K649">
        <v>2002</v>
      </c>
      <c r="L649" t="s">
        <v>20</v>
      </c>
      <c r="M649" t="s">
        <v>19</v>
      </c>
      <c r="N649">
        <v>19</v>
      </c>
      <c r="O649">
        <v>1</v>
      </c>
      <c r="P649">
        <v>38</v>
      </c>
      <c r="Q649">
        <v>10.282137902642299</v>
      </c>
      <c r="R649">
        <v>3.3</v>
      </c>
      <c r="T649" s="340" t="str">
        <f t="shared" si="63"/>
        <v>1998MaleNon-Maori25Submersion (drowning)</v>
      </c>
      <c r="U649">
        <v>1998</v>
      </c>
      <c r="V649" t="s">
        <v>20</v>
      </c>
      <c r="W649" t="s">
        <v>19</v>
      </c>
      <c r="X649">
        <v>25</v>
      </c>
      <c r="Y649" t="s">
        <v>49</v>
      </c>
      <c r="Z649">
        <v>1</v>
      </c>
      <c r="AA649">
        <v>46</v>
      </c>
      <c r="AB649">
        <v>2.2000000000000002</v>
      </c>
    </row>
    <row r="650" spans="1:28">
      <c r="A650" t="str">
        <f t="shared" si="61"/>
        <v>2006AllSexMaori23</v>
      </c>
      <c r="B650">
        <v>2006</v>
      </c>
      <c r="C650" t="s">
        <v>17</v>
      </c>
      <c r="D650" t="s">
        <v>18</v>
      </c>
      <c r="E650">
        <v>23</v>
      </c>
      <c r="F650">
        <v>54</v>
      </c>
      <c r="G650">
        <v>31.802120141342801</v>
      </c>
      <c r="H650">
        <v>8.5</v>
      </c>
      <c r="J650" s="340" t="str">
        <f t="shared" si="62"/>
        <v>2002MaleNon-Maori192</v>
      </c>
      <c r="K650">
        <v>2002</v>
      </c>
      <c r="L650" t="s">
        <v>20</v>
      </c>
      <c r="M650" t="s">
        <v>19</v>
      </c>
      <c r="N650">
        <v>19</v>
      </c>
      <c r="O650">
        <v>2</v>
      </c>
      <c r="P650">
        <v>73</v>
      </c>
      <c r="Q650">
        <v>19.4847210075656</v>
      </c>
      <c r="R650">
        <v>4.5</v>
      </c>
      <c r="T650" s="340" t="str">
        <f t="shared" si="63"/>
        <v>1999AllSexAllEth22Firearms and explosives</v>
      </c>
      <c r="U650">
        <v>1999</v>
      </c>
      <c r="V650" t="s">
        <v>17</v>
      </c>
      <c r="W650" t="s">
        <v>27</v>
      </c>
      <c r="X650">
        <v>22</v>
      </c>
      <c r="Y650" t="s">
        <v>42</v>
      </c>
      <c r="Z650">
        <v>4</v>
      </c>
      <c r="AA650">
        <v>119</v>
      </c>
      <c r="AB650">
        <v>3.4</v>
      </c>
    </row>
    <row r="651" spans="1:28">
      <c r="A651" t="str">
        <f t="shared" si="61"/>
        <v>2006AllSexMaori24</v>
      </c>
      <c r="B651">
        <v>2006</v>
      </c>
      <c r="C651" t="s">
        <v>17</v>
      </c>
      <c r="D651" t="s">
        <v>18</v>
      </c>
      <c r="E651">
        <v>24</v>
      </c>
      <c r="F651">
        <v>12</v>
      </c>
      <c r="G651">
        <v>12.327922745017499</v>
      </c>
      <c r="H651">
        <v>7</v>
      </c>
      <c r="J651" s="340" t="str">
        <f t="shared" si="62"/>
        <v>2002MaleNon-Maori193</v>
      </c>
      <c r="K651">
        <v>2002</v>
      </c>
      <c r="L651" t="s">
        <v>20</v>
      </c>
      <c r="M651" t="s">
        <v>19</v>
      </c>
      <c r="N651">
        <v>19</v>
      </c>
      <c r="O651">
        <v>3</v>
      </c>
      <c r="P651">
        <v>56</v>
      </c>
      <c r="Q651">
        <v>15.020065279296</v>
      </c>
      <c r="R651">
        <v>3.9</v>
      </c>
      <c r="T651" s="340" t="str">
        <f t="shared" si="63"/>
        <v>1999AllSexAllEth23Firearms and explosives</v>
      </c>
      <c r="U651">
        <v>1999</v>
      </c>
      <c r="V651" t="s">
        <v>17</v>
      </c>
      <c r="W651" t="s">
        <v>27</v>
      </c>
      <c r="X651">
        <v>23</v>
      </c>
      <c r="Y651" t="s">
        <v>42</v>
      </c>
      <c r="Z651">
        <v>22</v>
      </c>
      <c r="AA651">
        <v>235</v>
      </c>
      <c r="AB651">
        <v>9.4</v>
      </c>
    </row>
    <row r="652" spans="1:28">
      <c r="A652" t="str">
        <f t="shared" si="61"/>
        <v>2006AllSexMaori25</v>
      </c>
      <c r="B652">
        <v>2006</v>
      </c>
      <c r="C652" t="s">
        <v>17</v>
      </c>
      <c r="D652" t="s">
        <v>18</v>
      </c>
      <c r="E652">
        <v>25</v>
      </c>
      <c r="F652">
        <v>1</v>
      </c>
      <c r="G652">
        <v>3.88953714507974</v>
      </c>
      <c r="H652">
        <v>7.6</v>
      </c>
      <c r="J652" s="340" t="str">
        <f t="shared" si="62"/>
        <v>2002MaleNon-Maori194</v>
      </c>
      <c r="K652">
        <v>2002</v>
      </c>
      <c r="L652" t="s">
        <v>20</v>
      </c>
      <c r="M652" t="s">
        <v>19</v>
      </c>
      <c r="N652">
        <v>19</v>
      </c>
      <c r="O652">
        <v>4</v>
      </c>
      <c r="P652">
        <v>56</v>
      </c>
      <c r="Q652">
        <v>16.896061799918701</v>
      </c>
      <c r="R652">
        <v>4.4000000000000004</v>
      </c>
      <c r="T652" s="340" t="str">
        <f t="shared" si="63"/>
        <v>1999AllSexAllEth24Firearms and explosives</v>
      </c>
      <c r="U652">
        <v>1999</v>
      </c>
      <c r="V652" t="s">
        <v>17</v>
      </c>
      <c r="W652" t="s">
        <v>27</v>
      </c>
      <c r="X652">
        <v>24</v>
      </c>
      <c r="Y652" t="s">
        <v>42</v>
      </c>
      <c r="Z652">
        <v>13</v>
      </c>
      <c r="AA652">
        <v>104</v>
      </c>
      <c r="AB652">
        <v>12.5</v>
      </c>
    </row>
    <row r="653" spans="1:28">
      <c r="A653" t="str">
        <f t="shared" si="61"/>
        <v>2006AllSexNon-Maori21</v>
      </c>
      <c r="B653">
        <v>2006</v>
      </c>
      <c r="C653" t="s">
        <v>17</v>
      </c>
      <c r="D653" t="s">
        <v>19</v>
      </c>
      <c r="E653">
        <v>21</v>
      </c>
      <c r="F653">
        <v>2</v>
      </c>
      <c r="G653">
        <v>0.29720331678901502</v>
      </c>
      <c r="H653">
        <v>0.4</v>
      </c>
      <c r="J653" s="340" t="str">
        <f t="shared" si="62"/>
        <v>2002MaleNon-Maori195</v>
      </c>
      <c r="K653">
        <v>2002</v>
      </c>
      <c r="L653" t="s">
        <v>20</v>
      </c>
      <c r="M653" t="s">
        <v>19</v>
      </c>
      <c r="N653">
        <v>19</v>
      </c>
      <c r="O653">
        <v>5</v>
      </c>
      <c r="P653">
        <v>53</v>
      </c>
      <c r="Q653">
        <v>20.190358192406201</v>
      </c>
      <c r="R653">
        <v>5.4</v>
      </c>
      <c r="T653" s="340" t="str">
        <f t="shared" si="63"/>
        <v>1999AllSexAllEth25Firearms and explosives</v>
      </c>
      <c r="U653">
        <v>1999</v>
      </c>
      <c r="V653" t="s">
        <v>17</v>
      </c>
      <c r="W653" t="s">
        <v>27</v>
      </c>
      <c r="X653">
        <v>25</v>
      </c>
      <c r="Y653" t="s">
        <v>42</v>
      </c>
      <c r="Z653">
        <v>8</v>
      </c>
      <c r="AA653">
        <v>52</v>
      </c>
      <c r="AB653">
        <v>15.4</v>
      </c>
    </row>
    <row r="654" spans="1:28">
      <c r="A654" t="str">
        <f t="shared" si="61"/>
        <v>2006AllSexNon-Maori22</v>
      </c>
      <c r="B654">
        <v>2006</v>
      </c>
      <c r="C654" t="s">
        <v>17</v>
      </c>
      <c r="D654" t="s">
        <v>19</v>
      </c>
      <c r="E654">
        <v>22</v>
      </c>
      <c r="F654">
        <v>82</v>
      </c>
      <c r="G654">
        <v>16.795018843191901</v>
      </c>
      <c r="H654">
        <v>3.6</v>
      </c>
      <c r="J654" s="340" t="str">
        <f t="shared" si="62"/>
        <v>2003MaleNon-Maori191</v>
      </c>
      <c r="K654">
        <v>2003</v>
      </c>
      <c r="L654" t="s">
        <v>20</v>
      </c>
      <c r="M654" t="s">
        <v>19</v>
      </c>
      <c r="N654">
        <v>19</v>
      </c>
      <c r="O654">
        <v>1</v>
      </c>
      <c r="P654">
        <v>45</v>
      </c>
      <c r="Q654">
        <v>11.3303866169214</v>
      </c>
      <c r="R654">
        <v>3.3</v>
      </c>
      <c r="T654" s="340" t="str">
        <f t="shared" si="63"/>
        <v>1999AllSexAllEth21Hanging, strangulation and suffocation</v>
      </c>
      <c r="U654">
        <v>1999</v>
      </c>
      <c r="V654" t="s">
        <v>17</v>
      </c>
      <c r="W654" t="s">
        <v>27</v>
      </c>
      <c r="X654">
        <v>21</v>
      </c>
      <c r="Y654" t="s">
        <v>43</v>
      </c>
      <c r="Z654">
        <v>6</v>
      </c>
      <c r="AA654">
        <v>6</v>
      </c>
      <c r="AB654">
        <v>100</v>
      </c>
    </row>
    <row r="655" spans="1:28">
      <c r="A655" t="str">
        <f t="shared" si="61"/>
        <v>2006AllSexNon-Maori23</v>
      </c>
      <c r="B655">
        <v>2006</v>
      </c>
      <c r="C655" t="s">
        <v>17</v>
      </c>
      <c r="D655" t="s">
        <v>19</v>
      </c>
      <c r="E655">
        <v>23</v>
      </c>
      <c r="F655">
        <v>153</v>
      </c>
      <c r="G655">
        <v>15.112902269898701</v>
      </c>
      <c r="H655">
        <v>2.4</v>
      </c>
      <c r="J655" s="340" t="str">
        <f t="shared" si="62"/>
        <v>2003MaleNon-Maori192</v>
      </c>
      <c r="K655">
        <v>2003</v>
      </c>
      <c r="L655" t="s">
        <v>20</v>
      </c>
      <c r="M655" t="s">
        <v>19</v>
      </c>
      <c r="N655">
        <v>19</v>
      </c>
      <c r="O655">
        <v>2</v>
      </c>
      <c r="P655">
        <v>52</v>
      </c>
      <c r="Q655">
        <v>12.8317075745463</v>
      </c>
      <c r="R655">
        <v>3.5</v>
      </c>
      <c r="T655" s="340" t="str">
        <f t="shared" si="63"/>
        <v>1999AllSexAllEth22Hanging, strangulation and suffocation</v>
      </c>
      <c r="U655">
        <v>1999</v>
      </c>
      <c r="V655" t="s">
        <v>17</v>
      </c>
      <c r="W655" t="s">
        <v>27</v>
      </c>
      <c r="X655">
        <v>22</v>
      </c>
      <c r="Y655" t="s">
        <v>43</v>
      </c>
      <c r="Z655">
        <v>82</v>
      </c>
      <c r="AA655">
        <v>119</v>
      </c>
      <c r="AB655">
        <v>68.900000000000006</v>
      </c>
    </row>
    <row r="656" spans="1:28">
      <c r="A656" t="str">
        <f t="shared" si="61"/>
        <v>2006AllSexNon-Maori24</v>
      </c>
      <c r="B656">
        <v>2006</v>
      </c>
      <c r="C656" t="s">
        <v>17</v>
      </c>
      <c r="D656" t="s">
        <v>19</v>
      </c>
      <c r="E656">
        <v>24</v>
      </c>
      <c r="F656">
        <v>129</v>
      </c>
      <c r="G656">
        <v>14.3125006934351</v>
      </c>
      <c r="H656">
        <v>2.5</v>
      </c>
      <c r="J656" s="340" t="str">
        <f t="shared" si="62"/>
        <v>2003MaleNon-Maori193</v>
      </c>
      <c r="K656">
        <v>2003</v>
      </c>
      <c r="L656" t="s">
        <v>20</v>
      </c>
      <c r="M656" t="s">
        <v>19</v>
      </c>
      <c r="N656">
        <v>19</v>
      </c>
      <c r="O656">
        <v>3</v>
      </c>
      <c r="P656">
        <v>72</v>
      </c>
      <c r="Q656">
        <v>18.481654810046098</v>
      </c>
      <c r="R656">
        <v>4.3</v>
      </c>
      <c r="T656" s="340" t="str">
        <f t="shared" si="63"/>
        <v>1999AllSexAllEth23Hanging, strangulation and suffocation</v>
      </c>
      <c r="U656">
        <v>1999</v>
      </c>
      <c r="V656" t="s">
        <v>17</v>
      </c>
      <c r="W656" t="s">
        <v>27</v>
      </c>
      <c r="X656">
        <v>23</v>
      </c>
      <c r="Y656" t="s">
        <v>43</v>
      </c>
      <c r="Z656">
        <v>95</v>
      </c>
      <c r="AA656">
        <v>235</v>
      </c>
      <c r="AB656">
        <v>40.4</v>
      </c>
    </row>
    <row r="657" spans="1:28">
      <c r="A657" t="str">
        <f t="shared" si="61"/>
        <v>2006AllSexNon-Maori25</v>
      </c>
      <c r="B657">
        <v>2006</v>
      </c>
      <c r="C657" t="s">
        <v>17</v>
      </c>
      <c r="D657" t="s">
        <v>19</v>
      </c>
      <c r="E657">
        <v>25</v>
      </c>
      <c r="F657">
        <v>50</v>
      </c>
      <c r="G657">
        <v>10.293148880105401</v>
      </c>
      <c r="H657">
        <v>2.9</v>
      </c>
      <c r="J657" s="340" t="str">
        <f t="shared" si="62"/>
        <v>2003MaleNon-Maori194</v>
      </c>
      <c r="K657">
        <v>2003</v>
      </c>
      <c r="L657" t="s">
        <v>20</v>
      </c>
      <c r="M657" t="s">
        <v>19</v>
      </c>
      <c r="N657">
        <v>19</v>
      </c>
      <c r="O657">
        <v>4</v>
      </c>
      <c r="P657">
        <v>81</v>
      </c>
      <c r="Q657">
        <v>24.1096623328785</v>
      </c>
      <c r="R657">
        <v>5.3</v>
      </c>
      <c r="T657" s="340" t="str">
        <f t="shared" si="63"/>
        <v>1999AllSexAllEth24Hanging, strangulation and suffocation</v>
      </c>
      <c r="U657">
        <v>1999</v>
      </c>
      <c r="V657" t="s">
        <v>17</v>
      </c>
      <c r="W657" t="s">
        <v>27</v>
      </c>
      <c r="X657">
        <v>24</v>
      </c>
      <c r="Y657" t="s">
        <v>43</v>
      </c>
      <c r="Z657">
        <v>40</v>
      </c>
      <c r="AA657">
        <v>104</v>
      </c>
      <c r="AB657">
        <v>38.5</v>
      </c>
    </row>
    <row r="658" spans="1:28">
      <c r="A658" t="str">
        <f t="shared" si="61"/>
        <v>2006FemaleAllEth21</v>
      </c>
      <c r="B658">
        <v>2006</v>
      </c>
      <c r="C658" t="s">
        <v>8</v>
      </c>
      <c r="D658" t="s">
        <v>27</v>
      </c>
      <c r="E658">
        <v>21</v>
      </c>
      <c r="F658">
        <v>4</v>
      </c>
      <c r="G658">
        <v>0.92287105184228102</v>
      </c>
      <c r="H658">
        <v>0.9</v>
      </c>
      <c r="J658" s="340" t="str">
        <f t="shared" si="62"/>
        <v>2003MaleNon-Maori195</v>
      </c>
      <c r="K658">
        <v>2003</v>
      </c>
      <c r="L658" t="s">
        <v>20</v>
      </c>
      <c r="M658" t="s">
        <v>19</v>
      </c>
      <c r="N658">
        <v>19</v>
      </c>
      <c r="O658">
        <v>5</v>
      </c>
      <c r="P658">
        <v>51</v>
      </c>
      <c r="Q658">
        <v>18.809959858696299</v>
      </c>
      <c r="R658">
        <v>5.2</v>
      </c>
      <c r="T658" s="340" t="str">
        <f t="shared" si="63"/>
        <v>1999AllSexAllEth25Hanging, strangulation and suffocation</v>
      </c>
      <c r="U658">
        <v>1999</v>
      </c>
      <c r="V658" t="s">
        <v>17</v>
      </c>
      <c r="W658" t="s">
        <v>27</v>
      </c>
      <c r="X658">
        <v>25</v>
      </c>
      <c r="Y658" t="s">
        <v>43</v>
      </c>
      <c r="Z658">
        <v>19</v>
      </c>
      <c r="AA658">
        <v>52</v>
      </c>
      <c r="AB658">
        <v>36.5</v>
      </c>
    </row>
    <row r="659" spans="1:28">
      <c r="A659" t="str">
        <f t="shared" si="61"/>
        <v>2006FemaleAllEth22</v>
      </c>
      <c r="B659">
        <v>2006</v>
      </c>
      <c r="C659" t="s">
        <v>8</v>
      </c>
      <c r="D659" t="s">
        <v>27</v>
      </c>
      <c r="E659">
        <v>22</v>
      </c>
      <c r="F659">
        <v>24</v>
      </c>
      <c r="G659">
        <v>8.01496126102057</v>
      </c>
      <c r="H659">
        <v>3.2</v>
      </c>
      <c r="J659" s="340" t="str">
        <f t="shared" si="62"/>
        <v>2004MaleNon-Maori191</v>
      </c>
      <c r="K659">
        <v>2004</v>
      </c>
      <c r="L659" t="s">
        <v>20</v>
      </c>
      <c r="M659" t="s">
        <v>19</v>
      </c>
      <c r="N659">
        <v>19</v>
      </c>
      <c r="O659">
        <v>1</v>
      </c>
      <c r="P659">
        <v>52</v>
      </c>
      <c r="Q659">
        <v>13.9962346634225</v>
      </c>
      <c r="R659">
        <v>3.8</v>
      </c>
      <c r="T659" s="340" t="str">
        <f t="shared" si="63"/>
        <v>1999AllSexAllEth22Jumping from a high place</v>
      </c>
      <c r="U659">
        <v>1999</v>
      </c>
      <c r="V659" t="s">
        <v>17</v>
      </c>
      <c r="W659" t="s">
        <v>27</v>
      </c>
      <c r="X659">
        <v>22</v>
      </c>
      <c r="Y659" t="s">
        <v>44</v>
      </c>
      <c r="Z659">
        <v>9</v>
      </c>
      <c r="AA659">
        <v>119</v>
      </c>
      <c r="AB659">
        <v>7.6</v>
      </c>
    </row>
    <row r="660" spans="1:28">
      <c r="A660" t="str">
        <f t="shared" si="61"/>
        <v>2006FemaleAllEth23</v>
      </c>
      <c r="B660">
        <v>2006</v>
      </c>
      <c r="C660" t="s">
        <v>8</v>
      </c>
      <c r="D660" t="s">
        <v>27</v>
      </c>
      <c r="E660">
        <v>23</v>
      </c>
      <c r="F660">
        <v>60</v>
      </c>
      <c r="G660">
        <v>9.7785165990319296</v>
      </c>
      <c r="H660">
        <v>2.5</v>
      </c>
      <c r="J660" s="340" t="str">
        <f t="shared" si="62"/>
        <v>2004MaleNon-Maori192</v>
      </c>
      <c r="K660">
        <v>2004</v>
      </c>
      <c r="L660" t="s">
        <v>20</v>
      </c>
      <c r="M660" t="s">
        <v>19</v>
      </c>
      <c r="N660">
        <v>19</v>
      </c>
      <c r="O660">
        <v>2</v>
      </c>
      <c r="P660">
        <v>45</v>
      </c>
      <c r="Q660">
        <v>11.351337602618401</v>
      </c>
      <c r="R660">
        <v>3.3</v>
      </c>
      <c r="T660" s="340" t="str">
        <f t="shared" si="63"/>
        <v>1999AllSexAllEth23Jumping from a high place</v>
      </c>
      <c r="U660">
        <v>1999</v>
      </c>
      <c r="V660" t="s">
        <v>17</v>
      </c>
      <c r="W660" t="s">
        <v>27</v>
      </c>
      <c r="X660">
        <v>23</v>
      </c>
      <c r="Y660" t="s">
        <v>44</v>
      </c>
      <c r="Z660">
        <v>4</v>
      </c>
      <c r="AA660">
        <v>235</v>
      </c>
      <c r="AB660">
        <v>1.7</v>
      </c>
    </row>
    <row r="661" spans="1:28">
      <c r="A661" t="str">
        <f t="shared" si="61"/>
        <v>2006FemaleAllEth24</v>
      </c>
      <c r="B661">
        <v>2006</v>
      </c>
      <c r="C661" t="s">
        <v>8</v>
      </c>
      <c r="D661" t="s">
        <v>27</v>
      </c>
      <c r="E661">
        <v>24</v>
      </c>
      <c r="F661">
        <v>31</v>
      </c>
      <c r="G661">
        <v>6.1083743842364502</v>
      </c>
      <c r="H661">
        <v>2.2000000000000002</v>
      </c>
      <c r="J661" s="340" t="str">
        <f t="shared" si="62"/>
        <v>2004MaleNon-Maori193</v>
      </c>
      <c r="K661">
        <v>2004</v>
      </c>
      <c r="L661" t="s">
        <v>20</v>
      </c>
      <c r="M661" t="s">
        <v>19</v>
      </c>
      <c r="N661">
        <v>19</v>
      </c>
      <c r="O661">
        <v>3</v>
      </c>
      <c r="P661">
        <v>64</v>
      </c>
      <c r="Q661">
        <v>16.9569933886809</v>
      </c>
      <c r="R661">
        <v>4.2</v>
      </c>
      <c r="T661" s="340" t="str">
        <f t="shared" si="63"/>
        <v>1999AllSexAllEth24Jumping from a high place</v>
      </c>
      <c r="U661">
        <v>1999</v>
      </c>
      <c r="V661" t="s">
        <v>17</v>
      </c>
      <c r="W661" t="s">
        <v>27</v>
      </c>
      <c r="X661">
        <v>24</v>
      </c>
      <c r="Y661" t="s">
        <v>44</v>
      </c>
      <c r="Z661">
        <v>2</v>
      </c>
      <c r="AA661">
        <v>104</v>
      </c>
      <c r="AB661">
        <v>1.9</v>
      </c>
    </row>
    <row r="662" spans="1:28">
      <c r="A662" t="str">
        <f t="shared" si="61"/>
        <v>2006FemaleAllEth25</v>
      </c>
      <c r="B662">
        <v>2006</v>
      </c>
      <c r="C662" t="s">
        <v>8</v>
      </c>
      <c r="D662" t="s">
        <v>27</v>
      </c>
      <c r="E662">
        <v>25</v>
      </c>
      <c r="F662">
        <v>18</v>
      </c>
      <c r="G662">
        <v>6.3701029833315603</v>
      </c>
      <c r="H662">
        <v>2.9</v>
      </c>
      <c r="J662" s="340" t="str">
        <f t="shared" si="62"/>
        <v>2004MaleNon-Maori194</v>
      </c>
      <c r="K662">
        <v>2004</v>
      </c>
      <c r="L662" t="s">
        <v>20</v>
      </c>
      <c r="M662" t="s">
        <v>19</v>
      </c>
      <c r="N662">
        <v>19</v>
      </c>
      <c r="O662">
        <v>4</v>
      </c>
      <c r="P662">
        <v>68</v>
      </c>
      <c r="Q662">
        <v>19.192801221500499</v>
      </c>
      <c r="R662">
        <v>4.5999999999999996</v>
      </c>
      <c r="T662" s="340" t="str">
        <f t="shared" si="63"/>
        <v>1999AllSexAllEth25Jumping from a high place</v>
      </c>
      <c r="U662">
        <v>1999</v>
      </c>
      <c r="V662" t="s">
        <v>17</v>
      </c>
      <c r="W662" t="s">
        <v>27</v>
      </c>
      <c r="X662">
        <v>25</v>
      </c>
      <c r="Y662" t="s">
        <v>44</v>
      </c>
      <c r="Z662">
        <v>2</v>
      </c>
      <c r="AA662">
        <v>52</v>
      </c>
      <c r="AB662">
        <v>3.8</v>
      </c>
    </row>
    <row r="663" spans="1:28">
      <c r="A663" t="str">
        <f t="shared" si="61"/>
        <v>2006FemaleMaori21</v>
      </c>
      <c r="B663">
        <v>2006</v>
      </c>
      <c r="C663" t="s">
        <v>8</v>
      </c>
      <c r="D663" t="s">
        <v>18</v>
      </c>
      <c r="E663">
        <v>21</v>
      </c>
      <c r="F663">
        <v>4</v>
      </c>
      <c r="G663">
        <v>3.8102495713469202</v>
      </c>
      <c r="H663">
        <v>3.7</v>
      </c>
      <c r="J663" s="340" t="str">
        <f t="shared" si="62"/>
        <v>2004MaleNon-Maori195</v>
      </c>
      <c r="K663">
        <v>2004</v>
      </c>
      <c r="L663" t="s">
        <v>20</v>
      </c>
      <c r="M663" t="s">
        <v>19</v>
      </c>
      <c r="N663">
        <v>19</v>
      </c>
      <c r="O663">
        <v>5</v>
      </c>
      <c r="P663">
        <v>55</v>
      </c>
      <c r="Q663">
        <v>19.187790229537299</v>
      </c>
      <c r="R663">
        <v>5.0999999999999996</v>
      </c>
      <c r="T663" s="340" t="str">
        <f t="shared" si="63"/>
        <v>1999AllSexAllEth22Other</v>
      </c>
      <c r="U663">
        <v>1999</v>
      </c>
      <c r="V663" t="s">
        <v>17</v>
      </c>
      <c r="W663" t="s">
        <v>27</v>
      </c>
      <c r="X663">
        <v>22</v>
      </c>
      <c r="Y663" t="s">
        <v>45</v>
      </c>
      <c r="Z663">
        <v>3</v>
      </c>
      <c r="AA663">
        <v>119</v>
      </c>
      <c r="AB663">
        <v>2.5</v>
      </c>
    </row>
    <row r="664" spans="1:28">
      <c r="A664" t="str">
        <f t="shared" si="61"/>
        <v>2006FemaleMaori22</v>
      </c>
      <c r="B664">
        <v>2006</v>
      </c>
      <c r="C664" t="s">
        <v>8</v>
      </c>
      <c r="D664" t="s">
        <v>18</v>
      </c>
      <c r="E664">
        <v>22</v>
      </c>
      <c r="F664">
        <v>8</v>
      </c>
      <c r="G664">
        <v>13.552430967304799</v>
      </c>
      <c r="H664">
        <v>9.4</v>
      </c>
      <c r="J664" s="340" t="str">
        <f t="shared" si="62"/>
        <v>2005MaleNon-Maori191</v>
      </c>
      <c r="K664">
        <v>2005</v>
      </c>
      <c r="L664" t="s">
        <v>20</v>
      </c>
      <c r="M664" t="s">
        <v>19</v>
      </c>
      <c r="N664">
        <v>19</v>
      </c>
      <c r="O664">
        <v>1</v>
      </c>
      <c r="P664">
        <v>51</v>
      </c>
      <c r="Q664">
        <v>12.8896303906303</v>
      </c>
      <c r="R664">
        <v>3.5</v>
      </c>
      <c r="T664" s="340" t="str">
        <f t="shared" si="63"/>
        <v>1999AllSexAllEth23Other</v>
      </c>
      <c r="U664">
        <v>1999</v>
      </c>
      <c r="V664" t="s">
        <v>17</v>
      </c>
      <c r="W664" t="s">
        <v>27</v>
      </c>
      <c r="X664">
        <v>23</v>
      </c>
      <c r="Y664" t="s">
        <v>45</v>
      </c>
      <c r="Z664">
        <v>9</v>
      </c>
      <c r="AA664">
        <v>235</v>
      </c>
      <c r="AB664">
        <v>3.8</v>
      </c>
    </row>
    <row r="665" spans="1:28">
      <c r="A665" t="str">
        <f t="shared" si="61"/>
        <v>2006FemaleMaori23</v>
      </c>
      <c r="B665">
        <v>2006</v>
      </c>
      <c r="C665" t="s">
        <v>8</v>
      </c>
      <c r="D665" t="s">
        <v>18</v>
      </c>
      <c r="E665">
        <v>23</v>
      </c>
      <c r="F665">
        <v>18</v>
      </c>
      <c r="G665">
        <v>20.028930677645501</v>
      </c>
      <c r="H665">
        <v>9.3000000000000007</v>
      </c>
      <c r="J665" s="340" t="str">
        <f t="shared" si="62"/>
        <v>2005MaleNon-Maori192</v>
      </c>
      <c r="K665">
        <v>2005</v>
      </c>
      <c r="L665" t="s">
        <v>20</v>
      </c>
      <c r="M665" t="s">
        <v>19</v>
      </c>
      <c r="N665">
        <v>19</v>
      </c>
      <c r="O665">
        <v>2</v>
      </c>
      <c r="P665">
        <v>52</v>
      </c>
      <c r="Q665">
        <v>12.879034697928599</v>
      </c>
      <c r="R665">
        <v>3.5</v>
      </c>
      <c r="T665" s="340" t="str">
        <f t="shared" si="63"/>
        <v>1999AllSexAllEth24Other</v>
      </c>
      <c r="U665">
        <v>1999</v>
      </c>
      <c r="V665" t="s">
        <v>17</v>
      </c>
      <c r="W665" t="s">
        <v>27</v>
      </c>
      <c r="X665">
        <v>24</v>
      </c>
      <c r="Y665" t="s">
        <v>45</v>
      </c>
      <c r="Z665">
        <v>4</v>
      </c>
      <c r="AA665">
        <v>104</v>
      </c>
      <c r="AB665">
        <v>3.8</v>
      </c>
    </row>
    <row r="666" spans="1:28">
      <c r="A666" t="str">
        <f t="shared" si="61"/>
        <v>2006FemaleMaori24</v>
      </c>
      <c r="B666">
        <v>2006</v>
      </c>
      <c r="C666" t="s">
        <v>8</v>
      </c>
      <c r="D666" t="s">
        <v>18</v>
      </c>
      <c r="E666">
        <v>24</v>
      </c>
      <c r="F666">
        <v>2</v>
      </c>
      <c r="G666">
        <v>3.9362330249950799</v>
      </c>
      <c r="H666">
        <v>5.5</v>
      </c>
      <c r="J666" s="340" t="str">
        <f t="shared" si="62"/>
        <v>2005MaleNon-Maori193</v>
      </c>
      <c r="K666">
        <v>2005</v>
      </c>
      <c r="L666" t="s">
        <v>20</v>
      </c>
      <c r="M666" t="s">
        <v>19</v>
      </c>
      <c r="N666">
        <v>19</v>
      </c>
      <c r="O666">
        <v>3</v>
      </c>
      <c r="P666">
        <v>54</v>
      </c>
      <c r="Q666">
        <v>14.394697297807699</v>
      </c>
      <c r="R666">
        <v>3.8</v>
      </c>
      <c r="T666" s="340" t="str">
        <f t="shared" si="63"/>
        <v>1999AllSexAllEth25Other</v>
      </c>
      <c r="U666">
        <v>1999</v>
      </c>
      <c r="V666" t="s">
        <v>17</v>
      </c>
      <c r="W666" t="s">
        <v>27</v>
      </c>
      <c r="X666">
        <v>25</v>
      </c>
      <c r="Y666" t="s">
        <v>45</v>
      </c>
      <c r="Z666">
        <v>1</v>
      </c>
      <c r="AA666">
        <v>52</v>
      </c>
      <c r="AB666">
        <v>1.9</v>
      </c>
    </row>
    <row r="667" spans="1:28">
      <c r="A667" t="str">
        <f t="shared" si="61"/>
        <v>2006FemaleMaori25</v>
      </c>
      <c r="B667">
        <v>2006</v>
      </c>
      <c r="C667" t="s">
        <v>8</v>
      </c>
      <c r="D667" t="s">
        <v>18</v>
      </c>
      <c r="E667">
        <v>25</v>
      </c>
      <c r="F667">
        <v>1</v>
      </c>
      <c r="G667">
        <v>7.1377587437544596</v>
      </c>
      <c r="H667">
        <v>14</v>
      </c>
      <c r="J667" s="340" t="str">
        <f t="shared" si="62"/>
        <v>2005MaleNon-Maori194</v>
      </c>
      <c r="K667">
        <v>2005</v>
      </c>
      <c r="L667" t="s">
        <v>20</v>
      </c>
      <c r="M667" t="s">
        <v>19</v>
      </c>
      <c r="N667">
        <v>19</v>
      </c>
      <c r="O667">
        <v>4</v>
      </c>
      <c r="P667">
        <v>68</v>
      </c>
      <c r="Q667">
        <v>19.559096716241701</v>
      </c>
      <c r="R667">
        <v>4.5999999999999996</v>
      </c>
      <c r="T667" s="340" t="str">
        <f t="shared" si="63"/>
        <v>1999AllSexAllEth22Poisoning by gases and vapours</v>
      </c>
      <c r="U667">
        <v>1999</v>
      </c>
      <c r="V667" t="s">
        <v>17</v>
      </c>
      <c r="W667" t="s">
        <v>27</v>
      </c>
      <c r="X667">
        <v>22</v>
      </c>
      <c r="Y667" t="s">
        <v>46</v>
      </c>
      <c r="Z667">
        <v>15</v>
      </c>
      <c r="AA667">
        <v>119</v>
      </c>
      <c r="AB667">
        <v>12.6</v>
      </c>
    </row>
    <row r="668" spans="1:28">
      <c r="A668" t="str">
        <f t="shared" si="61"/>
        <v>2006FemaleNon-Maori21</v>
      </c>
      <c r="B668">
        <v>2006</v>
      </c>
      <c r="C668" t="s">
        <v>8</v>
      </c>
      <c r="D668" t="s">
        <v>19</v>
      </c>
      <c r="E668">
        <v>21</v>
      </c>
      <c r="F668">
        <v>0</v>
      </c>
      <c r="G668">
        <v>0</v>
      </c>
      <c r="J668" s="340" t="str">
        <f t="shared" si="62"/>
        <v>2005MaleNon-Maori195</v>
      </c>
      <c r="K668">
        <v>2005</v>
      </c>
      <c r="L668" t="s">
        <v>20</v>
      </c>
      <c r="M668" t="s">
        <v>19</v>
      </c>
      <c r="N668">
        <v>19</v>
      </c>
      <c r="O668">
        <v>5</v>
      </c>
      <c r="P668">
        <v>66</v>
      </c>
      <c r="Q668">
        <v>24.3988457531437</v>
      </c>
      <c r="R668">
        <v>5.9</v>
      </c>
      <c r="T668" s="340" t="str">
        <f t="shared" si="63"/>
        <v>1999AllSexAllEth23Poisoning by gases and vapours</v>
      </c>
      <c r="U668">
        <v>1999</v>
      </c>
      <c r="V668" t="s">
        <v>17</v>
      </c>
      <c r="W668" t="s">
        <v>27</v>
      </c>
      <c r="X668">
        <v>23</v>
      </c>
      <c r="Y668" t="s">
        <v>46</v>
      </c>
      <c r="Z668">
        <v>71</v>
      </c>
      <c r="AA668">
        <v>235</v>
      </c>
      <c r="AB668">
        <v>30.2</v>
      </c>
    </row>
    <row r="669" spans="1:28">
      <c r="A669" t="str">
        <f t="shared" si="61"/>
        <v>2006FemaleNon-Maori22</v>
      </c>
      <c r="B669">
        <v>2006</v>
      </c>
      <c r="C669" t="s">
        <v>8</v>
      </c>
      <c r="D669" t="s">
        <v>19</v>
      </c>
      <c r="E669">
        <v>22</v>
      </c>
      <c r="F669">
        <v>16</v>
      </c>
      <c r="G669">
        <v>6.6552972006156201</v>
      </c>
      <c r="H669">
        <v>3.3</v>
      </c>
      <c r="J669" s="340" t="str">
        <f t="shared" si="62"/>
        <v>2006MaleNon-Maori191</v>
      </c>
      <c r="K669">
        <v>2006</v>
      </c>
      <c r="L669" t="s">
        <v>20</v>
      </c>
      <c r="M669" t="s">
        <v>19</v>
      </c>
      <c r="N669">
        <v>19</v>
      </c>
      <c r="O669">
        <v>1</v>
      </c>
      <c r="P669">
        <v>43</v>
      </c>
      <c r="Q669">
        <v>10.5524724620385</v>
      </c>
      <c r="R669">
        <v>3.2</v>
      </c>
      <c r="T669" s="340" t="str">
        <f t="shared" si="63"/>
        <v>1999AllSexAllEth24Poisoning by gases and vapours</v>
      </c>
      <c r="U669">
        <v>1999</v>
      </c>
      <c r="V669" t="s">
        <v>17</v>
      </c>
      <c r="W669" t="s">
        <v>27</v>
      </c>
      <c r="X669">
        <v>24</v>
      </c>
      <c r="Y669" t="s">
        <v>46</v>
      </c>
      <c r="Z669">
        <v>20</v>
      </c>
      <c r="AA669">
        <v>104</v>
      </c>
      <c r="AB669">
        <v>19.2</v>
      </c>
    </row>
    <row r="670" spans="1:28">
      <c r="A670" t="str">
        <f t="shared" si="61"/>
        <v>2006FemaleNon-Maori23</v>
      </c>
      <c r="B670">
        <v>2006</v>
      </c>
      <c r="C670" t="s">
        <v>8</v>
      </c>
      <c r="D670" t="s">
        <v>19</v>
      </c>
      <c r="E670">
        <v>23</v>
      </c>
      <c r="F670">
        <v>42</v>
      </c>
      <c r="G670">
        <v>8.0195524325975693</v>
      </c>
      <c r="H670">
        <v>2.4</v>
      </c>
      <c r="J670" s="340" t="str">
        <f t="shared" si="62"/>
        <v>2006MaleNon-Maori192</v>
      </c>
      <c r="K670">
        <v>2006</v>
      </c>
      <c r="L670" t="s">
        <v>20</v>
      </c>
      <c r="M670" t="s">
        <v>19</v>
      </c>
      <c r="N670">
        <v>19</v>
      </c>
      <c r="O670">
        <v>2</v>
      </c>
      <c r="P670">
        <v>59</v>
      </c>
      <c r="Q670">
        <v>14.284049594892601</v>
      </c>
      <c r="R670">
        <v>3.6</v>
      </c>
      <c r="T670" s="340" t="str">
        <f t="shared" si="63"/>
        <v>1999AllSexAllEth25Poisoning by gases and vapours</v>
      </c>
      <c r="U670">
        <v>1999</v>
      </c>
      <c r="V670" t="s">
        <v>17</v>
      </c>
      <c r="W670" t="s">
        <v>27</v>
      </c>
      <c r="X670">
        <v>25</v>
      </c>
      <c r="Y670" t="s">
        <v>46</v>
      </c>
      <c r="Z670">
        <v>11</v>
      </c>
      <c r="AA670">
        <v>52</v>
      </c>
      <c r="AB670">
        <v>21.2</v>
      </c>
    </row>
    <row r="671" spans="1:28">
      <c r="A671" t="str">
        <f t="shared" si="61"/>
        <v>2006FemaleNon-Maori24</v>
      </c>
      <c r="B671">
        <v>2006</v>
      </c>
      <c r="C671" t="s">
        <v>8</v>
      </c>
      <c r="D671" t="s">
        <v>19</v>
      </c>
      <c r="E671">
        <v>24</v>
      </c>
      <c r="F671">
        <v>29</v>
      </c>
      <c r="G671">
        <v>6.3500405088791103</v>
      </c>
      <c r="H671">
        <v>2.2999999999999998</v>
      </c>
      <c r="J671" s="340" t="str">
        <f t="shared" si="62"/>
        <v>2006MaleNon-Maori193</v>
      </c>
      <c r="K671">
        <v>2006</v>
      </c>
      <c r="L671" t="s">
        <v>20</v>
      </c>
      <c r="M671" t="s">
        <v>19</v>
      </c>
      <c r="N671">
        <v>19</v>
      </c>
      <c r="O671">
        <v>3</v>
      </c>
      <c r="P671">
        <v>64</v>
      </c>
      <c r="Q671">
        <v>16.5574483677449</v>
      </c>
      <c r="R671">
        <v>4.0999999999999996</v>
      </c>
      <c r="T671" s="340" t="str">
        <f t="shared" si="63"/>
        <v>1999AllSexAllEth22Poisoning by solids and liquids</v>
      </c>
      <c r="U671">
        <v>1999</v>
      </c>
      <c r="V671" t="s">
        <v>17</v>
      </c>
      <c r="W671" t="s">
        <v>27</v>
      </c>
      <c r="X671">
        <v>22</v>
      </c>
      <c r="Y671" t="s">
        <v>47</v>
      </c>
      <c r="Z671">
        <v>6</v>
      </c>
      <c r="AA671">
        <v>119</v>
      </c>
      <c r="AB671">
        <v>5</v>
      </c>
    </row>
    <row r="672" spans="1:28">
      <c r="A672" t="str">
        <f t="shared" si="61"/>
        <v>2006FemaleNon-Maori25</v>
      </c>
      <c r="B672">
        <v>2006</v>
      </c>
      <c r="C672" t="s">
        <v>8</v>
      </c>
      <c r="D672" t="s">
        <v>19</v>
      </c>
      <c r="E672">
        <v>25</v>
      </c>
      <c r="F672">
        <v>17</v>
      </c>
      <c r="G672">
        <v>6.3300565981531101</v>
      </c>
      <c r="H672">
        <v>3</v>
      </c>
      <c r="J672" s="340" t="str">
        <f t="shared" si="62"/>
        <v>2006MaleNon-Maori194</v>
      </c>
      <c r="K672">
        <v>2006</v>
      </c>
      <c r="L672" t="s">
        <v>20</v>
      </c>
      <c r="M672" t="s">
        <v>19</v>
      </c>
      <c r="N672">
        <v>19</v>
      </c>
      <c r="O672">
        <v>4</v>
      </c>
      <c r="P672">
        <v>58</v>
      </c>
      <c r="Q672">
        <v>16.6525567469455</v>
      </c>
      <c r="R672">
        <v>4.3</v>
      </c>
      <c r="T672" s="340" t="str">
        <f t="shared" si="63"/>
        <v>1999AllSexAllEth23Poisoning by solids and liquids</v>
      </c>
      <c r="U672">
        <v>1999</v>
      </c>
      <c r="V672" t="s">
        <v>17</v>
      </c>
      <c r="W672" t="s">
        <v>27</v>
      </c>
      <c r="X672">
        <v>23</v>
      </c>
      <c r="Y672" t="s">
        <v>47</v>
      </c>
      <c r="Z672">
        <v>23</v>
      </c>
      <c r="AA672">
        <v>235</v>
      </c>
      <c r="AB672">
        <v>9.8000000000000007</v>
      </c>
    </row>
    <row r="673" spans="1:28">
      <c r="A673" t="str">
        <f t="shared" si="61"/>
        <v>2006MaleAllEth21</v>
      </c>
      <c r="B673">
        <v>2006</v>
      </c>
      <c r="C673" t="s">
        <v>20</v>
      </c>
      <c r="D673" t="s">
        <v>27</v>
      </c>
      <c r="E673">
        <v>21</v>
      </c>
      <c r="F673">
        <v>2</v>
      </c>
      <c r="G673">
        <v>0.43938661628366799</v>
      </c>
      <c r="H673">
        <v>0.6</v>
      </c>
      <c r="J673" s="340" t="str">
        <f t="shared" si="62"/>
        <v>2006MaleNon-Maori195</v>
      </c>
      <c r="K673">
        <v>2006</v>
      </c>
      <c r="L673" t="s">
        <v>20</v>
      </c>
      <c r="M673" t="s">
        <v>19</v>
      </c>
      <c r="N673">
        <v>19</v>
      </c>
      <c r="O673">
        <v>5</v>
      </c>
      <c r="P673">
        <v>75</v>
      </c>
      <c r="Q673">
        <v>26.759839230412901</v>
      </c>
      <c r="R673">
        <v>6.1</v>
      </c>
      <c r="T673" s="340" t="str">
        <f t="shared" si="63"/>
        <v>1999AllSexAllEth24Poisoning by solids and liquids</v>
      </c>
      <c r="U673">
        <v>1999</v>
      </c>
      <c r="V673" t="s">
        <v>17</v>
      </c>
      <c r="W673" t="s">
        <v>27</v>
      </c>
      <c r="X673">
        <v>24</v>
      </c>
      <c r="Y673" t="s">
        <v>47</v>
      </c>
      <c r="Z673">
        <v>18</v>
      </c>
      <c r="AA673">
        <v>104</v>
      </c>
      <c r="AB673">
        <v>17.3</v>
      </c>
    </row>
    <row r="674" spans="1:28">
      <c r="A674" t="str">
        <f t="shared" si="61"/>
        <v>2006MaleAllEth22</v>
      </c>
      <c r="B674">
        <v>2006</v>
      </c>
      <c r="C674" t="s">
        <v>20</v>
      </c>
      <c r="D674" t="s">
        <v>27</v>
      </c>
      <c r="E674">
        <v>22</v>
      </c>
      <c r="F674">
        <v>95</v>
      </c>
      <c r="G674">
        <v>31.150604977538801</v>
      </c>
      <c r="H674">
        <v>6.3</v>
      </c>
      <c r="J674" s="340" t="str">
        <f t="shared" si="62"/>
        <v>2007MaleNon-Maori191</v>
      </c>
      <c r="K674">
        <v>2007</v>
      </c>
      <c r="L674" t="s">
        <v>20</v>
      </c>
      <c r="M674" t="s">
        <v>19</v>
      </c>
      <c r="N674">
        <v>19</v>
      </c>
      <c r="O674">
        <v>1</v>
      </c>
      <c r="P674">
        <v>43</v>
      </c>
      <c r="Q674">
        <v>10.7712869359511</v>
      </c>
      <c r="R674">
        <v>3.2</v>
      </c>
      <c r="T674" s="340" t="str">
        <f t="shared" si="63"/>
        <v>1999AllSexAllEth25Poisoning by solids and liquids</v>
      </c>
      <c r="U674">
        <v>1999</v>
      </c>
      <c r="V674" t="s">
        <v>17</v>
      </c>
      <c r="W674" t="s">
        <v>27</v>
      </c>
      <c r="X674">
        <v>25</v>
      </c>
      <c r="Y674" t="s">
        <v>47</v>
      </c>
      <c r="Z674">
        <v>5</v>
      </c>
      <c r="AA674">
        <v>52</v>
      </c>
      <c r="AB674">
        <v>9.6</v>
      </c>
    </row>
    <row r="675" spans="1:28">
      <c r="A675" t="str">
        <f t="shared" si="61"/>
        <v>2006MaleAllEth23</v>
      </c>
      <c r="B675">
        <v>2006</v>
      </c>
      <c r="C675" t="s">
        <v>20</v>
      </c>
      <c r="D675" t="s">
        <v>27</v>
      </c>
      <c r="E675">
        <v>23</v>
      </c>
      <c r="F675">
        <v>147</v>
      </c>
      <c r="G675">
        <v>25.852972212451601</v>
      </c>
      <c r="H675">
        <v>4.2</v>
      </c>
      <c r="J675" s="340" t="str">
        <f t="shared" si="62"/>
        <v>2007MaleNon-Maori192</v>
      </c>
      <c r="K675">
        <v>2007</v>
      </c>
      <c r="L675" t="s">
        <v>20</v>
      </c>
      <c r="M675" t="s">
        <v>19</v>
      </c>
      <c r="N675">
        <v>19</v>
      </c>
      <c r="O675">
        <v>2</v>
      </c>
      <c r="P675">
        <v>49</v>
      </c>
      <c r="Q675">
        <v>11.4481341885209</v>
      </c>
      <c r="R675">
        <v>3.2</v>
      </c>
      <c r="T675" s="340" t="str">
        <f t="shared" si="63"/>
        <v>1999AllSexAllEth23Sharp object</v>
      </c>
      <c r="U675">
        <v>1999</v>
      </c>
      <c r="V675" t="s">
        <v>17</v>
      </c>
      <c r="W675" t="s">
        <v>27</v>
      </c>
      <c r="X675">
        <v>23</v>
      </c>
      <c r="Y675" t="s">
        <v>48</v>
      </c>
      <c r="Z675">
        <v>6</v>
      </c>
      <c r="AA675">
        <v>235</v>
      </c>
      <c r="AB675">
        <v>2.6</v>
      </c>
    </row>
    <row r="676" spans="1:28">
      <c r="A676" t="str">
        <f t="shared" si="61"/>
        <v>2006MaleAllEth24</v>
      </c>
      <c r="B676">
        <v>2006</v>
      </c>
      <c r="C676" t="s">
        <v>20</v>
      </c>
      <c r="D676" t="s">
        <v>27</v>
      </c>
      <c r="E676">
        <v>24</v>
      </c>
      <c r="F676">
        <v>110</v>
      </c>
      <c r="G676">
        <v>22.397328609533101</v>
      </c>
      <c r="H676">
        <v>4.2</v>
      </c>
      <c r="J676" s="340" t="str">
        <f t="shared" si="62"/>
        <v>2007MaleNon-Maori193</v>
      </c>
      <c r="K676">
        <v>2007</v>
      </c>
      <c r="L676" t="s">
        <v>20</v>
      </c>
      <c r="M676" t="s">
        <v>19</v>
      </c>
      <c r="N676">
        <v>19</v>
      </c>
      <c r="O676">
        <v>3</v>
      </c>
      <c r="P676">
        <v>69</v>
      </c>
      <c r="Q676">
        <v>17.822504095062602</v>
      </c>
      <c r="R676">
        <v>4.2</v>
      </c>
      <c r="T676" s="340" t="str">
        <f t="shared" si="63"/>
        <v>1999AllSexAllEth24Sharp object</v>
      </c>
      <c r="U676">
        <v>1999</v>
      </c>
      <c r="V676" t="s">
        <v>17</v>
      </c>
      <c r="W676" t="s">
        <v>27</v>
      </c>
      <c r="X676">
        <v>24</v>
      </c>
      <c r="Y676" t="s">
        <v>48</v>
      </c>
      <c r="Z676">
        <v>1</v>
      </c>
      <c r="AA676">
        <v>104</v>
      </c>
      <c r="AB676">
        <v>1</v>
      </c>
    </row>
    <row r="677" spans="1:28">
      <c r="A677" t="str">
        <f t="shared" si="61"/>
        <v>2006MaleAllEth25</v>
      </c>
      <c r="B677">
        <v>2006</v>
      </c>
      <c r="C677" t="s">
        <v>20</v>
      </c>
      <c r="D677" t="s">
        <v>27</v>
      </c>
      <c r="E677">
        <v>25</v>
      </c>
      <c r="F677">
        <v>33</v>
      </c>
      <c r="G677">
        <v>14.4167758846658</v>
      </c>
      <c r="H677">
        <v>4.9000000000000004</v>
      </c>
      <c r="J677" s="340" t="str">
        <f t="shared" si="62"/>
        <v>2007MaleNon-Maori194</v>
      </c>
      <c r="K677">
        <v>2007</v>
      </c>
      <c r="L677" t="s">
        <v>20</v>
      </c>
      <c r="M677" t="s">
        <v>19</v>
      </c>
      <c r="N677">
        <v>19</v>
      </c>
      <c r="O677">
        <v>4</v>
      </c>
      <c r="P677">
        <v>75</v>
      </c>
      <c r="Q677">
        <v>20.135752255220499</v>
      </c>
      <c r="R677">
        <v>4.5999999999999996</v>
      </c>
      <c r="T677" s="340" t="str">
        <f t="shared" si="63"/>
        <v>1999AllSexAllEth25Sharp object</v>
      </c>
      <c r="U677">
        <v>1999</v>
      </c>
      <c r="V677" t="s">
        <v>17</v>
      </c>
      <c r="W677" t="s">
        <v>27</v>
      </c>
      <c r="X677">
        <v>25</v>
      </c>
      <c r="Y677" t="s">
        <v>48</v>
      </c>
      <c r="Z677">
        <v>1</v>
      </c>
      <c r="AA677">
        <v>52</v>
      </c>
      <c r="AB677">
        <v>1.9</v>
      </c>
    </row>
    <row r="678" spans="1:28">
      <c r="A678" t="str">
        <f t="shared" si="61"/>
        <v>2006MaleMaori21</v>
      </c>
      <c r="B678">
        <v>2006</v>
      </c>
      <c r="C678" t="s">
        <v>20</v>
      </c>
      <c r="D678" t="s">
        <v>18</v>
      </c>
      <c r="E678">
        <v>21</v>
      </c>
      <c r="F678">
        <v>0</v>
      </c>
      <c r="G678">
        <v>0</v>
      </c>
      <c r="J678" s="340" t="str">
        <f t="shared" si="62"/>
        <v>2007MaleNon-Maori195</v>
      </c>
      <c r="K678">
        <v>2007</v>
      </c>
      <c r="L678" t="s">
        <v>20</v>
      </c>
      <c r="M678" t="s">
        <v>19</v>
      </c>
      <c r="N678">
        <v>19</v>
      </c>
      <c r="O678">
        <v>5</v>
      </c>
      <c r="P678">
        <v>55</v>
      </c>
      <c r="Q678">
        <v>19.439037793318999</v>
      </c>
      <c r="R678">
        <v>5.0999999999999996</v>
      </c>
      <c r="T678" s="340" t="str">
        <f t="shared" si="63"/>
        <v>1999AllSexAllEth23Submersion (drowning)</v>
      </c>
      <c r="U678">
        <v>1999</v>
      </c>
      <c r="V678" t="s">
        <v>17</v>
      </c>
      <c r="W678" t="s">
        <v>27</v>
      </c>
      <c r="X678">
        <v>23</v>
      </c>
      <c r="Y678" t="s">
        <v>49</v>
      </c>
      <c r="Z678">
        <v>5</v>
      </c>
      <c r="AA678">
        <v>235</v>
      </c>
      <c r="AB678">
        <v>2.1</v>
      </c>
    </row>
    <row r="679" spans="1:28">
      <c r="A679" t="str">
        <f t="shared" si="61"/>
        <v>2006MaleMaori22</v>
      </c>
      <c r="B679">
        <v>2006</v>
      </c>
      <c r="C679" t="s">
        <v>20</v>
      </c>
      <c r="D679" t="s">
        <v>18</v>
      </c>
      <c r="E679">
        <v>22</v>
      </c>
      <c r="F679">
        <v>29</v>
      </c>
      <c r="G679">
        <v>50.752537626881299</v>
      </c>
      <c r="H679">
        <v>18.5</v>
      </c>
      <c r="J679" s="340" t="str">
        <f t="shared" si="62"/>
        <v>2008MaleNon-Maori191</v>
      </c>
      <c r="K679">
        <v>2008</v>
      </c>
      <c r="L679" t="s">
        <v>20</v>
      </c>
      <c r="M679" t="s">
        <v>19</v>
      </c>
      <c r="N679">
        <v>19</v>
      </c>
      <c r="O679">
        <v>1</v>
      </c>
      <c r="P679">
        <v>60</v>
      </c>
      <c r="Q679">
        <v>15.0051657459185</v>
      </c>
      <c r="R679">
        <v>3.8</v>
      </c>
      <c r="T679" s="340" t="str">
        <f t="shared" si="63"/>
        <v>1999AllSexAllEth24Submersion (drowning)</v>
      </c>
      <c r="U679">
        <v>1999</v>
      </c>
      <c r="V679" t="s">
        <v>17</v>
      </c>
      <c r="W679" t="s">
        <v>27</v>
      </c>
      <c r="X679">
        <v>24</v>
      </c>
      <c r="Y679" t="s">
        <v>49</v>
      </c>
      <c r="Z679">
        <v>6</v>
      </c>
      <c r="AA679">
        <v>104</v>
      </c>
      <c r="AB679">
        <v>5.8</v>
      </c>
    </row>
    <row r="680" spans="1:28">
      <c r="A680" t="str">
        <f t="shared" si="61"/>
        <v>2006MaleMaori23</v>
      </c>
      <c r="B680">
        <v>2006</v>
      </c>
      <c r="C680" t="s">
        <v>20</v>
      </c>
      <c r="D680" t="s">
        <v>18</v>
      </c>
      <c r="E680">
        <v>23</v>
      </c>
      <c r="F680">
        <v>36</v>
      </c>
      <c r="G680">
        <v>45.028142589118197</v>
      </c>
      <c r="H680">
        <v>14.7</v>
      </c>
      <c r="J680" s="340" t="str">
        <f t="shared" si="62"/>
        <v>2008MaleNon-Maori192</v>
      </c>
      <c r="K680">
        <v>2008</v>
      </c>
      <c r="L680" t="s">
        <v>20</v>
      </c>
      <c r="M680" t="s">
        <v>19</v>
      </c>
      <c r="N680">
        <v>19</v>
      </c>
      <c r="O680">
        <v>2</v>
      </c>
      <c r="P680">
        <v>57</v>
      </c>
      <c r="Q680">
        <v>13.771646037425899</v>
      </c>
      <c r="R680">
        <v>3.6</v>
      </c>
      <c r="T680" s="340" t="str">
        <f t="shared" si="63"/>
        <v>1999AllSexAllEth25Submersion (drowning)</v>
      </c>
      <c r="U680">
        <v>1999</v>
      </c>
      <c r="V680" t="s">
        <v>17</v>
      </c>
      <c r="W680" t="s">
        <v>27</v>
      </c>
      <c r="X680">
        <v>25</v>
      </c>
      <c r="Y680" t="s">
        <v>49</v>
      </c>
      <c r="Z680">
        <v>5</v>
      </c>
      <c r="AA680">
        <v>52</v>
      </c>
      <c r="AB680">
        <v>9.6</v>
      </c>
    </row>
    <row r="681" spans="1:28">
      <c r="A681" t="str">
        <f t="shared" si="61"/>
        <v>2006MaleMaori24</v>
      </c>
      <c r="B681">
        <v>2006</v>
      </c>
      <c r="C681" t="s">
        <v>20</v>
      </c>
      <c r="D681" t="s">
        <v>18</v>
      </c>
      <c r="E681">
        <v>24</v>
      </c>
      <c r="F681">
        <v>10</v>
      </c>
      <c r="G681">
        <v>21.4868929952729</v>
      </c>
      <c r="H681">
        <v>13.3</v>
      </c>
      <c r="J681" s="340" t="str">
        <f t="shared" si="62"/>
        <v>2008MaleNon-Maori193</v>
      </c>
      <c r="K681">
        <v>2008</v>
      </c>
      <c r="L681" t="s">
        <v>20</v>
      </c>
      <c r="M681" t="s">
        <v>19</v>
      </c>
      <c r="N681">
        <v>19</v>
      </c>
      <c r="O681">
        <v>3</v>
      </c>
      <c r="P681">
        <v>63</v>
      </c>
      <c r="Q681">
        <v>15.8485418753567</v>
      </c>
      <c r="R681">
        <v>3.9</v>
      </c>
      <c r="T681" s="340" t="str">
        <f t="shared" si="63"/>
        <v>1999AllSexMaori23Firearms and explosives</v>
      </c>
      <c r="U681">
        <v>1999</v>
      </c>
      <c r="V681" t="s">
        <v>17</v>
      </c>
      <c r="W681" t="s">
        <v>18</v>
      </c>
      <c r="X681">
        <v>23</v>
      </c>
      <c r="Y681" t="s">
        <v>42</v>
      </c>
      <c r="Z681">
        <v>2</v>
      </c>
      <c r="AA681">
        <v>41</v>
      </c>
      <c r="AB681">
        <v>4.9000000000000004</v>
      </c>
    </row>
    <row r="682" spans="1:28">
      <c r="A682" t="str">
        <f t="shared" si="61"/>
        <v>2006MaleMaori25</v>
      </c>
      <c r="B682">
        <v>2006</v>
      </c>
      <c r="C682" t="s">
        <v>20</v>
      </c>
      <c r="D682" t="s">
        <v>18</v>
      </c>
      <c r="E682">
        <v>25</v>
      </c>
      <c r="F682">
        <v>0</v>
      </c>
      <c r="G682">
        <v>0</v>
      </c>
      <c r="J682" s="340" t="str">
        <f t="shared" si="62"/>
        <v>2008MaleNon-Maori194</v>
      </c>
      <c r="K682">
        <v>2008</v>
      </c>
      <c r="L682" t="s">
        <v>20</v>
      </c>
      <c r="M682" t="s">
        <v>19</v>
      </c>
      <c r="N682">
        <v>19</v>
      </c>
      <c r="O682">
        <v>4</v>
      </c>
      <c r="P682">
        <v>65</v>
      </c>
      <c r="Q682">
        <v>18.340575025541199</v>
      </c>
      <c r="R682">
        <v>4.5</v>
      </c>
      <c r="T682" s="340" t="str">
        <f t="shared" si="63"/>
        <v>1999AllSexMaori21Hanging, strangulation and suffocation</v>
      </c>
      <c r="U682">
        <v>1999</v>
      </c>
      <c r="V682" t="s">
        <v>17</v>
      </c>
      <c r="W682" t="s">
        <v>18</v>
      </c>
      <c r="X682">
        <v>21</v>
      </c>
      <c r="Y682" t="s">
        <v>43</v>
      </c>
      <c r="Z682">
        <v>4</v>
      </c>
      <c r="AA682">
        <v>4</v>
      </c>
      <c r="AB682">
        <v>100</v>
      </c>
    </row>
    <row r="683" spans="1:28">
      <c r="A683" t="str">
        <f t="shared" si="61"/>
        <v>2006MaleNon-Maori21</v>
      </c>
      <c r="B683">
        <v>2006</v>
      </c>
      <c r="C683" t="s">
        <v>20</v>
      </c>
      <c r="D683" t="s">
        <v>19</v>
      </c>
      <c r="E683">
        <v>21</v>
      </c>
      <c r="F683">
        <v>2</v>
      </c>
      <c r="G683">
        <v>0.58056837644053505</v>
      </c>
      <c r="H683">
        <v>0.8</v>
      </c>
      <c r="J683" s="340" t="str">
        <f t="shared" si="62"/>
        <v>2008MaleNon-Maori195</v>
      </c>
      <c r="K683">
        <v>2008</v>
      </c>
      <c r="L683" t="s">
        <v>20</v>
      </c>
      <c r="M683" t="s">
        <v>19</v>
      </c>
      <c r="N683">
        <v>19</v>
      </c>
      <c r="O683">
        <v>5</v>
      </c>
      <c r="P683">
        <v>62</v>
      </c>
      <c r="Q683">
        <v>20.992153056675399</v>
      </c>
      <c r="R683">
        <v>5.2</v>
      </c>
      <c r="T683" s="340" t="str">
        <f t="shared" si="63"/>
        <v>1999AllSexMaori22Hanging, strangulation and suffocation</v>
      </c>
      <c r="U683">
        <v>1999</v>
      </c>
      <c r="V683" t="s">
        <v>17</v>
      </c>
      <c r="W683" t="s">
        <v>18</v>
      </c>
      <c r="X683">
        <v>22</v>
      </c>
      <c r="Y683" t="s">
        <v>43</v>
      </c>
      <c r="Z683">
        <v>27</v>
      </c>
      <c r="AA683">
        <v>33</v>
      </c>
      <c r="AB683">
        <v>81.8</v>
      </c>
    </row>
    <row r="684" spans="1:28">
      <c r="A684" t="str">
        <f t="shared" si="61"/>
        <v>2006MaleNon-Maori22</v>
      </c>
      <c r="B684">
        <v>2006</v>
      </c>
      <c r="C684" t="s">
        <v>20</v>
      </c>
      <c r="D684" t="s">
        <v>19</v>
      </c>
      <c r="E684">
        <v>22</v>
      </c>
      <c r="F684">
        <v>66</v>
      </c>
      <c r="G684">
        <v>26.6311584553928</v>
      </c>
      <c r="H684">
        <v>6.4</v>
      </c>
      <c r="J684" s="340" t="str">
        <f t="shared" si="62"/>
        <v>2009MaleNon-Maori191</v>
      </c>
      <c r="K684">
        <v>2009</v>
      </c>
      <c r="L684" t="s">
        <v>20</v>
      </c>
      <c r="M684" t="s">
        <v>19</v>
      </c>
      <c r="N684">
        <v>19</v>
      </c>
      <c r="O684">
        <v>1</v>
      </c>
      <c r="P684">
        <v>58</v>
      </c>
      <c r="Q684">
        <v>13.4281647686625</v>
      </c>
      <c r="R684">
        <v>3.5</v>
      </c>
      <c r="T684" s="340" t="str">
        <f t="shared" si="63"/>
        <v>1999AllSexMaori23Hanging, strangulation and suffocation</v>
      </c>
      <c r="U684">
        <v>1999</v>
      </c>
      <c r="V684" t="s">
        <v>17</v>
      </c>
      <c r="W684" t="s">
        <v>18</v>
      </c>
      <c r="X684">
        <v>23</v>
      </c>
      <c r="Y684" t="s">
        <v>43</v>
      </c>
      <c r="Z684">
        <v>28</v>
      </c>
      <c r="AA684">
        <v>41</v>
      </c>
      <c r="AB684">
        <v>68.3</v>
      </c>
    </row>
    <row r="685" spans="1:28">
      <c r="A685" t="str">
        <f t="shared" si="61"/>
        <v>2006MaleNon-Maori23</v>
      </c>
      <c r="B685">
        <v>2006</v>
      </c>
      <c r="C685" t="s">
        <v>20</v>
      </c>
      <c r="D685" t="s">
        <v>19</v>
      </c>
      <c r="E685">
        <v>23</v>
      </c>
      <c r="F685">
        <v>111</v>
      </c>
      <c r="G685">
        <v>22.715645144786698</v>
      </c>
      <c r="H685">
        <v>4.2</v>
      </c>
      <c r="J685" s="340" t="str">
        <f t="shared" si="62"/>
        <v>2009MaleNon-Maori192</v>
      </c>
      <c r="K685">
        <v>2009</v>
      </c>
      <c r="L685" t="s">
        <v>20</v>
      </c>
      <c r="M685" t="s">
        <v>19</v>
      </c>
      <c r="N685">
        <v>19</v>
      </c>
      <c r="O685">
        <v>2</v>
      </c>
      <c r="P685">
        <v>64</v>
      </c>
      <c r="Q685">
        <v>15.103967527192401</v>
      </c>
      <c r="R685">
        <v>3.7</v>
      </c>
      <c r="T685" s="340" t="str">
        <f t="shared" si="63"/>
        <v>1999AllSexMaori22Jumping from a high place</v>
      </c>
      <c r="U685">
        <v>1999</v>
      </c>
      <c r="V685" t="s">
        <v>17</v>
      </c>
      <c r="W685" t="s">
        <v>18</v>
      </c>
      <c r="X685">
        <v>22</v>
      </c>
      <c r="Y685" t="s">
        <v>44</v>
      </c>
      <c r="Z685">
        <v>2</v>
      </c>
      <c r="AA685">
        <v>33</v>
      </c>
      <c r="AB685">
        <v>6.1</v>
      </c>
    </row>
    <row r="686" spans="1:28">
      <c r="A686" t="str">
        <f t="shared" si="61"/>
        <v>2006MaleNon-Maori24</v>
      </c>
      <c r="B686">
        <v>2006</v>
      </c>
      <c r="C686" t="s">
        <v>20</v>
      </c>
      <c r="D686" t="s">
        <v>19</v>
      </c>
      <c r="E686">
        <v>24</v>
      </c>
      <c r="F686">
        <v>100</v>
      </c>
      <c r="G686">
        <v>22.492633662475502</v>
      </c>
      <c r="H686">
        <v>4.4000000000000004</v>
      </c>
      <c r="J686" s="340" t="str">
        <f t="shared" si="62"/>
        <v>2009MaleNon-Maori193</v>
      </c>
      <c r="K686">
        <v>2009</v>
      </c>
      <c r="L686" t="s">
        <v>20</v>
      </c>
      <c r="M686" t="s">
        <v>19</v>
      </c>
      <c r="N686">
        <v>19</v>
      </c>
      <c r="O686">
        <v>3</v>
      </c>
      <c r="P686">
        <v>54</v>
      </c>
      <c r="Q686">
        <v>14.067320582897301</v>
      </c>
      <c r="R686">
        <v>3.8</v>
      </c>
      <c r="T686" s="340" t="str">
        <f t="shared" si="63"/>
        <v>1999AllSexMaori22Other</v>
      </c>
      <c r="U686">
        <v>1999</v>
      </c>
      <c r="V686" t="s">
        <v>17</v>
      </c>
      <c r="W686" t="s">
        <v>18</v>
      </c>
      <c r="X686">
        <v>22</v>
      </c>
      <c r="Y686" t="s">
        <v>45</v>
      </c>
      <c r="Z686">
        <v>1</v>
      </c>
      <c r="AA686">
        <v>33</v>
      </c>
      <c r="AB686">
        <v>3</v>
      </c>
    </row>
    <row r="687" spans="1:28">
      <c r="A687" t="str">
        <f t="shared" si="61"/>
        <v>2006MaleNon-Maori25</v>
      </c>
      <c r="B687">
        <v>2006</v>
      </c>
      <c r="C687" t="s">
        <v>20</v>
      </c>
      <c r="D687" t="s">
        <v>19</v>
      </c>
      <c r="E687">
        <v>25</v>
      </c>
      <c r="F687">
        <v>33</v>
      </c>
      <c r="G687">
        <v>15.1933701657459</v>
      </c>
      <c r="H687">
        <v>5.2</v>
      </c>
      <c r="J687" s="340" t="str">
        <f t="shared" si="62"/>
        <v>2009MaleNon-Maori194</v>
      </c>
      <c r="K687">
        <v>2009</v>
      </c>
      <c r="L687" t="s">
        <v>20</v>
      </c>
      <c r="M687" t="s">
        <v>19</v>
      </c>
      <c r="N687">
        <v>19</v>
      </c>
      <c r="O687">
        <v>4</v>
      </c>
      <c r="P687">
        <v>84</v>
      </c>
      <c r="Q687">
        <v>23.035740658921998</v>
      </c>
      <c r="R687">
        <v>4.9000000000000004</v>
      </c>
      <c r="T687" s="340" t="str">
        <f t="shared" si="63"/>
        <v>1999AllSexMaori23Other</v>
      </c>
      <c r="U687">
        <v>1999</v>
      </c>
      <c r="V687" t="s">
        <v>17</v>
      </c>
      <c r="W687" t="s">
        <v>18</v>
      </c>
      <c r="X687">
        <v>23</v>
      </c>
      <c r="Y687" t="s">
        <v>45</v>
      </c>
      <c r="Z687">
        <v>5</v>
      </c>
      <c r="AA687">
        <v>41</v>
      </c>
      <c r="AB687">
        <v>12.2</v>
      </c>
    </row>
    <row r="688" spans="1:28">
      <c r="A688" t="str">
        <f t="shared" si="61"/>
        <v>2007AllSexAllEth21</v>
      </c>
      <c r="B688">
        <v>2007</v>
      </c>
      <c r="C688" t="s">
        <v>17</v>
      </c>
      <c r="D688" t="s">
        <v>27</v>
      </c>
      <c r="E688">
        <v>21</v>
      </c>
      <c r="F688">
        <v>2</v>
      </c>
      <c r="G688">
        <v>0.224403927068724</v>
      </c>
      <c r="H688">
        <v>0.3</v>
      </c>
      <c r="J688" s="340" t="str">
        <f t="shared" si="62"/>
        <v>2009MaleNon-Maori195</v>
      </c>
      <c r="K688">
        <v>2009</v>
      </c>
      <c r="L688" t="s">
        <v>20</v>
      </c>
      <c r="M688" t="s">
        <v>19</v>
      </c>
      <c r="N688">
        <v>19</v>
      </c>
      <c r="O688">
        <v>5</v>
      </c>
      <c r="P688">
        <v>73</v>
      </c>
      <c r="Q688">
        <v>25.3542292212984</v>
      </c>
      <c r="R688">
        <v>5.8</v>
      </c>
      <c r="T688" s="340" t="str">
        <f t="shared" si="63"/>
        <v>1999AllSexMaori22Poisoning by gases and vapours</v>
      </c>
      <c r="U688">
        <v>1999</v>
      </c>
      <c r="V688" t="s">
        <v>17</v>
      </c>
      <c r="W688" t="s">
        <v>18</v>
      </c>
      <c r="X688">
        <v>22</v>
      </c>
      <c r="Y688" t="s">
        <v>46</v>
      </c>
      <c r="Z688">
        <v>2</v>
      </c>
      <c r="AA688">
        <v>33</v>
      </c>
      <c r="AB688">
        <v>6.1</v>
      </c>
    </row>
    <row r="689" spans="1:28">
      <c r="A689" t="str">
        <f t="shared" si="61"/>
        <v>2007AllSexAllEth22</v>
      </c>
      <c r="B689">
        <v>2007</v>
      </c>
      <c r="C689" t="s">
        <v>17</v>
      </c>
      <c r="D689" t="s">
        <v>27</v>
      </c>
      <c r="E689">
        <v>22</v>
      </c>
      <c r="F689">
        <v>94</v>
      </c>
      <c r="G689">
        <v>15.499274502044599</v>
      </c>
      <c r="H689">
        <v>3.1</v>
      </c>
      <c r="J689" s="340" t="str">
        <f t="shared" si="62"/>
        <v>2010MaleNon-Maori191</v>
      </c>
      <c r="K689">
        <v>2010</v>
      </c>
      <c r="L689" t="s">
        <v>20</v>
      </c>
      <c r="M689" t="s">
        <v>19</v>
      </c>
      <c r="N689">
        <v>19</v>
      </c>
      <c r="O689">
        <v>1</v>
      </c>
      <c r="P689">
        <v>59</v>
      </c>
      <c r="Q689">
        <v>14.654977861938701</v>
      </c>
      <c r="R689">
        <v>3.7</v>
      </c>
      <c r="T689" s="340" t="str">
        <f t="shared" si="63"/>
        <v>1999AllSexMaori23Poisoning by gases and vapours</v>
      </c>
      <c r="U689">
        <v>1999</v>
      </c>
      <c r="V689" t="s">
        <v>17</v>
      </c>
      <c r="W689" t="s">
        <v>18</v>
      </c>
      <c r="X689">
        <v>23</v>
      </c>
      <c r="Y689" t="s">
        <v>46</v>
      </c>
      <c r="Z689">
        <v>3</v>
      </c>
      <c r="AA689">
        <v>41</v>
      </c>
      <c r="AB689">
        <v>7.3</v>
      </c>
    </row>
    <row r="690" spans="1:28">
      <c r="A690" t="str">
        <f t="shared" si="61"/>
        <v>2007AllSexAllEth23</v>
      </c>
      <c r="B690">
        <v>2007</v>
      </c>
      <c r="C690" t="s">
        <v>17</v>
      </c>
      <c r="D690" t="s">
        <v>27</v>
      </c>
      <c r="E690">
        <v>23</v>
      </c>
      <c r="F690">
        <v>213</v>
      </c>
      <c r="G690">
        <v>18.0761233928799</v>
      </c>
      <c r="H690">
        <v>2.4</v>
      </c>
      <c r="J690" s="340" t="str">
        <f t="shared" si="62"/>
        <v>2010MaleNon-Maori192</v>
      </c>
      <c r="K690">
        <v>2010</v>
      </c>
      <c r="L690" t="s">
        <v>20</v>
      </c>
      <c r="M690" t="s">
        <v>19</v>
      </c>
      <c r="N690">
        <v>19</v>
      </c>
      <c r="O690">
        <v>2</v>
      </c>
      <c r="P690">
        <v>53</v>
      </c>
      <c r="Q690">
        <v>11.613285118140499</v>
      </c>
      <c r="R690">
        <v>3.1</v>
      </c>
      <c r="T690" s="340" t="str">
        <f t="shared" si="63"/>
        <v>1999AllSexMaori22Poisoning by solids and liquids</v>
      </c>
      <c r="U690">
        <v>1999</v>
      </c>
      <c r="V690" t="s">
        <v>17</v>
      </c>
      <c r="W690" t="s">
        <v>18</v>
      </c>
      <c r="X690">
        <v>22</v>
      </c>
      <c r="Y690" t="s">
        <v>47</v>
      </c>
      <c r="Z690">
        <v>1</v>
      </c>
      <c r="AA690">
        <v>33</v>
      </c>
      <c r="AB690">
        <v>3</v>
      </c>
    </row>
    <row r="691" spans="1:28">
      <c r="A691" t="str">
        <f t="shared" si="61"/>
        <v>2007AllSexAllEth24</v>
      </c>
      <c r="B691">
        <v>2007</v>
      </c>
      <c r="C691" t="s">
        <v>17</v>
      </c>
      <c r="D691" t="s">
        <v>27</v>
      </c>
      <c r="E691">
        <v>24</v>
      </c>
      <c r="F691">
        <v>142</v>
      </c>
      <c r="G691">
        <v>13.8509559110417</v>
      </c>
      <c r="H691">
        <v>2.2999999999999998</v>
      </c>
      <c r="J691" s="340" t="str">
        <f t="shared" si="62"/>
        <v>2010MaleNon-Maori193</v>
      </c>
      <c r="K691">
        <v>2010</v>
      </c>
      <c r="L691" t="s">
        <v>20</v>
      </c>
      <c r="M691" t="s">
        <v>19</v>
      </c>
      <c r="N691">
        <v>19</v>
      </c>
      <c r="O691">
        <v>3</v>
      </c>
      <c r="P691">
        <v>65</v>
      </c>
      <c r="Q691">
        <v>16.304602303714901</v>
      </c>
      <c r="R691">
        <v>4</v>
      </c>
      <c r="T691" s="340" t="str">
        <f t="shared" si="63"/>
        <v>1999AllSexMaori23Poisoning by solids and liquids</v>
      </c>
      <c r="U691">
        <v>1999</v>
      </c>
      <c r="V691" t="s">
        <v>17</v>
      </c>
      <c r="W691" t="s">
        <v>18</v>
      </c>
      <c r="X691">
        <v>23</v>
      </c>
      <c r="Y691" t="s">
        <v>47</v>
      </c>
      <c r="Z691">
        <v>3</v>
      </c>
      <c r="AA691">
        <v>41</v>
      </c>
      <c r="AB691">
        <v>7.3</v>
      </c>
    </row>
    <row r="692" spans="1:28">
      <c r="A692" t="str">
        <f t="shared" si="61"/>
        <v>2007AllSexAllEth25</v>
      </c>
      <c r="B692">
        <v>2007</v>
      </c>
      <c r="C692" t="s">
        <v>17</v>
      </c>
      <c r="D692" t="s">
        <v>27</v>
      </c>
      <c r="E692">
        <v>25</v>
      </c>
      <c r="F692">
        <v>50</v>
      </c>
      <c r="G692">
        <v>9.5254424568021197</v>
      </c>
      <c r="H692">
        <v>2.6</v>
      </c>
      <c r="J692" s="340" t="str">
        <f t="shared" si="62"/>
        <v>2010MaleNon-Maori194</v>
      </c>
      <c r="K692">
        <v>2010</v>
      </c>
      <c r="L692" t="s">
        <v>20</v>
      </c>
      <c r="M692" t="s">
        <v>19</v>
      </c>
      <c r="N692">
        <v>19</v>
      </c>
      <c r="O692">
        <v>4</v>
      </c>
      <c r="P692">
        <v>74</v>
      </c>
      <c r="Q692">
        <v>19.382440981287999</v>
      </c>
      <c r="R692">
        <v>4.4000000000000004</v>
      </c>
      <c r="T692" s="340" t="str">
        <f t="shared" si="63"/>
        <v>1999AllSexMaori24Poisoning by solids and liquids</v>
      </c>
      <c r="U692">
        <v>1999</v>
      </c>
      <c r="V692" t="s">
        <v>17</v>
      </c>
      <c r="W692" t="s">
        <v>18</v>
      </c>
      <c r="X692">
        <v>24</v>
      </c>
      <c r="Y692" t="s">
        <v>47</v>
      </c>
      <c r="Z692">
        <v>1</v>
      </c>
      <c r="AA692">
        <v>1</v>
      </c>
      <c r="AB692">
        <v>100</v>
      </c>
    </row>
    <row r="693" spans="1:28">
      <c r="A693" t="str">
        <f t="shared" si="61"/>
        <v>2007AllSexMaori21</v>
      </c>
      <c r="B693">
        <v>2007</v>
      </c>
      <c r="C693" t="s">
        <v>17</v>
      </c>
      <c r="D693" t="s">
        <v>18</v>
      </c>
      <c r="E693">
        <v>21</v>
      </c>
      <c r="F693">
        <v>1</v>
      </c>
      <c r="G693">
        <v>0.45764495904077601</v>
      </c>
      <c r="H693">
        <v>0.9</v>
      </c>
      <c r="J693" s="340" t="str">
        <f t="shared" si="62"/>
        <v>2010MaleNon-Maori195</v>
      </c>
      <c r="K693">
        <v>2010</v>
      </c>
      <c r="L693" t="s">
        <v>20</v>
      </c>
      <c r="M693" t="s">
        <v>19</v>
      </c>
      <c r="N693">
        <v>19</v>
      </c>
      <c r="O693">
        <v>5</v>
      </c>
      <c r="P693">
        <v>50</v>
      </c>
      <c r="Q693">
        <v>17.686372073144199</v>
      </c>
      <c r="R693">
        <v>4.9000000000000004</v>
      </c>
      <c r="T693" s="340" t="str">
        <f t="shared" si="63"/>
        <v>1999AllSexNon-Maori22Firearms and explosives</v>
      </c>
      <c r="U693">
        <v>1999</v>
      </c>
      <c r="V693" t="s">
        <v>17</v>
      </c>
      <c r="W693" t="s">
        <v>19</v>
      </c>
      <c r="X693">
        <v>22</v>
      </c>
      <c r="Y693" t="s">
        <v>42</v>
      </c>
      <c r="Z693">
        <v>4</v>
      </c>
      <c r="AA693">
        <v>86</v>
      </c>
      <c r="AB693">
        <v>4.7</v>
      </c>
    </row>
    <row r="694" spans="1:28">
      <c r="A694" t="str">
        <f t="shared" si="61"/>
        <v>2007AllSexMaori22</v>
      </c>
      <c r="B694">
        <v>2007</v>
      </c>
      <c r="C694" t="s">
        <v>17</v>
      </c>
      <c r="D694" t="s">
        <v>18</v>
      </c>
      <c r="E694">
        <v>22</v>
      </c>
      <c r="F694">
        <v>33</v>
      </c>
      <c r="G694">
        <v>27.961362480935399</v>
      </c>
      <c r="H694">
        <v>9.5</v>
      </c>
      <c r="J694" s="340" t="str">
        <f t="shared" si="62"/>
        <v>2011MaleNon-Maori191</v>
      </c>
      <c r="K694">
        <v>2011</v>
      </c>
      <c r="L694" t="s">
        <v>20</v>
      </c>
      <c r="M694" t="s">
        <v>19</v>
      </c>
      <c r="N694">
        <v>19</v>
      </c>
      <c r="O694">
        <v>1</v>
      </c>
      <c r="P694">
        <v>51</v>
      </c>
      <c r="Q694">
        <v>12.4017455819814</v>
      </c>
      <c r="R694">
        <v>3.4</v>
      </c>
      <c r="T694" s="340" t="str">
        <f t="shared" si="63"/>
        <v>1999AllSexNon-Maori23Firearms and explosives</v>
      </c>
      <c r="U694">
        <v>1999</v>
      </c>
      <c r="V694" t="s">
        <v>17</v>
      </c>
      <c r="W694" t="s">
        <v>19</v>
      </c>
      <c r="X694">
        <v>23</v>
      </c>
      <c r="Y694" t="s">
        <v>42</v>
      </c>
      <c r="Z694">
        <v>20</v>
      </c>
      <c r="AA694">
        <v>194</v>
      </c>
      <c r="AB694">
        <v>10.3</v>
      </c>
    </row>
    <row r="695" spans="1:28">
      <c r="A695" t="str">
        <f t="shared" si="61"/>
        <v>2007AllSexMaori23</v>
      </c>
      <c r="B695">
        <v>2007</v>
      </c>
      <c r="C695" t="s">
        <v>17</v>
      </c>
      <c r="D695" t="s">
        <v>18</v>
      </c>
      <c r="E695">
        <v>23</v>
      </c>
      <c r="F695">
        <v>50</v>
      </c>
      <c r="G695">
        <v>29.570051451889501</v>
      </c>
      <c r="H695">
        <v>8.1999999999999993</v>
      </c>
      <c r="J695" s="340" t="str">
        <f t="shared" si="62"/>
        <v>2011MaleNon-Maori192</v>
      </c>
      <c r="K695">
        <v>2011</v>
      </c>
      <c r="L695" t="s">
        <v>20</v>
      </c>
      <c r="M695" t="s">
        <v>19</v>
      </c>
      <c r="N695">
        <v>19</v>
      </c>
      <c r="O695">
        <v>2</v>
      </c>
      <c r="P695">
        <v>48</v>
      </c>
      <c r="Q695">
        <v>12.1780894972156</v>
      </c>
      <c r="R695">
        <v>3.4</v>
      </c>
      <c r="T695" s="340" t="str">
        <f t="shared" si="63"/>
        <v>1999AllSexNon-Maori24Firearms and explosives</v>
      </c>
      <c r="U695">
        <v>1999</v>
      </c>
      <c r="V695" t="s">
        <v>17</v>
      </c>
      <c r="W695" t="s">
        <v>19</v>
      </c>
      <c r="X695">
        <v>24</v>
      </c>
      <c r="Y695" t="s">
        <v>42</v>
      </c>
      <c r="Z695">
        <v>13</v>
      </c>
      <c r="AA695">
        <v>103</v>
      </c>
      <c r="AB695">
        <v>12.6</v>
      </c>
    </row>
    <row r="696" spans="1:28">
      <c r="A696" t="str">
        <f t="shared" si="61"/>
        <v>2007AllSexMaori24</v>
      </c>
      <c r="B696">
        <v>2007</v>
      </c>
      <c r="C696" t="s">
        <v>17</v>
      </c>
      <c r="D696" t="s">
        <v>18</v>
      </c>
      <c r="E696">
        <v>24</v>
      </c>
      <c r="F696">
        <v>12</v>
      </c>
      <c r="G696">
        <v>11.773940345368899</v>
      </c>
      <c r="H696">
        <v>6.7</v>
      </c>
      <c r="J696" s="340" t="str">
        <f t="shared" si="62"/>
        <v>2011MaleNon-Maori193</v>
      </c>
      <c r="K696">
        <v>2011</v>
      </c>
      <c r="L696" t="s">
        <v>20</v>
      </c>
      <c r="M696" t="s">
        <v>19</v>
      </c>
      <c r="N696">
        <v>19</v>
      </c>
      <c r="O696">
        <v>3</v>
      </c>
      <c r="P696">
        <v>77</v>
      </c>
      <c r="Q696">
        <v>18.497443643090701</v>
      </c>
      <c r="R696">
        <v>4.0999999999999996</v>
      </c>
      <c r="T696" s="340" t="str">
        <f t="shared" si="63"/>
        <v>1999AllSexNon-Maori25Firearms and explosives</v>
      </c>
      <c r="U696">
        <v>1999</v>
      </c>
      <c r="V696" t="s">
        <v>17</v>
      </c>
      <c r="W696" t="s">
        <v>19</v>
      </c>
      <c r="X696">
        <v>25</v>
      </c>
      <c r="Y696" t="s">
        <v>42</v>
      </c>
      <c r="Z696">
        <v>8</v>
      </c>
      <c r="AA696">
        <v>52</v>
      </c>
      <c r="AB696">
        <v>15.4</v>
      </c>
    </row>
    <row r="697" spans="1:28">
      <c r="A697" t="str">
        <f t="shared" si="61"/>
        <v>2007AllSexMaori25</v>
      </c>
      <c r="B697">
        <v>2007</v>
      </c>
      <c r="C697" t="s">
        <v>17</v>
      </c>
      <c r="D697" t="s">
        <v>18</v>
      </c>
      <c r="E697">
        <v>25</v>
      </c>
      <c r="F697">
        <v>1</v>
      </c>
      <c r="G697">
        <v>3.7188545927854202</v>
      </c>
      <c r="H697">
        <v>7.3</v>
      </c>
      <c r="J697" s="340" t="str">
        <f t="shared" si="62"/>
        <v>2011MaleNon-Maori194</v>
      </c>
      <c r="K697">
        <v>2011</v>
      </c>
      <c r="L697" t="s">
        <v>20</v>
      </c>
      <c r="M697" t="s">
        <v>19</v>
      </c>
      <c r="N697">
        <v>19</v>
      </c>
      <c r="O697">
        <v>4</v>
      </c>
      <c r="P697">
        <v>52</v>
      </c>
      <c r="Q697">
        <v>14.0731509914225</v>
      </c>
      <c r="R697">
        <v>3.8</v>
      </c>
      <c r="T697" s="340" t="str">
        <f t="shared" si="63"/>
        <v>1999AllSexNon-Maori21Hanging, strangulation and suffocation</v>
      </c>
      <c r="U697">
        <v>1999</v>
      </c>
      <c r="V697" t="s">
        <v>17</v>
      </c>
      <c r="W697" t="s">
        <v>19</v>
      </c>
      <c r="X697">
        <v>21</v>
      </c>
      <c r="Y697" t="s">
        <v>43</v>
      </c>
      <c r="Z697">
        <v>2</v>
      </c>
      <c r="AA697">
        <v>2</v>
      </c>
      <c r="AB697">
        <v>100</v>
      </c>
    </row>
    <row r="698" spans="1:28">
      <c r="A698" t="str">
        <f t="shared" si="61"/>
        <v>2007AllSexNon-Maori21</v>
      </c>
      <c r="B698">
        <v>2007</v>
      </c>
      <c r="C698" t="s">
        <v>17</v>
      </c>
      <c r="D698" t="s">
        <v>19</v>
      </c>
      <c r="E698">
        <v>21</v>
      </c>
      <c r="F698">
        <v>1</v>
      </c>
      <c r="G698">
        <v>0.148645836430122</v>
      </c>
      <c r="H698">
        <v>0.3</v>
      </c>
      <c r="J698" s="340" t="str">
        <f t="shared" si="62"/>
        <v>2011MaleNon-Maori195</v>
      </c>
      <c r="K698">
        <v>2011</v>
      </c>
      <c r="L698" t="s">
        <v>20</v>
      </c>
      <c r="M698" t="s">
        <v>19</v>
      </c>
      <c r="N698">
        <v>19</v>
      </c>
      <c r="O698">
        <v>5</v>
      </c>
      <c r="P698">
        <v>55</v>
      </c>
      <c r="Q698">
        <v>18.156906881502199</v>
      </c>
      <c r="R698">
        <v>4.8</v>
      </c>
      <c r="T698" s="340" t="str">
        <f t="shared" si="63"/>
        <v>1999AllSexNon-Maori22Hanging, strangulation and suffocation</v>
      </c>
      <c r="U698">
        <v>1999</v>
      </c>
      <c r="V698" t="s">
        <v>17</v>
      </c>
      <c r="W698" t="s">
        <v>19</v>
      </c>
      <c r="X698">
        <v>22</v>
      </c>
      <c r="Y698" t="s">
        <v>43</v>
      </c>
      <c r="Z698">
        <v>55</v>
      </c>
      <c r="AA698">
        <v>86</v>
      </c>
      <c r="AB698">
        <v>64</v>
      </c>
    </row>
    <row r="699" spans="1:28">
      <c r="A699" t="str">
        <f t="shared" si="61"/>
        <v>2007AllSexNon-Maori22</v>
      </c>
      <c r="B699">
        <v>2007</v>
      </c>
      <c r="C699" t="s">
        <v>17</v>
      </c>
      <c r="D699" t="s">
        <v>19</v>
      </c>
      <c r="E699">
        <v>22</v>
      </c>
      <c r="F699">
        <v>61</v>
      </c>
      <c r="G699">
        <v>12.488228309380499</v>
      </c>
      <c r="H699">
        <v>3.1</v>
      </c>
      <c r="J699" s="340" t="str">
        <f t="shared" si="62"/>
        <v>2012MaleNon-Maori191</v>
      </c>
      <c r="K699">
        <v>2012</v>
      </c>
      <c r="L699" t="s">
        <v>20</v>
      </c>
      <c r="M699" t="s">
        <v>19</v>
      </c>
      <c r="N699">
        <v>19</v>
      </c>
      <c r="O699">
        <v>1</v>
      </c>
      <c r="P699">
        <v>42</v>
      </c>
      <c r="Q699">
        <v>9.9663542055824799</v>
      </c>
      <c r="R699">
        <v>3</v>
      </c>
      <c r="T699" s="340" t="str">
        <f t="shared" si="63"/>
        <v>1999AllSexNon-Maori23Hanging, strangulation and suffocation</v>
      </c>
      <c r="U699">
        <v>1999</v>
      </c>
      <c r="V699" t="s">
        <v>17</v>
      </c>
      <c r="W699" t="s">
        <v>19</v>
      </c>
      <c r="X699">
        <v>23</v>
      </c>
      <c r="Y699" t="s">
        <v>43</v>
      </c>
      <c r="Z699">
        <v>67</v>
      </c>
      <c r="AA699">
        <v>194</v>
      </c>
      <c r="AB699">
        <v>34.5</v>
      </c>
    </row>
    <row r="700" spans="1:28">
      <c r="A700" t="str">
        <f t="shared" si="61"/>
        <v>2007AllSexNon-Maori23</v>
      </c>
      <c r="B700">
        <v>2007</v>
      </c>
      <c r="C700" t="s">
        <v>17</v>
      </c>
      <c r="D700" t="s">
        <v>19</v>
      </c>
      <c r="E700">
        <v>23</v>
      </c>
      <c r="F700">
        <v>163</v>
      </c>
      <c r="G700">
        <v>16.1504468620574</v>
      </c>
      <c r="H700">
        <v>2.5</v>
      </c>
      <c r="J700" s="340" t="str">
        <f t="shared" si="62"/>
        <v>2012MaleNon-Maori192</v>
      </c>
      <c r="K700">
        <v>2012</v>
      </c>
      <c r="L700" t="s">
        <v>20</v>
      </c>
      <c r="M700" t="s">
        <v>19</v>
      </c>
      <c r="N700">
        <v>19</v>
      </c>
      <c r="O700">
        <v>2</v>
      </c>
      <c r="P700">
        <v>56</v>
      </c>
      <c r="Q700">
        <v>13.123524499254399</v>
      </c>
      <c r="R700">
        <v>3.4</v>
      </c>
      <c r="T700" s="340" t="str">
        <f t="shared" si="63"/>
        <v>1999AllSexNon-Maori24Hanging, strangulation and suffocation</v>
      </c>
      <c r="U700">
        <v>1999</v>
      </c>
      <c r="V700" t="s">
        <v>17</v>
      </c>
      <c r="W700" t="s">
        <v>19</v>
      </c>
      <c r="X700">
        <v>24</v>
      </c>
      <c r="Y700" t="s">
        <v>43</v>
      </c>
      <c r="Z700">
        <v>40</v>
      </c>
      <c r="AA700">
        <v>103</v>
      </c>
      <c r="AB700">
        <v>38.799999999999997</v>
      </c>
    </row>
    <row r="701" spans="1:28">
      <c r="A701" t="str">
        <f t="shared" si="61"/>
        <v>2007AllSexNon-Maori24</v>
      </c>
      <c r="B701">
        <v>2007</v>
      </c>
      <c r="C701" t="s">
        <v>17</v>
      </c>
      <c r="D701" t="s">
        <v>19</v>
      </c>
      <c r="E701">
        <v>24</v>
      </c>
      <c r="F701">
        <v>130</v>
      </c>
      <c r="G701">
        <v>14.0802356814834</v>
      </c>
      <c r="H701">
        <v>2.4</v>
      </c>
      <c r="J701" s="340" t="str">
        <f t="shared" si="62"/>
        <v>2012MaleNon-Maori193</v>
      </c>
      <c r="K701">
        <v>2012</v>
      </c>
      <c r="L701" t="s">
        <v>20</v>
      </c>
      <c r="M701" t="s">
        <v>19</v>
      </c>
      <c r="N701">
        <v>19</v>
      </c>
      <c r="O701">
        <v>3</v>
      </c>
      <c r="P701">
        <v>81</v>
      </c>
      <c r="Q701">
        <v>20.2589607903159</v>
      </c>
      <c r="R701">
        <v>4.4000000000000004</v>
      </c>
      <c r="T701" s="340" t="str">
        <f t="shared" si="63"/>
        <v>1999AllSexNon-Maori25Hanging, strangulation and suffocation</v>
      </c>
      <c r="U701">
        <v>1999</v>
      </c>
      <c r="V701" t="s">
        <v>17</v>
      </c>
      <c r="W701" t="s">
        <v>19</v>
      </c>
      <c r="X701">
        <v>25</v>
      </c>
      <c r="Y701" t="s">
        <v>43</v>
      </c>
      <c r="Z701">
        <v>19</v>
      </c>
      <c r="AA701">
        <v>52</v>
      </c>
      <c r="AB701">
        <v>36.5</v>
      </c>
    </row>
    <row r="702" spans="1:28">
      <c r="A702" t="str">
        <f t="shared" si="61"/>
        <v>2007AllSexNon-Maori25</v>
      </c>
      <c r="B702">
        <v>2007</v>
      </c>
      <c r="C702" t="s">
        <v>17</v>
      </c>
      <c r="D702" t="s">
        <v>19</v>
      </c>
      <c r="E702">
        <v>25</v>
      </c>
      <c r="F702">
        <v>49</v>
      </c>
      <c r="G702">
        <v>9.8389622906710592</v>
      </c>
      <c r="H702">
        <v>2.8</v>
      </c>
      <c r="J702" s="340" t="str">
        <f t="shared" si="62"/>
        <v>2012MaleNon-Maori194</v>
      </c>
      <c r="K702">
        <v>2012</v>
      </c>
      <c r="L702" t="s">
        <v>20</v>
      </c>
      <c r="M702" t="s">
        <v>19</v>
      </c>
      <c r="N702">
        <v>19</v>
      </c>
      <c r="O702">
        <v>4</v>
      </c>
      <c r="P702">
        <v>73</v>
      </c>
      <c r="Q702">
        <v>20.290563770475998</v>
      </c>
      <c r="R702">
        <v>4.7</v>
      </c>
      <c r="T702" s="340" t="str">
        <f t="shared" si="63"/>
        <v>1999AllSexNon-Maori22Jumping from a high place</v>
      </c>
      <c r="U702">
        <v>1999</v>
      </c>
      <c r="V702" t="s">
        <v>17</v>
      </c>
      <c r="W702" t="s">
        <v>19</v>
      </c>
      <c r="X702">
        <v>22</v>
      </c>
      <c r="Y702" t="s">
        <v>44</v>
      </c>
      <c r="Z702">
        <v>7</v>
      </c>
      <c r="AA702">
        <v>86</v>
      </c>
      <c r="AB702">
        <v>8.1</v>
      </c>
    </row>
    <row r="703" spans="1:28">
      <c r="A703" t="str">
        <f t="shared" si="61"/>
        <v>2007FemaleAllEth21</v>
      </c>
      <c r="B703">
        <v>2007</v>
      </c>
      <c r="C703" t="s">
        <v>8</v>
      </c>
      <c r="D703" t="s">
        <v>27</v>
      </c>
      <c r="E703">
        <v>21</v>
      </c>
      <c r="F703">
        <v>1</v>
      </c>
      <c r="G703">
        <v>0.229964355524894</v>
      </c>
      <c r="H703">
        <v>0.5</v>
      </c>
      <c r="J703" s="340" t="str">
        <f t="shared" si="62"/>
        <v>2012MaleNon-Maori195</v>
      </c>
      <c r="K703">
        <v>2012</v>
      </c>
      <c r="L703" t="s">
        <v>20</v>
      </c>
      <c r="M703" t="s">
        <v>19</v>
      </c>
      <c r="N703">
        <v>19</v>
      </c>
      <c r="O703">
        <v>5</v>
      </c>
      <c r="P703">
        <v>60</v>
      </c>
      <c r="Q703">
        <v>19.779717128426199</v>
      </c>
      <c r="R703">
        <v>5</v>
      </c>
      <c r="T703" s="340" t="str">
        <f t="shared" si="63"/>
        <v>1999AllSexNon-Maori23Jumping from a high place</v>
      </c>
      <c r="U703">
        <v>1999</v>
      </c>
      <c r="V703" t="s">
        <v>17</v>
      </c>
      <c r="W703" t="s">
        <v>19</v>
      </c>
      <c r="X703">
        <v>23</v>
      </c>
      <c r="Y703" t="s">
        <v>44</v>
      </c>
      <c r="Z703">
        <v>4</v>
      </c>
      <c r="AA703">
        <v>194</v>
      </c>
      <c r="AB703">
        <v>2.1</v>
      </c>
    </row>
    <row r="704" spans="1:28">
      <c r="A704" t="str">
        <f t="shared" si="61"/>
        <v>2007FemaleAllEth22</v>
      </c>
      <c r="B704">
        <v>2007</v>
      </c>
      <c r="C704" t="s">
        <v>8</v>
      </c>
      <c r="D704" t="s">
        <v>27</v>
      </c>
      <c r="E704">
        <v>22</v>
      </c>
      <c r="F704">
        <v>23</v>
      </c>
      <c r="G704">
        <v>7.64119601328904</v>
      </c>
      <c r="H704">
        <v>3.1</v>
      </c>
      <c r="J704" s="340" t="str">
        <f t="shared" si="62"/>
        <v>2013MaleNon-Maori191</v>
      </c>
      <c r="K704">
        <v>2013</v>
      </c>
      <c r="L704" t="s">
        <v>20</v>
      </c>
      <c r="M704" t="s">
        <v>19</v>
      </c>
      <c r="N704">
        <v>19</v>
      </c>
      <c r="O704">
        <v>1</v>
      </c>
      <c r="P704">
        <v>51</v>
      </c>
      <c r="Q704">
        <v>10.2027962723015</v>
      </c>
      <c r="R704">
        <v>2.8</v>
      </c>
      <c r="T704" s="340" t="str">
        <f t="shared" si="63"/>
        <v>1999AllSexNon-Maori24Jumping from a high place</v>
      </c>
      <c r="U704">
        <v>1999</v>
      </c>
      <c r="V704" t="s">
        <v>17</v>
      </c>
      <c r="W704" t="s">
        <v>19</v>
      </c>
      <c r="X704">
        <v>24</v>
      </c>
      <c r="Y704" t="s">
        <v>44</v>
      </c>
      <c r="Z704">
        <v>2</v>
      </c>
      <c r="AA704">
        <v>103</v>
      </c>
      <c r="AB704">
        <v>1.9</v>
      </c>
    </row>
    <row r="705" spans="1:28">
      <c r="A705" t="str">
        <f t="shared" si="61"/>
        <v>2007FemaleAllEth23</v>
      </c>
      <c r="B705">
        <v>2007</v>
      </c>
      <c r="C705" t="s">
        <v>8</v>
      </c>
      <c r="D705" t="s">
        <v>27</v>
      </c>
      <c r="E705">
        <v>23</v>
      </c>
      <c r="F705">
        <v>48</v>
      </c>
      <c r="G705">
        <v>7.8448036347590202</v>
      </c>
      <c r="H705">
        <v>2.2000000000000002</v>
      </c>
      <c r="J705" s="340" t="str">
        <f t="shared" si="62"/>
        <v>2013MaleNon-Maori192</v>
      </c>
      <c r="K705">
        <v>2013</v>
      </c>
      <c r="L705" t="s">
        <v>20</v>
      </c>
      <c r="M705" t="s">
        <v>19</v>
      </c>
      <c r="N705">
        <v>19</v>
      </c>
      <c r="O705">
        <v>2</v>
      </c>
      <c r="P705">
        <v>49</v>
      </c>
      <c r="Q705">
        <v>10.8217030374452</v>
      </c>
      <c r="R705">
        <v>3</v>
      </c>
      <c r="T705" s="340" t="str">
        <f t="shared" si="63"/>
        <v>1999AllSexNon-Maori25Jumping from a high place</v>
      </c>
      <c r="U705">
        <v>1999</v>
      </c>
      <c r="V705" t="s">
        <v>17</v>
      </c>
      <c r="W705" t="s">
        <v>19</v>
      </c>
      <c r="X705">
        <v>25</v>
      </c>
      <c r="Y705" t="s">
        <v>44</v>
      </c>
      <c r="Z705">
        <v>2</v>
      </c>
      <c r="AA705">
        <v>52</v>
      </c>
      <c r="AB705">
        <v>3.8</v>
      </c>
    </row>
    <row r="706" spans="1:28">
      <c r="A706" t="str">
        <f t="shared" si="61"/>
        <v>2007FemaleAllEth24</v>
      </c>
      <c r="B706">
        <v>2007</v>
      </c>
      <c r="C706" t="s">
        <v>8</v>
      </c>
      <c r="D706" t="s">
        <v>27</v>
      </c>
      <c r="E706">
        <v>24</v>
      </c>
      <c r="F706">
        <v>40</v>
      </c>
      <c r="G706">
        <v>7.6637161359543198</v>
      </c>
      <c r="H706">
        <v>2.4</v>
      </c>
      <c r="J706" s="340" t="str">
        <f t="shared" si="62"/>
        <v>2013MaleNon-Maori193</v>
      </c>
      <c r="K706">
        <v>2013</v>
      </c>
      <c r="L706" t="s">
        <v>20</v>
      </c>
      <c r="M706" t="s">
        <v>19</v>
      </c>
      <c r="N706">
        <v>19</v>
      </c>
      <c r="O706">
        <v>3</v>
      </c>
      <c r="P706">
        <v>66</v>
      </c>
      <c r="Q706">
        <v>14.5885071239288</v>
      </c>
      <c r="R706">
        <v>3.5</v>
      </c>
      <c r="T706" s="340" t="str">
        <f t="shared" si="63"/>
        <v>1999AllSexNon-Maori22Other</v>
      </c>
      <c r="U706">
        <v>1999</v>
      </c>
      <c r="V706" t="s">
        <v>17</v>
      </c>
      <c r="W706" t="s">
        <v>19</v>
      </c>
      <c r="X706">
        <v>22</v>
      </c>
      <c r="Y706" t="s">
        <v>45</v>
      </c>
      <c r="Z706">
        <v>2</v>
      </c>
      <c r="AA706">
        <v>86</v>
      </c>
      <c r="AB706">
        <v>2.2999999999999998</v>
      </c>
    </row>
    <row r="707" spans="1:28">
      <c r="A707" t="str">
        <f t="shared" si="61"/>
        <v>2007FemaleAllEth25</v>
      </c>
      <c r="B707">
        <v>2007</v>
      </c>
      <c r="C707" t="s">
        <v>8</v>
      </c>
      <c r="D707" t="s">
        <v>27</v>
      </c>
      <c r="E707">
        <v>25</v>
      </c>
      <c r="F707">
        <v>8</v>
      </c>
      <c r="G707">
        <v>2.7696036004846798</v>
      </c>
      <c r="H707">
        <v>1.9</v>
      </c>
      <c r="J707" s="340" t="str">
        <f t="shared" si="62"/>
        <v>2013MaleNon-Maori194</v>
      </c>
      <c r="K707">
        <v>2013</v>
      </c>
      <c r="L707" t="s">
        <v>20</v>
      </c>
      <c r="M707" t="s">
        <v>19</v>
      </c>
      <c r="N707">
        <v>19</v>
      </c>
      <c r="O707">
        <v>4</v>
      </c>
      <c r="P707">
        <v>59</v>
      </c>
      <c r="Q707">
        <v>15.3335084772225</v>
      </c>
      <c r="R707">
        <v>3.9</v>
      </c>
      <c r="T707" s="340" t="str">
        <f t="shared" si="63"/>
        <v>1999AllSexNon-Maori23Other</v>
      </c>
      <c r="U707">
        <v>1999</v>
      </c>
      <c r="V707" t="s">
        <v>17</v>
      </c>
      <c r="W707" t="s">
        <v>19</v>
      </c>
      <c r="X707">
        <v>23</v>
      </c>
      <c r="Y707" t="s">
        <v>45</v>
      </c>
      <c r="Z707">
        <v>4</v>
      </c>
      <c r="AA707">
        <v>194</v>
      </c>
      <c r="AB707">
        <v>2.1</v>
      </c>
    </row>
    <row r="708" spans="1:28">
      <c r="A708" t="str">
        <f t="shared" ref="A708:A771" si="64">B708&amp;C708&amp;D708&amp;E708</f>
        <v>2007FemaleMaori21</v>
      </c>
      <c r="B708">
        <v>2007</v>
      </c>
      <c r="C708" t="s">
        <v>8</v>
      </c>
      <c r="D708" t="s">
        <v>18</v>
      </c>
      <c r="E708">
        <v>21</v>
      </c>
      <c r="F708">
        <v>1</v>
      </c>
      <c r="G708">
        <v>0.93967299379815805</v>
      </c>
      <c r="H708">
        <v>1.8</v>
      </c>
      <c r="J708" s="340" t="str">
        <f t="shared" ref="J708:J771" si="65">K708&amp;L708&amp;M708&amp;N708&amp;O708</f>
        <v>2013MaleNon-Maori195</v>
      </c>
      <c r="K708">
        <v>2013</v>
      </c>
      <c r="L708" t="s">
        <v>20</v>
      </c>
      <c r="M708" t="s">
        <v>19</v>
      </c>
      <c r="N708">
        <v>19</v>
      </c>
      <c r="O708">
        <v>5</v>
      </c>
      <c r="P708">
        <v>56</v>
      </c>
      <c r="Q708">
        <v>18.285314815882401</v>
      </c>
      <c r="R708">
        <v>4.8</v>
      </c>
      <c r="T708" s="340" t="str">
        <f t="shared" si="63"/>
        <v>1999AllSexNon-Maori24Other</v>
      </c>
      <c r="U708">
        <v>1999</v>
      </c>
      <c r="V708" t="s">
        <v>17</v>
      </c>
      <c r="W708" t="s">
        <v>19</v>
      </c>
      <c r="X708">
        <v>24</v>
      </c>
      <c r="Y708" t="s">
        <v>45</v>
      </c>
      <c r="Z708">
        <v>4</v>
      </c>
      <c r="AA708">
        <v>103</v>
      </c>
      <c r="AB708">
        <v>3.9</v>
      </c>
    </row>
    <row r="709" spans="1:28">
      <c r="A709" t="str">
        <f t="shared" si="64"/>
        <v>2007FemaleMaori22</v>
      </c>
      <c r="B709">
        <v>2007</v>
      </c>
      <c r="C709" t="s">
        <v>8</v>
      </c>
      <c r="D709" t="s">
        <v>18</v>
      </c>
      <c r="E709">
        <v>22</v>
      </c>
      <c r="F709">
        <v>10</v>
      </c>
      <c r="G709">
        <v>16.686133822793298</v>
      </c>
      <c r="H709">
        <v>10.3</v>
      </c>
      <c r="J709" s="340" t="str">
        <f t="shared" si="65"/>
        <v>2014MaleNon-Maori191</v>
      </c>
      <c r="K709">
        <v>2014</v>
      </c>
      <c r="L709" t="s">
        <v>20</v>
      </c>
      <c r="M709" t="s">
        <v>19</v>
      </c>
      <c r="N709">
        <v>19</v>
      </c>
      <c r="O709">
        <v>1</v>
      </c>
      <c r="P709">
        <v>44</v>
      </c>
      <c r="Q709">
        <v>9.6850011730459507</v>
      </c>
      <c r="R709">
        <v>2.9</v>
      </c>
      <c r="T709" s="340" t="str">
        <f t="shared" ref="T709:T772" si="66">U709&amp;V709&amp;W709&amp;X709&amp;Y709</f>
        <v>1999AllSexNon-Maori25Other</v>
      </c>
      <c r="U709">
        <v>1999</v>
      </c>
      <c r="V709" t="s">
        <v>17</v>
      </c>
      <c r="W709" t="s">
        <v>19</v>
      </c>
      <c r="X709">
        <v>25</v>
      </c>
      <c r="Y709" t="s">
        <v>45</v>
      </c>
      <c r="Z709">
        <v>1</v>
      </c>
      <c r="AA709">
        <v>52</v>
      </c>
      <c r="AB709">
        <v>1.9</v>
      </c>
    </row>
    <row r="710" spans="1:28">
      <c r="A710" t="str">
        <f t="shared" si="64"/>
        <v>2007FemaleMaori23</v>
      </c>
      <c r="B710">
        <v>2007</v>
      </c>
      <c r="C710" t="s">
        <v>8</v>
      </c>
      <c r="D710" t="s">
        <v>18</v>
      </c>
      <c r="E710">
        <v>23</v>
      </c>
      <c r="F710">
        <v>11</v>
      </c>
      <c r="G710">
        <v>12.280897621971601</v>
      </c>
      <c r="H710">
        <v>7.3</v>
      </c>
      <c r="J710" s="340" t="str">
        <f t="shared" si="65"/>
        <v>2014MaleNon-Maori192</v>
      </c>
      <c r="K710">
        <v>2014</v>
      </c>
      <c r="L710" t="s">
        <v>20</v>
      </c>
      <c r="M710" t="s">
        <v>19</v>
      </c>
      <c r="N710">
        <v>19</v>
      </c>
      <c r="O710">
        <v>2</v>
      </c>
      <c r="P710">
        <v>45</v>
      </c>
      <c r="Q710">
        <v>10.5499614816224</v>
      </c>
      <c r="R710">
        <v>3.1</v>
      </c>
      <c r="T710" s="340" t="str">
        <f t="shared" si="66"/>
        <v>1999AllSexNon-Maori22Poisoning by gases and vapours</v>
      </c>
      <c r="U710">
        <v>1999</v>
      </c>
      <c r="V710" t="s">
        <v>17</v>
      </c>
      <c r="W710" t="s">
        <v>19</v>
      </c>
      <c r="X710">
        <v>22</v>
      </c>
      <c r="Y710" t="s">
        <v>46</v>
      </c>
      <c r="Z710">
        <v>13</v>
      </c>
      <c r="AA710">
        <v>86</v>
      </c>
      <c r="AB710">
        <v>15.1</v>
      </c>
    </row>
    <row r="711" spans="1:28">
      <c r="A711" t="str">
        <f t="shared" si="64"/>
        <v>2007FemaleMaori24</v>
      </c>
      <c r="B711">
        <v>2007</v>
      </c>
      <c r="C711" t="s">
        <v>8</v>
      </c>
      <c r="D711" t="s">
        <v>18</v>
      </c>
      <c r="E711">
        <v>24</v>
      </c>
      <c r="F711">
        <v>1</v>
      </c>
      <c r="G711">
        <v>1.87195806813927</v>
      </c>
      <c r="H711">
        <v>3.7</v>
      </c>
      <c r="J711" s="340" t="str">
        <f t="shared" si="65"/>
        <v>2014MaleNon-Maori193</v>
      </c>
      <c r="K711">
        <v>2014</v>
      </c>
      <c r="L711" t="s">
        <v>20</v>
      </c>
      <c r="M711" t="s">
        <v>19</v>
      </c>
      <c r="N711">
        <v>19</v>
      </c>
      <c r="O711">
        <v>3</v>
      </c>
      <c r="P711">
        <v>56</v>
      </c>
      <c r="Q711">
        <v>13.3888012736669</v>
      </c>
      <c r="R711">
        <v>3.5</v>
      </c>
      <c r="T711" s="340" t="str">
        <f t="shared" si="66"/>
        <v>1999AllSexNon-Maori23Poisoning by gases and vapours</v>
      </c>
      <c r="U711">
        <v>1999</v>
      </c>
      <c r="V711" t="s">
        <v>17</v>
      </c>
      <c r="W711" t="s">
        <v>19</v>
      </c>
      <c r="X711">
        <v>23</v>
      </c>
      <c r="Y711" t="s">
        <v>46</v>
      </c>
      <c r="Z711">
        <v>68</v>
      </c>
      <c r="AA711">
        <v>194</v>
      </c>
      <c r="AB711">
        <v>35.1</v>
      </c>
    </row>
    <row r="712" spans="1:28">
      <c r="A712" t="str">
        <f t="shared" si="64"/>
        <v>2007FemaleMaori25</v>
      </c>
      <c r="B712">
        <v>2007</v>
      </c>
      <c r="C712" t="s">
        <v>8</v>
      </c>
      <c r="D712" t="s">
        <v>18</v>
      </c>
      <c r="E712">
        <v>25</v>
      </c>
      <c r="F712">
        <v>0</v>
      </c>
      <c r="G712">
        <v>0</v>
      </c>
      <c r="J712" s="340" t="str">
        <f t="shared" si="65"/>
        <v>2014MaleNon-Maori194</v>
      </c>
      <c r="K712">
        <v>2014</v>
      </c>
      <c r="L712" t="s">
        <v>20</v>
      </c>
      <c r="M712" t="s">
        <v>19</v>
      </c>
      <c r="N712">
        <v>19</v>
      </c>
      <c r="O712">
        <v>4</v>
      </c>
      <c r="P712">
        <v>78</v>
      </c>
      <c r="Q712">
        <v>19.0524098897973</v>
      </c>
      <c r="R712">
        <v>4.2</v>
      </c>
      <c r="T712" s="340" t="str">
        <f t="shared" si="66"/>
        <v>1999AllSexNon-Maori24Poisoning by gases and vapours</v>
      </c>
      <c r="U712">
        <v>1999</v>
      </c>
      <c r="V712" t="s">
        <v>17</v>
      </c>
      <c r="W712" t="s">
        <v>19</v>
      </c>
      <c r="X712">
        <v>24</v>
      </c>
      <c r="Y712" t="s">
        <v>46</v>
      </c>
      <c r="Z712">
        <v>20</v>
      </c>
      <c r="AA712">
        <v>103</v>
      </c>
      <c r="AB712">
        <v>19.399999999999999</v>
      </c>
    </row>
    <row r="713" spans="1:28">
      <c r="A713" t="str">
        <f t="shared" si="64"/>
        <v>2007FemaleNon-Maori21</v>
      </c>
      <c r="B713">
        <v>2007</v>
      </c>
      <c r="C713" t="s">
        <v>8</v>
      </c>
      <c r="D713" t="s">
        <v>19</v>
      </c>
      <c r="E713">
        <v>21</v>
      </c>
      <c r="F713">
        <v>0</v>
      </c>
      <c r="G713">
        <v>0</v>
      </c>
      <c r="J713" s="340" t="str">
        <f t="shared" si="65"/>
        <v>2014MaleNon-Maori195</v>
      </c>
      <c r="K713">
        <v>2014</v>
      </c>
      <c r="L713" t="s">
        <v>20</v>
      </c>
      <c r="M713" t="s">
        <v>19</v>
      </c>
      <c r="N713">
        <v>19</v>
      </c>
      <c r="O713">
        <v>5</v>
      </c>
      <c r="P713">
        <v>76</v>
      </c>
      <c r="Q713">
        <v>23.7974200374173</v>
      </c>
      <c r="R713">
        <v>5.4</v>
      </c>
      <c r="T713" s="340" t="str">
        <f t="shared" si="66"/>
        <v>1999AllSexNon-Maori25Poisoning by gases and vapours</v>
      </c>
      <c r="U713">
        <v>1999</v>
      </c>
      <c r="V713" t="s">
        <v>17</v>
      </c>
      <c r="W713" t="s">
        <v>19</v>
      </c>
      <c r="X713">
        <v>25</v>
      </c>
      <c r="Y713" t="s">
        <v>46</v>
      </c>
      <c r="Z713">
        <v>11</v>
      </c>
      <c r="AA713">
        <v>52</v>
      </c>
      <c r="AB713">
        <v>21.2</v>
      </c>
    </row>
    <row r="714" spans="1:28">
      <c r="A714" t="str">
        <f t="shared" si="64"/>
        <v>2007FemaleNon-Maori22</v>
      </c>
      <c r="B714">
        <v>2007</v>
      </c>
      <c r="C714" t="s">
        <v>8</v>
      </c>
      <c r="D714" t="s">
        <v>19</v>
      </c>
      <c r="E714">
        <v>22</v>
      </c>
      <c r="F714">
        <v>13</v>
      </c>
      <c r="G714">
        <v>5.3926245488862197</v>
      </c>
      <c r="H714">
        <v>2.9</v>
      </c>
      <c r="J714" s="340" t="str">
        <f t="shared" si="65"/>
        <v>2015MaleNon-Maori191</v>
      </c>
      <c r="K714">
        <v>2015</v>
      </c>
      <c r="L714" t="s">
        <v>20</v>
      </c>
      <c r="M714" t="s">
        <v>19</v>
      </c>
      <c r="N714">
        <v>19</v>
      </c>
      <c r="O714">
        <v>1</v>
      </c>
      <c r="P714">
        <v>58</v>
      </c>
      <c r="Q714">
        <v>12.8837811932347</v>
      </c>
      <c r="R714">
        <v>3.3</v>
      </c>
      <c r="T714" s="340" t="str">
        <f t="shared" si="66"/>
        <v>1999AllSexNon-Maori22Poisoning by solids and liquids</v>
      </c>
      <c r="U714">
        <v>1999</v>
      </c>
      <c r="V714" t="s">
        <v>17</v>
      </c>
      <c r="W714" t="s">
        <v>19</v>
      </c>
      <c r="X714">
        <v>22</v>
      </c>
      <c r="Y714" t="s">
        <v>47</v>
      </c>
      <c r="Z714">
        <v>5</v>
      </c>
      <c r="AA714">
        <v>86</v>
      </c>
      <c r="AB714">
        <v>5.8</v>
      </c>
    </row>
    <row r="715" spans="1:28">
      <c r="A715" t="str">
        <f t="shared" si="64"/>
        <v>2007FemaleNon-Maori23</v>
      </c>
      <c r="B715">
        <v>2007</v>
      </c>
      <c r="C715" t="s">
        <v>8</v>
      </c>
      <c r="D715" t="s">
        <v>19</v>
      </c>
      <c r="E715">
        <v>23</v>
      </c>
      <c r="F715">
        <v>37</v>
      </c>
      <c r="G715">
        <v>7.0840513115067996</v>
      </c>
      <c r="H715">
        <v>2.2999999999999998</v>
      </c>
      <c r="J715" s="340" t="str">
        <f t="shared" si="65"/>
        <v>2015MaleNon-Maori192</v>
      </c>
      <c r="K715">
        <v>2015</v>
      </c>
      <c r="L715" t="s">
        <v>20</v>
      </c>
      <c r="M715" t="s">
        <v>19</v>
      </c>
      <c r="N715">
        <v>19</v>
      </c>
      <c r="O715">
        <v>2</v>
      </c>
      <c r="P715">
        <v>62</v>
      </c>
      <c r="Q715">
        <v>12.8949779314532</v>
      </c>
      <c r="R715">
        <v>3.2</v>
      </c>
      <c r="T715" s="340" t="str">
        <f t="shared" si="66"/>
        <v>1999AllSexNon-Maori23Poisoning by solids and liquids</v>
      </c>
      <c r="U715">
        <v>1999</v>
      </c>
      <c r="V715" t="s">
        <v>17</v>
      </c>
      <c r="W715" t="s">
        <v>19</v>
      </c>
      <c r="X715">
        <v>23</v>
      </c>
      <c r="Y715" t="s">
        <v>47</v>
      </c>
      <c r="Z715">
        <v>20</v>
      </c>
      <c r="AA715">
        <v>194</v>
      </c>
      <c r="AB715">
        <v>10.3</v>
      </c>
    </row>
    <row r="716" spans="1:28">
      <c r="A716" t="str">
        <f t="shared" si="64"/>
        <v>2007FemaleNon-Maori24</v>
      </c>
      <c r="B716">
        <v>2007</v>
      </c>
      <c r="C716" t="s">
        <v>8</v>
      </c>
      <c r="D716" t="s">
        <v>19</v>
      </c>
      <c r="E716">
        <v>24</v>
      </c>
      <c r="F716">
        <v>39</v>
      </c>
      <c r="G716">
        <v>8.3240843507214208</v>
      </c>
      <c r="H716">
        <v>2.6</v>
      </c>
      <c r="J716" s="340" t="str">
        <f t="shared" si="65"/>
        <v>2015MaleNon-Maori193</v>
      </c>
      <c r="K716">
        <v>2015</v>
      </c>
      <c r="L716" t="s">
        <v>20</v>
      </c>
      <c r="M716" t="s">
        <v>19</v>
      </c>
      <c r="N716">
        <v>19</v>
      </c>
      <c r="O716">
        <v>3</v>
      </c>
      <c r="P716">
        <v>48</v>
      </c>
      <c r="Q716">
        <v>11.1539164050278</v>
      </c>
      <c r="R716">
        <v>3.2</v>
      </c>
      <c r="T716" s="340" t="str">
        <f t="shared" si="66"/>
        <v>1999AllSexNon-Maori24Poisoning by solids and liquids</v>
      </c>
      <c r="U716">
        <v>1999</v>
      </c>
      <c r="V716" t="s">
        <v>17</v>
      </c>
      <c r="W716" t="s">
        <v>19</v>
      </c>
      <c r="X716">
        <v>24</v>
      </c>
      <c r="Y716" t="s">
        <v>47</v>
      </c>
      <c r="Z716">
        <v>17</v>
      </c>
      <c r="AA716">
        <v>103</v>
      </c>
      <c r="AB716">
        <v>16.5</v>
      </c>
    </row>
    <row r="717" spans="1:28">
      <c r="A717" t="str">
        <f t="shared" si="64"/>
        <v>2007FemaleNon-Maori25</v>
      </c>
      <c r="B717">
        <v>2007</v>
      </c>
      <c r="C717" t="s">
        <v>8</v>
      </c>
      <c r="D717" t="s">
        <v>19</v>
      </c>
      <c r="E717">
        <v>25</v>
      </c>
      <c r="F717">
        <v>8</v>
      </c>
      <c r="G717">
        <v>2.91779123203735</v>
      </c>
      <c r="H717">
        <v>2</v>
      </c>
      <c r="J717" s="340" t="str">
        <f t="shared" si="65"/>
        <v>2015MaleNon-Maori194</v>
      </c>
      <c r="K717">
        <v>2015</v>
      </c>
      <c r="L717" t="s">
        <v>20</v>
      </c>
      <c r="M717" t="s">
        <v>19</v>
      </c>
      <c r="N717">
        <v>19</v>
      </c>
      <c r="O717">
        <v>4</v>
      </c>
      <c r="P717">
        <v>71</v>
      </c>
      <c r="Q717">
        <v>17.554508657651802</v>
      </c>
      <c r="R717">
        <v>4.0999999999999996</v>
      </c>
      <c r="T717" s="340" t="str">
        <f t="shared" si="66"/>
        <v>1999AllSexNon-Maori25Poisoning by solids and liquids</v>
      </c>
      <c r="U717">
        <v>1999</v>
      </c>
      <c r="V717" t="s">
        <v>17</v>
      </c>
      <c r="W717" t="s">
        <v>19</v>
      </c>
      <c r="X717">
        <v>25</v>
      </c>
      <c r="Y717" t="s">
        <v>47</v>
      </c>
      <c r="Z717">
        <v>5</v>
      </c>
      <c r="AA717">
        <v>52</v>
      </c>
      <c r="AB717">
        <v>9.6</v>
      </c>
    </row>
    <row r="718" spans="1:28">
      <c r="A718" t="str">
        <f t="shared" si="64"/>
        <v>2007MaleAllEth21</v>
      </c>
      <c r="B718">
        <v>2007</v>
      </c>
      <c r="C718" t="s">
        <v>20</v>
      </c>
      <c r="D718" t="s">
        <v>27</v>
      </c>
      <c r="E718">
        <v>21</v>
      </c>
      <c r="F718">
        <v>1</v>
      </c>
      <c r="G718">
        <v>0.219106047326906</v>
      </c>
      <c r="H718">
        <v>0.4</v>
      </c>
      <c r="J718" s="340" t="str">
        <f t="shared" si="65"/>
        <v>2015MaleNon-Maori195</v>
      </c>
      <c r="K718">
        <v>2015</v>
      </c>
      <c r="L718" t="s">
        <v>20</v>
      </c>
      <c r="M718" t="s">
        <v>19</v>
      </c>
      <c r="N718">
        <v>19</v>
      </c>
      <c r="O718">
        <v>5</v>
      </c>
      <c r="P718">
        <v>62</v>
      </c>
      <c r="Q718">
        <v>18.9840825389537</v>
      </c>
      <c r="R718">
        <v>4.7</v>
      </c>
      <c r="T718" s="340" t="str">
        <f t="shared" si="66"/>
        <v>1999AllSexNon-Maori23Sharp object</v>
      </c>
      <c r="U718">
        <v>1999</v>
      </c>
      <c r="V718" t="s">
        <v>17</v>
      </c>
      <c r="W718" t="s">
        <v>19</v>
      </c>
      <c r="X718">
        <v>23</v>
      </c>
      <c r="Y718" t="s">
        <v>48</v>
      </c>
      <c r="Z718">
        <v>6</v>
      </c>
      <c r="AA718">
        <v>194</v>
      </c>
      <c r="AB718">
        <v>3.1</v>
      </c>
    </row>
    <row r="719" spans="1:28">
      <c r="A719" t="str">
        <f t="shared" si="64"/>
        <v>2007MaleAllEth22</v>
      </c>
      <c r="B719">
        <v>2007</v>
      </c>
      <c r="C719" t="s">
        <v>20</v>
      </c>
      <c r="D719" t="s">
        <v>27</v>
      </c>
      <c r="E719">
        <v>22</v>
      </c>
      <c r="F719">
        <v>71</v>
      </c>
      <c r="G719">
        <v>23.2421107764829</v>
      </c>
      <c r="H719">
        <v>5.4</v>
      </c>
      <c r="J719" s="340" t="str">
        <f t="shared" si="65"/>
        <v>2016MaleNon-Maori191</v>
      </c>
      <c r="K719">
        <v>2016</v>
      </c>
      <c r="L719" t="s">
        <v>20</v>
      </c>
      <c r="M719" t="s">
        <v>19</v>
      </c>
      <c r="N719">
        <v>19</v>
      </c>
      <c r="O719">
        <v>1</v>
      </c>
      <c r="P719">
        <v>54</v>
      </c>
      <c r="Q719">
        <v>10.891101300280299</v>
      </c>
      <c r="R719">
        <v>2.9</v>
      </c>
      <c r="T719" s="340" t="str">
        <f t="shared" si="66"/>
        <v>1999AllSexNon-Maori24Sharp object</v>
      </c>
      <c r="U719">
        <v>1999</v>
      </c>
      <c r="V719" t="s">
        <v>17</v>
      </c>
      <c r="W719" t="s">
        <v>19</v>
      </c>
      <c r="X719">
        <v>24</v>
      </c>
      <c r="Y719" t="s">
        <v>48</v>
      </c>
      <c r="Z719">
        <v>1</v>
      </c>
      <c r="AA719">
        <v>103</v>
      </c>
      <c r="AB719">
        <v>1</v>
      </c>
    </row>
    <row r="720" spans="1:28">
      <c r="A720" t="str">
        <f t="shared" si="64"/>
        <v>2007MaleAllEth23</v>
      </c>
      <c r="B720">
        <v>2007</v>
      </c>
      <c r="C720" t="s">
        <v>20</v>
      </c>
      <c r="D720" t="s">
        <v>27</v>
      </c>
      <c r="E720">
        <v>23</v>
      </c>
      <c r="F720">
        <v>165</v>
      </c>
      <c r="G720">
        <v>29.127756103588901</v>
      </c>
      <c r="H720">
        <v>4.4000000000000004</v>
      </c>
      <c r="J720" s="340" t="str">
        <f t="shared" si="65"/>
        <v>2016MaleNon-Maori192</v>
      </c>
      <c r="K720">
        <v>2016</v>
      </c>
      <c r="L720" t="s">
        <v>20</v>
      </c>
      <c r="M720" t="s">
        <v>19</v>
      </c>
      <c r="N720">
        <v>19</v>
      </c>
      <c r="O720">
        <v>2</v>
      </c>
      <c r="P720">
        <v>56</v>
      </c>
      <c r="Q720">
        <v>11.512018897710799</v>
      </c>
      <c r="R720">
        <v>3</v>
      </c>
      <c r="T720" s="340" t="str">
        <f t="shared" si="66"/>
        <v>1999AllSexNon-Maori25Sharp object</v>
      </c>
      <c r="U720">
        <v>1999</v>
      </c>
      <c r="V720" t="s">
        <v>17</v>
      </c>
      <c r="W720" t="s">
        <v>19</v>
      </c>
      <c r="X720">
        <v>25</v>
      </c>
      <c r="Y720" t="s">
        <v>48</v>
      </c>
      <c r="Z720">
        <v>1</v>
      </c>
      <c r="AA720">
        <v>52</v>
      </c>
      <c r="AB720">
        <v>1.9</v>
      </c>
    </row>
    <row r="721" spans="1:28">
      <c r="A721" t="str">
        <f t="shared" si="64"/>
        <v>2007MaleAllEth24</v>
      </c>
      <c r="B721">
        <v>2007</v>
      </c>
      <c r="C721" t="s">
        <v>20</v>
      </c>
      <c r="D721" t="s">
        <v>27</v>
      </c>
      <c r="E721">
        <v>24</v>
      </c>
      <c r="F721">
        <v>102</v>
      </c>
      <c r="G721">
        <v>20.267853594563402</v>
      </c>
      <c r="H721">
        <v>3.9</v>
      </c>
      <c r="J721" s="340" t="str">
        <f t="shared" si="65"/>
        <v>2016MaleNon-Maori193</v>
      </c>
      <c r="K721">
        <v>2016</v>
      </c>
      <c r="L721" t="s">
        <v>20</v>
      </c>
      <c r="M721" t="s">
        <v>19</v>
      </c>
      <c r="N721">
        <v>19</v>
      </c>
      <c r="O721">
        <v>3</v>
      </c>
      <c r="P721">
        <v>61</v>
      </c>
      <c r="Q721">
        <v>13.156810983908899</v>
      </c>
      <c r="R721">
        <v>3.3</v>
      </c>
      <c r="T721" s="340" t="str">
        <f t="shared" si="66"/>
        <v>1999AllSexNon-Maori23Submersion (drowning)</v>
      </c>
      <c r="U721">
        <v>1999</v>
      </c>
      <c r="V721" t="s">
        <v>17</v>
      </c>
      <c r="W721" t="s">
        <v>19</v>
      </c>
      <c r="X721">
        <v>23</v>
      </c>
      <c r="Y721" t="s">
        <v>49</v>
      </c>
      <c r="Z721">
        <v>5</v>
      </c>
      <c r="AA721">
        <v>194</v>
      </c>
      <c r="AB721">
        <v>2.6</v>
      </c>
    </row>
    <row r="722" spans="1:28">
      <c r="A722" t="str">
        <f t="shared" si="64"/>
        <v>2007MaleAllEth25</v>
      </c>
      <c r="B722">
        <v>2007</v>
      </c>
      <c r="C722" t="s">
        <v>20</v>
      </c>
      <c r="D722" t="s">
        <v>27</v>
      </c>
      <c r="E722">
        <v>25</v>
      </c>
      <c r="F722">
        <v>42</v>
      </c>
      <c r="G722">
        <v>17.793594306049801</v>
      </c>
      <c r="H722">
        <v>5.4</v>
      </c>
      <c r="J722" s="340" t="str">
        <f t="shared" si="65"/>
        <v>2016MaleNon-Maori194</v>
      </c>
      <c r="K722">
        <v>2016</v>
      </c>
      <c r="L722" t="s">
        <v>20</v>
      </c>
      <c r="M722" t="s">
        <v>19</v>
      </c>
      <c r="N722">
        <v>19</v>
      </c>
      <c r="O722">
        <v>4</v>
      </c>
      <c r="P722">
        <v>86</v>
      </c>
      <c r="Q722">
        <v>21.1396421292627</v>
      </c>
      <c r="R722">
        <v>4.5</v>
      </c>
      <c r="T722" s="340" t="str">
        <f t="shared" si="66"/>
        <v>1999AllSexNon-Maori24Submersion (drowning)</v>
      </c>
      <c r="U722">
        <v>1999</v>
      </c>
      <c r="V722" t="s">
        <v>17</v>
      </c>
      <c r="W722" t="s">
        <v>19</v>
      </c>
      <c r="X722">
        <v>24</v>
      </c>
      <c r="Y722" t="s">
        <v>49</v>
      </c>
      <c r="Z722">
        <v>6</v>
      </c>
      <c r="AA722">
        <v>103</v>
      </c>
      <c r="AB722">
        <v>5.8</v>
      </c>
    </row>
    <row r="723" spans="1:28">
      <c r="A723" t="str">
        <f t="shared" si="64"/>
        <v>2007MaleMaori21</v>
      </c>
      <c r="B723">
        <v>2007</v>
      </c>
      <c r="C723" t="s">
        <v>20</v>
      </c>
      <c r="D723" t="s">
        <v>18</v>
      </c>
      <c r="E723">
        <v>21</v>
      </c>
      <c r="F723">
        <v>0</v>
      </c>
      <c r="G723">
        <v>0</v>
      </c>
      <c r="J723" s="340" t="str">
        <f t="shared" si="65"/>
        <v>2016MaleNon-Maori195</v>
      </c>
      <c r="K723">
        <v>2016</v>
      </c>
      <c r="L723" t="s">
        <v>20</v>
      </c>
      <c r="M723" t="s">
        <v>19</v>
      </c>
      <c r="N723">
        <v>19</v>
      </c>
      <c r="O723">
        <v>5</v>
      </c>
      <c r="P723">
        <v>56</v>
      </c>
      <c r="Q723">
        <v>16.812387701046401</v>
      </c>
      <c r="R723">
        <v>4.4000000000000004</v>
      </c>
      <c r="T723" s="340" t="str">
        <f t="shared" si="66"/>
        <v>1999AllSexNon-Maori25Submersion (drowning)</v>
      </c>
      <c r="U723">
        <v>1999</v>
      </c>
      <c r="V723" t="s">
        <v>17</v>
      </c>
      <c r="W723" t="s">
        <v>19</v>
      </c>
      <c r="X723">
        <v>25</v>
      </c>
      <c r="Y723" t="s">
        <v>49</v>
      </c>
      <c r="Z723">
        <v>5</v>
      </c>
      <c r="AA723">
        <v>52</v>
      </c>
      <c r="AB723">
        <v>9.6</v>
      </c>
    </row>
    <row r="724" spans="1:28">
      <c r="A724" t="str">
        <f t="shared" si="64"/>
        <v>2007MaleMaori22</v>
      </c>
      <c r="B724">
        <v>2007</v>
      </c>
      <c r="C724" t="s">
        <v>20</v>
      </c>
      <c r="D724" t="s">
        <v>18</v>
      </c>
      <c r="E724">
        <v>22</v>
      </c>
      <c r="F724">
        <v>23</v>
      </c>
      <c r="G724">
        <v>39.593733861249802</v>
      </c>
      <c r="H724">
        <v>16.2</v>
      </c>
      <c r="J724" s="340" t="str">
        <f t="shared" si="65"/>
        <v>2001AllSexAllEth211</v>
      </c>
      <c r="K724">
        <v>2001</v>
      </c>
      <c r="L724" t="s">
        <v>17</v>
      </c>
      <c r="M724" t="s">
        <v>27</v>
      </c>
      <c r="N724">
        <v>21</v>
      </c>
      <c r="O724">
        <v>1</v>
      </c>
      <c r="P724">
        <v>0</v>
      </c>
      <c r="Q724">
        <v>0</v>
      </c>
      <c r="T724" s="340" t="str">
        <f t="shared" si="66"/>
        <v>1999FemaleAllEth22Firearms and explosives</v>
      </c>
      <c r="U724">
        <v>1999</v>
      </c>
      <c r="V724" t="s">
        <v>8</v>
      </c>
      <c r="W724" t="s">
        <v>27</v>
      </c>
      <c r="X724">
        <v>22</v>
      </c>
      <c r="Y724" t="s">
        <v>42</v>
      </c>
      <c r="Z724">
        <v>1</v>
      </c>
      <c r="AA724">
        <v>37</v>
      </c>
      <c r="AB724">
        <v>2.7</v>
      </c>
    </row>
    <row r="725" spans="1:28">
      <c r="A725" t="str">
        <f t="shared" si="64"/>
        <v>2007MaleMaori23</v>
      </c>
      <c r="B725">
        <v>2007</v>
      </c>
      <c r="C725" t="s">
        <v>20</v>
      </c>
      <c r="D725" t="s">
        <v>18</v>
      </c>
      <c r="E725">
        <v>23</v>
      </c>
      <c r="F725">
        <v>39</v>
      </c>
      <c r="G725">
        <v>49.044265593561398</v>
      </c>
      <c r="H725">
        <v>15.4</v>
      </c>
      <c r="J725" s="340" t="str">
        <f t="shared" si="65"/>
        <v>2001AllSexAllEth212</v>
      </c>
      <c r="K725">
        <v>2001</v>
      </c>
      <c r="L725" t="s">
        <v>17</v>
      </c>
      <c r="M725" t="s">
        <v>27</v>
      </c>
      <c r="N725">
        <v>21</v>
      </c>
      <c r="O725">
        <v>2</v>
      </c>
      <c r="P725">
        <v>0</v>
      </c>
      <c r="Q725">
        <v>0</v>
      </c>
      <c r="T725" s="340" t="str">
        <f t="shared" si="66"/>
        <v>1999FemaleAllEth23Firearms and explosives</v>
      </c>
      <c r="U725">
        <v>1999</v>
      </c>
      <c r="V725" t="s">
        <v>8</v>
      </c>
      <c r="W725" t="s">
        <v>27</v>
      </c>
      <c r="X725">
        <v>23</v>
      </c>
      <c r="Y725" t="s">
        <v>42</v>
      </c>
      <c r="Z725">
        <v>2</v>
      </c>
      <c r="AA725">
        <v>55</v>
      </c>
      <c r="AB725">
        <v>3.6</v>
      </c>
    </row>
    <row r="726" spans="1:28">
      <c r="A726" t="str">
        <f t="shared" si="64"/>
        <v>2007MaleMaori24</v>
      </c>
      <c r="B726">
        <v>2007</v>
      </c>
      <c r="C726" t="s">
        <v>20</v>
      </c>
      <c r="D726" t="s">
        <v>18</v>
      </c>
      <c r="E726">
        <v>24</v>
      </c>
      <c r="F726">
        <v>11</v>
      </c>
      <c r="G726">
        <v>22.680412371134</v>
      </c>
      <c r="H726">
        <v>13.4</v>
      </c>
      <c r="J726" s="340" t="str">
        <f t="shared" si="65"/>
        <v>2001AllSexAllEth213</v>
      </c>
      <c r="K726">
        <v>2001</v>
      </c>
      <c r="L726" t="s">
        <v>17</v>
      </c>
      <c r="M726" t="s">
        <v>27</v>
      </c>
      <c r="N726">
        <v>21</v>
      </c>
      <c r="O726">
        <v>3</v>
      </c>
      <c r="P726">
        <v>1</v>
      </c>
      <c r="Q726">
        <v>0.62173225727385995</v>
      </c>
      <c r="R726">
        <v>1.2</v>
      </c>
      <c r="T726" s="340" t="str">
        <f t="shared" si="66"/>
        <v>1999FemaleAllEth25Firearms and explosives</v>
      </c>
      <c r="U726">
        <v>1999</v>
      </c>
      <c r="V726" t="s">
        <v>8</v>
      </c>
      <c r="W726" t="s">
        <v>27</v>
      </c>
      <c r="X726">
        <v>25</v>
      </c>
      <c r="Y726" t="s">
        <v>42</v>
      </c>
      <c r="Z726">
        <v>1</v>
      </c>
      <c r="AA726">
        <v>16</v>
      </c>
      <c r="AB726">
        <v>6.2</v>
      </c>
    </row>
    <row r="727" spans="1:28">
      <c r="A727" t="str">
        <f t="shared" si="64"/>
        <v>2007MaleMaori25</v>
      </c>
      <c r="B727">
        <v>2007</v>
      </c>
      <c r="C727" t="s">
        <v>20</v>
      </c>
      <c r="D727" t="s">
        <v>18</v>
      </c>
      <c r="E727">
        <v>25</v>
      </c>
      <c r="F727">
        <v>1</v>
      </c>
      <c r="G727">
        <v>8.1967213114754092</v>
      </c>
      <c r="H727">
        <v>16.100000000000001</v>
      </c>
      <c r="J727" s="340" t="str">
        <f t="shared" si="65"/>
        <v>2001AllSexAllEth214</v>
      </c>
      <c r="K727">
        <v>2001</v>
      </c>
      <c r="L727" t="s">
        <v>17</v>
      </c>
      <c r="M727" t="s">
        <v>27</v>
      </c>
      <c r="N727">
        <v>21</v>
      </c>
      <c r="O727">
        <v>4</v>
      </c>
      <c r="P727">
        <v>0</v>
      </c>
      <c r="Q727">
        <v>0</v>
      </c>
      <c r="T727" s="340" t="str">
        <f t="shared" si="66"/>
        <v>1999FemaleAllEth21Hanging, strangulation and suffocation</v>
      </c>
      <c r="U727">
        <v>1999</v>
      </c>
      <c r="V727" t="s">
        <v>8</v>
      </c>
      <c r="W727" t="s">
        <v>27</v>
      </c>
      <c r="X727">
        <v>21</v>
      </c>
      <c r="Y727" t="s">
        <v>43</v>
      </c>
      <c r="Z727">
        <v>3</v>
      </c>
      <c r="AA727">
        <v>3</v>
      </c>
      <c r="AB727">
        <v>100</v>
      </c>
    </row>
    <row r="728" spans="1:28">
      <c r="A728" t="str">
        <f t="shared" si="64"/>
        <v>2007MaleNon-Maori21</v>
      </c>
      <c r="B728">
        <v>2007</v>
      </c>
      <c r="C728" t="s">
        <v>20</v>
      </c>
      <c r="D728" t="s">
        <v>19</v>
      </c>
      <c r="E728">
        <v>21</v>
      </c>
      <c r="F728">
        <v>1</v>
      </c>
      <c r="G728">
        <v>0.290435944352473</v>
      </c>
      <c r="H728">
        <v>0.6</v>
      </c>
      <c r="J728" s="340" t="str">
        <f t="shared" si="65"/>
        <v>2001AllSexAllEth215</v>
      </c>
      <c r="K728">
        <v>2001</v>
      </c>
      <c r="L728" t="s">
        <v>17</v>
      </c>
      <c r="M728" t="s">
        <v>27</v>
      </c>
      <c r="N728">
        <v>21</v>
      </c>
      <c r="O728">
        <v>5</v>
      </c>
      <c r="P728">
        <v>2</v>
      </c>
      <c r="Q728">
        <v>0.96193860509173901</v>
      </c>
      <c r="R728">
        <v>1.3</v>
      </c>
      <c r="T728" s="340" t="str">
        <f t="shared" si="66"/>
        <v>1999FemaleAllEth22Hanging, strangulation and suffocation</v>
      </c>
      <c r="U728">
        <v>1999</v>
      </c>
      <c r="V728" t="s">
        <v>8</v>
      </c>
      <c r="W728" t="s">
        <v>27</v>
      </c>
      <c r="X728">
        <v>22</v>
      </c>
      <c r="Y728" t="s">
        <v>43</v>
      </c>
      <c r="Z728">
        <v>28</v>
      </c>
      <c r="AA728">
        <v>37</v>
      </c>
      <c r="AB728">
        <v>75.7</v>
      </c>
    </row>
    <row r="729" spans="1:28">
      <c r="A729" t="str">
        <f t="shared" si="64"/>
        <v>2007MaleNon-Maori22</v>
      </c>
      <c r="B729">
        <v>2007</v>
      </c>
      <c r="C729" t="s">
        <v>20</v>
      </c>
      <c r="D729" t="s">
        <v>19</v>
      </c>
      <c r="E729">
        <v>22</v>
      </c>
      <c r="F729">
        <v>48</v>
      </c>
      <c r="G729">
        <v>19.402562755163899</v>
      </c>
      <c r="H729">
        <v>5.5</v>
      </c>
      <c r="J729" s="340" t="str">
        <f t="shared" si="65"/>
        <v>2001AllSexAllEth221</v>
      </c>
      <c r="K729">
        <v>2001</v>
      </c>
      <c r="L729" t="s">
        <v>17</v>
      </c>
      <c r="M729" t="s">
        <v>27</v>
      </c>
      <c r="N729">
        <v>22</v>
      </c>
      <c r="O729">
        <v>1</v>
      </c>
      <c r="P729">
        <v>15</v>
      </c>
      <c r="Q729">
        <v>16.729610173626799</v>
      </c>
      <c r="R729">
        <v>8.5</v>
      </c>
      <c r="T729" s="340" t="str">
        <f t="shared" si="66"/>
        <v>1999FemaleAllEth23Hanging, strangulation and suffocation</v>
      </c>
      <c r="U729">
        <v>1999</v>
      </c>
      <c r="V729" t="s">
        <v>8</v>
      </c>
      <c r="W729" t="s">
        <v>27</v>
      </c>
      <c r="X729">
        <v>23</v>
      </c>
      <c r="Y729" t="s">
        <v>43</v>
      </c>
      <c r="Z729">
        <v>18</v>
      </c>
      <c r="AA729">
        <v>55</v>
      </c>
      <c r="AB729">
        <v>32.700000000000003</v>
      </c>
    </row>
    <row r="730" spans="1:28">
      <c r="A730" t="str">
        <f t="shared" si="64"/>
        <v>2007MaleNon-Maori23</v>
      </c>
      <c r="B730">
        <v>2007</v>
      </c>
      <c r="C730" t="s">
        <v>20</v>
      </c>
      <c r="D730" t="s">
        <v>19</v>
      </c>
      <c r="E730">
        <v>23</v>
      </c>
      <c r="F730">
        <v>126</v>
      </c>
      <c r="G730">
        <v>25.875346544819799</v>
      </c>
      <c r="H730">
        <v>4.5</v>
      </c>
      <c r="J730" s="340" t="str">
        <f t="shared" si="65"/>
        <v>2001AllSexAllEth222</v>
      </c>
      <c r="K730">
        <v>2001</v>
      </c>
      <c r="L730" t="s">
        <v>17</v>
      </c>
      <c r="M730" t="s">
        <v>27</v>
      </c>
      <c r="N730">
        <v>22</v>
      </c>
      <c r="O730">
        <v>2</v>
      </c>
      <c r="P730">
        <v>10</v>
      </c>
      <c r="Q730">
        <v>10.484575321201</v>
      </c>
      <c r="R730">
        <v>6.5</v>
      </c>
      <c r="T730" s="340" t="str">
        <f t="shared" si="66"/>
        <v>1999FemaleAllEth24Hanging, strangulation and suffocation</v>
      </c>
      <c r="U730">
        <v>1999</v>
      </c>
      <c r="V730" t="s">
        <v>8</v>
      </c>
      <c r="W730" t="s">
        <v>27</v>
      </c>
      <c r="X730">
        <v>24</v>
      </c>
      <c r="Y730" t="s">
        <v>43</v>
      </c>
      <c r="Z730">
        <v>6</v>
      </c>
      <c r="AA730">
        <v>21</v>
      </c>
      <c r="AB730">
        <v>28.6</v>
      </c>
    </row>
    <row r="731" spans="1:28">
      <c r="A731" t="str">
        <f t="shared" si="64"/>
        <v>2007MaleNon-Maori24</v>
      </c>
      <c r="B731">
        <v>2007</v>
      </c>
      <c r="C731" t="s">
        <v>20</v>
      </c>
      <c r="D731" t="s">
        <v>19</v>
      </c>
      <c r="E731">
        <v>24</v>
      </c>
      <c r="F731">
        <v>91</v>
      </c>
      <c r="G731">
        <v>20.0105550180315</v>
      </c>
      <c r="H731">
        <v>4.0999999999999996</v>
      </c>
      <c r="J731" s="340" t="str">
        <f t="shared" si="65"/>
        <v>2001AllSexAllEth223</v>
      </c>
      <c r="K731">
        <v>2001</v>
      </c>
      <c r="L731" t="s">
        <v>17</v>
      </c>
      <c r="M731" t="s">
        <v>27</v>
      </c>
      <c r="N731">
        <v>22</v>
      </c>
      <c r="O731">
        <v>3</v>
      </c>
      <c r="P731">
        <v>17</v>
      </c>
      <c r="Q731">
        <v>16.4865708832703</v>
      </c>
      <c r="R731">
        <v>7.8</v>
      </c>
      <c r="T731" s="340" t="str">
        <f t="shared" si="66"/>
        <v>1999FemaleAllEth25Hanging, strangulation and suffocation</v>
      </c>
      <c r="U731">
        <v>1999</v>
      </c>
      <c r="V731" t="s">
        <v>8</v>
      </c>
      <c r="W731" t="s">
        <v>27</v>
      </c>
      <c r="X731">
        <v>25</v>
      </c>
      <c r="Y731" t="s">
        <v>43</v>
      </c>
      <c r="Z731">
        <v>6</v>
      </c>
      <c r="AA731">
        <v>16</v>
      </c>
      <c r="AB731">
        <v>37.5</v>
      </c>
    </row>
    <row r="732" spans="1:28">
      <c r="A732" t="str">
        <f t="shared" si="64"/>
        <v>2007MaleNon-Maori25</v>
      </c>
      <c r="B732">
        <v>2007</v>
      </c>
      <c r="C732" t="s">
        <v>20</v>
      </c>
      <c r="D732" t="s">
        <v>19</v>
      </c>
      <c r="E732">
        <v>25</v>
      </c>
      <c r="F732">
        <v>41</v>
      </c>
      <c r="G732">
        <v>18.316654753395301</v>
      </c>
      <c r="H732">
        <v>5.6</v>
      </c>
      <c r="J732" s="340" t="str">
        <f t="shared" si="65"/>
        <v>2001AllSexAllEth224</v>
      </c>
      <c r="K732">
        <v>2001</v>
      </c>
      <c r="L732" t="s">
        <v>17</v>
      </c>
      <c r="M732" t="s">
        <v>27</v>
      </c>
      <c r="N732">
        <v>22</v>
      </c>
      <c r="O732">
        <v>4</v>
      </c>
      <c r="P732">
        <v>25</v>
      </c>
      <c r="Q732">
        <v>22.089857484240301</v>
      </c>
      <c r="R732">
        <v>8.6999999999999993</v>
      </c>
      <c r="T732" s="340" t="str">
        <f t="shared" si="66"/>
        <v>1999FemaleAllEth22Jumping from a high place</v>
      </c>
      <c r="U732">
        <v>1999</v>
      </c>
      <c r="V732" t="s">
        <v>8</v>
      </c>
      <c r="W732" t="s">
        <v>27</v>
      </c>
      <c r="X732">
        <v>22</v>
      </c>
      <c r="Y732" t="s">
        <v>44</v>
      </c>
      <c r="Z732">
        <v>1</v>
      </c>
      <c r="AA732">
        <v>37</v>
      </c>
      <c r="AB732">
        <v>2.7</v>
      </c>
    </row>
    <row r="733" spans="1:28">
      <c r="A733" t="str">
        <f t="shared" si="64"/>
        <v>2008AllSexAllEth21</v>
      </c>
      <c r="B733">
        <v>2008</v>
      </c>
      <c r="C733" t="s">
        <v>17</v>
      </c>
      <c r="D733" t="s">
        <v>27</v>
      </c>
      <c r="E733">
        <v>21</v>
      </c>
      <c r="F733">
        <v>5</v>
      </c>
      <c r="G733">
        <v>0.55830988431819195</v>
      </c>
      <c r="H733">
        <v>0.5</v>
      </c>
      <c r="J733" s="340" t="str">
        <f t="shared" si="65"/>
        <v>2001AllSexAllEth225</v>
      </c>
      <c r="K733">
        <v>2001</v>
      </c>
      <c r="L733" t="s">
        <v>17</v>
      </c>
      <c r="M733" t="s">
        <v>27</v>
      </c>
      <c r="N733">
        <v>22</v>
      </c>
      <c r="O733">
        <v>5</v>
      </c>
      <c r="P733">
        <v>26</v>
      </c>
      <c r="Q733">
        <v>19.708605142052999</v>
      </c>
      <c r="R733">
        <v>7.6</v>
      </c>
      <c r="T733" s="340" t="str">
        <f t="shared" si="66"/>
        <v>1999FemaleAllEth23Jumping from a high place</v>
      </c>
      <c r="U733">
        <v>1999</v>
      </c>
      <c r="V733" t="s">
        <v>8</v>
      </c>
      <c r="W733" t="s">
        <v>27</v>
      </c>
      <c r="X733">
        <v>23</v>
      </c>
      <c r="Y733" t="s">
        <v>44</v>
      </c>
      <c r="Z733">
        <v>1</v>
      </c>
      <c r="AA733">
        <v>55</v>
      </c>
      <c r="AB733">
        <v>1.8</v>
      </c>
    </row>
    <row r="734" spans="1:28">
      <c r="A734" t="str">
        <f t="shared" si="64"/>
        <v>2008AllSexAllEth22</v>
      </c>
      <c r="B734">
        <v>2008</v>
      </c>
      <c r="C734" t="s">
        <v>17</v>
      </c>
      <c r="D734" t="s">
        <v>27</v>
      </c>
      <c r="E734">
        <v>22</v>
      </c>
      <c r="F734">
        <v>121</v>
      </c>
      <c r="G734">
        <v>19.949549074242</v>
      </c>
      <c r="H734">
        <v>3.6</v>
      </c>
      <c r="J734" s="340" t="str">
        <f t="shared" si="65"/>
        <v>2001AllSexAllEth231</v>
      </c>
      <c r="K734">
        <v>2001</v>
      </c>
      <c r="L734" t="s">
        <v>17</v>
      </c>
      <c r="M734" t="s">
        <v>27</v>
      </c>
      <c r="N734">
        <v>23</v>
      </c>
      <c r="O734">
        <v>1</v>
      </c>
      <c r="P734">
        <v>28</v>
      </c>
      <c r="Q734">
        <v>12.461563544677301</v>
      </c>
      <c r="R734">
        <v>4.5999999999999996</v>
      </c>
      <c r="T734" s="340" t="str">
        <f t="shared" si="66"/>
        <v>1999FemaleAllEth25Jumping from a high place</v>
      </c>
      <c r="U734">
        <v>1999</v>
      </c>
      <c r="V734" t="s">
        <v>8</v>
      </c>
      <c r="W734" t="s">
        <v>27</v>
      </c>
      <c r="X734">
        <v>25</v>
      </c>
      <c r="Y734" t="s">
        <v>44</v>
      </c>
      <c r="Z734">
        <v>2</v>
      </c>
      <c r="AA734">
        <v>16</v>
      </c>
      <c r="AB734">
        <v>12.5</v>
      </c>
    </row>
    <row r="735" spans="1:28">
      <c r="A735" t="str">
        <f t="shared" si="64"/>
        <v>2008AllSexAllEth23</v>
      </c>
      <c r="B735">
        <v>2008</v>
      </c>
      <c r="C735" t="s">
        <v>17</v>
      </c>
      <c r="D735" t="s">
        <v>27</v>
      </c>
      <c r="E735">
        <v>23</v>
      </c>
      <c r="F735">
        <v>182</v>
      </c>
      <c r="G735">
        <v>15.5447937752496</v>
      </c>
      <c r="H735">
        <v>2.2999999999999998</v>
      </c>
      <c r="J735" s="340" t="str">
        <f t="shared" si="65"/>
        <v>2001AllSexAllEth232</v>
      </c>
      <c r="K735">
        <v>2001</v>
      </c>
      <c r="L735" t="s">
        <v>17</v>
      </c>
      <c r="M735" t="s">
        <v>27</v>
      </c>
      <c r="N735">
        <v>23</v>
      </c>
      <c r="O735">
        <v>2</v>
      </c>
      <c r="P735">
        <v>41</v>
      </c>
      <c r="Q735">
        <v>17.290450854477498</v>
      </c>
      <c r="R735">
        <v>5.3</v>
      </c>
      <c r="T735" s="340" t="str">
        <f t="shared" si="66"/>
        <v>1999FemaleAllEth23Other</v>
      </c>
      <c r="U735">
        <v>1999</v>
      </c>
      <c r="V735" t="s">
        <v>8</v>
      </c>
      <c r="W735" t="s">
        <v>27</v>
      </c>
      <c r="X735">
        <v>23</v>
      </c>
      <c r="Y735" t="s">
        <v>45</v>
      </c>
      <c r="Z735">
        <v>3</v>
      </c>
      <c r="AA735">
        <v>55</v>
      </c>
      <c r="AB735">
        <v>5.5</v>
      </c>
    </row>
    <row r="736" spans="1:28">
      <c r="A736" t="str">
        <f t="shared" si="64"/>
        <v>2008AllSexAllEth24</v>
      </c>
      <c r="B736">
        <v>2008</v>
      </c>
      <c r="C736" t="s">
        <v>17</v>
      </c>
      <c r="D736" t="s">
        <v>27</v>
      </c>
      <c r="E736">
        <v>24</v>
      </c>
      <c r="F736">
        <v>159</v>
      </c>
      <c r="G736">
        <v>15.090829710901501</v>
      </c>
      <c r="H736">
        <v>2.2999999999999998</v>
      </c>
      <c r="J736" s="340" t="str">
        <f t="shared" si="65"/>
        <v>2001AllSexAllEth233</v>
      </c>
      <c r="K736">
        <v>2001</v>
      </c>
      <c r="L736" t="s">
        <v>17</v>
      </c>
      <c r="M736" t="s">
        <v>27</v>
      </c>
      <c r="N736">
        <v>23</v>
      </c>
      <c r="O736">
        <v>3</v>
      </c>
      <c r="P736">
        <v>48</v>
      </c>
      <c r="Q736">
        <v>20.1994527077463</v>
      </c>
      <c r="R736">
        <v>5.7</v>
      </c>
      <c r="T736" s="340" t="str">
        <f t="shared" si="66"/>
        <v>1999FemaleAllEth24Other</v>
      </c>
      <c r="U736">
        <v>1999</v>
      </c>
      <c r="V736" t="s">
        <v>8</v>
      </c>
      <c r="W736" t="s">
        <v>27</v>
      </c>
      <c r="X736">
        <v>24</v>
      </c>
      <c r="Y736" t="s">
        <v>45</v>
      </c>
      <c r="Z736">
        <v>1</v>
      </c>
      <c r="AA736">
        <v>21</v>
      </c>
      <c r="AB736">
        <v>4.8</v>
      </c>
    </row>
    <row r="737" spans="1:28">
      <c r="A737" t="str">
        <f t="shared" si="64"/>
        <v>2008AllSexAllEth25</v>
      </c>
      <c r="B737">
        <v>2008</v>
      </c>
      <c r="C737" t="s">
        <v>17</v>
      </c>
      <c r="D737" t="s">
        <v>27</v>
      </c>
      <c r="E737">
        <v>25</v>
      </c>
      <c r="F737">
        <v>51</v>
      </c>
      <c r="G737">
        <v>9.5243431004538106</v>
      </c>
      <c r="H737">
        <v>2.6</v>
      </c>
      <c r="J737" s="340" t="str">
        <f t="shared" si="65"/>
        <v>2001AllSexAllEth234</v>
      </c>
      <c r="K737">
        <v>2001</v>
      </c>
      <c r="L737" t="s">
        <v>17</v>
      </c>
      <c r="M737" t="s">
        <v>27</v>
      </c>
      <c r="N737">
        <v>23</v>
      </c>
      <c r="O737">
        <v>4</v>
      </c>
      <c r="P737">
        <v>55</v>
      </c>
      <c r="Q737">
        <v>23.549846084108399</v>
      </c>
      <c r="R737">
        <v>6.2</v>
      </c>
      <c r="T737" s="340" t="str">
        <f t="shared" si="66"/>
        <v>1999FemaleAllEth22Poisoning by gases and vapours</v>
      </c>
      <c r="U737">
        <v>1999</v>
      </c>
      <c r="V737" t="s">
        <v>8</v>
      </c>
      <c r="W737" t="s">
        <v>27</v>
      </c>
      <c r="X737">
        <v>22</v>
      </c>
      <c r="Y737" t="s">
        <v>46</v>
      </c>
      <c r="Z737">
        <v>4</v>
      </c>
      <c r="AA737">
        <v>37</v>
      </c>
      <c r="AB737">
        <v>10.8</v>
      </c>
    </row>
    <row r="738" spans="1:28">
      <c r="A738" t="str">
        <f t="shared" si="64"/>
        <v>2008AllSexMaori21</v>
      </c>
      <c r="B738">
        <v>2008</v>
      </c>
      <c r="C738" t="s">
        <v>17</v>
      </c>
      <c r="D738" t="s">
        <v>18</v>
      </c>
      <c r="E738">
        <v>21</v>
      </c>
      <c r="F738">
        <v>4</v>
      </c>
      <c r="G738">
        <v>1.7992892807341101</v>
      </c>
      <c r="H738">
        <v>1.8</v>
      </c>
      <c r="J738" s="340" t="str">
        <f t="shared" si="65"/>
        <v>2001AllSexAllEth235</v>
      </c>
      <c r="K738">
        <v>2001</v>
      </c>
      <c r="L738" t="s">
        <v>17</v>
      </c>
      <c r="M738" t="s">
        <v>27</v>
      </c>
      <c r="N738">
        <v>23</v>
      </c>
      <c r="O738">
        <v>5</v>
      </c>
      <c r="P738">
        <v>50</v>
      </c>
      <c r="Q738">
        <v>22.784254278939699</v>
      </c>
      <c r="R738">
        <v>6.3</v>
      </c>
      <c r="T738" s="340" t="str">
        <f t="shared" si="66"/>
        <v>1999FemaleAllEth23Poisoning by gases and vapours</v>
      </c>
      <c r="U738">
        <v>1999</v>
      </c>
      <c r="V738" t="s">
        <v>8</v>
      </c>
      <c r="W738" t="s">
        <v>27</v>
      </c>
      <c r="X738">
        <v>23</v>
      </c>
      <c r="Y738" t="s">
        <v>46</v>
      </c>
      <c r="Z738">
        <v>14</v>
      </c>
      <c r="AA738">
        <v>55</v>
      </c>
      <c r="AB738">
        <v>25.5</v>
      </c>
    </row>
    <row r="739" spans="1:28">
      <c r="A739" t="str">
        <f t="shared" si="64"/>
        <v>2008AllSexMaori22</v>
      </c>
      <c r="B739">
        <v>2008</v>
      </c>
      <c r="C739" t="s">
        <v>17</v>
      </c>
      <c r="D739" t="s">
        <v>18</v>
      </c>
      <c r="E739">
        <v>22</v>
      </c>
      <c r="F739">
        <v>35</v>
      </c>
      <c r="G739">
        <v>29.247096181164899</v>
      </c>
      <c r="H739">
        <v>9.6999999999999993</v>
      </c>
      <c r="J739" s="340" t="str">
        <f t="shared" si="65"/>
        <v>2001AllSexAllEth241</v>
      </c>
      <c r="K739">
        <v>2001</v>
      </c>
      <c r="L739" t="s">
        <v>17</v>
      </c>
      <c r="M739" t="s">
        <v>27</v>
      </c>
      <c r="N739">
        <v>24</v>
      </c>
      <c r="O739">
        <v>1</v>
      </c>
      <c r="P739">
        <v>12</v>
      </c>
      <c r="Q739">
        <v>5.6756089527660203</v>
      </c>
      <c r="R739">
        <v>3.2</v>
      </c>
      <c r="T739" s="340" t="str">
        <f t="shared" si="66"/>
        <v>1999FemaleAllEth24Poisoning by gases and vapours</v>
      </c>
      <c r="U739">
        <v>1999</v>
      </c>
      <c r="V739" t="s">
        <v>8</v>
      </c>
      <c r="W739" t="s">
        <v>27</v>
      </c>
      <c r="X739">
        <v>24</v>
      </c>
      <c r="Y739" t="s">
        <v>46</v>
      </c>
      <c r="Z739">
        <v>2</v>
      </c>
      <c r="AA739">
        <v>21</v>
      </c>
      <c r="AB739">
        <v>9.5</v>
      </c>
    </row>
    <row r="740" spans="1:28">
      <c r="A740" t="str">
        <f t="shared" si="64"/>
        <v>2008AllSexMaori23</v>
      </c>
      <c r="B740">
        <v>2008</v>
      </c>
      <c r="C740" t="s">
        <v>17</v>
      </c>
      <c r="D740" t="s">
        <v>18</v>
      </c>
      <c r="E740">
        <v>23</v>
      </c>
      <c r="F740">
        <v>37</v>
      </c>
      <c r="G740">
        <v>22.0277430493541</v>
      </c>
      <c r="H740">
        <v>7.1</v>
      </c>
      <c r="J740" s="340" t="str">
        <f t="shared" si="65"/>
        <v>2001AllSexAllEth242</v>
      </c>
      <c r="K740">
        <v>2001</v>
      </c>
      <c r="L740" t="s">
        <v>17</v>
      </c>
      <c r="M740" t="s">
        <v>27</v>
      </c>
      <c r="N740">
        <v>24</v>
      </c>
      <c r="O740">
        <v>2</v>
      </c>
      <c r="P740">
        <v>13</v>
      </c>
      <c r="Q740">
        <v>6.9651917695211099</v>
      </c>
      <c r="R740">
        <v>3.8</v>
      </c>
      <c r="T740" s="340" t="str">
        <f t="shared" si="66"/>
        <v>1999FemaleAllEth25Poisoning by gases and vapours</v>
      </c>
      <c r="U740">
        <v>1999</v>
      </c>
      <c r="V740" t="s">
        <v>8</v>
      </c>
      <c r="W740" t="s">
        <v>27</v>
      </c>
      <c r="X740">
        <v>25</v>
      </c>
      <c r="Y740" t="s">
        <v>46</v>
      </c>
      <c r="Z740">
        <v>2</v>
      </c>
      <c r="AA740">
        <v>16</v>
      </c>
      <c r="AB740">
        <v>12.5</v>
      </c>
    </row>
    <row r="741" spans="1:28">
      <c r="A741" t="str">
        <f t="shared" si="64"/>
        <v>2008AllSexMaori24</v>
      </c>
      <c r="B741">
        <v>2008</v>
      </c>
      <c r="C741" t="s">
        <v>17</v>
      </c>
      <c r="D741" t="s">
        <v>18</v>
      </c>
      <c r="E741">
        <v>24</v>
      </c>
      <c r="F741">
        <v>10</v>
      </c>
      <c r="G741">
        <v>9.3624192491339802</v>
      </c>
      <c r="H741">
        <v>5.8</v>
      </c>
      <c r="J741" s="340" t="str">
        <f t="shared" si="65"/>
        <v>2001AllSexAllEth243</v>
      </c>
      <c r="K741">
        <v>2001</v>
      </c>
      <c r="L741" t="s">
        <v>17</v>
      </c>
      <c r="M741" t="s">
        <v>27</v>
      </c>
      <c r="N741">
        <v>24</v>
      </c>
      <c r="O741">
        <v>3</v>
      </c>
      <c r="P741">
        <v>20</v>
      </c>
      <c r="Q741">
        <v>11.888486519605101</v>
      </c>
      <c r="R741">
        <v>5.2</v>
      </c>
      <c r="T741" s="340" t="str">
        <f t="shared" si="66"/>
        <v>1999FemaleAllEth22Poisoning by solids and liquids</v>
      </c>
      <c r="U741">
        <v>1999</v>
      </c>
      <c r="V741" t="s">
        <v>8</v>
      </c>
      <c r="W741" t="s">
        <v>27</v>
      </c>
      <c r="X741">
        <v>22</v>
      </c>
      <c r="Y741" t="s">
        <v>47</v>
      </c>
      <c r="Z741">
        <v>3</v>
      </c>
      <c r="AA741">
        <v>37</v>
      </c>
      <c r="AB741">
        <v>8.1</v>
      </c>
    </row>
    <row r="742" spans="1:28">
      <c r="A742" t="str">
        <f t="shared" si="64"/>
        <v>2008AllSexMaori25</v>
      </c>
      <c r="B742">
        <v>2008</v>
      </c>
      <c r="C742" t="s">
        <v>17</v>
      </c>
      <c r="D742" t="s">
        <v>18</v>
      </c>
      <c r="E742">
        <v>25</v>
      </c>
      <c r="F742">
        <v>1</v>
      </c>
      <c r="G742">
        <v>3.5599857600569602</v>
      </c>
      <c r="H742">
        <v>7</v>
      </c>
      <c r="J742" s="340" t="str">
        <f t="shared" si="65"/>
        <v>2001AllSexAllEth244</v>
      </c>
      <c r="K742">
        <v>2001</v>
      </c>
      <c r="L742" t="s">
        <v>17</v>
      </c>
      <c r="M742" t="s">
        <v>27</v>
      </c>
      <c r="N742">
        <v>24</v>
      </c>
      <c r="O742">
        <v>4</v>
      </c>
      <c r="P742">
        <v>15</v>
      </c>
      <c r="Q742">
        <v>9.7544107608367092</v>
      </c>
      <c r="R742">
        <v>4.9000000000000004</v>
      </c>
      <c r="T742" s="340" t="str">
        <f t="shared" si="66"/>
        <v>1999FemaleAllEth23Poisoning by solids and liquids</v>
      </c>
      <c r="U742">
        <v>1999</v>
      </c>
      <c r="V742" t="s">
        <v>8</v>
      </c>
      <c r="W742" t="s">
        <v>27</v>
      </c>
      <c r="X742">
        <v>23</v>
      </c>
      <c r="Y742" t="s">
        <v>47</v>
      </c>
      <c r="Z742">
        <v>14</v>
      </c>
      <c r="AA742">
        <v>55</v>
      </c>
      <c r="AB742">
        <v>25.5</v>
      </c>
    </row>
    <row r="743" spans="1:28">
      <c r="A743" t="str">
        <f t="shared" si="64"/>
        <v>2008AllSexNon-Maori21</v>
      </c>
      <c r="B743">
        <v>2008</v>
      </c>
      <c r="C743" t="s">
        <v>17</v>
      </c>
      <c r="D743" t="s">
        <v>19</v>
      </c>
      <c r="E743">
        <v>21</v>
      </c>
      <c r="F743">
        <v>1</v>
      </c>
      <c r="G743">
        <v>0.14853323431117699</v>
      </c>
      <c r="H743">
        <v>0.3</v>
      </c>
      <c r="J743" s="340" t="str">
        <f t="shared" si="65"/>
        <v>2001AllSexAllEth245</v>
      </c>
      <c r="K743">
        <v>2001</v>
      </c>
      <c r="L743" t="s">
        <v>17</v>
      </c>
      <c r="M743" t="s">
        <v>27</v>
      </c>
      <c r="N743">
        <v>24</v>
      </c>
      <c r="O743">
        <v>5</v>
      </c>
      <c r="P743">
        <v>17</v>
      </c>
      <c r="Q743">
        <v>12.4142201006105</v>
      </c>
      <c r="R743">
        <v>5.9</v>
      </c>
      <c r="T743" s="340" t="str">
        <f t="shared" si="66"/>
        <v>1999FemaleAllEth24Poisoning by solids and liquids</v>
      </c>
      <c r="U743">
        <v>1999</v>
      </c>
      <c r="V743" t="s">
        <v>8</v>
      </c>
      <c r="W743" t="s">
        <v>27</v>
      </c>
      <c r="X743">
        <v>24</v>
      </c>
      <c r="Y743" t="s">
        <v>47</v>
      </c>
      <c r="Z743">
        <v>9</v>
      </c>
      <c r="AA743">
        <v>21</v>
      </c>
      <c r="AB743">
        <v>42.9</v>
      </c>
    </row>
    <row r="744" spans="1:28">
      <c r="A744" t="str">
        <f t="shared" si="64"/>
        <v>2008AllSexNon-Maori22</v>
      </c>
      <c r="B744">
        <v>2008</v>
      </c>
      <c r="C744" t="s">
        <v>17</v>
      </c>
      <c r="D744" t="s">
        <v>19</v>
      </c>
      <c r="E744">
        <v>22</v>
      </c>
      <c r="F744">
        <v>86</v>
      </c>
      <c r="G744">
        <v>17.6642155855893</v>
      </c>
      <c r="H744">
        <v>3.7</v>
      </c>
      <c r="J744" s="340" t="str">
        <f t="shared" si="65"/>
        <v>2001AllSexAllEth251</v>
      </c>
      <c r="K744">
        <v>2001</v>
      </c>
      <c r="L744" t="s">
        <v>17</v>
      </c>
      <c r="M744" t="s">
        <v>27</v>
      </c>
      <c r="N744">
        <v>25</v>
      </c>
      <c r="O744">
        <v>1</v>
      </c>
      <c r="P744">
        <v>8</v>
      </c>
      <c r="Q744">
        <v>9.0435300336080395</v>
      </c>
      <c r="R744">
        <v>6.3</v>
      </c>
      <c r="T744" s="340" t="str">
        <f t="shared" si="66"/>
        <v>1999FemaleAllEth25Poisoning by solids and liquids</v>
      </c>
      <c r="U744">
        <v>1999</v>
      </c>
      <c r="V744" t="s">
        <v>8</v>
      </c>
      <c r="W744" t="s">
        <v>27</v>
      </c>
      <c r="X744">
        <v>25</v>
      </c>
      <c r="Y744" t="s">
        <v>47</v>
      </c>
      <c r="Z744">
        <v>4</v>
      </c>
      <c r="AA744">
        <v>16</v>
      </c>
      <c r="AB744">
        <v>25</v>
      </c>
    </row>
    <row r="745" spans="1:28">
      <c r="A745" t="str">
        <f t="shared" si="64"/>
        <v>2008AllSexNon-Maori23</v>
      </c>
      <c r="B745">
        <v>2008</v>
      </c>
      <c r="C745" t="s">
        <v>17</v>
      </c>
      <c r="D745" t="s">
        <v>19</v>
      </c>
      <c r="E745">
        <v>23</v>
      </c>
      <c r="F745">
        <v>145</v>
      </c>
      <c r="G745">
        <v>14.4589366199992</v>
      </c>
      <c r="H745">
        <v>2.4</v>
      </c>
      <c r="J745" s="340" t="str">
        <f t="shared" si="65"/>
        <v>2001AllSexAllEth252</v>
      </c>
      <c r="K745">
        <v>2001</v>
      </c>
      <c r="L745" t="s">
        <v>17</v>
      </c>
      <c r="M745" t="s">
        <v>27</v>
      </c>
      <c r="N745">
        <v>25</v>
      </c>
      <c r="O745">
        <v>2</v>
      </c>
      <c r="P745">
        <v>10</v>
      </c>
      <c r="Q745">
        <v>10.5368578545774</v>
      </c>
      <c r="R745">
        <v>6.5</v>
      </c>
      <c r="T745" s="340" t="str">
        <f t="shared" si="66"/>
        <v>1999FemaleAllEth23Sharp object</v>
      </c>
      <c r="U745">
        <v>1999</v>
      </c>
      <c r="V745" t="s">
        <v>8</v>
      </c>
      <c r="W745" t="s">
        <v>27</v>
      </c>
      <c r="X745">
        <v>23</v>
      </c>
      <c r="Y745" t="s">
        <v>48</v>
      </c>
      <c r="Z745">
        <v>2</v>
      </c>
      <c r="AA745">
        <v>55</v>
      </c>
      <c r="AB745">
        <v>3.6</v>
      </c>
    </row>
    <row r="746" spans="1:28">
      <c r="A746" t="str">
        <f t="shared" si="64"/>
        <v>2008AllSexNon-Maori24</v>
      </c>
      <c r="B746">
        <v>2008</v>
      </c>
      <c r="C746" t="s">
        <v>17</v>
      </c>
      <c r="D746" t="s">
        <v>19</v>
      </c>
      <c r="E746">
        <v>24</v>
      </c>
      <c r="F746">
        <v>149</v>
      </c>
      <c r="G746">
        <v>15.737053896769201</v>
      </c>
      <c r="H746">
        <v>2.5</v>
      </c>
      <c r="J746" s="340" t="str">
        <f t="shared" si="65"/>
        <v>2001AllSexAllEth253</v>
      </c>
      <c r="K746">
        <v>2001</v>
      </c>
      <c r="L746" t="s">
        <v>17</v>
      </c>
      <c r="M746" t="s">
        <v>27</v>
      </c>
      <c r="N746">
        <v>25</v>
      </c>
      <c r="O746">
        <v>3</v>
      </c>
      <c r="P746">
        <v>14</v>
      </c>
      <c r="Q746">
        <v>14.1197679868965</v>
      </c>
      <c r="R746">
        <v>7.4</v>
      </c>
      <c r="T746" s="340" t="str">
        <f t="shared" si="66"/>
        <v>1999FemaleAllEth23Submersion (drowning)</v>
      </c>
      <c r="U746">
        <v>1999</v>
      </c>
      <c r="V746" t="s">
        <v>8</v>
      </c>
      <c r="W746" t="s">
        <v>27</v>
      </c>
      <c r="X746">
        <v>23</v>
      </c>
      <c r="Y746" t="s">
        <v>49</v>
      </c>
      <c r="Z746">
        <v>1</v>
      </c>
      <c r="AA746">
        <v>55</v>
      </c>
      <c r="AB746">
        <v>1.8</v>
      </c>
    </row>
    <row r="747" spans="1:28">
      <c r="A747" t="str">
        <f t="shared" si="64"/>
        <v>2008AllSexNon-Maori25</v>
      </c>
      <c r="B747">
        <v>2008</v>
      </c>
      <c r="C747" t="s">
        <v>17</v>
      </c>
      <c r="D747" t="s">
        <v>19</v>
      </c>
      <c r="E747">
        <v>25</v>
      </c>
      <c r="F747">
        <v>50</v>
      </c>
      <c r="G747">
        <v>9.8545468879340898</v>
      </c>
      <c r="H747">
        <v>2.7</v>
      </c>
      <c r="J747" s="340" t="str">
        <f t="shared" si="65"/>
        <v>2001AllSexAllEth254</v>
      </c>
      <c r="K747">
        <v>2001</v>
      </c>
      <c r="L747" t="s">
        <v>17</v>
      </c>
      <c r="M747" t="s">
        <v>27</v>
      </c>
      <c r="N747">
        <v>25</v>
      </c>
      <c r="O747">
        <v>4</v>
      </c>
      <c r="P747">
        <v>16</v>
      </c>
      <c r="Q747">
        <v>16.002669503759499</v>
      </c>
      <c r="R747">
        <v>7.8</v>
      </c>
      <c r="T747" s="340" t="str">
        <f t="shared" si="66"/>
        <v>1999FemaleAllEth24Submersion (drowning)</v>
      </c>
      <c r="U747">
        <v>1999</v>
      </c>
      <c r="V747" t="s">
        <v>8</v>
      </c>
      <c r="W747" t="s">
        <v>27</v>
      </c>
      <c r="X747">
        <v>24</v>
      </c>
      <c r="Y747" t="s">
        <v>49</v>
      </c>
      <c r="Z747">
        <v>3</v>
      </c>
      <c r="AA747">
        <v>21</v>
      </c>
      <c r="AB747">
        <v>14.3</v>
      </c>
    </row>
    <row r="748" spans="1:28">
      <c r="A748" t="str">
        <f t="shared" si="64"/>
        <v>2008FemaleAllEth21</v>
      </c>
      <c r="B748">
        <v>2008</v>
      </c>
      <c r="C748" t="s">
        <v>8</v>
      </c>
      <c r="D748" t="s">
        <v>27</v>
      </c>
      <c r="E748">
        <v>21</v>
      </c>
      <c r="F748">
        <v>3</v>
      </c>
      <c r="G748">
        <v>0.68687608755380503</v>
      </c>
      <c r="H748">
        <v>0.8</v>
      </c>
      <c r="J748" s="340" t="str">
        <f t="shared" si="65"/>
        <v>2001AllSexAllEth255</v>
      </c>
      <c r="K748">
        <v>2001</v>
      </c>
      <c r="L748" t="s">
        <v>17</v>
      </c>
      <c r="M748" t="s">
        <v>27</v>
      </c>
      <c r="N748">
        <v>25</v>
      </c>
      <c r="O748">
        <v>5</v>
      </c>
      <c r="P748">
        <v>13</v>
      </c>
      <c r="Q748">
        <v>16.6541636067195</v>
      </c>
      <c r="R748">
        <v>9.1</v>
      </c>
      <c r="T748" s="340" t="str">
        <f t="shared" si="66"/>
        <v>1999FemaleAllEth25Submersion (drowning)</v>
      </c>
      <c r="U748">
        <v>1999</v>
      </c>
      <c r="V748" t="s">
        <v>8</v>
      </c>
      <c r="W748" t="s">
        <v>27</v>
      </c>
      <c r="X748">
        <v>25</v>
      </c>
      <c r="Y748" t="s">
        <v>49</v>
      </c>
      <c r="Z748">
        <v>1</v>
      </c>
      <c r="AA748">
        <v>16</v>
      </c>
      <c r="AB748">
        <v>6.2</v>
      </c>
    </row>
    <row r="749" spans="1:28">
      <c r="A749" t="str">
        <f t="shared" si="64"/>
        <v>2008FemaleAllEth22</v>
      </c>
      <c r="B749">
        <v>2008</v>
      </c>
      <c r="C749" t="s">
        <v>8</v>
      </c>
      <c r="D749" t="s">
        <v>27</v>
      </c>
      <c r="E749">
        <v>22</v>
      </c>
      <c r="F749">
        <v>38</v>
      </c>
      <c r="G749">
        <v>12.6132704882663</v>
      </c>
      <c r="H749">
        <v>4</v>
      </c>
      <c r="J749" s="340" t="str">
        <f t="shared" si="65"/>
        <v>2001AllSexMaori211</v>
      </c>
      <c r="K749">
        <v>2001</v>
      </c>
      <c r="L749" t="s">
        <v>17</v>
      </c>
      <c r="M749" t="s">
        <v>18</v>
      </c>
      <c r="N749">
        <v>21</v>
      </c>
      <c r="O749">
        <v>1</v>
      </c>
      <c r="P749">
        <v>0</v>
      </c>
      <c r="Q749">
        <v>0</v>
      </c>
      <c r="T749" s="340" t="str">
        <f t="shared" si="66"/>
        <v>1999FemaleMaori21Hanging, strangulation and suffocation</v>
      </c>
      <c r="U749">
        <v>1999</v>
      </c>
      <c r="V749" t="s">
        <v>8</v>
      </c>
      <c r="W749" t="s">
        <v>18</v>
      </c>
      <c r="X749">
        <v>21</v>
      </c>
      <c r="Y749" t="s">
        <v>43</v>
      </c>
      <c r="Z749">
        <v>3</v>
      </c>
      <c r="AA749">
        <v>3</v>
      </c>
      <c r="AB749">
        <v>100</v>
      </c>
    </row>
    <row r="750" spans="1:28">
      <c r="A750" t="str">
        <f t="shared" si="64"/>
        <v>2008FemaleAllEth23</v>
      </c>
      <c r="B750">
        <v>2008</v>
      </c>
      <c r="C750" t="s">
        <v>8</v>
      </c>
      <c r="D750" t="s">
        <v>27</v>
      </c>
      <c r="E750">
        <v>23</v>
      </c>
      <c r="F750">
        <v>49</v>
      </c>
      <c r="G750">
        <v>8.05722272465675</v>
      </c>
      <c r="H750">
        <v>2.2999999999999998</v>
      </c>
      <c r="J750" s="340" t="str">
        <f t="shared" si="65"/>
        <v>2001AllSexMaori212</v>
      </c>
      <c r="K750">
        <v>2001</v>
      </c>
      <c r="L750" t="s">
        <v>17</v>
      </c>
      <c r="M750" t="s">
        <v>18</v>
      </c>
      <c r="N750">
        <v>21</v>
      </c>
      <c r="O750">
        <v>2</v>
      </c>
      <c r="P750">
        <v>0</v>
      </c>
      <c r="Q750">
        <v>0</v>
      </c>
      <c r="T750" s="340" t="str">
        <f t="shared" si="66"/>
        <v>1999FemaleMaori22Hanging, strangulation and suffocation</v>
      </c>
      <c r="U750">
        <v>1999</v>
      </c>
      <c r="V750" t="s">
        <v>8</v>
      </c>
      <c r="W750" t="s">
        <v>18</v>
      </c>
      <c r="X750">
        <v>22</v>
      </c>
      <c r="Y750" t="s">
        <v>43</v>
      </c>
      <c r="Z750">
        <v>9</v>
      </c>
      <c r="AA750">
        <v>10</v>
      </c>
      <c r="AB750">
        <v>90</v>
      </c>
    </row>
    <row r="751" spans="1:28">
      <c r="A751" t="str">
        <f t="shared" si="64"/>
        <v>2008FemaleAllEth24</v>
      </c>
      <c r="B751">
        <v>2008</v>
      </c>
      <c r="C751" t="s">
        <v>8</v>
      </c>
      <c r="D751" t="s">
        <v>27</v>
      </c>
      <c r="E751">
        <v>24</v>
      </c>
      <c r="F751">
        <v>34</v>
      </c>
      <c r="G751">
        <v>6.3251106894370697</v>
      </c>
      <c r="H751">
        <v>2.1</v>
      </c>
      <c r="J751" s="340" t="str">
        <f t="shared" si="65"/>
        <v>2001AllSexMaori213</v>
      </c>
      <c r="K751">
        <v>2001</v>
      </c>
      <c r="L751" t="s">
        <v>17</v>
      </c>
      <c r="M751" t="s">
        <v>18</v>
      </c>
      <c r="N751">
        <v>21</v>
      </c>
      <c r="O751">
        <v>3</v>
      </c>
      <c r="P751">
        <v>0</v>
      </c>
      <c r="Q751">
        <v>0</v>
      </c>
      <c r="T751" s="340" t="str">
        <f t="shared" si="66"/>
        <v>1999FemaleMaori23Hanging, strangulation and suffocation</v>
      </c>
      <c r="U751">
        <v>1999</v>
      </c>
      <c r="V751" t="s">
        <v>8</v>
      </c>
      <c r="W751" t="s">
        <v>18</v>
      </c>
      <c r="X751">
        <v>23</v>
      </c>
      <c r="Y751" t="s">
        <v>43</v>
      </c>
      <c r="Z751">
        <v>4</v>
      </c>
      <c r="AA751">
        <v>7</v>
      </c>
      <c r="AB751">
        <v>57.1</v>
      </c>
    </row>
    <row r="752" spans="1:28">
      <c r="A752" t="str">
        <f t="shared" si="64"/>
        <v>2008FemaleAllEth25</v>
      </c>
      <c r="B752">
        <v>2008</v>
      </c>
      <c r="C752" t="s">
        <v>8</v>
      </c>
      <c r="D752" t="s">
        <v>27</v>
      </c>
      <c r="E752">
        <v>25</v>
      </c>
      <c r="F752">
        <v>15</v>
      </c>
      <c r="G752">
        <v>5.1070784106772003</v>
      </c>
      <c r="H752">
        <v>2.6</v>
      </c>
      <c r="J752" s="340" t="str">
        <f t="shared" si="65"/>
        <v>2001AllSexMaori214</v>
      </c>
      <c r="K752">
        <v>2001</v>
      </c>
      <c r="L752" t="s">
        <v>17</v>
      </c>
      <c r="M752" t="s">
        <v>18</v>
      </c>
      <c r="N752">
        <v>21</v>
      </c>
      <c r="O752">
        <v>4</v>
      </c>
      <c r="P752">
        <v>0</v>
      </c>
      <c r="Q752">
        <v>0</v>
      </c>
      <c r="T752" s="340" t="str">
        <f t="shared" si="66"/>
        <v>1999FemaleMaori23Other</v>
      </c>
      <c r="U752">
        <v>1999</v>
      </c>
      <c r="V752" t="s">
        <v>8</v>
      </c>
      <c r="W752" t="s">
        <v>18</v>
      </c>
      <c r="X752">
        <v>23</v>
      </c>
      <c r="Y752" t="s">
        <v>45</v>
      </c>
      <c r="Z752">
        <v>2</v>
      </c>
      <c r="AA752">
        <v>7</v>
      </c>
      <c r="AB752">
        <v>28.6</v>
      </c>
    </row>
    <row r="753" spans="1:28">
      <c r="A753" t="str">
        <f t="shared" si="64"/>
        <v>2008FemaleMaori21</v>
      </c>
      <c r="B753">
        <v>2008</v>
      </c>
      <c r="C753" t="s">
        <v>8</v>
      </c>
      <c r="D753" t="s">
        <v>18</v>
      </c>
      <c r="E753">
        <v>21</v>
      </c>
      <c r="F753">
        <v>2</v>
      </c>
      <c r="G753">
        <v>1.8491124260355001</v>
      </c>
      <c r="H753">
        <v>2.6</v>
      </c>
      <c r="J753" s="340" t="str">
        <f t="shared" si="65"/>
        <v>2001AllSexMaori215</v>
      </c>
      <c r="K753">
        <v>2001</v>
      </c>
      <c r="L753" t="s">
        <v>17</v>
      </c>
      <c r="M753" t="s">
        <v>18</v>
      </c>
      <c r="N753">
        <v>21</v>
      </c>
      <c r="O753">
        <v>5</v>
      </c>
      <c r="P753">
        <v>1</v>
      </c>
      <c r="Q753">
        <v>1.07224226018099</v>
      </c>
      <c r="R753">
        <v>2.1</v>
      </c>
      <c r="T753" s="340" t="str">
        <f t="shared" si="66"/>
        <v>1999FemaleMaori22Poisoning by gases and vapours</v>
      </c>
      <c r="U753">
        <v>1999</v>
      </c>
      <c r="V753" t="s">
        <v>8</v>
      </c>
      <c r="W753" t="s">
        <v>18</v>
      </c>
      <c r="X753">
        <v>22</v>
      </c>
      <c r="Y753" t="s">
        <v>46</v>
      </c>
      <c r="Z753">
        <v>1</v>
      </c>
      <c r="AA753">
        <v>10</v>
      </c>
      <c r="AB753">
        <v>10</v>
      </c>
    </row>
    <row r="754" spans="1:28">
      <c r="A754" t="str">
        <f t="shared" si="64"/>
        <v>2008FemaleMaori22</v>
      </c>
      <c r="B754">
        <v>2008</v>
      </c>
      <c r="C754" t="s">
        <v>8</v>
      </c>
      <c r="D754" t="s">
        <v>18</v>
      </c>
      <c r="E754">
        <v>22</v>
      </c>
      <c r="F754">
        <v>18</v>
      </c>
      <c r="G754">
        <v>29.6247531270573</v>
      </c>
      <c r="H754">
        <v>13.7</v>
      </c>
      <c r="J754" s="340" t="str">
        <f t="shared" si="65"/>
        <v>2001AllSexMaori221</v>
      </c>
      <c r="K754">
        <v>2001</v>
      </c>
      <c r="L754" t="s">
        <v>17</v>
      </c>
      <c r="M754" t="s">
        <v>18</v>
      </c>
      <c r="N754">
        <v>22</v>
      </c>
      <c r="O754">
        <v>1</v>
      </c>
      <c r="P754">
        <v>0</v>
      </c>
      <c r="Q754">
        <v>0</v>
      </c>
      <c r="T754" s="340" t="str">
        <f t="shared" si="66"/>
        <v>1999FemaleMaori23Poisoning by solids and liquids</v>
      </c>
      <c r="U754">
        <v>1999</v>
      </c>
      <c r="V754" t="s">
        <v>8</v>
      </c>
      <c r="W754" t="s">
        <v>18</v>
      </c>
      <c r="X754">
        <v>23</v>
      </c>
      <c r="Y754" t="s">
        <v>47</v>
      </c>
      <c r="Z754">
        <v>1</v>
      </c>
      <c r="AA754">
        <v>7</v>
      </c>
      <c r="AB754">
        <v>14.3</v>
      </c>
    </row>
    <row r="755" spans="1:28">
      <c r="A755" t="str">
        <f t="shared" si="64"/>
        <v>2008FemaleMaori23</v>
      </c>
      <c r="B755">
        <v>2008</v>
      </c>
      <c r="C755" t="s">
        <v>8</v>
      </c>
      <c r="D755" t="s">
        <v>18</v>
      </c>
      <c r="E755">
        <v>23</v>
      </c>
      <c r="F755">
        <v>9</v>
      </c>
      <c r="G755">
        <v>10.0964774512004</v>
      </c>
      <c r="H755">
        <v>6.6</v>
      </c>
      <c r="J755" s="340" t="str">
        <f t="shared" si="65"/>
        <v>2001AllSexMaori222</v>
      </c>
      <c r="K755">
        <v>2001</v>
      </c>
      <c r="L755" t="s">
        <v>17</v>
      </c>
      <c r="M755" t="s">
        <v>18</v>
      </c>
      <c r="N755">
        <v>22</v>
      </c>
      <c r="O755">
        <v>2</v>
      </c>
      <c r="P755">
        <v>3</v>
      </c>
      <c r="Q755">
        <v>27.2798649529946</v>
      </c>
      <c r="R755">
        <v>30.9</v>
      </c>
      <c r="T755" s="340" t="str">
        <f t="shared" si="66"/>
        <v>1999FemaleNon-Maori22Firearms and explosives</v>
      </c>
      <c r="U755">
        <v>1999</v>
      </c>
      <c r="V755" t="s">
        <v>8</v>
      </c>
      <c r="W755" t="s">
        <v>19</v>
      </c>
      <c r="X755">
        <v>22</v>
      </c>
      <c r="Y755" t="s">
        <v>42</v>
      </c>
      <c r="Z755">
        <v>1</v>
      </c>
      <c r="AA755">
        <v>27</v>
      </c>
      <c r="AB755">
        <v>3.7</v>
      </c>
    </row>
    <row r="756" spans="1:28">
      <c r="A756" t="str">
        <f t="shared" si="64"/>
        <v>2008FemaleMaori24</v>
      </c>
      <c r="B756">
        <v>2008</v>
      </c>
      <c r="C756" t="s">
        <v>8</v>
      </c>
      <c r="D756" t="s">
        <v>18</v>
      </c>
      <c r="E756">
        <v>24</v>
      </c>
      <c r="F756">
        <v>2</v>
      </c>
      <c r="G756">
        <v>3.5618878005342798</v>
      </c>
      <c r="H756">
        <v>4.9000000000000004</v>
      </c>
      <c r="J756" s="340" t="str">
        <f t="shared" si="65"/>
        <v>2001AllSexMaori223</v>
      </c>
      <c r="K756">
        <v>2001</v>
      </c>
      <c r="L756" t="s">
        <v>17</v>
      </c>
      <c r="M756" t="s">
        <v>18</v>
      </c>
      <c r="N756">
        <v>22</v>
      </c>
      <c r="O756">
        <v>3</v>
      </c>
      <c r="P756">
        <v>2</v>
      </c>
      <c r="Q756">
        <v>11.953346248708501</v>
      </c>
      <c r="R756">
        <v>16.600000000000001</v>
      </c>
      <c r="T756" s="340" t="str">
        <f t="shared" si="66"/>
        <v>1999FemaleNon-Maori23Firearms and explosives</v>
      </c>
      <c r="U756">
        <v>1999</v>
      </c>
      <c r="V756" t="s">
        <v>8</v>
      </c>
      <c r="W756" t="s">
        <v>19</v>
      </c>
      <c r="X756">
        <v>23</v>
      </c>
      <c r="Y756" t="s">
        <v>42</v>
      </c>
      <c r="Z756">
        <v>2</v>
      </c>
      <c r="AA756">
        <v>48</v>
      </c>
      <c r="AB756">
        <v>4.2</v>
      </c>
    </row>
    <row r="757" spans="1:28">
      <c r="A757" t="str">
        <f t="shared" si="64"/>
        <v>2008FemaleMaori25</v>
      </c>
      <c r="B757">
        <v>2008</v>
      </c>
      <c r="C757" t="s">
        <v>8</v>
      </c>
      <c r="D757" t="s">
        <v>18</v>
      </c>
      <c r="E757">
        <v>25</v>
      </c>
      <c r="F757">
        <v>0</v>
      </c>
      <c r="G757">
        <v>0</v>
      </c>
      <c r="J757" s="340" t="str">
        <f t="shared" si="65"/>
        <v>2001AllSexMaori224</v>
      </c>
      <c r="K757">
        <v>2001</v>
      </c>
      <c r="L757" t="s">
        <v>17</v>
      </c>
      <c r="M757" t="s">
        <v>18</v>
      </c>
      <c r="N757">
        <v>22</v>
      </c>
      <c r="O757">
        <v>4</v>
      </c>
      <c r="P757">
        <v>7</v>
      </c>
      <c r="Q757">
        <v>28.2132561090888</v>
      </c>
      <c r="R757">
        <v>20.9</v>
      </c>
      <c r="T757" s="340" t="str">
        <f t="shared" si="66"/>
        <v>1999FemaleNon-Maori25Firearms and explosives</v>
      </c>
      <c r="U757">
        <v>1999</v>
      </c>
      <c r="V757" t="s">
        <v>8</v>
      </c>
      <c r="W757" t="s">
        <v>19</v>
      </c>
      <c r="X757">
        <v>25</v>
      </c>
      <c r="Y757" t="s">
        <v>42</v>
      </c>
      <c r="Z757">
        <v>1</v>
      </c>
      <c r="AA757">
        <v>16</v>
      </c>
      <c r="AB757">
        <v>6.2</v>
      </c>
    </row>
    <row r="758" spans="1:28">
      <c r="A758" t="str">
        <f t="shared" si="64"/>
        <v>2008FemaleNon-Maori21</v>
      </c>
      <c r="B758">
        <v>2008</v>
      </c>
      <c r="C758" t="s">
        <v>8</v>
      </c>
      <c r="D758" t="s">
        <v>19</v>
      </c>
      <c r="E758">
        <v>21</v>
      </c>
      <c r="F758">
        <v>1</v>
      </c>
      <c r="G758">
        <v>0.304321363359708</v>
      </c>
      <c r="H758">
        <v>0.6</v>
      </c>
      <c r="J758" s="340" t="str">
        <f t="shared" si="65"/>
        <v>2001AllSexMaori225</v>
      </c>
      <c r="K758">
        <v>2001</v>
      </c>
      <c r="L758" t="s">
        <v>17</v>
      </c>
      <c r="M758" t="s">
        <v>18</v>
      </c>
      <c r="N758">
        <v>22</v>
      </c>
      <c r="O758">
        <v>5</v>
      </c>
      <c r="P758">
        <v>14</v>
      </c>
      <c r="Q758">
        <v>32.111853424652203</v>
      </c>
      <c r="R758">
        <v>16.8</v>
      </c>
      <c r="T758" s="340" t="str">
        <f t="shared" si="66"/>
        <v>1999FemaleNon-Maori22Hanging, strangulation and suffocation</v>
      </c>
      <c r="U758">
        <v>1999</v>
      </c>
      <c r="V758" t="s">
        <v>8</v>
      </c>
      <c r="W758" t="s">
        <v>19</v>
      </c>
      <c r="X758">
        <v>22</v>
      </c>
      <c r="Y758" t="s">
        <v>43</v>
      </c>
      <c r="Z758">
        <v>19</v>
      </c>
      <c r="AA758">
        <v>27</v>
      </c>
      <c r="AB758">
        <v>70.400000000000006</v>
      </c>
    </row>
    <row r="759" spans="1:28">
      <c r="A759" t="str">
        <f t="shared" si="64"/>
        <v>2008FemaleNon-Maori22</v>
      </c>
      <c r="B759">
        <v>2008</v>
      </c>
      <c r="C759" t="s">
        <v>8</v>
      </c>
      <c r="D759" t="s">
        <v>19</v>
      </c>
      <c r="E759">
        <v>22</v>
      </c>
      <c r="F759">
        <v>20</v>
      </c>
      <c r="G759">
        <v>8.3156625504137001</v>
      </c>
      <c r="H759">
        <v>3.6</v>
      </c>
      <c r="J759" s="340" t="str">
        <f t="shared" si="65"/>
        <v>2001AllSexMaori231</v>
      </c>
      <c r="K759">
        <v>2001</v>
      </c>
      <c r="L759" t="s">
        <v>17</v>
      </c>
      <c r="M759" t="s">
        <v>18</v>
      </c>
      <c r="N759">
        <v>23</v>
      </c>
      <c r="O759">
        <v>1</v>
      </c>
      <c r="P759">
        <v>2</v>
      </c>
      <c r="Q759">
        <v>14.5033766950013</v>
      </c>
      <c r="R759">
        <v>20.100000000000001</v>
      </c>
      <c r="T759" s="340" t="str">
        <f t="shared" si="66"/>
        <v>1999FemaleNon-Maori23Hanging, strangulation and suffocation</v>
      </c>
      <c r="U759">
        <v>1999</v>
      </c>
      <c r="V759" t="s">
        <v>8</v>
      </c>
      <c r="W759" t="s">
        <v>19</v>
      </c>
      <c r="X759">
        <v>23</v>
      </c>
      <c r="Y759" t="s">
        <v>43</v>
      </c>
      <c r="Z759">
        <v>14</v>
      </c>
      <c r="AA759">
        <v>48</v>
      </c>
      <c r="AB759">
        <v>29.2</v>
      </c>
    </row>
    <row r="760" spans="1:28">
      <c r="A760" t="str">
        <f t="shared" si="64"/>
        <v>2008FemaleNon-Maori23</v>
      </c>
      <c r="B760">
        <v>2008</v>
      </c>
      <c r="C760" t="s">
        <v>8</v>
      </c>
      <c r="D760" t="s">
        <v>19</v>
      </c>
      <c r="E760">
        <v>23</v>
      </c>
      <c r="F760">
        <v>40</v>
      </c>
      <c r="G760">
        <v>7.7069805976763499</v>
      </c>
      <c r="H760">
        <v>2.4</v>
      </c>
      <c r="J760" s="340" t="str">
        <f t="shared" si="65"/>
        <v>2001AllSexMaori232</v>
      </c>
      <c r="K760">
        <v>2001</v>
      </c>
      <c r="L760" t="s">
        <v>17</v>
      </c>
      <c r="M760" t="s">
        <v>18</v>
      </c>
      <c r="N760">
        <v>23</v>
      </c>
      <c r="O760">
        <v>2</v>
      </c>
      <c r="P760">
        <v>3</v>
      </c>
      <c r="Q760">
        <v>14.9154885275704</v>
      </c>
      <c r="R760">
        <v>16.899999999999999</v>
      </c>
      <c r="T760" s="340" t="str">
        <f t="shared" si="66"/>
        <v>1999FemaleNon-Maori24Hanging, strangulation and suffocation</v>
      </c>
      <c r="U760">
        <v>1999</v>
      </c>
      <c r="V760" t="s">
        <v>8</v>
      </c>
      <c r="W760" t="s">
        <v>19</v>
      </c>
      <c r="X760">
        <v>24</v>
      </c>
      <c r="Y760" t="s">
        <v>43</v>
      </c>
      <c r="Z760">
        <v>6</v>
      </c>
      <c r="AA760">
        <v>21</v>
      </c>
      <c r="AB760">
        <v>28.6</v>
      </c>
    </row>
    <row r="761" spans="1:28">
      <c r="A761" t="str">
        <f t="shared" si="64"/>
        <v>2008FemaleNon-Maori24</v>
      </c>
      <c r="B761">
        <v>2008</v>
      </c>
      <c r="C761" t="s">
        <v>8</v>
      </c>
      <c r="D761" t="s">
        <v>19</v>
      </c>
      <c r="E761">
        <v>24</v>
      </c>
      <c r="F761">
        <v>32</v>
      </c>
      <c r="G761">
        <v>6.6474168553563597</v>
      </c>
      <c r="H761">
        <v>2.2999999999999998</v>
      </c>
      <c r="J761" s="340" t="str">
        <f t="shared" si="65"/>
        <v>2001AllSexMaori233</v>
      </c>
      <c r="K761">
        <v>2001</v>
      </c>
      <c r="L761" t="s">
        <v>17</v>
      </c>
      <c r="M761" t="s">
        <v>18</v>
      </c>
      <c r="N761">
        <v>23</v>
      </c>
      <c r="O761">
        <v>3</v>
      </c>
      <c r="P761">
        <v>10</v>
      </c>
      <c r="Q761">
        <v>35.507778351896803</v>
      </c>
      <c r="R761">
        <v>22</v>
      </c>
      <c r="T761" s="340" t="str">
        <f t="shared" si="66"/>
        <v>1999FemaleNon-Maori25Hanging, strangulation and suffocation</v>
      </c>
      <c r="U761">
        <v>1999</v>
      </c>
      <c r="V761" t="s">
        <v>8</v>
      </c>
      <c r="W761" t="s">
        <v>19</v>
      </c>
      <c r="X761">
        <v>25</v>
      </c>
      <c r="Y761" t="s">
        <v>43</v>
      </c>
      <c r="Z761">
        <v>6</v>
      </c>
      <c r="AA761">
        <v>16</v>
      </c>
      <c r="AB761">
        <v>37.5</v>
      </c>
    </row>
    <row r="762" spans="1:28">
      <c r="A762" t="str">
        <f t="shared" si="64"/>
        <v>2008FemaleNon-Maori25</v>
      </c>
      <c r="B762">
        <v>2008</v>
      </c>
      <c r="C762" t="s">
        <v>8</v>
      </c>
      <c r="D762" t="s">
        <v>19</v>
      </c>
      <c r="E762">
        <v>25</v>
      </c>
      <c r="F762">
        <v>15</v>
      </c>
      <c r="G762">
        <v>5.38889886833124</v>
      </c>
      <c r="H762">
        <v>2.7</v>
      </c>
      <c r="J762" s="340" t="str">
        <f t="shared" si="65"/>
        <v>2001AllSexMaori234</v>
      </c>
      <c r="K762">
        <v>2001</v>
      </c>
      <c r="L762" t="s">
        <v>17</v>
      </c>
      <c r="M762" t="s">
        <v>18</v>
      </c>
      <c r="N762">
        <v>23</v>
      </c>
      <c r="O762">
        <v>4</v>
      </c>
      <c r="P762">
        <v>8</v>
      </c>
      <c r="Q762">
        <v>19.8632650691256</v>
      </c>
      <c r="R762">
        <v>13.8</v>
      </c>
      <c r="T762" s="340" t="str">
        <f t="shared" si="66"/>
        <v>1999FemaleNon-Maori22Jumping from a high place</v>
      </c>
      <c r="U762">
        <v>1999</v>
      </c>
      <c r="V762" t="s">
        <v>8</v>
      </c>
      <c r="W762" t="s">
        <v>19</v>
      </c>
      <c r="X762">
        <v>22</v>
      </c>
      <c r="Y762" t="s">
        <v>44</v>
      </c>
      <c r="Z762">
        <v>1</v>
      </c>
      <c r="AA762">
        <v>27</v>
      </c>
      <c r="AB762">
        <v>3.7</v>
      </c>
    </row>
    <row r="763" spans="1:28">
      <c r="A763" t="str">
        <f t="shared" si="64"/>
        <v>2008MaleAllEth21</v>
      </c>
      <c r="B763">
        <v>2008</v>
      </c>
      <c r="C763" t="s">
        <v>20</v>
      </c>
      <c r="D763" t="s">
        <v>27</v>
      </c>
      <c r="E763">
        <v>21</v>
      </c>
      <c r="F763">
        <v>2</v>
      </c>
      <c r="G763">
        <v>0.43591979075850001</v>
      </c>
      <c r="H763">
        <v>0.6</v>
      </c>
      <c r="J763" s="340" t="str">
        <f t="shared" si="65"/>
        <v>2001AllSexMaori235</v>
      </c>
      <c r="K763">
        <v>2001</v>
      </c>
      <c r="L763" t="s">
        <v>17</v>
      </c>
      <c r="M763" t="s">
        <v>18</v>
      </c>
      <c r="N763">
        <v>23</v>
      </c>
      <c r="O763">
        <v>5</v>
      </c>
      <c r="P763">
        <v>15</v>
      </c>
      <c r="Q763">
        <v>22.645408984947299</v>
      </c>
      <c r="R763">
        <v>11.5</v>
      </c>
      <c r="T763" s="340" t="str">
        <f t="shared" si="66"/>
        <v>1999FemaleNon-Maori23Jumping from a high place</v>
      </c>
      <c r="U763">
        <v>1999</v>
      </c>
      <c r="V763" t="s">
        <v>8</v>
      </c>
      <c r="W763" t="s">
        <v>19</v>
      </c>
      <c r="X763">
        <v>23</v>
      </c>
      <c r="Y763" t="s">
        <v>44</v>
      </c>
      <c r="Z763">
        <v>1</v>
      </c>
      <c r="AA763">
        <v>48</v>
      </c>
      <c r="AB763">
        <v>2.1</v>
      </c>
    </row>
    <row r="764" spans="1:28">
      <c r="A764" t="str">
        <f t="shared" si="64"/>
        <v>2008MaleAllEth22</v>
      </c>
      <c r="B764">
        <v>2008</v>
      </c>
      <c r="C764" t="s">
        <v>20</v>
      </c>
      <c r="D764" t="s">
        <v>27</v>
      </c>
      <c r="E764">
        <v>22</v>
      </c>
      <c r="F764">
        <v>83</v>
      </c>
      <c r="G764">
        <v>27.1899364476184</v>
      </c>
      <c r="H764">
        <v>5.8</v>
      </c>
      <c r="J764" s="340" t="str">
        <f t="shared" si="65"/>
        <v>2001AllSexMaori241</v>
      </c>
      <c r="K764">
        <v>2001</v>
      </c>
      <c r="L764" t="s">
        <v>17</v>
      </c>
      <c r="M764" t="s">
        <v>18</v>
      </c>
      <c r="N764">
        <v>24</v>
      </c>
      <c r="O764">
        <v>1</v>
      </c>
      <c r="P764">
        <v>0</v>
      </c>
      <c r="Q764">
        <v>0</v>
      </c>
      <c r="T764" s="340" t="str">
        <f t="shared" si="66"/>
        <v>1999FemaleNon-Maori25Jumping from a high place</v>
      </c>
      <c r="U764">
        <v>1999</v>
      </c>
      <c r="V764" t="s">
        <v>8</v>
      </c>
      <c r="W764" t="s">
        <v>19</v>
      </c>
      <c r="X764">
        <v>25</v>
      </c>
      <c r="Y764" t="s">
        <v>44</v>
      </c>
      <c r="Z764">
        <v>2</v>
      </c>
      <c r="AA764">
        <v>16</v>
      </c>
      <c r="AB764">
        <v>12.5</v>
      </c>
    </row>
    <row r="765" spans="1:28">
      <c r="A765" t="str">
        <f t="shared" si="64"/>
        <v>2008MaleAllEth23</v>
      </c>
      <c r="B765">
        <v>2008</v>
      </c>
      <c r="C765" t="s">
        <v>20</v>
      </c>
      <c r="D765" t="s">
        <v>27</v>
      </c>
      <c r="E765">
        <v>23</v>
      </c>
      <c r="F765">
        <v>133</v>
      </c>
      <c r="G765">
        <v>23.638140940193701</v>
      </c>
      <c r="H765">
        <v>4</v>
      </c>
      <c r="J765" s="340" t="str">
        <f t="shared" si="65"/>
        <v>2001AllSexMaori242</v>
      </c>
      <c r="K765">
        <v>2001</v>
      </c>
      <c r="L765" t="s">
        <v>17</v>
      </c>
      <c r="M765" t="s">
        <v>18</v>
      </c>
      <c r="N765">
        <v>24</v>
      </c>
      <c r="O765">
        <v>2</v>
      </c>
      <c r="P765">
        <v>1</v>
      </c>
      <c r="Q765">
        <v>11.2241084584163</v>
      </c>
      <c r="R765">
        <v>22</v>
      </c>
      <c r="T765" s="340" t="str">
        <f t="shared" si="66"/>
        <v>1999FemaleNon-Maori23Other</v>
      </c>
      <c r="U765">
        <v>1999</v>
      </c>
      <c r="V765" t="s">
        <v>8</v>
      </c>
      <c r="W765" t="s">
        <v>19</v>
      </c>
      <c r="X765">
        <v>23</v>
      </c>
      <c r="Y765" t="s">
        <v>45</v>
      </c>
      <c r="Z765">
        <v>1</v>
      </c>
      <c r="AA765">
        <v>48</v>
      </c>
      <c r="AB765">
        <v>2.1</v>
      </c>
    </row>
    <row r="766" spans="1:28">
      <c r="A766" t="str">
        <f t="shared" si="64"/>
        <v>2008MaleAllEth24</v>
      </c>
      <c r="B766">
        <v>2008</v>
      </c>
      <c r="C766" t="s">
        <v>20</v>
      </c>
      <c r="D766" t="s">
        <v>27</v>
      </c>
      <c r="E766">
        <v>24</v>
      </c>
      <c r="F766">
        <v>125</v>
      </c>
      <c r="G766">
        <v>24.221050999845001</v>
      </c>
      <c r="H766">
        <v>4.2</v>
      </c>
      <c r="J766" s="340" t="str">
        <f t="shared" si="65"/>
        <v>2001AllSexMaori243</v>
      </c>
      <c r="K766">
        <v>2001</v>
      </c>
      <c r="L766" t="s">
        <v>17</v>
      </c>
      <c r="M766" t="s">
        <v>18</v>
      </c>
      <c r="N766">
        <v>24</v>
      </c>
      <c r="O766">
        <v>3</v>
      </c>
      <c r="P766">
        <v>0</v>
      </c>
      <c r="Q766">
        <v>0</v>
      </c>
      <c r="T766" s="340" t="str">
        <f t="shared" si="66"/>
        <v>1999FemaleNon-Maori24Other</v>
      </c>
      <c r="U766">
        <v>1999</v>
      </c>
      <c r="V766" t="s">
        <v>8</v>
      </c>
      <c r="W766" t="s">
        <v>19</v>
      </c>
      <c r="X766">
        <v>24</v>
      </c>
      <c r="Y766" t="s">
        <v>45</v>
      </c>
      <c r="Z766">
        <v>1</v>
      </c>
      <c r="AA766">
        <v>21</v>
      </c>
      <c r="AB766">
        <v>4.8</v>
      </c>
    </row>
    <row r="767" spans="1:28">
      <c r="A767" t="str">
        <f t="shared" si="64"/>
        <v>2008MaleAllEth25</v>
      </c>
      <c r="B767">
        <v>2008</v>
      </c>
      <c r="C767" t="s">
        <v>20</v>
      </c>
      <c r="D767" t="s">
        <v>27</v>
      </c>
      <c r="E767">
        <v>25</v>
      </c>
      <c r="F767">
        <v>36</v>
      </c>
      <c r="G767">
        <v>14.890800794176</v>
      </c>
      <c r="H767">
        <v>4.9000000000000004</v>
      </c>
      <c r="J767" s="340" t="str">
        <f t="shared" si="65"/>
        <v>2001AllSexMaori244</v>
      </c>
      <c r="K767">
        <v>2001</v>
      </c>
      <c r="L767" t="s">
        <v>17</v>
      </c>
      <c r="M767" t="s">
        <v>18</v>
      </c>
      <c r="N767">
        <v>24</v>
      </c>
      <c r="O767">
        <v>4</v>
      </c>
      <c r="P767">
        <v>0</v>
      </c>
      <c r="Q767">
        <v>0</v>
      </c>
      <c r="T767" s="340" t="str">
        <f t="shared" si="66"/>
        <v>1999FemaleNon-Maori22Poisoning by gases and vapours</v>
      </c>
      <c r="U767">
        <v>1999</v>
      </c>
      <c r="V767" t="s">
        <v>8</v>
      </c>
      <c r="W767" t="s">
        <v>19</v>
      </c>
      <c r="X767">
        <v>22</v>
      </c>
      <c r="Y767" t="s">
        <v>46</v>
      </c>
      <c r="Z767">
        <v>3</v>
      </c>
      <c r="AA767">
        <v>27</v>
      </c>
      <c r="AB767">
        <v>11.1</v>
      </c>
    </row>
    <row r="768" spans="1:28">
      <c r="A768" t="str">
        <f t="shared" si="64"/>
        <v>2008MaleMaori21</v>
      </c>
      <c r="B768">
        <v>2008</v>
      </c>
      <c r="C768" t="s">
        <v>20</v>
      </c>
      <c r="D768" t="s">
        <v>18</v>
      </c>
      <c r="E768">
        <v>21</v>
      </c>
      <c r="F768">
        <v>2</v>
      </c>
      <c r="G768">
        <v>1.75192711983181</v>
      </c>
      <c r="H768">
        <v>2.4</v>
      </c>
      <c r="J768" s="340" t="str">
        <f t="shared" si="65"/>
        <v>2001AllSexMaori245</v>
      </c>
      <c r="K768">
        <v>2001</v>
      </c>
      <c r="L768" t="s">
        <v>17</v>
      </c>
      <c r="M768" t="s">
        <v>18</v>
      </c>
      <c r="N768">
        <v>24</v>
      </c>
      <c r="O768">
        <v>5</v>
      </c>
      <c r="P768">
        <v>4</v>
      </c>
      <c r="Q768">
        <v>12.5038348827603</v>
      </c>
      <c r="R768">
        <v>12.3</v>
      </c>
      <c r="T768" s="340" t="str">
        <f t="shared" si="66"/>
        <v>1999FemaleNon-Maori23Poisoning by gases and vapours</v>
      </c>
      <c r="U768">
        <v>1999</v>
      </c>
      <c r="V768" t="s">
        <v>8</v>
      </c>
      <c r="W768" t="s">
        <v>19</v>
      </c>
      <c r="X768">
        <v>23</v>
      </c>
      <c r="Y768" t="s">
        <v>46</v>
      </c>
      <c r="Z768">
        <v>14</v>
      </c>
      <c r="AA768">
        <v>48</v>
      </c>
      <c r="AB768">
        <v>29.2</v>
      </c>
    </row>
    <row r="769" spans="1:28">
      <c r="A769" t="str">
        <f t="shared" si="64"/>
        <v>2008MaleMaori22</v>
      </c>
      <c r="B769">
        <v>2008</v>
      </c>
      <c r="C769" t="s">
        <v>20</v>
      </c>
      <c r="D769" t="s">
        <v>18</v>
      </c>
      <c r="E769">
        <v>22</v>
      </c>
      <c r="F769">
        <v>17</v>
      </c>
      <c r="G769">
        <v>28.857579358343202</v>
      </c>
      <c r="H769">
        <v>13.7</v>
      </c>
      <c r="J769" s="340" t="str">
        <f t="shared" si="65"/>
        <v>2001AllSexMaori251</v>
      </c>
      <c r="K769">
        <v>2001</v>
      </c>
      <c r="L769" t="s">
        <v>17</v>
      </c>
      <c r="M769" t="s">
        <v>18</v>
      </c>
      <c r="N769">
        <v>25</v>
      </c>
      <c r="O769">
        <v>1</v>
      </c>
      <c r="P769">
        <v>0</v>
      </c>
      <c r="Q769">
        <v>0</v>
      </c>
      <c r="T769" s="340" t="str">
        <f t="shared" si="66"/>
        <v>1999FemaleNon-Maori24Poisoning by gases and vapours</v>
      </c>
      <c r="U769">
        <v>1999</v>
      </c>
      <c r="V769" t="s">
        <v>8</v>
      </c>
      <c r="W769" t="s">
        <v>19</v>
      </c>
      <c r="X769">
        <v>24</v>
      </c>
      <c r="Y769" t="s">
        <v>46</v>
      </c>
      <c r="Z769">
        <v>2</v>
      </c>
      <c r="AA769">
        <v>21</v>
      </c>
      <c r="AB769">
        <v>9.5</v>
      </c>
    </row>
    <row r="770" spans="1:28">
      <c r="A770" t="str">
        <f t="shared" si="64"/>
        <v>2008MaleMaori23</v>
      </c>
      <c r="B770">
        <v>2008</v>
      </c>
      <c r="C770" t="s">
        <v>20</v>
      </c>
      <c r="D770" t="s">
        <v>18</v>
      </c>
      <c r="E770">
        <v>23</v>
      </c>
      <c r="F770">
        <v>28</v>
      </c>
      <c r="G770">
        <v>35.523978685612803</v>
      </c>
      <c r="H770">
        <v>13.2</v>
      </c>
      <c r="J770" s="340" t="str">
        <f t="shared" si="65"/>
        <v>2001AllSexMaori252</v>
      </c>
      <c r="K770">
        <v>2001</v>
      </c>
      <c r="L770" t="s">
        <v>17</v>
      </c>
      <c r="M770" t="s">
        <v>18</v>
      </c>
      <c r="N770">
        <v>25</v>
      </c>
      <c r="O770">
        <v>2</v>
      </c>
      <c r="P770">
        <v>0</v>
      </c>
      <c r="Q770">
        <v>0</v>
      </c>
      <c r="T770" s="340" t="str">
        <f t="shared" si="66"/>
        <v>1999FemaleNon-Maori25Poisoning by gases and vapours</v>
      </c>
      <c r="U770">
        <v>1999</v>
      </c>
      <c r="V770" t="s">
        <v>8</v>
      </c>
      <c r="W770" t="s">
        <v>19</v>
      </c>
      <c r="X770">
        <v>25</v>
      </c>
      <c r="Y770" t="s">
        <v>46</v>
      </c>
      <c r="Z770">
        <v>2</v>
      </c>
      <c r="AA770">
        <v>16</v>
      </c>
      <c r="AB770">
        <v>12.5</v>
      </c>
    </row>
    <row r="771" spans="1:28">
      <c r="A771" t="str">
        <f t="shared" si="64"/>
        <v>2008MaleMaori24</v>
      </c>
      <c r="B771">
        <v>2008</v>
      </c>
      <c r="C771" t="s">
        <v>20</v>
      </c>
      <c r="D771" t="s">
        <v>18</v>
      </c>
      <c r="E771">
        <v>24</v>
      </c>
      <c r="F771">
        <v>8</v>
      </c>
      <c r="G771">
        <v>15.7946692991116</v>
      </c>
      <c r="H771">
        <v>10.9</v>
      </c>
      <c r="J771" s="340" t="str">
        <f t="shared" si="65"/>
        <v>2001AllSexMaori253</v>
      </c>
      <c r="K771">
        <v>2001</v>
      </c>
      <c r="L771" t="s">
        <v>17</v>
      </c>
      <c r="M771" t="s">
        <v>18</v>
      </c>
      <c r="N771">
        <v>25</v>
      </c>
      <c r="O771">
        <v>3</v>
      </c>
      <c r="P771">
        <v>0</v>
      </c>
      <c r="Q771">
        <v>0</v>
      </c>
      <c r="T771" s="340" t="str">
        <f t="shared" si="66"/>
        <v>1999FemaleNon-Maori22Poisoning by solids and liquids</v>
      </c>
      <c r="U771">
        <v>1999</v>
      </c>
      <c r="V771" t="s">
        <v>8</v>
      </c>
      <c r="W771" t="s">
        <v>19</v>
      </c>
      <c r="X771">
        <v>22</v>
      </c>
      <c r="Y771" t="s">
        <v>47</v>
      </c>
      <c r="Z771">
        <v>3</v>
      </c>
      <c r="AA771">
        <v>27</v>
      </c>
      <c r="AB771">
        <v>11.1</v>
      </c>
    </row>
    <row r="772" spans="1:28">
      <c r="A772" t="str">
        <f t="shared" ref="A772:A835" si="67">B772&amp;C772&amp;D772&amp;E772</f>
        <v>2008MaleMaori25</v>
      </c>
      <c r="B772">
        <v>2008</v>
      </c>
      <c r="C772" t="s">
        <v>20</v>
      </c>
      <c r="D772" t="s">
        <v>18</v>
      </c>
      <c r="E772">
        <v>25</v>
      </c>
      <c r="F772">
        <v>1</v>
      </c>
      <c r="G772">
        <v>7.8554595443833497</v>
      </c>
      <c r="H772">
        <v>15.4</v>
      </c>
      <c r="J772" s="340" t="str">
        <f t="shared" ref="J772:J835" si="68">K772&amp;L772&amp;M772&amp;N772&amp;O772</f>
        <v>2001AllSexMaori254</v>
      </c>
      <c r="K772">
        <v>2001</v>
      </c>
      <c r="L772" t="s">
        <v>17</v>
      </c>
      <c r="M772" t="s">
        <v>18</v>
      </c>
      <c r="N772">
        <v>25</v>
      </c>
      <c r="O772">
        <v>4</v>
      </c>
      <c r="P772">
        <v>0</v>
      </c>
      <c r="Q772">
        <v>0</v>
      </c>
      <c r="T772" s="340" t="str">
        <f t="shared" si="66"/>
        <v>1999FemaleNon-Maori23Poisoning by solids and liquids</v>
      </c>
      <c r="U772">
        <v>1999</v>
      </c>
      <c r="V772" t="s">
        <v>8</v>
      </c>
      <c r="W772" t="s">
        <v>19</v>
      </c>
      <c r="X772">
        <v>23</v>
      </c>
      <c r="Y772" t="s">
        <v>47</v>
      </c>
      <c r="Z772">
        <v>13</v>
      </c>
      <c r="AA772">
        <v>48</v>
      </c>
      <c r="AB772">
        <v>27.1</v>
      </c>
    </row>
    <row r="773" spans="1:28">
      <c r="A773" t="str">
        <f t="shared" si="67"/>
        <v>2008MaleNon-Maori21</v>
      </c>
      <c r="B773">
        <v>2008</v>
      </c>
      <c r="C773" t="s">
        <v>20</v>
      </c>
      <c r="D773" t="s">
        <v>19</v>
      </c>
      <c r="E773">
        <v>21</v>
      </c>
      <c r="F773">
        <v>0</v>
      </c>
      <c r="G773">
        <v>0</v>
      </c>
      <c r="J773" s="340" t="str">
        <f t="shared" si="68"/>
        <v>2001AllSexMaori255</v>
      </c>
      <c r="K773">
        <v>2001</v>
      </c>
      <c r="L773" t="s">
        <v>17</v>
      </c>
      <c r="M773" t="s">
        <v>18</v>
      </c>
      <c r="N773">
        <v>25</v>
      </c>
      <c r="O773">
        <v>5</v>
      </c>
      <c r="P773">
        <v>2</v>
      </c>
      <c r="Q773">
        <v>22.8727276723891</v>
      </c>
      <c r="R773">
        <v>31.7</v>
      </c>
      <c r="T773" s="340" t="str">
        <f t="shared" ref="T773:T836" si="69">U773&amp;V773&amp;W773&amp;X773&amp;Y773</f>
        <v>1999FemaleNon-Maori24Poisoning by solids and liquids</v>
      </c>
      <c r="U773">
        <v>1999</v>
      </c>
      <c r="V773" t="s">
        <v>8</v>
      </c>
      <c r="W773" t="s">
        <v>19</v>
      </c>
      <c r="X773">
        <v>24</v>
      </c>
      <c r="Y773" t="s">
        <v>47</v>
      </c>
      <c r="Z773">
        <v>9</v>
      </c>
      <c r="AA773">
        <v>21</v>
      </c>
      <c r="AB773">
        <v>42.9</v>
      </c>
    </row>
    <row r="774" spans="1:28">
      <c r="A774" t="str">
        <f t="shared" si="67"/>
        <v>2008MaleNon-Maori22</v>
      </c>
      <c r="B774">
        <v>2008</v>
      </c>
      <c r="C774" t="s">
        <v>20</v>
      </c>
      <c r="D774" t="s">
        <v>19</v>
      </c>
      <c r="E774">
        <v>22</v>
      </c>
      <c r="F774">
        <v>66</v>
      </c>
      <c r="G774">
        <v>26.791150801704902</v>
      </c>
      <c r="H774">
        <v>6.5</v>
      </c>
      <c r="J774" s="340" t="str">
        <f t="shared" si="68"/>
        <v>2001AllSexNon-Maori211</v>
      </c>
      <c r="K774">
        <v>2001</v>
      </c>
      <c r="L774" t="s">
        <v>17</v>
      </c>
      <c r="M774" t="s">
        <v>19</v>
      </c>
      <c r="N774">
        <v>21</v>
      </c>
      <c r="O774">
        <v>1</v>
      </c>
      <c r="P774">
        <v>0</v>
      </c>
      <c r="Q774">
        <v>0</v>
      </c>
      <c r="T774" s="340" t="str">
        <f t="shared" si="69"/>
        <v>1999FemaleNon-Maori25Poisoning by solids and liquids</v>
      </c>
      <c r="U774">
        <v>1999</v>
      </c>
      <c r="V774" t="s">
        <v>8</v>
      </c>
      <c r="W774" t="s">
        <v>19</v>
      </c>
      <c r="X774">
        <v>25</v>
      </c>
      <c r="Y774" t="s">
        <v>47</v>
      </c>
      <c r="Z774">
        <v>4</v>
      </c>
      <c r="AA774">
        <v>16</v>
      </c>
      <c r="AB774">
        <v>25</v>
      </c>
    </row>
    <row r="775" spans="1:28">
      <c r="A775" t="str">
        <f t="shared" si="67"/>
        <v>2008MaleNon-Maori23</v>
      </c>
      <c r="B775">
        <v>2008</v>
      </c>
      <c r="C775" t="s">
        <v>20</v>
      </c>
      <c r="D775" t="s">
        <v>19</v>
      </c>
      <c r="E775">
        <v>23</v>
      </c>
      <c r="F775">
        <v>105</v>
      </c>
      <c r="G775">
        <v>21.701837422235101</v>
      </c>
      <c r="H775">
        <v>4.2</v>
      </c>
      <c r="J775" s="340" t="str">
        <f t="shared" si="68"/>
        <v>2001AllSexNon-Maori212</v>
      </c>
      <c r="K775">
        <v>2001</v>
      </c>
      <c r="L775" t="s">
        <v>17</v>
      </c>
      <c r="M775" t="s">
        <v>19</v>
      </c>
      <c r="N775">
        <v>21</v>
      </c>
      <c r="O775">
        <v>2</v>
      </c>
      <c r="P775">
        <v>0</v>
      </c>
      <c r="Q775">
        <v>0</v>
      </c>
      <c r="T775" s="340" t="str">
        <f t="shared" si="69"/>
        <v>1999FemaleNon-Maori23Sharp object</v>
      </c>
      <c r="U775">
        <v>1999</v>
      </c>
      <c r="V775" t="s">
        <v>8</v>
      </c>
      <c r="W775" t="s">
        <v>19</v>
      </c>
      <c r="X775">
        <v>23</v>
      </c>
      <c r="Y775" t="s">
        <v>48</v>
      </c>
      <c r="Z775">
        <v>2</v>
      </c>
      <c r="AA775">
        <v>48</v>
      </c>
      <c r="AB775">
        <v>4.2</v>
      </c>
    </row>
    <row r="776" spans="1:28">
      <c r="A776" t="str">
        <f t="shared" si="67"/>
        <v>2008MaleNon-Maori24</v>
      </c>
      <c r="B776">
        <v>2008</v>
      </c>
      <c r="C776" t="s">
        <v>20</v>
      </c>
      <c r="D776" t="s">
        <v>19</v>
      </c>
      <c r="E776">
        <v>24</v>
      </c>
      <c r="F776">
        <v>117</v>
      </c>
      <c r="G776">
        <v>25.138044389059601</v>
      </c>
      <c r="H776">
        <v>4.5999999999999996</v>
      </c>
      <c r="J776" s="340" t="str">
        <f t="shared" si="68"/>
        <v>2001AllSexNon-Maori213</v>
      </c>
      <c r="K776">
        <v>2001</v>
      </c>
      <c r="L776" t="s">
        <v>17</v>
      </c>
      <c r="M776" t="s">
        <v>19</v>
      </c>
      <c r="N776">
        <v>21</v>
      </c>
      <c r="O776">
        <v>3</v>
      </c>
      <c r="P776">
        <v>1</v>
      </c>
      <c r="Q776">
        <v>0.77927720741656403</v>
      </c>
      <c r="R776">
        <v>1.5</v>
      </c>
      <c r="T776" s="340" t="str">
        <f t="shared" si="69"/>
        <v>1999FemaleNon-Maori23Submersion (drowning)</v>
      </c>
      <c r="U776">
        <v>1999</v>
      </c>
      <c r="V776" t="s">
        <v>8</v>
      </c>
      <c r="W776" t="s">
        <v>19</v>
      </c>
      <c r="X776">
        <v>23</v>
      </c>
      <c r="Y776" t="s">
        <v>49</v>
      </c>
      <c r="Z776">
        <v>1</v>
      </c>
      <c r="AA776">
        <v>48</v>
      </c>
      <c r="AB776">
        <v>2.1</v>
      </c>
    </row>
    <row r="777" spans="1:28">
      <c r="A777" t="str">
        <f t="shared" si="67"/>
        <v>2008MaleNon-Maori25</v>
      </c>
      <c r="B777">
        <v>2008</v>
      </c>
      <c r="C777" t="s">
        <v>20</v>
      </c>
      <c r="D777" t="s">
        <v>19</v>
      </c>
      <c r="E777">
        <v>25</v>
      </c>
      <c r="F777">
        <v>35</v>
      </c>
      <c r="G777">
        <v>15.281840806881201</v>
      </c>
      <c r="H777">
        <v>5.0999999999999996</v>
      </c>
      <c r="J777" s="340" t="str">
        <f t="shared" si="68"/>
        <v>2001AllSexNon-Maori214</v>
      </c>
      <c r="K777">
        <v>2001</v>
      </c>
      <c r="L777" t="s">
        <v>17</v>
      </c>
      <c r="M777" t="s">
        <v>19</v>
      </c>
      <c r="N777">
        <v>21</v>
      </c>
      <c r="O777">
        <v>4</v>
      </c>
      <c r="P777">
        <v>0</v>
      </c>
      <c r="Q777">
        <v>0</v>
      </c>
      <c r="T777" s="340" t="str">
        <f t="shared" si="69"/>
        <v>1999FemaleNon-Maori24Submersion (drowning)</v>
      </c>
      <c r="U777">
        <v>1999</v>
      </c>
      <c r="V777" t="s">
        <v>8</v>
      </c>
      <c r="W777" t="s">
        <v>19</v>
      </c>
      <c r="X777">
        <v>24</v>
      </c>
      <c r="Y777" t="s">
        <v>49</v>
      </c>
      <c r="Z777">
        <v>3</v>
      </c>
      <c r="AA777">
        <v>21</v>
      </c>
      <c r="AB777">
        <v>14.3</v>
      </c>
    </row>
    <row r="778" spans="1:28">
      <c r="A778" t="str">
        <f t="shared" si="67"/>
        <v>2009AllSexAllEth21</v>
      </c>
      <c r="B778">
        <v>2009</v>
      </c>
      <c r="C778" t="s">
        <v>17</v>
      </c>
      <c r="D778" t="s">
        <v>27</v>
      </c>
      <c r="E778">
        <v>21</v>
      </c>
      <c r="F778">
        <v>10</v>
      </c>
      <c r="G778">
        <v>1.1096069772086701</v>
      </c>
      <c r="H778">
        <v>0.7</v>
      </c>
      <c r="J778" s="340" t="str">
        <f t="shared" si="68"/>
        <v>2001AllSexNon-Maori215</v>
      </c>
      <c r="K778">
        <v>2001</v>
      </c>
      <c r="L778" t="s">
        <v>17</v>
      </c>
      <c r="M778" t="s">
        <v>19</v>
      </c>
      <c r="N778">
        <v>21</v>
      </c>
      <c r="O778">
        <v>5</v>
      </c>
      <c r="P778">
        <v>1</v>
      </c>
      <c r="Q778">
        <v>0.922388671263908</v>
      </c>
      <c r="R778">
        <v>1.8</v>
      </c>
      <c r="T778" s="340" t="str">
        <f t="shared" si="69"/>
        <v>1999FemaleNon-Maori25Submersion (drowning)</v>
      </c>
      <c r="U778">
        <v>1999</v>
      </c>
      <c r="V778" t="s">
        <v>8</v>
      </c>
      <c r="W778" t="s">
        <v>19</v>
      </c>
      <c r="X778">
        <v>25</v>
      </c>
      <c r="Y778" t="s">
        <v>49</v>
      </c>
      <c r="Z778">
        <v>1</v>
      </c>
      <c r="AA778">
        <v>16</v>
      </c>
      <c r="AB778">
        <v>6.2</v>
      </c>
    </row>
    <row r="779" spans="1:28">
      <c r="A779" t="str">
        <f t="shared" si="67"/>
        <v>2009AllSexAllEth22</v>
      </c>
      <c r="B779">
        <v>2009</v>
      </c>
      <c r="C779" t="s">
        <v>17</v>
      </c>
      <c r="D779" t="s">
        <v>27</v>
      </c>
      <c r="E779">
        <v>22</v>
      </c>
      <c r="F779">
        <v>116</v>
      </c>
      <c r="G779">
        <v>19.004554539794899</v>
      </c>
      <c r="H779">
        <v>3.5</v>
      </c>
      <c r="J779" s="340" t="str">
        <f t="shared" si="68"/>
        <v>2001AllSexNon-Maori221</v>
      </c>
      <c r="K779">
        <v>2001</v>
      </c>
      <c r="L779" t="s">
        <v>17</v>
      </c>
      <c r="M779" t="s">
        <v>19</v>
      </c>
      <c r="N779">
        <v>22</v>
      </c>
      <c r="O779">
        <v>1</v>
      </c>
      <c r="P779">
        <v>15</v>
      </c>
      <c r="Q779">
        <v>17.6905848755721</v>
      </c>
      <c r="R779">
        <v>9</v>
      </c>
      <c r="T779" s="340" t="str">
        <f t="shared" si="69"/>
        <v>1999MaleAllEth22Firearms and explosives</v>
      </c>
      <c r="U779">
        <v>1999</v>
      </c>
      <c r="V779" t="s">
        <v>20</v>
      </c>
      <c r="W779" t="s">
        <v>27</v>
      </c>
      <c r="X779">
        <v>22</v>
      </c>
      <c r="Y779" t="s">
        <v>42</v>
      </c>
      <c r="Z779">
        <v>3</v>
      </c>
      <c r="AA779">
        <v>82</v>
      </c>
      <c r="AB779">
        <v>3.7</v>
      </c>
    </row>
    <row r="780" spans="1:28">
      <c r="A780" t="str">
        <f t="shared" si="67"/>
        <v>2009AllSexAllEth23</v>
      </c>
      <c r="B780">
        <v>2009</v>
      </c>
      <c r="C780" t="s">
        <v>17</v>
      </c>
      <c r="D780" t="s">
        <v>27</v>
      </c>
      <c r="E780">
        <v>23</v>
      </c>
      <c r="F780">
        <v>173</v>
      </c>
      <c r="G780">
        <v>14.832724591457</v>
      </c>
      <c r="H780">
        <v>2.2000000000000002</v>
      </c>
      <c r="J780" s="340" t="str">
        <f t="shared" si="68"/>
        <v>2001AllSexNon-Maori222</v>
      </c>
      <c r="K780">
        <v>2001</v>
      </c>
      <c r="L780" t="s">
        <v>17</v>
      </c>
      <c r="M780" t="s">
        <v>19</v>
      </c>
      <c r="N780">
        <v>22</v>
      </c>
      <c r="O780">
        <v>2</v>
      </c>
      <c r="P780">
        <v>7</v>
      </c>
      <c r="Q780">
        <v>8.1447498572912203</v>
      </c>
      <c r="R780">
        <v>6</v>
      </c>
      <c r="T780" s="340" t="str">
        <f t="shared" si="69"/>
        <v>1999MaleAllEth23Firearms and explosives</v>
      </c>
      <c r="U780">
        <v>1999</v>
      </c>
      <c r="V780" t="s">
        <v>20</v>
      </c>
      <c r="W780" t="s">
        <v>27</v>
      </c>
      <c r="X780">
        <v>23</v>
      </c>
      <c r="Y780" t="s">
        <v>42</v>
      </c>
      <c r="Z780">
        <v>20</v>
      </c>
      <c r="AA780">
        <v>180</v>
      </c>
      <c r="AB780">
        <v>11.1</v>
      </c>
    </row>
    <row r="781" spans="1:28">
      <c r="A781" t="str">
        <f t="shared" si="67"/>
        <v>2009AllSexAllEth24</v>
      </c>
      <c r="B781">
        <v>2009</v>
      </c>
      <c r="C781" t="s">
        <v>17</v>
      </c>
      <c r="D781" t="s">
        <v>27</v>
      </c>
      <c r="E781">
        <v>24</v>
      </c>
      <c r="F781">
        <v>159</v>
      </c>
      <c r="G781">
        <v>14.740238068750701</v>
      </c>
      <c r="H781">
        <v>2.2999999999999998</v>
      </c>
      <c r="J781" s="340" t="str">
        <f t="shared" si="68"/>
        <v>2001AllSexNon-Maori223</v>
      </c>
      <c r="K781">
        <v>2001</v>
      </c>
      <c r="L781" t="s">
        <v>17</v>
      </c>
      <c r="M781" t="s">
        <v>19</v>
      </c>
      <c r="N781">
        <v>22</v>
      </c>
      <c r="O781">
        <v>3</v>
      </c>
      <c r="P781">
        <v>15</v>
      </c>
      <c r="Q781">
        <v>17.2430824598</v>
      </c>
      <c r="R781">
        <v>8.6999999999999993</v>
      </c>
      <c r="T781" s="340" t="str">
        <f t="shared" si="69"/>
        <v>1999MaleAllEth24Firearms and explosives</v>
      </c>
      <c r="U781">
        <v>1999</v>
      </c>
      <c r="V781" t="s">
        <v>20</v>
      </c>
      <c r="W781" t="s">
        <v>27</v>
      </c>
      <c r="X781">
        <v>24</v>
      </c>
      <c r="Y781" t="s">
        <v>42</v>
      </c>
      <c r="Z781">
        <v>13</v>
      </c>
      <c r="AA781">
        <v>83</v>
      </c>
      <c r="AB781">
        <v>15.7</v>
      </c>
    </row>
    <row r="782" spans="1:28">
      <c r="A782" t="str">
        <f t="shared" si="67"/>
        <v>2009AllSexAllEth25</v>
      </c>
      <c r="B782">
        <v>2009</v>
      </c>
      <c r="C782" t="s">
        <v>17</v>
      </c>
      <c r="D782" t="s">
        <v>27</v>
      </c>
      <c r="E782">
        <v>25</v>
      </c>
      <c r="F782">
        <v>54</v>
      </c>
      <c r="G782">
        <v>9.8484433988072393</v>
      </c>
      <c r="H782">
        <v>2.6</v>
      </c>
      <c r="J782" s="340" t="str">
        <f t="shared" si="68"/>
        <v>2001AllSexNon-Maori224</v>
      </c>
      <c r="K782">
        <v>2001</v>
      </c>
      <c r="L782" t="s">
        <v>17</v>
      </c>
      <c r="M782" t="s">
        <v>19</v>
      </c>
      <c r="N782">
        <v>22</v>
      </c>
      <c r="O782">
        <v>4</v>
      </c>
      <c r="P782">
        <v>18</v>
      </c>
      <c r="Q782">
        <v>20.616652964723102</v>
      </c>
      <c r="R782">
        <v>9.5</v>
      </c>
      <c r="T782" s="340" t="str">
        <f t="shared" si="69"/>
        <v>1999MaleAllEth25Firearms and explosives</v>
      </c>
      <c r="U782">
        <v>1999</v>
      </c>
      <c r="V782" t="s">
        <v>20</v>
      </c>
      <c r="W782" t="s">
        <v>27</v>
      </c>
      <c r="X782">
        <v>25</v>
      </c>
      <c r="Y782" t="s">
        <v>42</v>
      </c>
      <c r="Z782">
        <v>7</v>
      </c>
      <c r="AA782">
        <v>36</v>
      </c>
      <c r="AB782">
        <v>19.399999999999999</v>
      </c>
    </row>
    <row r="783" spans="1:28">
      <c r="A783" t="str">
        <f t="shared" si="67"/>
        <v>2009AllSexMaori21</v>
      </c>
      <c r="B783">
        <v>2009</v>
      </c>
      <c r="C783" t="s">
        <v>17</v>
      </c>
      <c r="D783" t="s">
        <v>18</v>
      </c>
      <c r="E783">
        <v>21</v>
      </c>
      <c r="F783">
        <v>5</v>
      </c>
      <c r="G783">
        <v>2.21425091891413</v>
      </c>
      <c r="H783">
        <v>1.9</v>
      </c>
      <c r="J783" s="340" t="str">
        <f t="shared" si="68"/>
        <v>2001AllSexNon-Maori225</v>
      </c>
      <c r="K783">
        <v>2001</v>
      </c>
      <c r="L783" t="s">
        <v>17</v>
      </c>
      <c r="M783" t="s">
        <v>19</v>
      </c>
      <c r="N783">
        <v>22</v>
      </c>
      <c r="O783">
        <v>5</v>
      </c>
      <c r="P783">
        <v>12</v>
      </c>
      <c r="Q783">
        <v>14.1668591802989</v>
      </c>
      <c r="R783">
        <v>8</v>
      </c>
      <c r="T783" s="340" t="str">
        <f t="shared" si="69"/>
        <v>1999MaleAllEth21Hanging, strangulation and suffocation</v>
      </c>
      <c r="U783">
        <v>1999</v>
      </c>
      <c r="V783" t="s">
        <v>20</v>
      </c>
      <c r="W783" t="s">
        <v>27</v>
      </c>
      <c r="X783">
        <v>21</v>
      </c>
      <c r="Y783" t="s">
        <v>43</v>
      </c>
      <c r="Z783">
        <v>3</v>
      </c>
      <c r="AA783">
        <v>3</v>
      </c>
      <c r="AB783">
        <v>100</v>
      </c>
    </row>
    <row r="784" spans="1:28">
      <c r="A784" t="str">
        <f t="shared" si="67"/>
        <v>2009AllSexMaori22</v>
      </c>
      <c r="B784">
        <v>2009</v>
      </c>
      <c r="C784" t="s">
        <v>17</v>
      </c>
      <c r="D784" t="s">
        <v>18</v>
      </c>
      <c r="E784">
        <v>22</v>
      </c>
      <c r="F784">
        <v>35</v>
      </c>
      <c r="G784">
        <v>28.863598878443</v>
      </c>
      <c r="H784">
        <v>9.6</v>
      </c>
      <c r="J784" s="340" t="str">
        <f t="shared" si="68"/>
        <v>2001AllSexNon-Maori231</v>
      </c>
      <c r="K784">
        <v>2001</v>
      </c>
      <c r="L784" t="s">
        <v>17</v>
      </c>
      <c r="M784" t="s">
        <v>19</v>
      </c>
      <c r="N784">
        <v>23</v>
      </c>
      <c r="O784">
        <v>1</v>
      </c>
      <c r="P784">
        <v>26</v>
      </c>
      <c r="Q784">
        <v>11.9634015119181</v>
      </c>
      <c r="R784">
        <v>4.5999999999999996</v>
      </c>
      <c r="T784" s="340" t="str">
        <f t="shared" si="69"/>
        <v>1999MaleAllEth22Hanging, strangulation and suffocation</v>
      </c>
      <c r="U784">
        <v>1999</v>
      </c>
      <c r="V784" t="s">
        <v>20</v>
      </c>
      <c r="W784" t="s">
        <v>27</v>
      </c>
      <c r="X784">
        <v>22</v>
      </c>
      <c r="Y784" t="s">
        <v>43</v>
      </c>
      <c r="Z784">
        <v>54</v>
      </c>
      <c r="AA784">
        <v>82</v>
      </c>
      <c r="AB784">
        <v>65.900000000000006</v>
      </c>
    </row>
    <row r="785" spans="1:28">
      <c r="A785" t="str">
        <f t="shared" si="67"/>
        <v>2009AllSexMaori23</v>
      </c>
      <c r="B785">
        <v>2009</v>
      </c>
      <c r="C785" t="s">
        <v>17</v>
      </c>
      <c r="D785" t="s">
        <v>18</v>
      </c>
      <c r="E785">
        <v>23</v>
      </c>
      <c r="F785">
        <v>31</v>
      </c>
      <c r="G785">
        <v>18.520731270163701</v>
      </c>
      <c r="H785">
        <v>6.5</v>
      </c>
      <c r="J785" s="340" t="str">
        <f t="shared" si="68"/>
        <v>2001AllSexNon-Maori232</v>
      </c>
      <c r="K785">
        <v>2001</v>
      </c>
      <c r="L785" t="s">
        <v>17</v>
      </c>
      <c r="M785" t="s">
        <v>19</v>
      </c>
      <c r="N785">
        <v>23</v>
      </c>
      <c r="O785">
        <v>2</v>
      </c>
      <c r="P785">
        <v>38</v>
      </c>
      <c r="Q785">
        <v>17.1993372196237</v>
      </c>
      <c r="R785">
        <v>5.5</v>
      </c>
      <c r="T785" s="340" t="str">
        <f t="shared" si="69"/>
        <v>1999MaleAllEth23Hanging, strangulation and suffocation</v>
      </c>
      <c r="U785">
        <v>1999</v>
      </c>
      <c r="V785" t="s">
        <v>20</v>
      </c>
      <c r="W785" t="s">
        <v>27</v>
      </c>
      <c r="X785">
        <v>23</v>
      </c>
      <c r="Y785" t="s">
        <v>43</v>
      </c>
      <c r="Z785">
        <v>77</v>
      </c>
      <c r="AA785">
        <v>180</v>
      </c>
      <c r="AB785">
        <v>42.8</v>
      </c>
    </row>
    <row r="786" spans="1:28">
      <c r="A786" t="str">
        <f t="shared" si="67"/>
        <v>2009AllSexMaori24</v>
      </c>
      <c r="B786">
        <v>2009</v>
      </c>
      <c r="C786" t="s">
        <v>17</v>
      </c>
      <c r="D786" t="s">
        <v>18</v>
      </c>
      <c r="E786">
        <v>24</v>
      </c>
      <c r="F786">
        <v>11</v>
      </c>
      <c r="G786">
        <v>9.8858632156016899</v>
      </c>
      <c r="H786">
        <v>5.8</v>
      </c>
      <c r="J786" s="340" t="str">
        <f t="shared" si="68"/>
        <v>2001AllSexNon-Maori233</v>
      </c>
      <c r="K786">
        <v>2001</v>
      </c>
      <c r="L786" t="s">
        <v>17</v>
      </c>
      <c r="M786" t="s">
        <v>19</v>
      </c>
      <c r="N786">
        <v>23</v>
      </c>
      <c r="O786">
        <v>3</v>
      </c>
      <c r="P786">
        <v>38</v>
      </c>
      <c r="Q786">
        <v>18.0534150264122</v>
      </c>
      <c r="R786">
        <v>5.7</v>
      </c>
      <c r="T786" s="340" t="str">
        <f t="shared" si="69"/>
        <v>1999MaleAllEth24Hanging, strangulation and suffocation</v>
      </c>
      <c r="U786">
        <v>1999</v>
      </c>
      <c r="V786" t="s">
        <v>20</v>
      </c>
      <c r="W786" t="s">
        <v>27</v>
      </c>
      <c r="X786">
        <v>24</v>
      </c>
      <c r="Y786" t="s">
        <v>43</v>
      </c>
      <c r="Z786">
        <v>34</v>
      </c>
      <c r="AA786">
        <v>83</v>
      </c>
      <c r="AB786">
        <v>41</v>
      </c>
    </row>
    <row r="787" spans="1:28">
      <c r="A787" t="str">
        <f t="shared" si="67"/>
        <v>2009AllSexMaori25</v>
      </c>
      <c r="B787">
        <v>2009</v>
      </c>
      <c r="C787" t="s">
        <v>17</v>
      </c>
      <c r="D787" t="s">
        <v>18</v>
      </c>
      <c r="E787">
        <v>25</v>
      </c>
      <c r="F787">
        <v>1</v>
      </c>
      <c r="G787">
        <v>3.4048348655090201</v>
      </c>
      <c r="H787">
        <v>6.7</v>
      </c>
      <c r="J787" s="340" t="str">
        <f t="shared" si="68"/>
        <v>2001AllSexNon-Maori234</v>
      </c>
      <c r="K787">
        <v>2001</v>
      </c>
      <c r="L787" t="s">
        <v>17</v>
      </c>
      <c r="M787" t="s">
        <v>19</v>
      </c>
      <c r="N787">
        <v>23</v>
      </c>
      <c r="O787">
        <v>4</v>
      </c>
      <c r="P787">
        <v>47</v>
      </c>
      <c r="Q787">
        <v>24.758869512209898</v>
      </c>
      <c r="R787">
        <v>7.1</v>
      </c>
      <c r="T787" s="340" t="str">
        <f t="shared" si="69"/>
        <v>1999MaleAllEth25Hanging, strangulation and suffocation</v>
      </c>
      <c r="U787">
        <v>1999</v>
      </c>
      <c r="V787" t="s">
        <v>20</v>
      </c>
      <c r="W787" t="s">
        <v>27</v>
      </c>
      <c r="X787">
        <v>25</v>
      </c>
      <c r="Y787" t="s">
        <v>43</v>
      </c>
      <c r="Z787">
        <v>13</v>
      </c>
      <c r="AA787">
        <v>36</v>
      </c>
      <c r="AB787">
        <v>36.1</v>
      </c>
    </row>
    <row r="788" spans="1:28">
      <c r="A788" t="str">
        <f t="shared" si="67"/>
        <v>2009AllSexNon-Maori21</v>
      </c>
      <c r="B788">
        <v>2009</v>
      </c>
      <c r="C788" t="s">
        <v>17</v>
      </c>
      <c r="D788" t="s">
        <v>19</v>
      </c>
      <c r="E788">
        <v>21</v>
      </c>
      <c r="F788">
        <v>5</v>
      </c>
      <c r="G788">
        <v>0.74029108245362096</v>
      </c>
      <c r="H788">
        <v>0.6</v>
      </c>
      <c r="J788" s="340" t="str">
        <f t="shared" si="68"/>
        <v>2001AllSexNon-Maori235</v>
      </c>
      <c r="K788">
        <v>2001</v>
      </c>
      <c r="L788" t="s">
        <v>17</v>
      </c>
      <c r="M788" t="s">
        <v>19</v>
      </c>
      <c r="N788">
        <v>23</v>
      </c>
      <c r="O788">
        <v>5</v>
      </c>
      <c r="P788">
        <v>35</v>
      </c>
      <c r="Q788">
        <v>24.0906956309463</v>
      </c>
      <c r="R788">
        <v>8</v>
      </c>
      <c r="T788" s="340" t="str">
        <f t="shared" si="69"/>
        <v>1999MaleAllEth22Jumping from a high place</v>
      </c>
      <c r="U788">
        <v>1999</v>
      </c>
      <c r="V788" t="s">
        <v>20</v>
      </c>
      <c r="W788" t="s">
        <v>27</v>
      </c>
      <c r="X788">
        <v>22</v>
      </c>
      <c r="Y788" t="s">
        <v>44</v>
      </c>
      <c r="Z788">
        <v>8</v>
      </c>
      <c r="AA788">
        <v>82</v>
      </c>
      <c r="AB788">
        <v>9.8000000000000007</v>
      </c>
    </row>
    <row r="789" spans="1:28">
      <c r="A789" t="str">
        <f t="shared" si="67"/>
        <v>2009AllSexNon-Maori22</v>
      </c>
      <c r="B789">
        <v>2009</v>
      </c>
      <c r="C789" t="s">
        <v>17</v>
      </c>
      <c r="D789" t="s">
        <v>19</v>
      </c>
      <c r="E789">
        <v>22</v>
      </c>
      <c r="F789">
        <v>81</v>
      </c>
      <c r="G789">
        <v>16.560353287536799</v>
      </c>
      <c r="H789">
        <v>3.6</v>
      </c>
      <c r="J789" s="340" t="str">
        <f t="shared" si="68"/>
        <v>2001AllSexNon-Maori241</v>
      </c>
      <c r="K789">
        <v>2001</v>
      </c>
      <c r="L789" t="s">
        <v>17</v>
      </c>
      <c r="M789" t="s">
        <v>19</v>
      </c>
      <c r="N789">
        <v>24</v>
      </c>
      <c r="O789">
        <v>1</v>
      </c>
      <c r="P789">
        <v>12</v>
      </c>
      <c r="Q789">
        <v>5.7201700883712601</v>
      </c>
      <c r="R789">
        <v>3.2</v>
      </c>
      <c r="T789" s="340" t="str">
        <f t="shared" si="69"/>
        <v>1999MaleAllEth23Jumping from a high place</v>
      </c>
      <c r="U789">
        <v>1999</v>
      </c>
      <c r="V789" t="s">
        <v>20</v>
      </c>
      <c r="W789" t="s">
        <v>27</v>
      </c>
      <c r="X789">
        <v>23</v>
      </c>
      <c r="Y789" t="s">
        <v>44</v>
      </c>
      <c r="Z789">
        <v>3</v>
      </c>
      <c r="AA789">
        <v>180</v>
      </c>
      <c r="AB789">
        <v>1.7</v>
      </c>
    </row>
    <row r="790" spans="1:28">
      <c r="A790" t="str">
        <f t="shared" si="67"/>
        <v>2009AllSexNon-Maori23</v>
      </c>
      <c r="B790">
        <v>2009</v>
      </c>
      <c r="C790" t="s">
        <v>17</v>
      </c>
      <c r="D790" t="s">
        <v>19</v>
      </c>
      <c r="E790">
        <v>23</v>
      </c>
      <c r="F790">
        <v>142</v>
      </c>
      <c r="G790">
        <v>14.2147833747097</v>
      </c>
      <c r="H790">
        <v>2.2999999999999998</v>
      </c>
      <c r="J790" s="340" t="str">
        <f t="shared" si="68"/>
        <v>2001AllSexNon-Maori242</v>
      </c>
      <c r="K790">
        <v>2001</v>
      </c>
      <c r="L790" t="s">
        <v>17</v>
      </c>
      <c r="M790" t="s">
        <v>19</v>
      </c>
      <c r="N790">
        <v>24</v>
      </c>
      <c r="O790">
        <v>2</v>
      </c>
      <c r="P790">
        <v>12</v>
      </c>
      <c r="Q790">
        <v>6.6545997726997399</v>
      </c>
      <c r="R790">
        <v>3.8</v>
      </c>
      <c r="T790" s="340" t="str">
        <f t="shared" si="69"/>
        <v>1999MaleAllEth24Jumping from a high place</v>
      </c>
      <c r="U790">
        <v>1999</v>
      </c>
      <c r="V790" t="s">
        <v>20</v>
      </c>
      <c r="W790" t="s">
        <v>27</v>
      </c>
      <c r="X790">
        <v>24</v>
      </c>
      <c r="Y790" t="s">
        <v>44</v>
      </c>
      <c r="Z790">
        <v>2</v>
      </c>
      <c r="AA790">
        <v>83</v>
      </c>
      <c r="AB790">
        <v>2.4</v>
      </c>
    </row>
    <row r="791" spans="1:28">
      <c r="A791" t="str">
        <f t="shared" si="67"/>
        <v>2009AllSexNon-Maori24</v>
      </c>
      <c r="B791">
        <v>2009</v>
      </c>
      <c r="C791" t="s">
        <v>17</v>
      </c>
      <c r="D791" t="s">
        <v>19</v>
      </c>
      <c r="E791">
        <v>24</v>
      </c>
      <c r="F791">
        <v>148</v>
      </c>
      <c r="G791">
        <v>15.298580746529399</v>
      </c>
      <c r="H791">
        <v>2.5</v>
      </c>
      <c r="J791" s="340" t="str">
        <f t="shared" si="68"/>
        <v>2001AllSexNon-Maori243</v>
      </c>
      <c r="K791">
        <v>2001</v>
      </c>
      <c r="L791" t="s">
        <v>17</v>
      </c>
      <c r="M791" t="s">
        <v>19</v>
      </c>
      <c r="N791">
        <v>24</v>
      </c>
      <c r="O791">
        <v>3</v>
      </c>
      <c r="P791">
        <v>20</v>
      </c>
      <c r="Q791">
        <v>12.794450782041199</v>
      </c>
      <c r="R791">
        <v>5.6</v>
      </c>
      <c r="T791" s="340" t="str">
        <f t="shared" si="69"/>
        <v>1999MaleAllEth22Other</v>
      </c>
      <c r="U791">
        <v>1999</v>
      </c>
      <c r="V791" t="s">
        <v>20</v>
      </c>
      <c r="W791" t="s">
        <v>27</v>
      </c>
      <c r="X791">
        <v>22</v>
      </c>
      <c r="Y791" t="s">
        <v>45</v>
      </c>
      <c r="Z791">
        <v>3</v>
      </c>
      <c r="AA791">
        <v>82</v>
      </c>
      <c r="AB791">
        <v>3.7</v>
      </c>
    </row>
    <row r="792" spans="1:28">
      <c r="A792" t="str">
        <f t="shared" si="67"/>
        <v>2009AllSexNon-Maori25</v>
      </c>
      <c r="B792">
        <v>2009</v>
      </c>
      <c r="C792" t="s">
        <v>17</v>
      </c>
      <c r="D792" t="s">
        <v>19</v>
      </c>
      <c r="E792">
        <v>25</v>
      </c>
      <c r="F792">
        <v>53</v>
      </c>
      <c r="G792">
        <v>10.2131267583921</v>
      </c>
      <c r="H792">
        <v>2.7</v>
      </c>
      <c r="J792" s="340" t="str">
        <f t="shared" si="68"/>
        <v>2001AllSexNon-Maori244</v>
      </c>
      <c r="K792">
        <v>2001</v>
      </c>
      <c r="L792" t="s">
        <v>17</v>
      </c>
      <c r="M792" t="s">
        <v>19</v>
      </c>
      <c r="N792">
        <v>24</v>
      </c>
      <c r="O792">
        <v>4</v>
      </c>
      <c r="P792">
        <v>15</v>
      </c>
      <c r="Q792">
        <v>11.1997566596461</v>
      </c>
      <c r="R792">
        <v>5.7</v>
      </c>
      <c r="T792" s="340" t="str">
        <f t="shared" si="69"/>
        <v>1999MaleAllEth23Other</v>
      </c>
      <c r="U792">
        <v>1999</v>
      </c>
      <c r="V792" t="s">
        <v>20</v>
      </c>
      <c r="W792" t="s">
        <v>27</v>
      </c>
      <c r="X792">
        <v>23</v>
      </c>
      <c r="Y792" t="s">
        <v>45</v>
      </c>
      <c r="Z792">
        <v>6</v>
      </c>
      <c r="AA792">
        <v>180</v>
      </c>
      <c r="AB792">
        <v>3.3</v>
      </c>
    </row>
    <row r="793" spans="1:28">
      <c r="A793" t="str">
        <f t="shared" si="67"/>
        <v>2009FemaleAllEth21</v>
      </c>
      <c r="B793">
        <v>2009</v>
      </c>
      <c r="C793" t="s">
        <v>8</v>
      </c>
      <c r="D793" t="s">
        <v>27</v>
      </c>
      <c r="E793">
        <v>21</v>
      </c>
      <c r="F793">
        <v>4</v>
      </c>
      <c r="G793">
        <v>0.91099571832012405</v>
      </c>
      <c r="H793">
        <v>0.9</v>
      </c>
      <c r="J793" s="340" t="str">
        <f t="shared" si="68"/>
        <v>2001AllSexNon-Maori245</v>
      </c>
      <c r="K793">
        <v>2001</v>
      </c>
      <c r="L793" t="s">
        <v>17</v>
      </c>
      <c r="M793" t="s">
        <v>19</v>
      </c>
      <c r="N793">
        <v>24</v>
      </c>
      <c r="O793">
        <v>5</v>
      </c>
      <c r="P793">
        <v>13</v>
      </c>
      <c r="Q793">
        <v>13.1751796695017</v>
      </c>
      <c r="R793">
        <v>7.2</v>
      </c>
      <c r="T793" s="340" t="str">
        <f t="shared" si="69"/>
        <v>1999MaleAllEth24Other</v>
      </c>
      <c r="U793">
        <v>1999</v>
      </c>
      <c r="V793" t="s">
        <v>20</v>
      </c>
      <c r="W793" t="s">
        <v>27</v>
      </c>
      <c r="X793">
        <v>24</v>
      </c>
      <c r="Y793" t="s">
        <v>45</v>
      </c>
      <c r="Z793">
        <v>3</v>
      </c>
      <c r="AA793">
        <v>83</v>
      </c>
      <c r="AB793">
        <v>3.6</v>
      </c>
    </row>
    <row r="794" spans="1:28">
      <c r="A794" t="str">
        <f t="shared" si="67"/>
        <v>2009FemaleAllEth22</v>
      </c>
      <c r="B794">
        <v>2009</v>
      </c>
      <c r="C794" t="s">
        <v>8</v>
      </c>
      <c r="D794" t="s">
        <v>27</v>
      </c>
      <c r="E794">
        <v>22</v>
      </c>
      <c r="F794">
        <v>21</v>
      </c>
      <c r="G794">
        <v>6.9318369367882502</v>
      </c>
      <c r="H794">
        <v>3</v>
      </c>
      <c r="J794" s="340" t="str">
        <f t="shared" si="68"/>
        <v>2001AllSexNon-Maori251</v>
      </c>
      <c r="K794">
        <v>2001</v>
      </c>
      <c r="L794" t="s">
        <v>17</v>
      </c>
      <c r="M794" t="s">
        <v>19</v>
      </c>
      <c r="N794">
        <v>25</v>
      </c>
      <c r="O794">
        <v>1</v>
      </c>
      <c r="P794">
        <v>8</v>
      </c>
      <c r="Q794">
        <v>8.9719676969896494</v>
      </c>
      <c r="R794">
        <v>6.2</v>
      </c>
      <c r="T794" s="340" t="str">
        <f t="shared" si="69"/>
        <v>1999MaleAllEth25Other</v>
      </c>
      <c r="U794">
        <v>1999</v>
      </c>
      <c r="V794" t="s">
        <v>20</v>
      </c>
      <c r="W794" t="s">
        <v>27</v>
      </c>
      <c r="X794">
        <v>25</v>
      </c>
      <c r="Y794" t="s">
        <v>45</v>
      </c>
      <c r="Z794">
        <v>1</v>
      </c>
      <c r="AA794">
        <v>36</v>
      </c>
      <c r="AB794">
        <v>2.8</v>
      </c>
    </row>
    <row r="795" spans="1:28">
      <c r="A795" t="str">
        <f t="shared" si="67"/>
        <v>2009FemaleAllEth23</v>
      </c>
      <c r="B795">
        <v>2009</v>
      </c>
      <c r="C795" t="s">
        <v>8</v>
      </c>
      <c r="D795" t="s">
        <v>27</v>
      </c>
      <c r="E795">
        <v>23</v>
      </c>
      <c r="F795">
        <v>41</v>
      </c>
      <c r="G795">
        <v>6.7636675574911704</v>
      </c>
      <c r="H795">
        <v>2.1</v>
      </c>
      <c r="J795" s="340" t="str">
        <f t="shared" si="68"/>
        <v>2001AllSexNon-Maori252</v>
      </c>
      <c r="K795">
        <v>2001</v>
      </c>
      <c r="L795" t="s">
        <v>17</v>
      </c>
      <c r="M795" t="s">
        <v>19</v>
      </c>
      <c r="N795">
        <v>25</v>
      </c>
      <c r="O795">
        <v>2</v>
      </c>
      <c r="P795">
        <v>10</v>
      </c>
      <c r="Q795">
        <v>10.6060165357865</v>
      </c>
      <c r="R795">
        <v>6.6</v>
      </c>
      <c r="T795" s="340" t="str">
        <f t="shared" si="69"/>
        <v>1999MaleAllEth22Poisoning by gases and vapours</v>
      </c>
      <c r="U795">
        <v>1999</v>
      </c>
      <c r="V795" t="s">
        <v>20</v>
      </c>
      <c r="W795" t="s">
        <v>27</v>
      </c>
      <c r="X795">
        <v>22</v>
      </c>
      <c r="Y795" t="s">
        <v>46</v>
      </c>
      <c r="Z795">
        <v>11</v>
      </c>
      <c r="AA795">
        <v>82</v>
      </c>
      <c r="AB795">
        <v>13.4</v>
      </c>
    </row>
    <row r="796" spans="1:28">
      <c r="A796" t="str">
        <f t="shared" si="67"/>
        <v>2009FemaleAllEth24</v>
      </c>
      <c r="B796">
        <v>2009</v>
      </c>
      <c r="C796" t="s">
        <v>8</v>
      </c>
      <c r="D796" t="s">
        <v>27</v>
      </c>
      <c r="E796">
        <v>24</v>
      </c>
      <c r="F796">
        <v>39</v>
      </c>
      <c r="G796">
        <v>7.0749582758870897</v>
      </c>
      <c r="H796">
        <v>2.2000000000000002</v>
      </c>
      <c r="J796" s="340" t="str">
        <f t="shared" si="68"/>
        <v>2001AllSexNon-Maori253</v>
      </c>
      <c r="K796">
        <v>2001</v>
      </c>
      <c r="L796" t="s">
        <v>17</v>
      </c>
      <c r="M796" t="s">
        <v>19</v>
      </c>
      <c r="N796">
        <v>25</v>
      </c>
      <c r="O796">
        <v>3</v>
      </c>
      <c r="P796">
        <v>14</v>
      </c>
      <c r="Q796">
        <v>14.4757313405518</v>
      </c>
      <c r="R796">
        <v>7.6</v>
      </c>
      <c r="T796" s="340" t="str">
        <f t="shared" si="69"/>
        <v>1999MaleAllEth23Poisoning by gases and vapours</v>
      </c>
      <c r="U796">
        <v>1999</v>
      </c>
      <c r="V796" t="s">
        <v>20</v>
      </c>
      <c r="W796" t="s">
        <v>27</v>
      </c>
      <c r="X796">
        <v>23</v>
      </c>
      <c r="Y796" t="s">
        <v>46</v>
      </c>
      <c r="Z796">
        <v>57</v>
      </c>
      <c r="AA796">
        <v>180</v>
      </c>
      <c r="AB796">
        <v>31.7</v>
      </c>
    </row>
    <row r="797" spans="1:28">
      <c r="A797" t="str">
        <f t="shared" si="67"/>
        <v>2009FemaleAllEth25</v>
      </c>
      <c r="B797">
        <v>2009</v>
      </c>
      <c r="C797" t="s">
        <v>8</v>
      </c>
      <c r="D797" t="s">
        <v>27</v>
      </c>
      <c r="E797">
        <v>25</v>
      </c>
      <c r="F797">
        <v>13</v>
      </c>
      <c r="G797">
        <v>4.3381052491073504</v>
      </c>
      <c r="H797">
        <v>2.4</v>
      </c>
      <c r="J797" s="340" t="str">
        <f t="shared" si="68"/>
        <v>2001AllSexNon-Maori254</v>
      </c>
      <c r="K797">
        <v>2001</v>
      </c>
      <c r="L797" t="s">
        <v>17</v>
      </c>
      <c r="M797" t="s">
        <v>19</v>
      </c>
      <c r="N797">
        <v>25</v>
      </c>
      <c r="O797">
        <v>4</v>
      </c>
      <c r="P797">
        <v>16</v>
      </c>
      <c r="Q797">
        <v>16.9173703039136</v>
      </c>
      <c r="R797">
        <v>8.3000000000000007</v>
      </c>
      <c r="T797" s="340" t="str">
        <f t="shared" si="69"/>
        <v>1999MaleAllEth24Poisoning by gases and vapours</v>
      </c>
      <c r="U797">
        <v>1999</v>
      </c>
      <c r="V797" t="s">
        <v>20</v>
      </c>
      <c r="W797" t="s">
        <v>27</v>
      </c>
      <c r="X797">
        <v>24</v>
      </c>
      <c r="Y797" t="s">
        <v>46</v>
      </c>
      <c r="Z797">
        <v>18</v>
      </c>
      <c r="AA797">
        <v>83</v>
      </c>
      <c r="AB797">
        <v>21.7</v>
      </c>
    </row>
    <row r="798" spans="1:28">
      <c r="A798" t="str">
        <f t="shared" si="67"/>
        <v>2009FemaleMaori21</v>
      </c>
      <c r="B798">
        <v>2009</v>
      </c>
      <c r="C798" t="s">
        <v>8</v>
      </c>
      <c r="D798" t="s">
        <v>18</v>
      </c>
      <c r="E798">
        <v>21</v>
      </c>
      <c r="F798">
        <v>2</v>
      </c>
      <c r="G798">
        <v>1.8216595318335</v>
      </c>
      <c r="H798">
        <v>2.5</v>
      </c>
      <c r="J798" s="340" t="str">
        <f t="shared" si="68"/>
        <v>2001AllSexNon-Maori255</v>
      </c>
      <c r="K798">
        <v>2001</v>
      </c>
      <c r="L798" t="s">
        <v>17</v>
      </c>
      <c r="M798" t="s">
        <v>19</v>
      </c>
      <c r="N798">
        <v>25</v>
      </c>
      <c r="O798">
        <v>5</v>
      </c>
      <c r="P798">
        <v>11</v>
      </c>
      <c r="Q798">
        <v>16.652452257493099</v>
      </c>
      <c r="R798">
        <v>9.8000000000000007</v>
      </c>
      <c r="T798" s="340" t="str">
        <f t="shared" si="69"/>
        <v>1999MaleAllEth25Poisoning by gases and vapours</v>
      </c>
      <c r="U798">
        <v>1999</v>
      </c>
      <c r="V798" t="s">
        <v>20</v>
      </c>
      <c r="W798" t="s">
        <v>27</v>
      </c>
      <c r="X798">
        <v>25</v>
      </c>
      <c r="Y798" t="s">
        <v>46</v>
      </c>
      <c r="Z798">
        <v>9</v>
      </c>
      <c r="AA798">
        <v>36</v>
      </c>
      <c r="AB798">
        <v>25</v>
      </c>
    </row>
    <row r="799" spans="1:28">
      <c r="A799" t="str">
        <f t="shared" si="67"/>
        <v>2009FemaleMaori22</v>
      </c>
      <c r="B799">
        <v>2009</v>
      </c>
      <c r="C799" t="s">
        <v>8</v>
      </c>
      <c r="D799" t="s">
        <v>18</v>
      </c>
      <c r="E799">
        <v>22</v>
      </c>
      <c r="F799">
        <v>11</v>
      </c>
      <c r="G799">
        <v>17.889087656529501</v>
      </c>
      <c r="H799">
        <v>10.6</v>
      </c>
      <c r="J799" s="340" t="str">
        <f t="shared" si="68"/>
        <v>2001FemaleAllEth211</v>
      </c>
      <c r="K799">
        <v>2001</v>
      </c>
      <c r="L799" t="s">
        <v>8</v>
      </c>
      <c r="M799" t="s">
        <v>27</v>
      </c>
      <c r="N799">
        <v>21</v>
      </c>
      <c r="O799">
        <v>1</v>
      </c>
      <c r="P799">
        <v>0</v>
      </c>
      <c r="Q799">
        <v>0</v>
      </c>
      <c r="T799" s="340" t="str">
        <f t="shared" si="69"/>
        <v>1999MaleAllEth22Poisoning by solids and liquids</v>
      </c>
      <c r="U799">
        <v>1999</v>
      </c>
      <c r="V799" t="s">
        <v>20</v>
      </c>
      <c r="W799" t="s">
        <v>27</v>
      </c>
      <c r="X799">
        <v>22</v>
      </c>
      <c r="Y799" t="s">
        <v>47</v>
      </c>
      <c r="Z799">
        <v>3</v>
      </c>
      <c r="AA799">
        <v>82</v>
      </c>
      <c r="AB799">
        <v>3.7</v>
      </c>
    </row>
    <row r="800" spans="1:28">
      <c r="A800" t="str">
        <f t="shared" si="67"/>
        <v>2009FemaleMaori23</v>
      </c>
      <c r="B800">
        <v>2009</v>
      </c>
      <c r="C800" t="s">
        <v>8</v>
      </c>
      <c r="D800" t="s">
        <v>18</v>
      </c>
      <c r="E800">
        <v>23</v>
      </c>
      <c r="F800">
        <v>8</v>
      </c>
      <c r="G800">
        <v>8.9827082865483892</v>
      </c>
      <c r="H800">
        <v>6.2</v>
      </c>
      <c r="J800" s="340" t="str">
        <f t="shared" si="68"/>
        <v>2001FemaleAllEth212</v>
      </c>
      <c r="K800">
        <v>2001</v>
      </c>
      <c r="L800" t="s">
        <v>8</v>
      </c>
      <c r="M800" t="s">
        <v>27</v>
      </c>
      <c r="N800">
        <v>21</v>
      </c>
      <c r="O800">
        <v>2</v>
      </c>
      <c r="P800">
        <v>0</v>
      </c>
      <c r="Q800">
        <v>0</v>
      </c>
      <c r="T800" s="340" t="str">
        <f t="shared" si="69"/>
        <v>1999MaleAllEth23Poisoning by solids and liquids</v>
      </c>
      <c r="U800">
        <v>1999</v>
      </c>
      <c r="V800" t="s">
        <v>20</v>
      </c>
      <c r="W800" t="s">
        <v>27</v>
      </c>
      <c r="X800">
        <v>23</v>
      </c>
      <c r="Y800" t="s">
        <v>47</v>
      </c>
      <c r="Z800">
        <v>9</v>
      </c>
      <c r="AA800">
        <v>180</v>
      </c>
      <c r="AB800">
        <v>5</v>
      </c>
    </row>
    <row r="801" spans="1:28">
      <c r="A801" t="str">
        <f t="shared" si="67"/>
        <v>2009FemaleMaori24</v>
      </c>
      <c r="B801">
        <v>2009</v>
      </c>
      <c r="C801" t="s">
        <v>8</v>
      </c>
      <c r="D801" t="s">
        <v>18</v>
      </c>
      <c r="E801">
        <v>24</v>
      </c>
      <c r="F801">
        <v>4</v>
      </c>
      <c r="G801">
        <v>6.8247739293635901</v>
      </c>
      <c r="H801">
        <v>6.7</v>
      </c>
      <c r="J801" s="340" t="str">
        <f t="shared" si="68"/>
        <v>2001FemaleAllEth213</v>
      </c>
      <c r="K801">
        <v>2001</v>
      </c>
      <c r="L801" t="s">
        <v>8</v>
      </c>
      <c r="M801" t="s">
        <v>27</v>
      </c>
      <c r="N801">
        <v>21</v>
      </c>
      <c r="O801">
        <v>3</v>
      </c>
      <c r="P801">
        <v>0</v>
      </c>
      <c r="Q801">
        <v>0</v>
      </c>
      <c r="T801" s="340" t="str">
        <f t="shared" si="69"/>
        <v>1999MaleAllEth24Poisoning by solids and liquids</v>
      </c>
      <c r="U801">
        <v>1999</v>
      </c>
      <c r="V801" t="s">
        <v>20</v>
      </c>
      <c r="W801" t="s">
        <v>27</v>
      </c>
      <c r="X801">
        <v>24</v>
      </c>
      <c r="Y801" t="s">
        <v>47</v>
      </c>
      <c r="Z801">
        <v>9</v>
      </c>
      <c r="AA801">
        <v>83</v>
      </c>
      <c r="AB801">
        <v>10.8</v>
      </c>
    </row>
    <row r="802" spans="1:28">
      <c r="A802" t="str">
        <f t="shared" si="67"/>
        <v>2009FemaleMaori25</v>
      </c>
      <c r="B802">
        <v>2009</v>
      </c>
      <c r="C802" t="s">
        <v>8</v>
      </c>
      <c r="D802" t="s">
        <v>18</v>
      </c>
      <c r="E802">
        <v>25</v>
      </c>
      <c r="F802">
        <v>0</v>
      </c>
      <c r="G802">
        <v>0</v>
      </c>
      <c r="J802" s="340" t="str">
        <f t="shared" si="68"/>
        <v>2001FemaleAllEth214</v>
      </c>
      <c r="K802">
        <v>2001</v>
      </c>
      <c r="L802" t="s">
        <v>8</v>
      </c>
      <c r="M802" t="s">
        <v>27</v>
      </c>
      <c r="N802">
        <v>21</v>
      </c>
      <c r="O802">
        <v>4</v>
      </c>
      <c r="P802">
        <v>0</v>
      </c>
      <c r="Q802">
        <v>0</v>
      </c>
      <c r="T802" s="340" t="str">
        <f t="shared" si="69"/>
        <v>1999MaleAllEth25Poisoning by solids and liquids</v>
      </c>
      <c r="U802">
        <v>1999</v>
      </c>
      <c r="V802" t="s">
        <v>20</v>
      </c>
      <c r="W802" t="s">
        <v>27</v>
      </c>
      <c r="X802">
        <v>25</v>
      </c>
      <c r="Y802" t="s">
        <v>47</v>
      </c>
      <c r="Z802">
        <v>1</v>
      </c>
      <c r="AA802">
        <v>36</v>
      </c>
      <c r="AB802">
        <v>2.8</v>
      </c>
    </row>
    <row r="803" spans="1:28">
      <c r="A803" t="str">
        <f t="shared" si="67"/>
        <v>2009FemaleNon-Maori21</v>
      </c>
      <c r="B803">
        <v>2009</v>
      </c>
      <c r="C803" t="s">
        <v>8</v>
      </c>
      <c r="D803" t="s">
        <v>19</v>
      </c>
      <c r="E803">
        <v>21</v>
      </c>
      <c r="F803">
        <v>2</v>
      </c>
      <c r="G803">
        <v>0.60736736615141695</v>
      </c>
      <c r="H803">
        <v>0.8</v>
      </c>
      <c r="J803" s="340" t="str">
        <f t="shared" si="68"/>
        <v>2001FemaleAllEth215</v>
      </c>
      <c r="K803">
        <v>2001</v>
      </c>
      <c r="L803" t="s">
        <v>8</v>
      </c>
      <c r="M803" t="s">
        <v>27</v>
      </c>
      <c r="N803">
        <v>21</v>
      </c>
      <c r="O803">
        <v>5</v>
      </c>
      <c r="P803">
        <v>2</v>
      </c>
      <c r="Q803">
        <v>1.9755120951573799</v>
      </c>
      <c r="R803">
        <v>2.7</v>
      </c>
      <c r="T803" s="340" t="str">
        <f t="shared" si="69"/>
        <v>1999MaleAllEth23Sharp object</v>
      </c>
      <c r="U803">
        <v>1999</v>
      </c>
      <c r="V803" t="s">
        <v>20</v>
      </c>
      <c r="W803" t="s">
        <v>27</v>
      </c>
      <c r="X803">
        <v>23</v>
      </c>
      <c r="Y803" t="s">
        <v>48</v>
      </c>
      <c r="Z803">
        <v>4</v>
      </c>
      <c r="AA803">
        <v>180</v>
      </c>
      <c r="AB803">
        <v>2.2000000000000002</v>
      </c>
    </row>
    <row r="804" spans="1:28">
      <c r="A804" t="str">
        <f t="shared" si="67"/>
        <v>2009FemaleNon-Maori22</v>
      </c>
      <c r="B804">
        <v>2009</v>
      </c>
      <c r="C804" t="s">
        <v>8</v>
      </c>
      <c r="D804" t="s">
        <v>19</v>
      </c>
      <c r="E804">
        <v>22</v>
      </c>
      <c r="F804">
        <v>10</v>
      </c>
      <c r="G804">
        <v>4.1414727076948603</v>
      </c>
      <c r="H804">
        <v>2.6</v>
      </c>
      <c r="J804" s="340" t="str">
        <f t="shared" si="68"/>
        <v>2001FemaleAllEth221</v>
      </c>
      <c r="K804">
        <v>2001</v>
      </c>
      <c r="L804" t="s">
        <v>8</v>
      </c>
      <c r="M804" t="s">
        <v>27</v>
      </c>
      <c r="N804">
        <v>22</v>
      </c>
      <c r="O804">
        <v>1</v>
      </c>
      <c r="P804">
        <v>5</v>
      </c>
      <c r="Q804">
        <v>11.662972311677301</v>
      </c>
      <c r="R804">
        <v>10.199999999999999</v>
      </c>
      <c r="T804" s="340" t="str">
        <f t="shared" si="69"/>
        <v>1999MaleAllEth24Sharp object</v>
      </c>
      <c r="U804">
        <v>1999</v>
      </c>
      <c r="V804" t="s">
        <v>20</v>
      </c>
      <c r="W804" t="s">
        <v>27</v>
      </c>
      <c r="X804">
        <v>24</v>
      </c>
      <c r="Y804" t="s">
        <v>48</v>
      </c>
      <c r="Z804">
        <v>1</v>
      </c>
      <c r="AA804">
        <v>83</v>
      </c>
      <c r="AB804">
        <v>1.2</v>
      </c>
    </row>
    <row r="805" spans="1:28">
      <c r="A805" t="str">
        <f t="shared" si="67"/>
        <v>2009FemaleNon-Maori23</v>
      </c>
      <c r="B805">
        <v>2009</v>
      </c>
      <c r="C805" t="s">
        <v>8</v>
      </c>
      <c r="D805" t="s">
        <v>19</v>
      </c>
      <c r="E805">
        <v>23</v>
      </c>
      <c r="F805">
        <v>33</v>
      </c>
      <c r="G805">
        <v>6.3814975247524801</v>
      </c>
      <c r="H805">
        <v>2.2000000000000002</v>
      </c>
      <c r="J805" s="340" t="str">
        <f t="shared" si="68"/>
        <v>2001FemaleAllEth222</v>
      </c>
      <c r="K805">
        <v>2001</v>
      </c>
      <c r="L805" t="s">
        <v>8</v>
      </c>
      <c r="M805" t="s">
        <v>27</v>
      </c>
      <c r="N805">
        <v>22</v>
      </c>
      <c r="O805">
        <v>2</v>
      </c>
      <c r="P805">
        <v>3</v>
      </c>
      <c r="Q805">
        <v>6.5256528155788098</v>
      </c>
      <c r="R805">
        <v>7.4</v>
      </c>
      <c r="T805" s="340" t="str">
        <f t="shared" si="69"/>
        <v>1999MaleAllEth25Sharp object</v>
      </c>
      <c r="U805">
        <v>1999</v>
      </c>
      <c r="V805" t="s">
        <v>20</v>
      </c>
      <c r="W805" t="s">
        <v>27</v>
      </c>
      <c r="X805">
        <v>25</v>
      </c>
      <c r="Y805" t="s">
        <v>48</v>
      </c>
      <c r="Z805">
        <v>1</v>
      </c>
      <c r="AA805">
        <v>36</v>
      </c>
      <c r="AB805">
        <v>2.8</v>
      </c>
    </row>
    <row r="806" spans="1:28">
      <c r="A806" t="str">
        <f t="shared" si="67"/>
        <v>2009FemaleNon-Maori24</v>
      </c>
      <c r="B806">
        <v>2009</v>
      </c>
      <c r="C806" t="s">
        <v>8</v>
      </c>
      <c r="D806" t="s">
        <v>19</v>
      </c>
      <c r="E806">
        <v>24</v>
      </c>
      <c r="F806">
        <v>35</v>
      </c>
      <c r="G806">
        <v>7.1047236262509399</v>
      </c>
      <c r="H806">
        <v>2.4</v>
      </c>
      <c r="J806" s="340" t="str">
        <f t="shared" si="68"/>
        <v>2001FemaleAllEth223</v>
      </c>
      <c r="K806">
        <v>2001</v>
      </c>
      <c r="L806" t="s">
        <v>8</v>
      </c>
      <c r="M806" t="s">
        <v>27</v>
      </c>
      <c r="N806">
        <v>22</v>
      </c>
      <c r="O806">
        <v>3</v>
      </c>
      <c r="P806">
        <v>3</v>
      </c>
      <c r="Q806">
        <v>5.9305841685598297</v>
      </c>
      <c r="R806">
        <v>6.7</v>
      </c>
      <c r="T806" s="340" t="str">
        <f t="shared" si="69"/>
        <v>1999MaleAllEth23Submersion (drowning)</v>
      </c>
      <c r="U806">
        <v>1999</v>
      </c>
      <c r="V806" t="s">
        <v>20</v>
      </c>
      <c r="W806" t="s">
        <v>27</v>
      </c>
      <c r="X806">
        <v>23</v>
      </c>
      <c r="Y806" t="s">
        <v>49</v>
      </c>
      <c r="Z806">
        <v>4</v>
      </c>
      <c r="AA806">
        <v>180</v>
      </c>
      <c r="AB806">
        <v>2.2000000000000002</v>
      </c>
    </row>
    <row r="807" spans="1:28">
      <c r="A807" t="str">
        <f t="shared" si="67"/>
        <v>2009FemaleNon-Maori25</v>
      </c>
      <c r="B807">
        <v>2009</v>
      </c>
      <c r="C807" t="s">
        <v>8</v>
      </c>
      <c r="D807" t="s">
        <v>19</v>
      </c>
      <c r="E807">
        <v>25</v>
      </c>
      <c r="F807">
        <v>13</v>
      </c>
      <c r="G807">
        <v>4.5840826545364797</v>
      </c>
      <c r="H807">
        <v>2.5</v>
      </c>
      <c r="J807" s="340" t="str">
        <f t="shared" si="68"/>
        <v>2001FemaleAllEth224</v>
      </c>
      <c r="K807">
        <v>2001</v>
      </c>
      <c r="L807" t="s">
        <v>8</v>
      </c>
      <c r="M807" t="s">
        <v>27</v>
      </c>
      <c r="N807">
        <v>22</v>
      </c>
      <c r="O807">
        <v>4</v>
      </c>
      <c r="P807">
        <v>3</v>
      </c>
      <c r="Q807">
        <v>5.3026931823979897</v>
      </c>
      <c r="R807">
        <v>6</v>
      </c>
      <c r="T807" s="340" t="str">
        <f t="shared" si="69"/>
        <v>1999MaleAllEth24Submersion (drowning)</v>
      </c>
      <c r="U807">
        <v>1999</v>
      </c>
      <c r="V807" t="s">
        <v>20</v>
      </c>
      <c r="W807" t="s">
        <v>27</v>
      </c>
      <c r="X807">
        <v>24</v>
      </c>
      <c r="Y807" t="s">
        <v>49</v>
      </c>
      <c r="Z807">
        <v>3</v>
      </c>
      <c r="AA807">
        <v>83</v>
      </c>
      <c r="AB807">
        <v>3.6</v>
      </c>
    </row>
    <row r="808" spans="1:28">
      <c r="A808" t="str">
        <f t="shared" si="67"/>
        <v>2009MaleAllEth21</v>
      </c>
      <c r="B808">
        <v>2009</v>
      </c>
      <c r="C808" t="s">
        <v>20</v>
      </c>
      <c r="D808" t="s">
        <v>27</v>
      </c>
      <c r="E808">
        <v>21</v>
      </c>
      <c r="F808">
        <v>6</v>
      </c>
      <c r="G808">
        <v>1.2983078720734</v>
      </c>
      <c r="H808">
        <v>1</v>
      </c>
      <c r="J808" s="340" t="str">
        <f t="shared" si="68"/>
        <v>2001FemaleAllEth225</v>
      </c>
      <c r="K808">
        <v>2001</v>
      </c>
      <c r="L808" t="s">
        <v>8</v>
      </c>
      <c r="M808" t="s">
        <v>27</v>
      </c>
      <c r="N808">
        <v>22</v>
      </c>
      <c r="O808">
        <v>5</v>
      </c>
      <c r="P808">
        <v>7</v>
      </c>
      <c r="Q808">
        <v>10.3341459648537</v>
      </c>
      <c r="R808">
        <v>7.7</v>
      </c>
      <c r="T808" s="340" t="str">
        <f t="shared" si="69"/>
        <v>1999MaleAllEth25Submersion (drowning)</v>
      </c>
      <c r="U808">
        <v>1999</v>
      </c>
      <c r="V808" t="s">
        <v>20</v>
      </c>
      <c r="W808" t="s">
        <v>27</v>
      </c>
      <c r="X808">
        <v>25</v>
      </c>
      <c r="Y808" t="s">
        <v>49</v>
      </c>
      <c r="Z808">
        <v>4</v>
      </c>
      <c r="AA808">
        <v>36</v>
      </c>
      <c r="AB808">
        <v>11.1</v>
      </c>
    </row>
    <row r="809" spans="1:28">
      <c r="A809" t="str">
        <f t="shared" si="67"/>
        <v>2009MaleAllEth22</v>
      </c>
      <c r="B809">
        <v>2009</v>
      </c>
      <c r="C809" t="s">
        <v>20</v>
      </c>
      <c r="D809" t="s">
        <v>27</v>
      </c>
      <c r="E809">
        <v>22</v>
      </c>
      <c r="F809">
        <v>95</v>
      </c>
      <c r="G809">
        <v>30.900338277387501</v>
      </c>
      <c r="H809">
        <v>6.2</v>
      </c>
      <c r="J809" s="340" t="str">
        <f t="shared" si="68"/>
        <v>2001FemaleAllEth231</v>
      </c>
      <c r="K809">
        <v>2001</v>
      </c>
      <c r="L809" t="s">
        <v>8</v>
      </c>
      <c r="M809" t="s">
        <v>27</v>
      </c>
      <c r="N809">
        <v>23</v>
      </c>
      <c r="O809">
        <v>1</v>
      </c>
      <c r="P809">
        <v>8</v>
      </c>
      <c r="Q809">
        <v>6.8148919283831999</v>
      </c>
      <c r="R809">
        <v>4.7</v>
      </c>
      <c r="T809" s="340" t="str">
        <f t="shared" si="69"/>
        <v>1999MaleMaori23Firearms and explosives</v>
      </c>
      <c r="U809">
        <v>1999</v>
      </c>
      <c r="V809" t="s">
        <v>20</v>
      </c>
      <c r="W809" t="s">
        <v>18</v>
      </c>
      <c r="X809">
        <v>23</v>
      </c>
      <c r="Y809" t="s">
        <v>42</v>
      </c>
      <c r="Z809">
        <v>2</v>
      </c>
      <c r="AA809">
        <v>34</v>
      </c>
      <c r="AB809">
        <v>5.9</v>
      </c>
    </row>
    <row r="810" spans="1:28">
      <c r="A810" t="str">
        <f t="shared" si="67"/>
        <v>2009MaleAllEth23</v>
      </c>
      <c r="B810">
        <v>2009</v>
      </c>
      <c r="C810" t="s">
        <v>20</v>
      </c>
      <c r="D810" t="s">
        <v>27</v>
      </c>
      <c r="E810">
        <v>23</v>
      </c>
      <c r="F810">
        <v>132</v>
      </c>
      <c r="G810">
        <v>23.565116486655398</v>
      </c>
      <c r="H810">
        <v>4</v>
      </c>
      <c r="J810" s="340" t="str">
        <f t="shared" si="68"/>
        <v>2001FemaleAllEth232</v>
      </c>
      <c r="K810">
        <v>2001</v>
      </c>
      <c r="L810" t="s">
        <v>8</v>
      </c>
      <c r="M810" t="s">
        <v>27</v>
      </c>
      <c r="N810">
        <v>23</v>
      </c>
      <c r="O810">
        <v>2</v>
      </c>
      <c r="P810">
        <v>8</v>
      </c>
      <c r="Q810">
        <v>6.5332695363812903</v>
      </c>
      <c r="R810">
        <v>4.5</v>
      </c>
      <c r="T810" s="340" t="str">
        <f t="shared" si="69"/>
        <v>1999MaleMaori21Hanging, strangulation and suffocation</v>
      </c>
      <c r="U810">
        <v>1999</v>
      </c>
      <c r="V810" t="s">
        <v>20</v>
      </c>
      <c r="W810" t="s">
        <v>18</v>
      </c>
      <c r="X810">
        <v>21</v>
      </c>
      <c r="Y810" t="s">
        <v>43</v>
      </c>
      <c r="Z810">
        <v>1</v>
      </c>
      <c r="AA810">
        <v>1</v>
      </c>
      <c r="AB810">
        <v>100</v>
      </c>
    </row>
    <row r="811" spans="1:28">
      <c r="A811" t="str">
        <f t="shared" si="67"/>
        <v>2009MaleAllEth24</v>
      </c>
      <c r="B811">
        <v>2009</v>
      </c>
      <c r="C811" t="s">
        <v>20</v>
      </c>
      <c r="D811" t="s">
        <v>27</v>
      </c>
      <c r="E811">
        <v>24</v>
      </c>
      <c r="F811">
        <v>120</v>
      </c>
      <c r="G811">
        <v>22.752265746463902</v>
      </c>
      <c r="H811">
        <v>4.0999999999999996</v>
      </c>
      <c r="J811" s="340" t="str">
        <f t="shared" si="68"/>
        <v>2001FemaleAllEth233</v>
      </c>
      <c r="K811">
        <v>2001</v>
      </c>
      <c r="L811" t="s">
        <v>8</v>
      </c>
      <c r="M811" t="s">
        <v>27</v>
      </c>
      <c r="N811">
        <v>23</v>
      </c>
      <c r="O811">
        <v>3</v>
      </c>
      <c r="P811">
        <v>10</v>
      </c>
      <c r="Q811">
        <v>8.2252852644656507</v>
      </c>
      <c r="R811">
        <v>5.0999999999999996</v>
      </c>
      <c r="T811" s="340" t="str">
        <f t="shared" si="69"/>
        <v>1999MaleMaori22Hanging, strangulation and suffocation</v>
      </c>
      <c r="U811">
        <v>1999</v>
      </c>
      <c r="V811" t="s">
        <v>20</v>
      </c>
      <c r="W811" t="s">
        <v>18</v>
      </c>
      <c r="X811">
        <v>22</v>
      </c>
      <c r="Y811" t="s">
        <v>43</v>
      </c>
      <c r="Z811">
        <v>18</v>
      </c>
      <c r="AA811">
        <v>23</v>
      </c>
      <c r="AB811">
        <v>78.3</v>
      </c>
    </row>
    <row r="812" spans="1:28">
      <c r="A812" t="str">
        <f t="shared" si="67"/>
        <v>2009MaleAllEth25</v>
      </c>
      <c r="B812">
        <v>2009</v>
      </c>
      <c r="C812" t="s">
        <v>20</v>
      </c>
      <c r="D812" t="s">
        <v>27</v>
      </c>
      <c r="E812">
        <v>25</v>
      </c>
      <c r="F812">
        <v>41</v>
      </c>
      <c r="G812">
        <v>16.489703989704001</v>
      </c>
      <c r="H812">
        <v>5</v>
      </c>
      <c r="J812" s="340" t="str">
        <f t="shared" si="68"/>
        <v>2001FemaleAllEth234</v>
      </c>
      <c r="K812">
        <v>2001</v>
      </c>
      <c r="L812" t="s">
        <v>8</v>
      </c>
      <c r="M812" t="s">
        <v>27</v>
      </c>
      <c r="N812">
        <v>23</v>
      </c>
      <c r="O812">
        <v>4</v>
      </c>
      <c r="P812">
        <v>7</v>
      </c>
      <c r="Q812">
        <v>5.8675319438779701</v>
      </c>
      <c r="R812">
        <v>4.3</v>
      </c>
      <c r="T812" s="340" t="str">
        <f t="shared" si="69"/>
        <v>1999MaleMaori23Hanging, strangulation and suffocation</v>
      </c>
      <c r="U812">
        <v>1999</v>
      </c>
      <c r="V812" t="s">
        <v>20</v>
      </c>
      <c r="W812" t="s">
        <v>18</v>
      </c>
      <c r="X812">
        <v>23</v>
      </c>
      <c r="Y812" t="s">
        <v>43</v>
      </c>
      <c r="Z812">
        <v>24</v>
      </c>
      <c r="AA812">
        <v>34</v>
      </c>
      <c r="AB812">
        <v>70.599999999999994</v>
      </c>
    </row>
    <row r="813" spans="1:28">
      <c r="A813" t="str">
        <f t="shared" si="67"/>
        <v>2009MaleMaori21</v>
      </c>
      <c r="B813">
        <v>2009</v>
      </c>
      <c r="C813" t="s">
        <v>20</v>
      </c>
      <c r="D813" t="s">
        <v>18</v>
      </c>
      <c r="E813">
        <v>21</v>
      </c>
      <c r="F813">
        <v>3</v>
      </c>
      <c r="G813">
        <v>2.5857610756766101</v>
      </c>
      <c r="H813">
        <v>2.9</v>
      </c>
      <c r="J813" s="340" t="str">
        <f t="shared" si="68"/>
        <v>2001FemaleAllEth235</v>
      </c>
      <c r="K813">
        <v>2001</v>
      </c>
      <c r="L813" t="s">
        <v>8</v>
      </c>
      <c r="M813" t="s">
        <v>27</v>
      </c>
      <c r="N813">
        <v>23</v>
      </c>
      <c r="O813">
        <v>5</v>
      </c>
      <c r="P813">
        <v>13</v>
      </c>
      <c r="Q813">
        <v>11.4072179150469</v>
      </c>
      <c r="R813">
        <v>6.2</v>
      </c>
      <c r="T813" s="340" t="str">
        <f t="shared" si="69"/>
        <v>1999MaleMaori22Jumping from a high place</v>
      </c>
      <c r="U813">
        <v>1999</v>
      </c>
      <c r="V813" t="s">
        <v>20</v>
      </c>
      <c r="W813" t="s">
        <v>18</v>
      </c>
      <c r="X813">
        <v>22</v>
      </c>
      <c r="Y813" t="s">
        <v>44</v>
      </c>
      <c r="Z813">
        <v>2</v>
      </c>
      <c r="AA813">
        <v>23</v>
      </c>
      <c r="AB813">
        <v>8.6999999999999993</v>
      </c>
    </row>
    <row r="814" spans="1:28">
      <c r="A814" t="str">
        <f t="shared" si="67"/>
        <v>2009MaleMaori22</v>
      </c>
      <c r="B814">
        <v>2009</v>
      </c>
      <c r="C814" t="s">
        <v>20</v>
      </c>
      <c r="D814" t="s">
        <v>18</v>
      </c>
      <c r="E814">
        <v>22</v>
      </c>
      <c r="F814">
        <v>24</v>
      </c>
      <c r="G814">
        <v>40.140491721023601</v>
      </c>
      <c r="H814">
        <v>16.100000000000001</v>
      </c>
      <c r="J814" s="340" t="str">
        <f t="shared" si="68"/>
        <v>2001FemaleAllEth241</v>
      </c>
      <c r="K814">
        <v>2001</v>
      </c>
      <c r="L814" t="s">
        <v>8</v>
      </c>
      <c r="M814" t="s">
        <v>27</v>
      </c>
      <c r="N814">
        <v>24</v>
      </c>
      <c r="O814">
        <v>1</v>
      </c>
      <c r="P814">
        <v>3</v>
      </c>
      <c r="Q814">
        <v>2.8475585039786599</v>
      </c>
      <c r="R814">
        <v>3.2</v>
      </c>
      <c r="T814" s="340" t="str">
        <f t="shared" si="69"/>
        <v>1999MaleMaori22Other</v>
      </c>
      <c r="U814">
        <v>1999</v>
      </c>
      <c r="V814" t="s">
        <v>20</v>
      </c>
      <c r="W814" t="s">
        <v>18</v>
      </c>
      <c r="X814">
        <v>22</v>
      </c>
      <c r="Y814" t="s">
        <v>45</v>
      </c>
      <c r="Z814">
        <v>1</v>
      </c>
      <c r="AA814">
        <v>23</v>
      </c>
      <c r="AB814">
        <v>4.3</v>
      </c>
    </row>
    <row r="815" spans="1:28">
      <c r="A815" t="str">
        <f t="shared" si="67"/>
        <v>2009MaleMaori23</v>
      </c>
      <c r="B815">
        <v>2009</v>
      </c>
      <c r="C815" t="s">
        <v>20</v>
      </c>
      <c r="D815" t="s">
        <v>18</v>
      </c>
      <c r="E815">
        <v>23</v>
      </c>
      <c r="F815">
        <v>23</v>
      </c>
      <c r="G815">
        <v>29.362951614962299</v>
      </c>
      <c r="H815">
        <v>12</v>
      </c>
      <c r="J815" s="340" t="str">
        <f t="shared" si="68"/>
        <v>2001FemaleAllEth242</v>
      </c>
      <c r="K815">
        <v>2001</v>
      </c>
      <c r="L815" t="s">
        <v>8</v>
      </c>
      <c r="M815" t="s">
        <v>27</v>
      </c>
      <c r="N815">
        <v>24</v>
      </c>
      <c r="O815">
        <v>2</v>
      </c>
      <c r="P815">
        <v>5</v>
      </c>
      <c r="Q815">
        <v>5.32540335225909</v>
      </c>
      <c r="R815">
        <v>4.7</v>
      </c>
      <c r="T815" s="340" t="str">
        <f t="shared" si="69"/>
        <v>1999MaleMaori23Other</v>
      </c>
      <c r="U815">
        <v>1999</v>
      </c>
      <c r="V815" t="s">
        <v>20</v>
      </c>
      <c r="W815" t="s">
        <v>18</v>
      </c>
      <c r="X815">
        <v>23</v>
      </c>
      <c r="Y815" t="s">
        <v>45</v>
      </c>
      <c r="Z815">
        <v>3</v>
      </c>
      <c r="AA815">
        <v>34</v>
      </c>
      <c r="AB815">
        <v>8.8000000000000007</v>
      </c>
    </row>
    <row r="816" spans="1:28">
      <c r="A816" t="str">
        <f t="shared" si="67"/>
        <v>2009MaleMaori24</v>
      </c>
      <c r="B816">
        <v>2009</v>
      </c>
      <c r="C816" t="s">
        <v>20</v>
      </c>
      <c r="D816" t="s">
        <v>18</v>
      </c>
      <c r="E816">
        <v>24</v>
      </c>
      <c r="F816">
        <v>7</v>
      </c>
      <c r="G816">
        <v>13.292821876186901</v>
      </c>
      <c r="H816">
        <v>9.8000000000000007</v>
      </c>
      <c r="J816" s="340" t="str">
        <f t="shared" si="68"/>
        <v>2001FemaleAllEth243</v>
      </c>
      <c r="K816">
        <v>2001</v>
      </c>
      <c r="L816" t="s">
        <v>8</v>
      </c>
      <c r="M816" t="s">
        <v>27</v>
      </c>
      <c r="N816">
        <v>24</v>
      </c>
      <c r="O816">
        <v>3</v>
      </c>
      <c r="P816">
        <v>10</v>
      </c>
      <c r="Q816">
        <v>11.708211457946801</v>
      </c>
      <c r="R816">
        <v>7.3</v>
      </c>
      <c r="T816" s="340" t="str">
        <f t="shared" si="69"/>
        <v>1999MaleMaori22Poisoning by gases and vapours</v>
      </c>
      <c r="U816">
        <v>1999</v>
      </c>
      <c r="V816" t="s">
        <v>20</v>
      </c>
      <c r="W816" t="s">
        <v>18</v>
      </c>
      <c r="X816">
        <v>22</v>
      </c>
      <c r="Y816" t="s">
        <v>46</v>
      </c>
      <c r="Z816">
        <v>1</v>
      </c>
      <c r="AA816">
        <v>23</v>
      </c>
      <c r="AB816">
        <v>4.3</v>
      </c>
    </row>
    <row r="817" spans="1:28">
      <c r="A817" t="str">
        <f t="shared" si="67"/>
        <v>2009MaleMaori25</v>
      </c>
      <c r="B817">
        <v>2009</v>
      </c>
      <c r="C817" t="s">
        <v>20</v>
      </c>
      <c r="D817" t="s">
        <v>18</v>
      </c>
      <c r="E817">
        <v>25</v>
      </c>
      <c r="F817">
        <v>1</v>
      </c>
      <c r="G817">
        <v>7.5244544770504103</v>
      </c>
      <c r="H817">
        <v>14.7</v>
      </c>
      <c r="J817" s="340" t="str">
        <f t="shared" si="68"/>
        <v>2001FemaleAllEth244</v>
      </c>
      <c r="K817">
        <v>2001</v>
      </c>
      <c r="L817" t="s">
        <v>8</v>
      </c>
      <c r="M817" t="s">
        <v>27</v>
      </c>
      <c r="N817">
        <v>24</v>
      </c>
      <c r="O817">
        <v>4</v>
      </c>
      <c r="P817">
        <v>4</v>
      </c>
      <c r="Q817">
        <v>5.1028486066611096</v>
      </c>
      <c r="R817">
        <v>5</v>
      </c>
      <c r="T817" s="340" t="str">
        <f t="shared" si="69"/>
        <v>1999MaleMaori23Poisoning by gases and vapours</v>
      </c>
      <c r="U817">
        <v>1999</v>
      </c>
      <c r="V817" t="s">
        <v>20</v>
      </c>
      <c r="W817" t="s">
        <v>18</v>
      </c>
      <c r="X817">
        <v>23</v>
      </c>
      <c r="Y817" t="s">
        <v>46</v>
      </c>
      <c r="Z817">
        <v>3</v>
      </c>
      <c r="AA817">
        <v>34</v>
      </c>
      <c r="AB817">
        <v>8.8000000000000007</v>
      </c>
    </row>
    <row r="818" spans="1:28">
      <c r="A818" t="str">
        <f t="shared" si="67"/>
        <v>2009MaleNon-Maori21</v>
      </c>
      <c r="B818">
        <v>2009</v>
      </c>
      <c r="C818" t="s">
        <v>20</v>
      </c>
      <c r="D818" t="s">
        <v>19</v>
      </c>
      <c r="E818">
        <v>21</v>
      </c>
      <c r="F818">
        <v>3</v>
      </c>
      <c r="G818">
        <v>0.86675141569397895</v>
      </c>
      <c r="H818">
        <v>1</v>
      </c>
      <c r="J818" s="340" t="str">
        <f t="shared" si="68"/>
        <v>2001FemaleAllEth245</v>
      </c>
      <c r="K818">
        <v>2001</v>
      </c>
      <c r="L818" t="s">
        <v>8</v>
      </c>
      <c r="M818" t="s">
        <v>27</v>
      </c>
      <c r="N818">
        <v>24</v>
      </c>
      <c r="O818">
        <v>5</v>
      </c>
      <c r="P818">
        <v>3</v>
      </c>
      <c r="Q818">
        <v>4.2955783532586702</v>
      </c>
      <c r="R818">
        <v>4.9000000000000004</v>
      </c>
      <c r="T818" s="340" t="str">
        <f t="shared" si="69"/>
        <v>1999MaleMaori22Poisoning by solids and liquids</v>
      </c>
      <c r="U818">
        <v>1999</v>
      </c>
      <c r="V818" t="s">
        <v>20</v>
      </c>
      <c r="W818" t="s">
        <v>18</v>
      </c>
      <c r="X818">
        <v>22</v>
      </c>
      <c r="Y818" t="s">
        <v>47</v>
      </c>
      <c r="Z818">
        <v>1</v>
      </c>
      <c r="AA818">
        <v>23</v>
      </c>
      <c r="AB818">
        <v>4.3</v>
      </c>
    </row>
    <row r="819" spans="1:28">
      <c r="A819" t="str">
        <f t="shared" si="67"/>
        <v>2009MaleNon-Maori22</v>
      </c>
      <c r="B819">
        <v>2009</v>
      </c>
      <c r="C819" t="s">
        <v>20</v>
      </c>
      <c r="D819" t="s">
        <v>19</v>
      </c>
      <c r="E819">
        <v>22</v>
      </c>
      <c r="F819">
        <v>71</v>
      </c>
      <c r="G819">
        <v>28.669493236422401</v>
      </c>
      <c r="H819">
        <v>6.7</v>
      </c>
      <c r="J819" s="340" t="str">
        <f t="shared" si="68"/>
        <v>2001FemaleAllEth251</v>
      </c>
      <c r="K819">
        <v>2001</v>
      </c>
      <c r="L819" t="s">
        <v>8</v>
      </c>
      <c r="M819" t="s">
        <v>27</v>
      </c>
      <c r="N819">
        <v>25</v>
      </c>
      <c r="O819">
        <v>1</v>
      </c>
      <c r="P819">
        <v>0</v>
      </c>
      <c r="Q819">
        <v>0</v>
      </c>
      <c r="T819" s="340" t="str">
        <f t="shared" si="69"/>
        <v>1999MaleMaori23Poisoning by solids and liquids</v>
      </c>
      <c r="U819">
        <v>1999</v>
      </c>
      <c r="V819" t="s">
        <v>20</v>
      </c>
      <c r="W819" t="s">
        <v>18</v>
      </c>
      <c r="X819">
        <v>23</v>
      </c>
      <c r="Y819" t="s">
        <v>47</v>
      </c>
      <c r="Z819">
        <v>2</v>
      </c>
      <c r="AA819">
        <v>34</v>
      </c>
      <c r="AB819">
        <v>5.9</v>
      </c>
    </row>
    <row r="820" spans="1:28">
      <c r="A820" t="str">
        <f t="shared" si="67"/>
        <v>2009MaleNon-Maori23</v>
      </c>
      <c r="B820">
        <v>2009</v>
      </c>
      <c r="C820" t="s">
        <v>20</v>
      </c>
      <c r="D820" t="s">
        <v>19</v>
      </c>
      <c r="E820">
        <v>23</v>
      </c>
      <c r="F820">
        <v>109</v>
      </c>
      <c r="G820">
        <v>22.622556141297601</v>
      </c>
      <c r="H820">
        <v>4.2</v>
      </c>
      <c r="J820" s="340" t="str">
        <f t="shared" si="68"/>
        <v>2001FemaleAllEth252</v>
      </c>
      <c r="K820">
        <v>2001</v>
      </c>
      <c r="L820" t="s">
        <v>8</v>
      </c>
      <c r="M820" t="s">
        <v>27</v>
      </c>
      <c r="N820">
        <v>25</v>
      </c>
      <c r="O820">
        <v>2</v>
      </c>
      <c r="P820">
        <v>1</v>
      </c>
      <c r="Q820">
        <v>1.89253776022583</v>
      </c>
      <c r="R820">
        <v>3.7</v>
      </c>
      <c r="T820" s="340" t="str">
        <f t="shared" si="69"/>
        <v>1999MaleMaori24Poisoning by solids and liquids</v>
      </c>
      <c r="U820">
        <v>1999</v>
      </c>
      <c r="V820" t="s">
        <v>20</v>
      </c>
      <c r="W820" t="s">
        <v>18</v>
      </c>
      <c r="X820">
        <v>24</v>
      </c>
      <c r="Y820" t="s">
        <v>47</v>
      </c>
      <c r="Z820">
        <v>1</v>
      </c>
      <c r="AA820">
        <v>1</v>
      </c>
      <c r="AB820">
        <v>100</v>
      </c>
    </row>
    <row r="821" spans="1:28">
      <c r="A821" t="str">
        <f t="shared" si="67"/>
        <v>2009MaleNon-Maori24</v>
      </c>
      <c r="B821">
        <v>2009</v>
      </c>
      <c r="C821" t="s">
        <v>20</v>
      </c>
      <c r="D821" t="s">
        <v>19</v>
      </c>
      <c r="E821">
        <v>24</v>
      </c>
      <c r="F821">
        <v>113</v>
      </c>
      <c r="G821">
        <v>23.8014997051142</v>
      </c>
      <c r="H821">
        <v>4.4000000000000004</v>
      </c>
      <c r="J821" s="340" t="str">
        <f t="shared" si="68"/>
        <v>2001FemaleAllEth253</v>
      </c>
      <c r="K821">
        <v>2001</v>
      </c>
      <c r="L821" t="s">
        <v>8</v>
      </c>
      <c r="M821" t="s">
        <v>27</v>
      </c>
      <c r="N821">
        <v>25</v>
      </c>
      <c r="O821">
        <v>3</v>
      </c>
      <c r="P821">
        <v>4</v>
      </c>
      <c r="Q821">
        <v>7.1053718593922603</v>
      </c>
      <c r="R821">
        <v>7</v>
      </c>
      <c r="T821" s="340" t="str">
        <f t="shared" si="69"/>
        <v>1999MaleNon-Maori22Firearms and explosives</v>
      </c>
      <c r="U821">
        <v>1999</v>
      </c>
      <c r="V821" t="s">
        <v>20</v>
      </c>
      <c r="W821" t="s">
        <v>19</v>
      </c>
      <c r="X821">
        <v>22</v>
      </c>
      <c r="Y821" t="s">
        <v>42</v>
      </c>
      <c r="Z821">
        <v>3</v>
      </c>
      <c r="AA821">
        <v>59</v>
      </c>
      <c r="AB821">
        <v>5.0999999999999996</v>
      </c>
    </row>
    <row r="822" spans="1:28">
      <c r="A822" t="str">
        <f t="shared" si="67"/>
        <v>2009MaleNon-Maori25</v>
      </c>
      <c r="B822">
        <v>2009</v>
      </c>
      <c r="C822" t="s">
        <v>20</v>
      </c>
      <c r="D822" t="s">
        <v>19</v>
      </c>
      <c r="E822">
        <v>25</v>
      </c>
      <c r="F822">
        <v>40</v>
      </c>
      <c r="G822">
        <v>16.995963458678599</v>
      </c>
      <c r="H822">
        <v>5.3</v>
      </c>
      <c r="J822" s="340" t="str">
        <f t="shared" si="68"/>
        <v>2001FemaleAllEth254</v>
      </c>
      <c r="K822">
        <v>2001</v>
      </c>
      <c r="L822" t="s">
        <v>8</v>
      </c>
      <c r="M822" t="s">
        <v>27</v>
      </c>
      <c r="N822">
        <v>25</v>
      </c>
      <c r="O822">
        <v>4</v>
      </c>
      <c r="P822">
        <v>8</v>
      </c>
      <c r="Q822">
        <v>13.6918768971173</v>
      </c>
      <c r="R822">
        <v>9.5</v>
      </c>
      <c r="T822" s="340" t="str">
        <f t="shared" si="69"/>
        <v>1999MaleNon-Maori23Firearms and explosives</v>
      </c>
      <c r="U822">
        <v>1999</v>
      </c>
      <c r="V822" t="s">
        <v>20</v>
      </c>
      <c r="W822" t="s">
        <v>19</v>
      </c>
      <c r="X822">
        <v>23</v>
      </c>
      <c r="Y822" t="s">
        <v>42</v>
      </c>
      <c r="Z822">
        <v>18</v>
      </c>
      <c r="AA822">
        <v>146</v>
      </c>
      <c r="AB822">
        <v>12.3</v>
      </c>
    </row>
    <row r="823" spans="1:28">
      <c r="A823" t="str">
        <f t="shared" si="67"/>
        <v>2010AllSexAllEth21</v>
      </c>
      <c r="B823">
        <v>2010</v>
      </c>
      <c r="C823" t="s">
        <v>17</v>
      </c>
      <c r="D823" t="s">
        <v>27</v>
      </c>
      <c r="E823">
        <v>21</v>
      </c>
      <c r="F823">
        <v>6</v>
      </c>
      <c r="G823">
        <v>0.66079295154185003</v>
      </c>
      <c r="H823">
        <v>0.5</v>
      </c>
      <c r="J823" s="340" t="str">
        <f t="shared" si="68"/>
        <v>2001FemaleAllEth255</v>
      </c>
      <c r="K823">
        <v>2001</v>
      </c>
      <c r="L823" t="s">
        <v>8</v>
      </c>
      <c r="M823" t="s">
        <v>27</v>
      </c>
      <c r="N823">
        <v>25</v>
      </c>
      <c r="O823">
        <v>5</v>
      </c>
      <c r="P823">
        <v>3</v>
      </c>
      <c r="Q823">
        <v>6.7374173749445498</v>
      </c>
      <c r="R823">
        <v>7.6</v>
      </c>
      <c r="T823" s="340" t="str">
        <f t="shared" si="69"/>
        <v>1999MaleNon-Maori24Firearms and explosives</v>
      </c>
      <c r="U823">
        <v>1999</v>
      </c>
      <c r="V823" t="s">
        <v>20</v>
      </c>
      <c r="W823" t="s">
        <v>19</v>
      </c>
      <c r="X823">
        <v>24</v>
      </c>
      <c r="Y823" t="s">
        <v>42</v>
      </c>
      <c r="Z823">
        <v>13</v>
      </c>
      <c r="AA823">
        <v>82</v>
      </c>
      <c r="AB823">
        <v>15.9</v>
      </c>
    </row>
    <row r="824" spans="1:28">
      <c r="A824" t="str">
        <f t="shared" si="67"/>
        <v>2010AllSexAllEth22</v>
      </c>
      <c r="B824">
        <v>2010</v>
      </c>
      <c r="C824" t="s">
        <v>17</v>
      </c>
      <c r="D824" t="s">
        <v>27</v>
      </c>
      <c r="E824">
        <v>22</v>
      </c>
      <c r="F824">
        <v>111</v>
      </c>
      <c r="G824">
        <v>17.966397979994198</v>
      </c>
      <c r="H824">
        <v>3.3</v>
      </c>
      <c r="J824" s="340" t="str">
        <f t="shared" si="68"/>
        <v>2001FemaleMaori211</v>
      </c>
      <c r="K824">
        <v>2001</v>
      </c>
      <c r="L824" t="s">
        <v>8</v>
      </c>
      <c r="M824" t="s">
        <v>18</v>
      </c>
      <c r="N824">
        <v>21</v>
      </c>
      <c r="O824">
        <v>1</v>
      </c>
      <c r="P824">
        <v>0</v>
      </c>
      <c r="Q824">
        <v>0</v>
      </c>
      <c r="T824" s="340" t="str">
        <f t="shared" si="69"/>
        <v>1999MaleNon-Maori25Firearms and explosives</v>
      </c>
      <c r="U824">
        <v>1999</v>
      </c>
      <c r="V824" t="s">
        <v>20</v>
      </c>
      <c r="W824" t="s">
        <v>19</v>
      </c>
      <c r="X824">
        <v>25</v>
      </c>
      <c r="Y824" t="s">
        <v>42</v>
      </c>
      <c r="Z824">
        <v>7</v>
      </c>
      <c r="AA824">
        <v>36</v>
      </c>
      <c r="AB824">
        <v>19.399999999999999</v>
      </c>
    </row>
    <row r="825" spans="1:28">
      <c r="A825" t="str">
        <f t="shared" si="67"/>
        <v>2010AllSexAllEth23</v>
      </c>
      <c r="B825">
        <v>2010</v>
      </c>
      <c r="C825" t="s">
        <v>17</v>
      </c>
      <c r="D825" t="s">
        <v>27</v>
      </c>
      <c r="E825">
        <v>23</v>
      </c>
      <c r="F825">
        <v>199</v>
      </c>
      <c r="G825">
        <v>17.109007591584799</v>
      </c>
      <c r="H825">
        <v>2.4</v>
      </c>
      <c r="J825" s="340" t="str">
        <f t="shared" si="68"/>
        <v>2001FemaleMaori212</v>
      </c>
      <c r="K825">
        <v>2001</v>
      </c>
      <c r="L825" t="s">
        <v>8</v>
      </c>
      <c r="M825" t="s">
        <v>18</v>
      </c>
      <c r="N825">
        <v>21</v>
      </c>
      <c r="O825">
        <v>2</v>
      </c>
      <c r="P825">
        <v>0</v>
      </c>
      <c r="Q825">
        <v>0</v>
      </c>
      <c r="T825" s="340" t="str">
        <f t="shared" si="69"/>
        <v>1999MaleNon-Maori21Hanging, strangulation and suffocation</v>
      </c>
      <c r="U825">
        <v>1999</v>
      </c>
      <c r="V825" t="s">
        <v>20</v>
      </c>
      <c r="W825" t="s">
        <v>19</v>
      </c>
      <c r="X825">
        <v>21</v>
      </c>
      <c r="Y825" t="s">
        <v>43</v>
      </c>
      <c r="Z825">
        <v>2</v>
      </c>
      <c r="AA825">
        <v>2</v>
      </c>
      <c r="AB825">
        <v>100</v>
      </c>
    </row>
    <row r="826" spans="1:28">
      <c r="A826" t="str">
        <f t="shared" si="67"/>
        <v>2010AllSexAllEth24</v>
      </c>
      <c r="B826">
        <v>2010</v>
      </c>
      <c r="C826" t="s">
        <v>17</v>
      </c>
      <c r="D826" t="s">
        <v>27</v>
      </c>
      <c r="E826">
        <v>24</v>
      </c>
      <c r="F826">
        <v>161</v>
      </c>
      <c r="G826">
        <v>14.628650347998301</v>
      </c>
      <c r="H826">
        <v>2.2999999999999998</v>
      </c>
      <c r="J826" s="340" t="str">
        <f t="shared" si="68"/>
        <v>2001FemaleMaori213</v>
      </c>
      <c r="K826">
        <v>2001</v>
      </c>
      <c r="L826" t="s">
        <v>8</v>
      </c>
      <c r="M826" t="s">
        <v>18</v>
      </c>
      <c r="N826">
        <v>21</v>
      </c>
      <c r="O826">
        <v>3</v>
      </c>
      <c r="P826">
        <v>0</v>
      </c>
      <c r="Q826">
        <v>0</v>
      </c>
      <c r="T826" s="340" t="str">
        <f t="shared" si="69"/>
        <v>1999MaleNon-Maori22Hanging, strangulation and suffocation</v>
      </c>
      <c r="U826">
        <v>1999</v>
      </c>
      <c r="V826" t="s">
        <v>20</v>
      </c>
      <c r="W826" t="s">
        <v>19</v>
      </c>
      <c r="X826">
        <v>22</v>
      </c>
      <c r="Y826" t="s">
        <v>43</v>
      </c>
      <c r="Z826">
        <v>36</v>
      </c>
      <c r="AA826">
        <v>59</v>
      </c>
      <c r="AB826">
        <v>61</v>
      </c>
    </row>
    <row r="827" spans="1:28">
      <c r="A827" t="str">
        <f t="shared" si="67"/>
        <v>2010AllSexAllEth25</v>
      </c>
      <c r="B827">
        <v>2010</v>
      </c>
      <c r="C827" t="s">
        <v>17</v>
      </c>
      <c r="D827" t="s">
        <v>27</v>
      </c>
      <c r="E827">
        <v>25</v>
      </c>
      <c r="F827">
        <v>57</v>
      </c>
      <c r="G827">
        <v>10.1162481142959</v>
      </c>
      <c r="H827">
        <v>2.6</v>
      </c>
      <c r="J827" s="340" t="str">
        <f t="shared" si="68"/>
        <v>2001FemaleMaori214</v>
      </c>
      <c r="K827">
        <v>2001</v>
      </c>
      <c r="L827" t="s">
        <v>8</v>
      </c>
      <c r="M827" t="s">
        <v>18</v>
      </c>
      <c r="N827">
        <v>21</v>
      </c>
      <c r="O827">
        <v>4</v>
      </c>
      <c r="P827">
        <v>0</v>
      </c>
      <c r="Q827">
        <v>0</v>
      </c>
      <c r="T827" s="340" t="str">
        <f t="shared" si="69"/>
        <v>1999MaleNon-Maori23Hanging, strangulation and suffocation</v>
      </c>
      <c r="U827">
        <v>1999</v>
      </c>
      <c r="V827" t="s">
        <v>20</v>
      </c>
      <c r="W827" t="s">
        <v>19</v>
      </c>
      <c r="X827">
        <v>23</v>
      </c>
      <c r="Y827" t="s">
        <v>43</v>
      </c>
      <c r="Z827">
        <v>53</v>
      </c>
      <c r="AA827">
        <v>146</v>
      </c>
      <c r="AB827">
        <v>36.299999999999997</v>
      </c>
    </row>
    <row r="828" spans="1:28">
      <c r="A828" t="str">
        <f t="shared" si="67"/>
        <v>2010AllSexMaori21</v>
      </c>
      <c r="B828">
        <v>2010</v>
      </c>
      <c r="C828" t="s">
        <v>17</v>
      </c>
      <c r="D828" t="s">
        <v>18</v>
      </c>
      <c r="E828">
        <v>21</v>
      </c>
      <c r="F828">
        <v>4</v>
      </c>
      <c r="G828">
        <v>1.74703004891684</v>
      </c>
      <c r="H828">
        <v>1.7</v>
      </c>
      <c r="J828" s="340" t="str">
        <f t="shared" si="68"/>
        <v>2001FemaleMaori215</v>
      </c>
      <c r="K828">
        <v>2001</v>
      </c>
      <c r="L828" t="s">
        <v>8</v>
      </c>
      <c r="M828" t="s">
        <v>18</v>
      </c>
      <c r="N828">
        <v>21</v>
      </c>
      <c r="O828">
        <v>5</v>
      </c>
      <c r="P828">
        <v>1</v>
      </c>
      <c r="Q828">
        <v>2.20409415650452</v>
      </c>
      <c r="R828">
        <v>4.3</v>
      </c>
      <c r="T828" s="340" t="str">
        <f t="shared" si="69"/>
        <v>1999MaleNon-Maori24Hanging, strangulation and suffocation</v>
      </c>
      <c r="U828">
        <v>1999</v>
      </c>
      <c r="V828" t="s">
        <v>20</v>
      </c>
      <c r="W828" t="s">
        <v>19</v>
      </c>
      <c r="X828">
        <v>24</v>
      </c>
      <c r="Y828" t="s">
        <v>43</v>
      </c>
      <c r="Z828">
        <v>34</v>
      </c>
      <c r="AA828">
        <v>82</v>
      </c>
      <c r="AB828">
        <v>41.5</v>
      </c>
    </row>
    <row r="829" spans="1:28">
      <c r="A829" t="str">
        <f t="shared" si="67"/>
        <v>2010AllSexMaori22</v>
      </c>
      <c r="B829">
        <v>2010</v>
      </c>
      <c r="C829" t="s">
        <v>17</v>
      </c>
      <c r="D829" t="s">
        <v>18</v>
      </c>
      <c r="E829">
        <v>22</v>
      </c>
      <c r="F829">
        <v>42</v>
      </c>
      <c r="G829">
        <v>34.126919639229698</v>
      </c>
      <c r="H829">
        <v>10.3</v>
      </c>
      <c r="J829" s="340" t="str">
        <f t="shared" si="68"/>
        <v>2001FemaleMaori221</v>
      </c>
      <c r="K829">
        <v>2001</v>
      </c>
      <c r="L829" t="s">
        <v>8</v>
      </c>
      <c r="M829" t="s">
        <v>18</v>
      </c>
      <c r="N829">
        <v>22</v>
      </c>
      <c r="O829">
        <v>1</v>
      </c>
      <c r="P829">
        <v>0</v>
      </c>
      <c r="Q829">
        <v>0</v>
      </c>
      <c r="T829" s="340" t="str">
        <f t="shared" si="69"/>
        <v>1999MaleNon-Maori25Hanging, strangulation and suffocation</v>
      </c>
      <c r="U829">
        <v>1999</v>
      </c>
      <c r="V829" t="s">
        <v>20</v>
      </c>
      <c r="W829" t="s">
        <v>19</v>
      </c>
      <c r="X829">
        <v>25</v>
      </c>
      <c r="Y829" t="s">
        <v>43</v>
      </c>
      <c r="Z829">
        <v>13</v>
      </c>
      <c r="AA829">
        <v>36</v>
      </c>
      <c r="AB829">
        <v>36.1</v>
      </c>
    </row>
    <row r="830" spans="1:28">
      <c r="A830" t="str">
        <f t="shared" si="67"/>
        <v>2010AllSexMaori23</v>
      </c>
      <c r="B830">
        <v>2010</v>
      </c>
      <c r="C830" t="s">
        <v>17</v>
      </c>
      <c r="D830" t="s">
        <v>18</v>
      </c>
      <c r="E830">
        <v>23</v>
      </c>
      <c r="F830">
        <v>41</v>
      </c>
      <c r="G830">
        <v>24.4863831820354</v>
      </c>
      <c r="H830">
        <v>7.5</v>
      </c>
      <c r="J830" s="340" t="str">
        <f t="shared" si="68"/>
        <v>2001FemaleMaori222</v>
      </c>
      <c r="K830">
        <v>2001</v>
      </c>
      <c r="L830" t="s">
        <v>8</v>
      </c>
      <c r="M830" t="s">
        <v>18</v>
      </c>
      <c r="N830">
        <v>22</v>
      </c>
      <c r="O830">
        <v>2</v>
      </c>
      <c r="P830">
        <v>1</v>
      </c>
      <c r="Q830">
        <v>18.817013328976699</v>
      </c>
      <c r="R830">
        <v>36.9</v>
      </c>
      <c r="T830" s="340" t="str">
        <f t="shared" si="69"/>
        <v>1999MaleNon-Maori22Jumping from a high place</v>
      </c>
      <c r="U830">
        <v>1999</v>
      </c>
      <c r="V830" t="s">
        <v>20</v>
      </c>
      <c r="W830" t="s">
        <v>19</v>
      </c>
      <c r="X830">
        <v>22</v>
      </c>
      <c r="Y830" t="s">
        <v>44</v>
      </c>
      <c r="Z830">
        <v>6</v>
      </c>
      <c r="AA830">
        <v>59</v>
      </c>
      <c r="AB830">
        <v>10.199999999999999</v>
      </c>
    </row>
    <row r="831" spans="1:28">
      <c r="A831" t="str">
        <f t="shared" si="67"/>
        <v>2010AllSexMaori24</v>
      </c>
      <c r="B831">
        <v>2010</v>
      </c>
      <c r="C831" t="s">
        <v>17</v>
      </c>
      <c r="D831" t="s">
        <v>18</v>
      </c>
      <c r="E831">
        <v>24</v>
      </c>
      <c r="F831">
        <v>15</v>
      </c>
      <c r="G831">
        <v>12.978023879563899</v>
      </c>
      <c r="H831">
        <v>6.6</v>
      </c>
      <c r="J831" s="340" t="str">
        <f t="shared" si="68"/>
        <v>2001FemaleMaori223</v>
      </c>
      <c r="K831">
        <v>2001</v>
      </c>
      <c r="L831" t="s">
        <v>8</v>
      </c>
      <c r="M831" t="s">
        <v>18</v>
      </c>
      <c r="N831">
        <v>22</v>
      </c>
      <c r="O831">
        <v>3</v>
      </c>
      <c r="P831">
        <v>1</v>
      </c>
      <c r="Q831">
        <v>12.085224922447701</v>
      </c>
      <c r="R831">
        <v>23.7</v>
      </c>
      <c r="T831" s="340" t="str">
        <f t="shared" si="69"/>
        <v>1999MaleNon-Maori23Jumping from a high place</v>
      </c>
      <c r="U831">
        <v>1999</v>
      </c>
      <c r="V831" t="s">
        <v>20</v>
      </c>
      <c r="W831" t="s">
        <v>19</v>
      </c>
      <c r="X831">
        <v>23</v>
      </c>
      <c r="Y831" t="s">
        <v>44</v>
      </c>
      <c r="Z831">
        <v>3</v>
      </c>
      <c r="AA831">
        <v>146</v>
      </c>
      <c r="AB831">
        <v>2.1</v>
      </c>
    </row>
    <row r="832" spans="1:28">
      <c r="A832" t="str">
        <f t="shared" si="67"/>
        <v>2010AllSexMaori25</v>
      </c>
      <c r="B832">
        <v>2010</v>
      </c>
      <c r="C832" t="s">
        <v>17</v>
      </c>
      <c r="D832" t="s">
        <v>18</v>
      </c>
      <c r="E832">
        <v>25</v>
      </c>
      <c r="F832">
        <v>0</v>
      </c>
      <c r="G832">
        <v>0</v>
      </c>
      <c r="J832" s="340" t="str">
        <f t="shared" si="68"/>
        <v>2001FemaleMaori224</v>
      </c>
      <c r="K832">
        <v>2001</v>
      </c>
      <c r="L832" t="s">
        <v>8</v>
      </c>
      <c r="M832" t="s">
        <v>18</v>
      </c>
      <c r="N832">
        <v>22</v>
      </c>
      <c r="O832">
        <v>4</v>
      </c>
      <c r="P832">
        <v>2</v>
      </c>
      <c r="Q832">
        <v>15.9859290690655</v>
      </c>
      <c r="R832">
        <v>22.2</v>
      </c>
      <c r="T832" s="340" t="str">
        <f t="shared" si="69"/>
        <v>1999MaleNon-Maori24Jumping from a high place</v>
      </c>
      <c r="U832">
        <v>1999</v>
      </c>
      <c r="V832" t="s">
        <v>20</v>
      </c>
      <c r="W832" t="s">
        <v>19</v>
      </c>
      <c r="X832">
        <v>24</v>
      </c>
      <c r="Y832" t="s">
        <v>44</v>
      </c>
      <c r="Z832">
        <v>2</v>
      </c>
      <c r="AA832">
        <v>82</v>
      </c>
      <c r="AB832">
        <v>2.4</v>
      </c>
    </row>
    <row r="833" spans="1:28">
      <c r="A833" t="str">
        <f t="shared" si="67"/>
        <v>2010AllSexNon-Maori21</v>
      </c>
      <c r="B833">
        <v>2010</v>
      </c>
      <c r="C833" t="s">
        <v>17</v>
      </c>
      <c r="D833" t="s">
        <v>19</v>
      </c>
      <c r="E833">
        <v>21</v>
      </c>
      <c r="F833">
        <v>2</v>
      </c>
      <c r="G833">
        <v>0.29453345900094302</v>
      </c>
      <c r="H833">
        <v>0.4</v>
      </c>
      <c r="J833" s="340" t="str">
        <f t="shared" si="68"/>
        <v>2001FemaleMaori225</v>
      </c>
      <c r="K833">
        <v>2001</v>
      </c>
      <c r="L833" t="s">
        <v>8</v>
      </c>
      <c r="M833" t="s">
        <v>18</v>
      </c>
      <c r="N833">
        <v>22</v>
      </c>
      <c r="O833">
        <v>5</v>
      </c>
      <c r="P833">
        <v>5</v>
      </c>
      <c r="Q833">
        <v>22.1659333157885</v>
      </c>
      <c r="R833">
        <v>19.399999999999999</v>
      </c>
      <c r="T833" s="340" t="str">
        <f t="shared" si="69"/>
        <v>1999MaleNon-Maori22Other</v>
      </c>
      <c r="U833">
        <v>1999</v>
      </c>
      <c r="V833" t="s">
        <v>20</v>
      </c>
      <c r="W833" t="s">
        <v>19</v>
      </c>
      <c r="X833">
        <v>22</v>
      </c>
      <c r="Y833" t="s">
        <v>45</v>
      </c>
      <c r="Z833">
        <v>2</v>
      </c>
      <c r="AA833">
        <v>59</v>
      </c>
      <c r="AB833">
        <v>3.4</v>
      </c>
    </row>
    <row r="834" spans="1:28">
      <c r="A834" t="str">
        <f t="shared" si="67"/>
        <v>2010AllSexNon-Maori22</v>
      </c>
      <c r="B834">
        <v>2010</v>
      </c>
      <c r="C834" t="s">
        <v>17</v>
      </c>
      <c r="D834" t="s">
        <v>19</v>
      </c>
      <c r="E834">
        <v>22</v>
      </c>
      <c r="F834">
        <v>69</v>
      </c>
      <c r="G834">
        <v>13.9464375947448</v>
      </c>
      <c r="H834">
        <v>3.3</v>
      </c>
      <c r="J834" s="340" t="str">
        <f t="shared" si="68"/>
        <v>2001FemaleMaori231</v>
      </c>
      <c r="K834">
        <v>2001</v>
      </c>
      <c r="L834" t="s">
        <v>8</v>
      </c>
      <c r="M834" t="s">
        <v>18</v>
      </c>
      <c r="N834">
        <v>23</v>
      </c>
      <c r="O834">
        <v>1</v>
      </c>
      <c r="P834">
        <v>1</v>
      </c>
      <c r="Q834">
        <v>14.777854941631601</v>
      </c>
      <c r="R834">
        <v>29</v>
      </c>
      <c r="T834" s="340" t="str">
        <f t="shared" si="69"/>
        <v>1999MaleNon-Maori23Other</v>
      </c>
      <c r="U834">
        <v>1999</v>
      </c>
      <c r="V834" t="s">
        <v>20</v>
      </c>
      <c r="W834" t="s">
        <v>19</v>
      </c>
      <c r="X834">
        <v>23</v>
      </c>
      <c r="Y834" t="s">
        <v>45</v>
      </c>
      <c r="Z834">
        <v>3</v>
      </c>
      <c r="AA834">
        <v>146</v>
      </c>
      <c r="AB834">
        <v>2.1</v>
      </c>
    </row>
    <row r="835" spans="1:28">
      <c r="A835" t="str">
        <f t="shared" si="67"/>
        <v>2010AllSexNon-Maori23</v>
      </c>
      <c r="B835">
        <v>2010</v>
      </c>
      <c r="C835" t="s">
        <v>17</v>
      </c>
      <c r="D835" t="s">
        <v>19</v>
      </c>
      <c r="E835">
        <v>23</v>
      </c>
      <c r="F835">
        <v>158</v>
      </c>
      <c r="G835">
        <v>15.868392772850999</v>
      </c>
      <c r="H835">
        <v>2.5</v>
      </c>
      <c r="J835" s="340" t="str">
        <f t="shared" si="68"/>
        <v>2001FemaleMaori232</v>
      </c>
      <c r="K835">
        <v>2001</v>
      </c>
      <c r="L835" t="s">
        <v>8</v>
      </c>
      <c r="M835" t="s">
        <v>18</v>
      </c>
      <c r="N835">
        <v>23</v>
      </c>
      <c r="O835">
        <v>2</v>
      </c>
      <c r="P835">
        <v>0</v>
      </c>
      <c r="Q835">
        <v>0</v>
      </c>
      <c r="T835" s="340" t="str">
        <f t="shared" si="69"/>
        <v>1999MaleNon-Maori24Other</v>
      </c>
      <c r="U835">
        <v>1999</v>
      </c>
      <c r="V835" t="s">
        <v>20</v>
      </c>
      <c r="W835" t="s">
        <v>19</v>
      </c>
      <c r="X835">
        <v>24</v>
      </c>
      <c r="Y835" t="s">
        <v>45</v>
      </c>
      <c r="Z835">
        <v>3</v>
      </c>
      <c r="AA835">
        <v>82</v>
      </c>
      <c r="AB835">
        <v>3.7</v>
      </c>
    </row>
    <row r="836" spans="1:28">
      <c r="A836" t="str">
        <f t="shared" ref="A836:A899" si="70">B836&amp;C836&amp;D836&amp;E836</f>
        <v>2010AllSexNon-Maori24</v>
      </c>
      <c r="B836">
        <v>2010</v>
      </c>
      <c r="C836" t="s">
        <v>17</v>
      </c>
      <c r="D836" t="s">
        <v>19</v>
      </c>
      <c r="E836">
        <v>24</v>
      </c>
      <c r="F836">
        <v>146</v>
      </c>
      <c r="G836">
        <v>14.822335025380699</v>
      </c>
      <c r="H836">
        <v>2.4</v>
      </c>
      <c r="J836" s="340" t="str">
        <f t="shared" ref="J836:J899" si="71">K836&amp;L836&amp;M836&amp;N836&amp;O836</f>
        <v>2001FemaleMaori233</v>
      </c>
      <c r="K836">
        <v>2001</v>
      </c>
      <c r="L836" t="s">
        <v>8</v>
      </c>
      <c r="M836" t="s">
        <v>18</v>
      </c>
      <c r="N836">
        <v>23</v>
      </c>
      <c r="O836">
        <v>3</v>
      </c>
      <c r="P836">
        <v>2</v>
      </c>
      <c r="Q836">
        <v>14.0751236142577</v>
      </c>
      <c r="R836">
        <v>19.5</v>
      </c>
      <c r="T836" s="340" t="str">
        <f t="shared" si="69"/>
        <v>1999MaleNon-Maori25Other</v>
      </c>
      <c r="U836">
        <v>1999</v>
      </c>
      <c r="V836" t="s">
        <v>20</v>
      </c>
      <c r="W836" t="s">
        <v>19</v>
      </c>
      <c r="X836">
        <v>25</v>
      </c>
      <c r="Y836" t="s">
        <v>45</v>
      </c>
      <c r="Z836">
        <v>1</v>
      </c>
      <c r="AA836">
        <v>36</v>
      </c>
      <c r="AB836">
        <v>2.8</v>
      </c>
    </row>
    <row r="837" spans="1:28">
      <c r="A837" t="str">
        <f t="shared" si="70"/>
        <v>2010AllSexNon-Maori25</v>
      </c>
      <c r="B837">
        <v>2010</v>
      </c>
      <c r="C837" t="s">
        <v>17</v>
      </c>
      <c r="D837" t="s">
        <v>19</v>
      </c>
      <c r="E837">
        <v>25</v>
      </c>
      <c r="F837">
        <v>57</v>
      </c>
      <c r="G837">
        <v>10.7016127518165</v>
      </c>
      <c r="H837">
        <v>2.8</v>
      </c>
      <c r="J837" s="340" t="str">
        <f t="shared" si="71"/>
        <v>2001FemaleMaori234</v>
      </c>
      <c r="K837">
        <v>2001</v>
      </c>
      <c r="L837" t="s">
        <v>8</v>
      </c>
      <c r="M837" t="s">
        <v>18</v>
      </c>
      <c r="N837">
        <v>23</v>
      </c>
      <c r="O837">
        <v>4</v>
      </c>
      <c r="P837">
        <v>1</v>
      </c>
      <c r="Q837">
        <v>4.7352846786851401</v>
      </c>
      <c r="R837">
        <v>9.3000000000000007</v>
      </c>
      <c r="T837" s="340" t="str">
        <f t="shared" ref="T837:T900" si="72">U837&amp;V837&amp;W837&amp;X837&amp;Y837</f>
        <v>1999MaleNon-Maori22Poisoning by gases and vapours</v>
      </c>
      <c r="U837">
        <v>1999</v>
      </c>
      <c r="V837" t="s">
        <v>20</v>
      </c>
      <c r="W837" t="s">
        <v>19</v>
      </c>
      <c r="X837">
        <v>22</v>
      </c>
      <c r="Y837" t="s">
        <v>46</v>
      </c>
      <c r="Z837">
        <v>10</v>
      </c>
      <c r="AA837">
        <v>59</v>
      </c>
      <c r="AB837">
        <v>16.899999999999999</v>
      </c>
    </row>
    <row r="838" spans="1:28">
      <c r="A838" t="str">
        <f t="shared" si="70"/>
        <v>2010FemaleAllEth21</v>
      </c>
      <c r="B838">
        <v>2010</v>
      </c>
      <c r="C838" t="s">
        <v>8</v>
      </c>
      <c r="D838" t="s">
        <v>27</v>
      </c>
      <c r="E838">
        <v>21</v>
      </c>
      <c r="F838">
        <v>3</v>
      </c>
      <c r="G838">
        <v>0.67821133065063099</v>
      </c>
      <c r="H838">
        <v>0.8</v>
      </c>
      <c r="J838" s="340" t="str">
        <f t="shared" si="71"/>
        <v>2001FemaleMaori235</v>
      </c>
      <c r="K838">
        <v>2001</v>
      </c>
      <c r="L838" t="s">
        <v>8</v>
      </c>
      <c r="M838" t="s">
        <v>18</v>
      </c>
      <c r="N838">
        <v>23</v>
      </c>
      <c r="O838">
        <v>5</v>
      </c>
      <c r="P838">
        <v>4</v>
      </c>
      <c r="Q838">
        <v>11.0046767399309</v>
      </c>
      <c r="R838">
        <v>10.8</v>
      </c>
      <c r="T838" s="340" t="str">
        <f t="shared" si="72"/>
        <v>1999MaleNon-Maori23Poisoning by gases and vapours</v>
      </c>
      <c r="U838">
        <v>1999</v>
      </c>
      <c r="V838" t="s">
        <v>20</v>
      </c>
      <c r="W838" t="s">
        <v>19</v>
      </c>
      <c r="X838">
        <v>23</v>
      </c>
      <c r="Y838" t="s">
        <v>46</v>
      </c>
      <c r="Z838">
        <v>54</v>
      </c>
      <c r="AA838">
        <v>146</v>
      </c>
      <c r="AB838">
        <v>37</v>
      </c>
    </row>
    <row r="839" spans="1:28">
      <c r="A839" t="str">
        <f t="shared" si="70"/>
        <v>2010FemaleAllEth22</v>
      </c>
      <c r="B839">
        <v>2010</v>
      </c>
      <c r="C839" t="s">
        <v>8</v>
      </c>
      <c r="D839" t="s">
        <v>27</v>
      </c>
      <c r="E839">
        <v>22</v>
      </c>
      <c r="F839">
        <v>34</v>
      </c>
      <c r="G839">
        <v>11.1103849421606</v>
      </c>
      <c r="H839">
        <v>3.7</v>
      </c>
      <c r="J839" s="340" t="str">
        <f t="shared" si="71"/>
        <v>2001FemaleMaori241</v>
      </c>
      <c r="K839">
        <v>2001</v>
      </c>
      <c r="L839" t="s">
        <v>8</v>
      </c>
      <c r="M839" t="s">
        <v>18</v>
      </c>
      <c r="N839">
        <v>24</v>
      </c>
      <c r="O839">
        <v>1</v>
      </c>
      <c r="P839">
        <v>0</v>
      </c>
      <c r="Q839">
        <v>0</v>
      </c>
      <c r="T839" s="340" t="str">
        <f t="shared" si="72"/>
        <v>1999MaleNon-Maori24Poisoning by gases and vapours</v>
      </c>
      <c r="U839">
        <v>1999</v>
      </c>
      <c r="V839" t="s">
        <v>20</v>
      </c>
      <c r="W839" t="s">
        <v>19</v>
      </c>
      <c r="X839">
        <v>24</v>
      </c>
      <c r="Y839" t="s">
        <v>46</v>
      </c>
      <c r="Z839">
        <v>18</v>
      </c>
      <c r="AA839">
        <v>82</v>
      </c>
      <c r="AB839">
        <v>22</v>
      </c>
    </row>
    <row r="840" spans="1:28">
      <c r="A840" t="str">
        <f t="shared" si="70"/>
        <v>2010FemaleAllEth23</v>
      </c>
      <c r="B840">
        <v>2010</v>
      </c>
      <c r="C840" t="s">
        <v>8</v>
      </c>
      <c r="D840" t="s">
        <v>27</v>
      </c>
      <c r="E840">
        <v>23</v>
      </c>
      <c r="F840">
        <v>53</v>
      </c>
      <c r="G840">
        <v>8.7568567840856506</v>
      </c>
      <c r="H840">
        <v>2.4</v>
      </c>
      <c r="J840" s="340" t="str">
        <f t="shared" si="71"/>
        <v>2001FemaleMaori242</v>
      </c>
      <c r="K840">
        <v>2001</v>
      </c>
      <c r="L840" t="s">
        <v>8</v>
      </c>
      <c r="M840" t="s">
        <v>18</v>
      </c>
      <c r="N840">
        <v>24</v>
      </c>
      <c r="O840">
        <v>2</v>
      </c>
      <c r="P840">
        <v>0</v>
      </c>
      <c r="Q840">
        <v>0</v>
      </c>
      <c r="T840" s="340" t="str">
        <f t="shared" si="72"/>
        <v>1999MaleNon-Maori25Poisoning by gases and vapours</v>
      </c>
      <c r="U840">
        <v>1999</v>
      </c>
      <c r="V840" t="s">
        <v>20</v>
      </c>
      <c r="W840" t="s">
        <v>19</v>
      </c>
      <c r="X840">
        <v>25</v>
      </c>
      <c r="Y840" t="s">
        <v>46</v>
      </c>
      <c r="Z840">
        <v>9</v>
      </c>
      <c r="AA840">
        <v>36</v>
      </c>
      <c r="AB840">
        <v>25</v>
      </c>
    </row>
    <row r="841" spans="1:28">
      <c r="A841" t="str">
        <f t="shared" si="70"/>
        <v>2010FemaleAllEth24</v>
      </c>
      <c r="B841">
        <v>2010</v>
      </c>
      <c r="C841" t="s">
        <v>8</v>
      </c>
      <c r="D841" t="s">
        <v>27</v>
      </c>
      <c r="E841">
        <v>24</v>
      </c>
      <c r="F841">
        <v>43</v>
      </c>
      <c r="G841">
        <v>7.6322328718494896</v>
      </c>
      <c r="H841">
        <v>2.2999999999999998</v>
      </c>
      <c r="J841" s="340" t="str">
        <f t="shared" si="71"/>
        <v>2001FemaleMaori243</v>
      </c>
      <c r="K841">
        <v>2001</v>
      </c>
      <c r="L841" t="s">
        <v>8</v>
      </c>
      <c r="M841" t="s">
        <v>18</v>
      </c>
      <c r="N841">
        <v>24</v>
      </c>
      <c r="O841">
        <v>3</v>
      </c>
      <c r="P841">
        <v>0</v>
      </c>
      <c r="Q841">
        <v>0</v>
      </c>
      <c r="T841" s="340" t="str">
        <f t="shared" si="72"/>
        <v>1999MaleNon-Maori22Poisoning by solids and liquids</v>
      </c>
      <c r="U841">
        <v>1999</v>
      </c>
      <c r="V841" t="s">
        <v>20</v>
      </c>
      <c r="W841" t="s">
        <v>19</v>
      </c>
      <c r="X841">
        <v>22</v>
      </c>
      <c r="Y841" t="s">
        <v>47</v>
      </c>
      <c r="Z841">
        <v>2</v>
      </c>
      <c r="AA841">
        <v>59</v>
      </c>
      <c r="AB841">
        <v>3.4</v>
      </c>
    </row>
    <row r="842" spans="1:28">
      <c r="A842" t="str">
        <f t="shared" si="70"/>
        <v>2010FemaleAllEth25</v>
      </c>
      <c r="B842">
        <v>2010</v>
      </c>
      <c r="C842" t="s">
        <v>8</v>
      </c>
      <c r="D842" t="s">
        <v>27</v>
      </c>
      <c r="E842">
        <v>25</v>
      </c>
      <c r="F842">
        <v>14</v>
      </c>
      <c r="G842">
        <v>4.5607062579405104</v>
      </c>
      <c r="H842">
        <v>2.4</v>
      </c>
      <c r="J842" s="340" t="str">
        <f t="shared" si="71"/>
        <v>2001FemaleMaori244</v>
      </c>
      <c r="K842">
        <v>2001</v>
      </c>
      <c r="L842" t="s">
        <v>8</v>
      </c>
      <c r="M842" t="s">
        <v>18</v>
      </c>
      <c r="N842">
        <v>24</v>
      </c>
      <c r="O842">
        <v>4</v>
      </c>
      <c r="P842">
        <v>0</v>
      </c>
      <c r="Q842">
        <v>0</v>
      </c>
      <c r="T842" s="340" t="str">
        <f t="shared" si="72"/>
        <v>1999MaleNon-Maori23Poisoning by solids and liquids</v>
      </c>
      <c r="U842">
        <v>1999</v>
      </c>
      <c r="V842" t="s">
        <v>20</v>
      </c>
      <c r="W842" t="s">
        <v>19</v>
      </c>
      <c r="X842">
        <v>23</v>
      </c>
      <c r="Y842" t="s">
        <v>47</v>
      </c>
      <c r="Z842">
        <v>7</v>
      </c>
      <c r="AA842">
        <v>146</v>
      </c>
      <c r="AB842">
        <v>4.8</v>
      </c>
    </row>
    <row r="843" spans="1:28">
      <c r="A843" t="str">
        <f t="shared" si="70"/>
        <v>2010FemaleMaori21</v>
      </c>
      <c r="B843">
        <v>2010</v>
      </c>
      <c r="C843" t="s">
        <v>8</v>
      </c>
      <c r="D843" t="s">
        <v>18</v>
      </c>
      <c r="E843">
        <v>21</v>
      </c>
      <c r="F843">
        <v>2</v>
      </c>
      <c r="G843">
        <v>1.79710665828017</v>
      </c>
      <c r="H843">
        <v>2.5</v>
      </c>
      <c r="J843" s="340" t="str">
        <f t="shared" si="71"/>
        <v>2001FemaleMaori245</v>
      </c>
      <c r="K843">
        <v>2001</v>
      </c>
      <c r="L843" t="s">
        <v>8</v>
      </c>
      <c r="M843" t="s">
        <v>18</v>
      </c>
      <c r="N843">
        <v>24</v>
      </c>
      <c r="O843">
        <v>5</v>
      </c>
      <c r="P843">
        <v>0</v>
      </c>
      <c r="Q843">
        <v>0</v>
      </c>
      <c r="T843" s="340" t="str">
        <f t="shared" si="72"/>
        <v>1999MaleNon-Maori24Poisoning by solids and liquids</v>
      </c>
      <c r="U843">
        <v>1999</v>
      </c>
      <c r="V843" t="s">
        <v>20</v>
      </c>
      <c r="W843" t="s">
        <v>19</v>
      </c>
      <c r="X843">
        <v>24</v>
      </c>
      <c r="Y843" t="s">
        <v>47</v>
      </c>
      <c r="Z843">
        <v>8</v>
      </c>
      <c r="AA843">
        <v>82</v>
      </c>
      <c r="AB843">
        <v>9.8000000000000007</v>
      </c>
    </row>
    <row r="844" spans="1:28">
      <c r="A844" t="str">
        <f t="shared" si="70"/>
        <v>2010FemaleMaori22</v>
      </c>
      <c r="B844">
        <v>2010</v>
      </c>
      <c r="C844" t="s">
        <v>8</v>
      </c>
      <c r="D844" t="s">
        <v>18</v>
      </c>
      <c r="E844">
        <v>22</v>
      </c>
      <c r="F844">
        <v>15</v>
      </c>
      <c r="G844">
        <v>24.0731824747232</v>
      </c>
      <c r="H844">
        <v>12.2</v>
      </c>
      <c r="J844" s="340" t="str">
        <f t="shared" si="71"/>
        <v>2001FemaleMaori251</v>
      </c>
      <c r="K844">
        <v>2001</v>
      </c>
      <c r="L844" t="s">
        <v>8</v>
      </c>
      <c r="M844" t="s">
        <v>18</v>
      </c>
      <c r="N844">
        <v>25</v>
      </c>
      <c r="O844">
        <v>1</v>
      </c>
      <c r="P844">
        <v>0</v>
      </c>
      <c r="Q844">
        <v>0</v>
      </c>
      <c r="T844" s="340" t="str">
        <f t="shared" si="72"/>
        <v>1999MaleNon-Maori25Poisoning by solids and liquids</v>
      </c>
      <c r="U844">
        <v>1999</v>
      </c>
      <c r="V844" t="s">
        <v>20</v>
      </c>
      <c r="W844" t="s">
        <v>19</v>
      </c>
      <c r="X844">
        <v>25</v>
      </c>
      <c r="Y844" t="s">
        <v>47</v>
      </c>
      <c r="Z844">
        <v>1</v>
      </c>
      <c r="AA844">
        <v>36</v>
      </c>
      <c r="AB844">
        <v>2.8</v>
      </c>
    </row>
    <row r="845" spans="1:28">
      <c r="A845" t="str">
        <f t="shared" si="70"/>
        <v>2010FemaleMaori23</v>
      </c>
      <c r="B845">
        <v>2010</v>
      </c>
      <c r="C845" t="s">
        <v>8</v>
      </c>
      <c r="D845" t="s">
        <v>18</v>
      </c>
      <c r="E845">
        <v>23</v>
      </c>
      <c r="F845">
        <v>9</v>
      </c>
      <c r="G845">
        <v>10.0682402953351</v>
      </c>
      <c r="H845">
        <v>6.6</v>
      </c>
      <c r="J845" s="340" t="str">
        <f t="shared" si="71"/>
        <v>2001FemaleMaori252</v>
      </c>
      <c r="K845">
        <v>2001</v>
      </c>
      <c r="L845" t="s">
        <v>8</v>
      </c>
      <c r="M845" t="s">
        <v>18</v>
      </c>
      <c r="N845">
        <v>25</v>
      </c>
      <c r="O845">
        <v>2</v>
      </c>
      <c r="P845">
        <v>0</v>
      </c>
      <c r="Q845">
        <v>0</v>
      </c>
      <c r="T845" s="340" t="str">
        <f t="shared" si="72"/>
        <v>1999MaleNon-Maori23Sharp object</v>
      </c>
      <c r="U845">
        <v>1999</v>
      </c>
      <c r="V845" t="s">
        <v>20</v>
      </c>
      <c r="W845" t="s">
        <v>19</v>
      </c>
      <c r="X845">
        <v>23</v>
      </c>
      <c r="Y845" t="s">
        <v>48</v>
      </c>
      <c r="Z845">
        <v>4</v>
      </c>
      <c r="AA845">
        <v>146</v>
      </c>
      <c r="AB845">
        <v>2.7</v>
      </c>
    </row>
    <row r="846" spans="1:28">
      <c r="A846" t="str">
        <f t="shared" si="70"/>
        <v>2010FemaleMaori24</v>
      </c>
      <c r="B846">
        <v>2010</v>
      </c>
      <c r="C846" t="s">
        <v>8</v>
      </c>
      <c r="D846" t="s">
        <v>18</v>
      </c>
      <c r="E846">
        <v>24</v>
      </c>
      <c r="F846">
        <v>4</v>
      </c>
      <c r="G846">
        <v>6.5649105530937097</v>
      </c>
      <c r="H846">
        <v>6.4</v>
      </c>
      <c r="J846" s="340" t="str">
        <f t="shared" si="71"/>
        <v>2001FemaleMaori253</v>
      </c>
      <c r="K846">
        <v>2001</v>
      </c>
      <c r="L846" t="s">
        <v>8</v>
      </c>
      <c r="M846" t="s">
        <v>18</v>
      </c>
      <c r="N846">
        <v>25</v>
      </c>
      <c r="O846">
        <v>3</v>
      </c>
      <c r="P846">
        <v>0</v>
      </c>
      <c r="Q846">
        <v>0</v>
      </c>
      <c r="T846" s="340" t="str">
        <f t="shared" si="72"/>
        <v>1999MaleNon-Maori24Sharp object</v>
      </c>
      <c r="U846">
        <v>1999</v>
      </c>
      <c r="V846" t="s">
        <v>20</v>
      </c>
      <c r="W846" t="s">
        <v>19</v>
      </c>
      <c r="X846">
        <v>24</v>
      </c>
      <c r="Y846" t="s">
        <v>48</v>
      </c>
      <c r="Z846">
        <v>1</v>
      </c>
      <c r="AA846">
        <v>82</v>
      </c>
      <c r="AB846">
        <v>1.2</v>
      </c>
    </row>
    <row r="847" spans="1:28">
      <c r="A847" t="str">
        <f t="shared" si="70"/>
        <v>2010FemaleMaori25</v>
      </c>
      <c r="B847">
        <v>2010</v>
      </c>
      <c r="C847" t="s">
        <v>8</v>
      </c>
      <c r="D847" t="s">
        <v>18</v>
      </c>
      <c r="E847">
        <v>25</v>
      </c>
      <c r="F847">
        <v>0</v>
      </c>
      <c r="G847">
        <v>0</v>
      </c>
      <c r="J847" s="340" t="str">
        <f t="shared" si="71"/>
        <v>2001FemaleMaori254</v>
      </c>
      <c r="K847">
        <v>2001</v>
      </c>
      <c r="L847" t="s">
        <v>8</v>
      </c>
      <c r="M847" t="s">
        <v>18</v>
      </c>
      <c r="N847">
        <v>25</v>
      </c>
      <c r="O847">
        <v>4</v>
      </c>
      <c r="P847">
        <v>0</v>
      </c>
      <c r="Q847">
        <v>0</v>
      </c>
      <c r="T847" s="340" t="str">
        <f t="shared" si="72"/>
        <v>1999MaleNon-Maori25Sharp object</v>
      </c>
      <c r="U847">
        <v>1999</v>
      </c>
      <c r="V847" t="s">
        <v>20</v>
      </c>
      <c r="W847" t="s">
        <v>19</v>
      </c>
      <c r="X847">
        <v>25</v>
      </c>
      <c r="Y847" t="s">
        <v>48</v>
      </c>
      <c r="Z847">
        <v>1</v>
      </c>
      <c r="AA847">
        <v>36</v>
      </c>
      <c r="AB847">
        <v>2.8</v>
      </c>
    </row>
    <row r="848" spans="1:28">
      <c r="A848" t="str">
        <f t="shared" si="70"/>
        <v>2010FemaleNon-Maori21</v>
      </c>
      <c r="B848">
        <v>2010</v>
      </c>
      <c r="C848" t="s">
        <v>8</v>
      </c>
      <c r="D848" t="s">
        <v>19</v>
      </c>
      <c r="E848">
        <v>21</v>
      </c>
      <c r="F848">
        <v>1</v>
      </c>
      <c r="G848">
        <v>0.30206917384081</v>
      </c>
      <c r="H848">
        <v>0.6</v>
      </c>
      <c r="J848" s="340" t="str">
        <f t="shared" si="71"/>
        <v>2001FemaleMaori255</v>
      </c>
      <c r="K848">
        <v>2001</v>
      </c>
      <c r="L848" t="s">
        <v>8</v>
      </c>
      <c r="M848" t="s">
        <v>18</v>
      </c>
      <c r="N848">
        <v>25</v>
      </c>
      <c r="O848">
        <v>5</v>
      </c>
      <c r="P848">
        <v>0</v>
      </c>
      <c r="Q848">
        <v>0</v>
      </c>
      <c r="T848" s="340" t="str">
        <f t="shared" si="72"/>
        <v>1999MaleNon-Maori23Submersion (drowning)</v>
      </c>
      <c r="U848">
        <v>1999</v>
      </c>
      <c r="V848" t="s">
        <v>20</v>
      </c>
      <c r="W848" t="s">
        <v>19</v>
      </c>
      <c r="X848">
        <v>23</v>
      </c>
      <c r="Y848" t="s">
        <v>49</v>
      </c>
      <c r="Z848">
        <v>4</v>
      </c>
      <c r="AA848">
        <v>146</v>
      </c>
      <c r="AB848">
        <v>2.7</v>
      </c>
    </row>
    <row r="849" spans="1:28">
      <c r="A849" t="str">
        <f t="shared" si="70"/>
        <v>2010FemaleNon-Maori22</v>
      </c>
      <c r="B849">
        <v>2010</v>
      </c>
      <c r="C849" t="s">
        <v>8</v>
      </c>
      <c r="D849" t="s">
        <v>19</v>
      </c>
      <c r="E849">
        <v>22</v>
      </c>
      <c r="F849">
        <v>19</v>
      </c>
      <c r="G849">
        <v>7.7961511632678198</v>
      </c>
      <c r="H849">
        <v>3.5</v>
      </c>
      <c r="J849" s="340" t="str">
        <f t="shared" si="71"/>
        <v>2001FemaleNon-Maori211</v>
      </c>
      <c r="K849">
        <v>2001</v>
      </c>
      <c r="L849" t="s">
        <v>8</v>
      </c>
      <c r="M849" t="s">
        <v>19</v>
      </c>
      <c r="N849">
        <v>21</v>
      </c>
      <c r="O849">
        <v>1</v>
      </c>
      <c r="P849">
        <v>0</v>
      </c>
      <c r="Q849">
        <v>0</v>
      </c>
      <c r="T849" s="340" t="str">
        <f t="shared" si="72"/>
        <v>1999MaleNon-Maori24Submersion (drowning)</v>
      </c>
      <c r="U849">
        <v>1999</v>
      </c>
      <c r="V849" t="s">
        <v>20</v>
      </c>
      <c r="W849" t="s">
        <v>19</v>
      </c>
      <c r="X849">
        <v>24</v>
      </c>
      <c r="Y849" t="s">
        <v>49</v>
      </c>
      <c r="Z849">
        <v>3</v>
      </c>
      <c r="AA849">
        <v>82</v>
      </c>
      <c r="AB849">
        <v>3.7</v>
      </c>
    </row>
    <row r="850" spans="1:28">
      <c r="A850" t="str">
        <f t="shared" si="70"/>
        <v>2010FemaleNon-Maori23</v>
      </c>
      <c r="B850">
        <v>2010</v>
      </c>
      <c r="C850" t="s">
        <v>8</v>
      </c>
      <c r="D850" t="s">
        <v>19</v>
      </c>
      <c r="E850">
        <v>23</v>
      </c>
      <c r="F850">
        <v>44</v>
      </c>
      <c r="G850">
        <v>8.5296113211204805</v>
      </c>
      <c r="H850">
        <v>2.5</v>
      </c>
      <c r="J850" s="340" t="str">
        <f t="shared" si="71"/>
        <v>2001FemaleNon-Maori212</v>
      </c>
      <c r="K850">
        <v>2001</v>
      </c>
      <c r="L850" t="s">
        <v>8</v>
      </c>
      <c r="M850" t="s">
        <v>19</v>
      </c>
      <c r="N850">
        <v>21</v>
      </c>
      <c r="O850">
        <v>2</v>
      </c>
      <c r="P850">
        <v>0</v>
      </c>
      <c r="Q850">
        <v>0</v>
      </c>
      <c r="T850" s="340" t="str">
        <f t="shared" si="72"/>
        <v>1999MaleNon-Maori25Submersion (drowning)</v>
      </c>
      <c r="U850">
        <v>1999</v>
      </c>
      <c r="V850" t="s">
        <v>20</v>
      </c>
      <c r="W850" t="s">
        <v>19</v>
      </c>
      <c r="X850">
        <v>25</v>
      </c>
      <c r="Y850" t="s">
        <v>49</v>
      </c>
      <c r="Z850">
        <v>4</v>
      </c>
      <c r="AA850">
        <v>36</v>
      </c>
      <c r="AB850">
        <v>11.1</v>
      </c>
    </row>
    <row r="851" spans="1:28">
      <c r="A851" t="str">
        <f t="shared" si="70"/>
        <v>2010FemaleNon-Maori24</v>
      </c>
      <c r="B851">
        <v>2010</v>
      </c>
      <c r="C851" t="s">
        <v>8</v>
      </c>
      <c r="D851" t="s">
        <v>19</v>
      </c>
      <c r="E851">
        <v>24</v>
      </c>
      <c r="F851">
        <v>39</v>
      </c>
      <c r="G851">
        <v>7.7616574123828297</v>
      </c>
      <c r="H851">
        <v>2.4</v>
      </c>
      <c r="J851" s="340" t="str">
        <f t="shared" si="71"/>
        <v>2001FemaleNon-Maori213</v>
      </c>
      <c r="K851">
        <v>2001</v>
      </c>
      <c r="L851" t="s">
        <v>8</v>
      </c>
      <c r="M851" t="s">
        <v>19</v>
      </c>
      <c r="N851">
        <v>21</v>
      </c>
      <c r="O851">
        <v>3</v>
      </c>
      <c r="P851">
        <v>0</v>
      </c>
      <c r="Q851">
        <v>0</v>
      </c>
      <c r="T851" s="340" t="str">
        <f t="shared" si="72"/>
        <v>2000AllSexAllEth22Firearms and explosives</v>
      </c>
      <c r="U851">
        <v>2000</v>
      </c>
      <c r="V851" t="s">
        <v>17</v>
      </c>
      <c r="W851" t="s">
        <v>27</v>
      </c>
      <c r="X851">
        <v>22</v>
      </c>
      <c r="Y851" t="s">
        <v>42</v>
      </c>
      <c r="Z851">
        <v>3</v>
      </c>
      <c r="AA851">
        <v>96</v>
      </c>
      <c r="AB851">
        <v>3.1</v>
      </c>
    </row>
    <row r="852" spans="1:28">
      <c r="A852" t="str">
        <f t="shared" si="70"/>
        <v>2010FemaleNon-Maori25</v>
      </c>
      <c r="B852">
        <v>2010</v>
      </c>
      <c r="C852" t="s">
        <v>8</v>
      </c>
      <c r="D852" t="s">
        <v>19</v>
      </c>
      <c r="E852">
        <v>25</v>
      </c>
      <c r="F852">
        <v>14</v>
      </c>
      <c r="G852">
        <v>4.8262548262548304</v>
      </c>
      <c r="H852">
        <v>2.5</v>
      </c>
      <c r="J852" s="340" t="str">
        <f t="shared" si="71"/>
        <v>2001FemaleNon-Maori214</v>
      </c>
      <c r="K852">
        <v>2001</v>
      </c>
      <c r="L852" t="s">
        <v>8</v>
      </c>
      <c r="M852" t="s">
        <v>19</v>
      </c>
      <c r="N852">
        <v>21</v>
      </c>
      <c r="O852">
        <v>4</v>
      </c>
      <c r="P852">
        <v>0</v>
      </c>
      <c r="Q852">
        <v>0</v>
      </c>
      <c r="T852" s="340" t="str">
        <f t="shared" si="72"/>
        <v>2000AllSexAllEth23Firearms and explosives</v>
      </c>
      <c r="U852">
        <v>2000</v>
      </c>
      <c r="V852" t="s">
        <v>17</v>
      </c>
      <c r="W852" t="s">
        <v>27</v>
      </c>
      <c r="X852">
        <v>23</v>
      </c>
      <c r="Y852" t="s">
        <v>42</v>
      </c>
      <c r="Z852">
        <v>19</v>
      </c>
      <c r="AA852">
        <v>209</v>
      </c>
      <c r="AB852">
        <v>9.1</v>
      </c>
    </row>
    <row r="853" spans="1:28">
      <c r="A853" t="str">
        <f t="shared" si="70"/>
        <v>2010MaleAllEth21</v>
      </c>
      <c r="B853">
        <v>2010</v>
      </c>
      <c r="C853" t="s">
        <v>20</v>
      </c>
      <c r="D853" t="s">
        <v>27</v>
      </c>
      <c r="E853">
        <v>21</v>
      </c>
      <c r="F853">
        <v>3</v>
      </c>
      <c r="G853">
        <v>0.64424687540265402</v>
      </c>
      <c r="H853">
        <v>0.7</v>
      </c>
      <c r="J853" s="340" t="str">
        <f t="shared" si="71"/>
        <v>2001FemaleNon-Maori215</v>
      </c>
      <c r="K853">
        <v>2001</v>
      </c>
      <c r="L853" t="s">
        <v>8</v>
      </c>
      <c r="M853" t="s">
        <v>19</v>
      </c>
      <c r="N853">
        <v>21</v>
      </c>
      <c r="O853">
        <v>5</v>
      </c>
      <c r="P853">
        <v>1</v>
      </c>
      <c r="Q853">
        <v>1.89032194573229</v>
      </c>
      <c r="R853">
        <v>3.7</v>
      </c>
      <c r="T853" s="340" t="str">
        <f t="shared" si="72"/>
        <v>2000AllSexAllEth24Firearms and explosives</v>
      </c>
      <c r="U853">
        <v>2000</v>
      </c>
      <c r="V853" t="s">
        <v>17</v>
      </c>
      <c r="W853" t="s">
        <v>27</v>
      </c>
      <c r="X853">
        <v>24</v>
      </c>
      <c r="Y853" t="s">
        <v>42</v>
      </c>
      <c r="Z853">
        <v>8</v>
      </c>
      <c r="AA853">
        <v>103</v>
      </c>
      <c r="AB853">
        <v>7.8</v>
      </c>
    </row>
    <row r="854" spans="1:28">
      <c r="A854" t="str">
        <f t="shared" si="70"/>
        <v>2010MaleAllEth22</v>
      </c>
      <c r="B854">
        <v>2010</v>
      </c>
      <c r="C854" t="s">
        <v>20</v>
      </c>
      <c r="D854" t="s">
        <v>27</v>
      </c>
      <c r="E854">
        <v>22</v>
      </c>
      <c r="F854">
        <v>77</v>
      </c>
      <c r="G854">
        <v>24.6945255123312</v>
      </c>
      <c r="H854">
        <v>5.5</v>
      </c>
      <c r="J854" s="340" t="str">
        <f t="shared" si="71"/>
        <v>2001FemaleNon-Maori221</v>
      </c>
      <c r="K854">
        <v>2001</v>
      </c>
      <c r="L854" t="s">
        <v>8</v>
      </c>
      <c r="M854" t="s">
        <v>19</v>
      </c>
      <c r="N854">
        <v>22</v>
      </c>
      <c r="O854">
        <v>1</v>
      </c>
      <c r="P854">
        <v>5</v>
      </c>
      <c r="Q854">
        <v>12.360003706641701</v>
      </c>
      <c r="R854">
        <v>10.8</v>
      </c>
      <c r="T854" s="340" t="str">
        <f t="shared" si="72"/>
        <v>2000AllSexAllEth25Firearms and explosives</v>
      </c>
      <c r="U854">
        <v>2000</v>
      </c>
      <c r="V854" t="s">
        <v>17</v>
      </c>
      <c r="W854" t="s">
        <v>27</v>
      </c>
      <c r="X854">
        <v>25</v>
      </c>
      <c r="Y854" t="s">
        <v>42</v>
      </c>
      <c r="Z854">
        <v>7</v>
      </c>
      <c r="AA854">
        <v>47</v>
      </c>
      <c r="AB854">
        <v>14.9</v>
      </c>
    </row>
    <row r="855" spans="1:28">
      <c r="A855" t="str">
        <f t="shared" si="70"/>
        <v>2010MaleAllEth23</v>
      </c>
      <c r="B855">
        <v>2010</v>
      </c>
      <c r="C855" t="s">
        <v>20</v>
      </c>
      <c r="D855" t="s">
        <v>27</v>
      </c>
      <c r="E855">
        <v>23</v>
      </c>
      <c r="F855">
        <v>146</v>
      </c>
      <c r="G855">
        <v>26.170033519152501</v>
      </c>
      <c r="H855">
        <v>4.2</v>
      </c>
      <c r="J855" s="340" t="str">
        <f t="shared" si="71"/>
        <v>2001FemaleNon-Maori222</v>
      </c>
      <c r="K855">
        <v>2001</v>
      </c>
      <c r="L855" t="s">
        <v>8</v>
      </c>
      <c r="M855" t="s">
        <v>19</v>
      </c>
      <c r="N855">
        <v>22</v>
      </c>
      <c r="O855">
        <v>2</v>
      </c>
      <c r="P855">
        <v>2</v>
      </c>
      <c r="Q855">
        <v>4.8332596089072402</v>
      </c>
      <c r="R855">
        <v>6.7</v>
      </c>
      <c r="T855" s="340" t="str">
        <f t="shared" si="72"/>
        <v>2000AllSexAllEth21Hanging, strangulation and suffocation</v>
      </c>
      <c r="U855">
        <v>2000</v>
      </c>
      <c r="V855" t="s">
        <v>17</v>
      </c>
      <c r="W855" t="s">
        <v>27</v>
      </c>
      <c r="X855">
        <v>21</v>
      </c>
      <c r="Y855" t="s">
        <v>43</v>
      </c>
      <c r="Z855">
        <v>3</v>
      </c>
      <c r="AA855">
        <v>4</v>
      </c>
      <c r="AB855">
        <v>75</v>
      </c>
    </row>
    <row r="856" spans="1:28">
      <c r="A856" t="str">
        <f t="shared" si="70"/>
        <v>2010MaleAllEth24</v>
      </c>
      <c r="B856">
        <v>2010</v>
      </c>
      <c r="C856" t="s">
        <v>20</v>
      </c>
      <c r="D856" t="s">
        <v>27</v>
      </c>
      <c r="E856">
        <v>24</v>
      </c>
      <c r="F856">
        <v>118</v>
      </c>
      <c r="G856">
        <v>21.966566141703002</v>
      </c>
      <c r="H856">
        <v>4</v>
      </c>
      <c r="J856" s="340" t="str">
        <f t="shared" si="71"/>
        <v>2001FemaleNon-Maori223</v>
      </c>
      <c r="K856">
        <v>2001</v>
      </c>
      <c r="L856" t="s">
        <v>8</v>
      </c>
      <c r="M856" t="s">
        <v>19</v>
      </c>
      <c r="N856">
        <v>22</v>
      </c>
      <c r="O856">
        <v>3</v>
      </c>
      <c r="P856">
        <v>2</v>
      </c>
      <c r="Q856">
        <v>4.6897756957182102</v>
      </c>
      <c r="R856">
        <v>6.5</v>
      </c>
      <c r="T856" s="340" t="str">
        <f t="shared" si="72"/>
        <v>2000AllSexAllEth22Hanging, strangulation and suffocation</v>
      </c>
      <c r="U856">
        <v>2000</v>
      </c>
      <c r="V856" t="s">
        <v>17</v>
      </c>
      <c r="W856" t="s">
        <v>27</v>
      </c>
      <c r="X856">
        <v>22</v>
      </c>
      <c r="Y856" t="s">
        <v>43</v>
      </c>
      <c r="Z856">
        <v>60</v>
      </c>
      <c r="AA856">
        <v>96</v>
      </c>
      <c r="AB856">
        <v>62.5</v>
      </c>
    </row>
    <row r="857" spans="1:28">
      <c r="A857" t="str">
        <f t="shared" si="70"/>
        <v>2010MaleAllEth25</v>
      </c>
      <c r="B857">
        <v>2010</v>
      </c>
      <c r="C857" t="s">
        <v>20</v>
      </c>
      <c r="D857" t="s">
        <v>27</v>
      </c>
      <c r="E857">
        <v>25</v>
      </c>
      <c r="F857">
        <v>43</v>
      </c>
      <c r="G857">
        <v>16.766093500214399</v>
      </c>
      <c r="H857">
        <v>5</v>
      </c>
      <c r="J857" s="340" t="str">
        <f t="shared" si="71"/>
        <v>2001FemaleNon-Maori224</v>
      </c>
      <c r="K857">
        <v>2001</v>
      </c>
      <c r="L857" t="s">
        <v>8</v>
      </c>
      <c r="M857" t="s">
        <v>19</v>
      </c>
      <c r="N857">
        <v>22</v>
      </c>
      <c r="O857">
        <v>4</v>
      </c>
      <c r="P857">
        <v>1</v>
      </c>
      <c r="Q857">
        <v>2.2938263834036299</v>
      </c>
      <c r="R857">
        <v>4.5</v>
      </c>
      <c r="T857" s="340" t="str">
        <f t="shared" si="72"/>
        <v>2000AllSexAllEth23Hanging, strangulation and suffocation</v>
      </c>
      <c r="U857">
        <v>2000</v>
      </c>
      <c r="V857" t="s">
        <v>17</v>
      </c>
      <c r="W857" t="s">
        <v>27</v>
      </c>
      <c r="X857">
        <v>23</v>
      </c>
      <c r="Y857" t="s">
        <v>43</v>
      </c>
      <c r="Z857">
        <v>99</v>
      </c>
      <c r="AA857">
        <v>209</v>
      </c>
      <c r="AB857">
        <v>47.4</v>
      </c>
    </row>
    <row r="858" spans="1:28">
      <c r="A858" t="str">
        <f t="shared" si="70"/>
        <v>2010MaleMaori21</v>
      </c>
      <c r="B858">
        <v>2010</v>
      </c>
      <c r="C858" t="s">
        <v>20</v>
      </c>
      <c r="D858" t="s">
        <v>18</v>
      </c>
      <c r="E858">
        <v>21</v>
      </c>
      <c r="F858">
        <v>2</v>
      </c>
      <c r="G858">
        <v>1.6996685646298999</v>
      </c>
      <c r="H858">
        <v>2.4</v>
      </c>
      <c r="J858" s="340" t="str">
        <f t="shared" si="71"/>
        <v>2001FemaleNon-Maori225</v>
      </c>
      <c r="K858">
        <v>2001</v>
      </c>
      <c r="L858" t="s">
        <v>8</v>
      </c>
      <c r="M858" t="s">
        <v>19</v>
      </c>
      <c r="N858">
        <v>22</v>
      </c>
      <c r="O858">
        <v>5</v>
      </c>
      <c r="P858">
        <v>2</v>
      </c>
      <c r="Q858">
        <v>4.60026515238199</v>
      </c>
      <c r="R858">
        <v>6.4</v>
      </c>
      <c r="T858" s="340" t="str">
        <f t="shared" si="72"/>
        <v>2000AllSexAllEth24Hanging, strangulation and suffocation</v>
      </c>
      <c r="U858">
        <v>2000</v>
      </c>
      <c r="V858" t="s">
        <v>17</v>
      </c>
      <c r="W858" t="s">
        <v>27</v>
      </c>
      <c r="X858">
        <v>24</v>
      </c>
      <c r="Y858" t="s">
        <v>43</v>
      </c>
      <c r="Z858">
        <v>36</v>
      </c>
      <c r="AA858">
        <v>103</v>
      </c>
      <c r="AB858">
        <v>35</v>
      </c>
    </row>
    <row r="859" spans="1:28">
      <c r="A859" t="str">
        <f t="shared" si="70"/>
        <v>2010MaleMaori22</v>
      </c>
      <c r="B859">
        <v>2010</v>
      </c>
      <c r="C859" t="s">
        <v>20</v>
      </c>
      <c r="D859" t="s">
        <v>18</v>
      </c>
      <c r="E859">
        <v>22</v>
      </c>
      <c r="F859">
        <v>27</v>
      </c>
      <c r="G859">
        <v>44.437129690585898</v>
      </c>
      <c r="H859">
        <v>16.8</v>
      </c>
      <c r="J859" s="340" t="str">
        <f t="shared" si="71"/>
        <v>2001FemaleNon-Maori231</v>
      </c>
      <c r="K859">
        <v>2001</v>
      </c>
      <c r="L859" t="s">
        <v>8</v>
      </c>
      <c r="M859" t="s">
        <v>19</v>
      </c>
      <c r="N859">
        <v>23</v>
      </c>
      <c r="O859">
        <v>1</v>
      </c>
      <c r="P859">
        <v>7</v>
      </c>
      <c r="Q859">
        <v>6.1440200161671799</v>
      </c>
      <c r="R859">
        <v>4.5999999999999996</v>
      </c>
      <c r="T859" s="340" t="str">
        <f t="shared" si="72"/>
        <v>2000AllSexAllEth25Hanging, strangulation and suffocation</v>
      </c>
      <c r="U859">
        <v>2000</v>
      </c>
      <c r="V859" t="s">
        <v>17</v>
      </c>
      <c r="W859" t="s">
        <v>27</v>
      </c>
      <c r="X859">
        <v>25</v>
      </c>
      <c r="Y859" t="s">
        <v>43</v>
      </c>
      <c r="Z859">
        <v>17</v>
      </c>
      <c r="AA859">
        <v>47</v>
      </c>
      <c r="AB859">
        <v>36.200000000000003</v>
      </c>
    </row>
    <row r="860" spans="1:28">
      <c r="A860" t="str">
        <f t="shared" si="70"/>
        <v>2010MaleMaori23</v>
      </c>
      <c r="B860">
        <v>2010</v>
      </c>
      <c r="C860" t="s">
        <v>20</v>
      </c>
      <c r="D860" t="s">
        <v>18</v>
      </c>
      <c r="E860">
        <v>23</v>
      </c>
      <c r="F860">
        <v>32</v>
      </c>
      <c r="G860">
        <v>40.994107097104802</v>
      </c>
      <c r="H860">
        <v>14.2</v>
      </c>
      <c r="J860" s="340" t="str">
        <f t="shared" si="71"/>
        <v>2001FemaleNon-Maori232</v>
      </c>
      <c r="K860">
        <v>2001</v>
      </c>
      <c r="L860" t="s">
        <v>8</v>
      </c>
      <c r="M860" t="s">
        <v>19</v>
      </c>
      <c r="N860">
        <v>23</v>
      </c>
      <c r="O860">
        <v>2</v>
      </c>
      <c r="P860">
        <v>8</v>
      </c>
      <c r="Q860">
        <v>6.9985357389128904</v>
      </c>
      <c r="R860">
        <v>4.8</v>
      </c>
      <c r="T860" s="340" t="str">
        <f t="shared" si="72"/>
        <v>2000AllSexAllEth22Jumping from a high place</v>
      </c>
      <c r="U860">
        <v>2000</v>
      </c>
      <c r="V860" t="s">
        <v>17</v>
      </c>
      <c r="W860" t="s">
        <v>27</v>
      </c>
      <c r="X860">
        <v>22</v>
      </c>
      <c r="Y860" t="s">
        <v>44</v>
      </c>
      <c r="Z860">
        <v>5</v>
      </c>
      <c r="AA860">
        <v>96</v>
      </c>
      <c r="AB860">
        <v>5.2</v>
      </c>
    </row>
    <row r="861" spans="1:28">
      <c r="A861" t="str">
        <f t="shared" si="70"/>
        <v>2010MaleMaori24</v>
      </c>
      <c r="B861">
        <v>2010</v>
      </c>
      <c r="C861" t="s">
        <v>20</v>
      </c>
      <c r="D861" t="s">
        <v>18</v>
      </c>
      <c r="E861">
        <v>24</v>
      </c>
      <c r="F861">
        <v>11</v>
      </c>
      <c r="G861">
        <v>20.139143170999599</v>
      </c>
      <c r="H861">
        <v>11.9</v>
      </c>
      <c r="J861" s="340" t="str">
        <f t="shared" si="71"/>
        <v>2001FemaleNon-Maori233</v>
      </c>
      <c r="K861">
        <v>2001</v>
      </c>
      <c r="L861" t="s">
        <v>8</v>
      </c>
      <c r="M861" t="s">
        <v>19</v>
      </c>
      <c r="N861">
        <v>23</v>
      </c>
      <c r="O861">
        <v>3</v>
      </c>
      <c r="P861">
        <v>8</v>
      </c>
      <c r="Q861">
        <v>7.4192409312898997</v>
      </c>
      <c r="R861">
        <v>5.0999999999999996</v>
      </c>
      <c r="T861" s="340" t="str">
        <f t="shared" si="72"/>
        <v>2000AllSexAllEth23Jumping from a high place</v>
      </c>
      <c r="U861">
        <v>2000</v>
      </c>
      <c r="V861" t="s">
        <v>17</v>
      </c>
      <c r="W861" t="s">
        <v>27</v>
      </c>
      <c r="X861">
        <v>23</v>
      </c>
      <c r="Y861" t="s">
        <v>44</v>
      </c>
      <c r="Z861">
        <v>3</v>
      </c>
      <c r="AA861">
        <v>209</v>
      </c>
      <c r="AB861">
        <v>1.4</v>
      </c>
    </row>
    <row r="862" spans="1:28">
      <c r="A862" t="str">
        <f t="shared" si="70"/>
        <v>2010MaleMaori25</v>
      </c>
      <c r="B862">
        <v>2010</v>
      </c>
      <c r="C862" t="s">
        <v>20</v>
      </c>
      <c r="D862" t="s">
        <v>18</v>
      </c>
      <c r="E862">
        <v>25</v>
      </c>
      <c r="F862">
        <v>0</v>
      </c>
      <c r="G862">
        <v>0</v>
      </c>
      <c r="J862" s="340" t="str">
        <f t="shared" si="71"/>
        <v>2001FemaleNon-Maori234</v>
      </c>
      <c r="K862">
        <v>2001</v>
      </c>
      <c r="L862" t="s">
        <v>8</v>
      </c>
      <c r="M862" t="s">
        <v>19</v>
      </c>
      <c r="N862">
        <v>23</v>
      </c>
      <c r="O862">
        <v>4</v>
      </c>
      <c r="P862">
        <v>6</v>
      </c>
      <c r="Q862">
        <v>6.2175537897171296</v>
      </c>
      <c r="R862">
        <v>5</v>
      </c>
      <c r="T862" s="340" t="str">
        <f t="shared" si="72"/>
        <v>2000AllSexAllEth24Jumping from a high place</v>
      </c>
      <c r="U862">
        <v>2000</v>
      </c>
      <c r="V862" t="s">
        <v>17</v>
      </c>
      <c r="W862" t="s">
        <v>27</v>
      </c>
      <c r="X862">
        <v>24</v>
      </c>
      <c r="Y862" t="s">
        <v>44</v>
      </c>
      <c r="Z862">
        <v>5</v>
      </c>
      <c r="AA862">
        <v>103</v>
      </c>
      <c r="AB862">
        <v>4.9000000000000004</v>
      </c>
    </row>
    <row r="863" spans="1:28">
      <c r="A863" t="str">
        <f t="shared" si="70"/>
        <v>2010MaleNon-Maori21</v>
      </c>
      <c r="B863">
        <v>2010</v>
      </c>
      <c r="C863" t="s">
        <v>20</v>
      </c>
      <c r="D863" t="s">
        <v>19</v>
      </c>
      <c r="E863">
        <v>21</v>
      </c>
      <c r="F863">
        <v>1</v>
      </c>
      <c r="G863">
        <v>0.287364579441938</v>
      </c>
      <c r="H863">
        <v>0.6</v>
      </c>
      <c r="J863" s="340" t="str">
        <f t="shared" si="71"/>
        <v>2001FemaleNon-Maori235</v>
      </c>
      <c r="K863">
        <v>2001</v>
      </c>
      <c r="L863" t="s">
        <v>8</v>
      </c>
      <c r="M863" t="s">
        <v>19</v>
      </c>
      <c r="N863">
        <v>23</v>
      </c>
      <c r="O863">
        <v>5</v>
      </c>
      <c r="P863">
        <v>9</v>
      </c>
      <c r="Q863">
        <v>12.2216623408346</v>
      </c>
      <c r="R863">
        <v>8</v>
      </c>
      <c r="T863" s="340" t="str">
        <f t="shared" si="72"/>
        <v>2000AllSexAllEth25Jumping from a high place</v>
      </c>
      <c r="U863">
        <v>2000</v>
      </c>
      <c r="V863" t="s">
        <v>17</v>
      </c>
      <c r="W863" t="s">
        <v>27</v>
      </c>
      <c r="X863">
        <v>25</v>
      </c>
      <c r="Y863" t="s">
        <v>44</v>
      </c>
      <c r="Z863">
        <v>3</v>
      </c>
      <c r="AA863">
        <v>47</v>
      </c>
      <c r="AB863">
        <v>6.4</v>
      </c>
    </row>
    <row r="864" spans="1:28">
      <c r="A864" t="str">
        <f t="shared" si="70"/>
        <v>2010MaleNon-Maori22</v>
      </c>
      <c r="B864">
        <v>2010</v>
      </c>
      <c r="C864" t="s">
        <v>20</v>
      </c>
      <c r="D864" t="s">
        <v>19</v>
      </c>
      <c r="E864">
        <v>22</v>
      </c>
      <c r="F864">
        <v>50</v>
      </c>
      <c r="G864">
        <v>19.9163513244374</v>
      </c>
      <c r="H864">
        <v>5.5</v>
      </c>
      <c r="J864" s="340" t="str">
        <f t="shared" si="71"/>
        <v>2001FemaleNon-Maori241</v>
      </c>
      <c r="K864">
        <v>2001</v>
      </c>
      <c r="L864" t="s">
        <v>8</v>
      </c>
      <c r="M864" t="s">
        <v>19</v>
      </c>
      <c r="N864">
        <v>24</v>
      </c>
      <c r="O864">
        <v>1</v>
      </c>
      <c r="P864">
        <v>3</v>
      </c>
      <c r="Q864">
        <v>2.8647046184495899</v>
      </c>
      <c r="R864">
        <v>3.2</v>
      </c>
      <c r="T864" s="340" t="str">
        <f t="shared" si="72"/>
        <v>2000AllSexAllEth21Other</v>
      </c>
      <c r="U864">
        <v>2000</v>
      </c>
      <c r="V864" t="s">
        <v>17</v>
      </c>
      <c r="W864" t="s">
        <v>27</v>
      </c>
      <c r="X864">
        <v>21</v>
      </c>
      <c r="Y864" t="s">
        <v>45</v>
      </c>
      <c r="Z864">
        <v>1</v>
      </c>
      <c r="AA864">
        <v>4</v>
      </c>
      <c r="AB864">
        <v>25</v>
      </c>
    </row>
    <row r="865" spans="1:28">
      <c r="A865" t="str">
        <f t="shared" si="70"/>
        <v>2010MaleNon-Maori23</v>
      </c>
      <c r="B865">
        <v>2010</v>
      </c>
      <c r="C865" t="s">
        <v>20</v>
      </c>
      <c r="D865" t="s">
        <v>19</v>
      </c>
      <c r="E865">
        <v>23</v>
      </c>
      <c r="F865">
        <v>114</v>
      </c>
      <c r="G865">
        <v>23.758414438446898</v>
      </c>
      <c r="H865">
        <v>4.4000000000000004</v>
      </c>
      <c r="J865" s="340" t="str">
        <f t="shared" si="71"/>
        <v>2001FemaleNon-Maori242</v>
      </c>
      <c r="K865">
        <v>2001</v>
      </c>
      <c r="L865" t="s">
        <v>8</v>
      </c>
      <c r="M865" t="s">
        <v>19</v>
      </c>
      <c r="N865">
        <v>24</v>
      </c>
      <c r="O865">
        <v>2</v>
      </c>
      <c r="P865">
        <v>5</v>
      </c>
      <c r="Q865">
        <v>5.5024285808266598</v>
      </c>
      <c r="R865">
        <v>4.8</v>
      </c>
      <c r="T865" s="340" t="str">
        <f t="shared" si="72"/>
        <v>2000AllSexAllEth22Other</v>
      </c>
      <c r="U865">
        <v>2000</v>
      </c>
      <c r="V865" t="s">
        <v>17</v>
      </c>
      <c r="W865" t="s">
        <v>27</v>
      </c>
      <c r="X865">
        <v>22</v>
      </c>
      <c r="Y865" t="s">
        <v>45</v>
      </c>
      <c r="Z865">
        <v>4</v>
      </c>
      <c r="AA865">
        <v>96</v>
      </c>
      <c r="AB865">
        <v>4.2</v>
      </c>
    </row>
    <row r="866" spans="1:28">
      <c r="A866" t="str">
        <f t="shared" si="70"/>
        <v>2010MaleNon-Maori24</v>
      </c>
      <c r="B866">
        <v>2010</v>
      </c>
      <c r="C866" t="s">
        <v>20</v>
      </c>
      <c r="D866" t="s">
        <v>19</v>
      </c>
      <c r="E866">
        <v>24</v>
      </c>
      <c r="F866">
        <v>107</v>
      </c>
      <c r="G866">
        <v>22.1734084880637</v>
      </c>
      <c r="H866">
        <v>4.2</v>
      </c>
      <c r="J866" s="340" t="str">
        <f t="shared" si="71"/>
        <v>2001FemaleNon-Maori243</v>
      </c>
      <c r="K866">
        <v>2001</v>
      </c>
      <c r="L866" t="s">
        <v>8</v>
      </c>
      <c r="M866" t="s">
        <v>19</v>
      </c>
      <c r="N866">
        <v>24</v>
      </c>
      <c r="O866">
        <v>3</v>
      </c>
      <c r="P866">
        <v>10</v>
      </c>
      <c r="Q866">
        <v>12.568267240062299</v>
      </c>
      <c r="R866">
        <v>7.8</v>
      </c>
      <c r="T866" s="340" t="str">
        <f t="shared" si="72"/>
        <v>2000AllSexAllEth23Other</v>
      </c>
      <c r="U866">
        <v>2000</v>
      </c>
      <c r="V866" t="s">
        <v>17</v>
      </c>
      <c r="W866" t="s">
        <v>27</v>
      </c>
      <c r="X866">
        <v>23</v>
      </c>
      <c r="Y866" t="s">
        <v>45</v>
      </c>
      <c r="Z866">
        <v>8</v>
      </c>
      <c r="AA866">
        <v>209</v>
      </c>
      <c r="AB866">
        <v>3.8</v>
      </c>
    </row>
    <row r="867" spans="1:28">
      <c r="A867" t="str">
        <f t="shared" si="70"/>
        <v>2010MaleNon-Maori25</v>
      </c>
      <c r="B867">
        <v>2010</v>
      </c>
      <c r="C867" t="s">
        <v>20</v>
      </c>
      <c r="D867" t="s">
        <v>19</v>
      </c>
      <c r="E867">
        <v>25</v>
      </c>
      <c r="F867">
        <v>43</v>
      </c>
      <c r="G867">
        <v>17.730496453900699</v>
      </c>
      <c r="H867">
        <v>5.3</v>
      </c>
      <c r="J867" s="340" t="str">
        <f t="shared" si="71"/>
        <v>2001FemaleNon-Maori244</v>
      </c>
      <c r="K867">
        <v>2001</v>
      </c>
      <c r="L867" t="s">
        <v>8</v>
      </c>
      <c r="M867" t="s">
        <v>19</v>
      </c>
      <c r="N867">
        <v>24</v>
      </c>
      <c r="O867">
        <v>4</v>
      </c>
      <c r="P867">
        <v>4</v>
      </c>
      <c r="Q867">
        <v>5.8640273031031303</v>
      </c>
      <c r="R867">
        <v>5.7</v>
      </c>
      <c r="T867" s="340" t="str">
        <f t="shared" si="72"/>
        <v>2000AllSexAllEth24Other</v>
      </c>
      <c r="U867">
        <v>2000</v>
      </c>
      <c r="V867" t="s">
        <v>17</v>
      </c>
      <c r="W867" t="s">
        <v>27</v>
      </c>
      <c r="X867">
        <v>24</v>
      </c>
      <c r="Y867" t="s">
        <v>45</v>
      </c>
      <c r="Z867">
        <v>2</v>
      </c>
      <c r="AA867">
        <v>103</v>
      </c>
      <c r="AB867">
        <v>1.9</v>
      </c>
    </row>
    <row r="868" spans="1:28">
      <c r="A868" t="str">
        <f t="shared" si="70"/>
        <v>2011AllSexAllEth21</v>
      </c>
      <c r="B868">
        <v>2011</v>
      </c>
      <c r="C868" t="s">
        <v>17</v>
      </c>
      <c r="D868" t="s">
        <v>27</v>
      </c>
      <c r="E868">
        <v>21</v>
      </c>
      <c r="F868">
        <v>6</v>
      </c>
      <c r="G868">
        <v>0.65898582082175505</v>
      </c>
      <c r="H868">
        <v>0.5</v>
      </c>
      <c r="J868" s="340" t="str">
        <f t="shared" si="71"/>
        <v>2001FemaleNon-Maori245</v>
      </c>
      <c r="K868">
        <v>2001</v>
      </c>
      <c r="L868" t="s">
        <v>8</v>
      </c>
      <c r="M868" t="s">
        <v>19</v>
      </c>
      <c r="N868">
        <v>24</v>
      </c>
      <c r="O868">
        <v>5</v>
      </c>
      <c r="P868">
        <v>3</v>
      </c>
      <c r="Q868">
        <v>6.07161774911504</v>
      </c>
      <c r="R868">
        <v>6.9</v>
      </c>
      <c r="T868" s="340" t="str">
        <f t="shared" si="72"/>
        <v>2000AllSexAllEth25Other</v>
      </c>
      <c r="U868">
        <v>2000</v>
      </c>
      <c r="V868" t="s">
        <v>17</v>
      </c>
      <c r="W868" t="s">
        <v>27</v>
      </c>
      <c r="X868">
        <v>25</v>
      </c>
      <c r="Y868" t="s">
        <v>45</v>
      </c>
      <c r="Z868">
        <v>1</v>
      </c>
      <c r="AA868">
        <v>47</v>
      </c>
      <c r="AB868">
        <v>2.1</v>
      </c>
    </row>
    <row r="869" spans="1:28">
      <c r="A869" t="str">
        <f t="shared" si="70"/>
        <v>2011AllSexAllEth22</v>
      </c>
      <c r="B869">
        <v>2011</v>
      </c>
      <c r="C869" t="s">
        <v>17</v>
      </c>
      <c r="D869" t="s">
        <v>27</v>
      </c>
      <c r="E869">
        <v>22</v>
      </c>
      <c r="F869">
        <v>131</v>
      </c>
      <c r="G869">
        <v>21.036742034943501</v>
      </c>
      <c r="H869">
        <v>3.6</v>
      </c>
      <c r="J869" s="340" t="str">
        <f t="shared" si="71"/>
        <v>2001FemaleNon-Maori251</v>
      </c>
      <c r="K869">
        <v>2001</v>
      </c>
      <c r="L869" t="s">
        <v>8</v>
      </c>
      <c r="M869" t="s">
        <v>19</v>
      </c>
      <c r="N869">
        <v>25</v>
      </c>
      <c r="O869">
        <v>1</v>
      </c>
      <c r="P869">
        <v>0</v>
      </c>
      <c r="Q869">
        <v>0</v>
      </c>
      <c r="T869" s="340" t="str">
        <f t="shared" si="72"/>
        <v>2000AllSexAllEth22Poisoning by gases and vapours</v>
      </c>
      <c r="U869">
        <v>2000</v>
      </c>
      <c r="V869" t="s">
        <v>17</v>
      </c>
      <c r="W869" t="s">
        <v>27</v>
      </c>
      <c r="X869">
        <v>22</v>
      </c>
      <c r="Y869" t="s">
        <v>46</v>
      </c>
      <c r="Z869">
        <v>18</v>
      </c>
      <c r="AA869">
        <v>96</v>
      </c>
      <c r="AB869">
        <v>18.8</v>
      </c>
    </row>
    <row r="870" spans="1:28">
      <c r="A870" t="str">
        <f t="shared" si="70"/>
        <v>2011AllSexAllEth23</v>
      </c>
      <c r="B870">
        <v>2011</v>
      </c>
      <c r="C870" t="s">
        <v>17</v>
      </c>
      <c r="D870" t="s">
        <v>27</v>
      </c>
      <c r="E870">
        <v>23</v>
      </c>
      <c r="F870">
        <v>163</v>
      </c>
      <c r="G870">
        <v>14.112065383017001</v>
      </c>
      <c r="H870">
        <v>2.2000000000000002</v>
      </c>
      <c r="J870" s="340" t="str">
        <f t="shared" si="71"/>
        <v>2001FemaleNon-Maori252</v>
      </c>
      <c r="K870">
        <v>2001</v>
      </c>
      <c r="L870" t="s">
        <v>8</v>
      </c>
      <c r="M870" t="s">
        <v>19</v>
      </c>
      <c r="N870">
        <v>25</v>
      </c>
      <c r="O870">
        <v>2</v>
      </c>
      <c r="P870">
        <v>1</v>
      </c>
      <c r="Q870">
        <v>1.9062649497828801</v>
      </c>
      <c r="R870">
        <v>3.7</v>
      </c>
      <c r="T870" s="340" t="str">
        <f t="shared" si="72"/>
        <v>2000AllSexAllEth23Poisoning by gases and vapours</v>
      </c>
      <c r="U870">
        <v>2000</v>
      </c>
      <c r="V870" t="s">
        <v>17</v>
      </c>
      <c r="W870" t="s">
        <v>27</v>
      </c>
      <c r="X870">
        <v>23</v>
      </c>
      <c r="Y870" t="s">
        <v>46</v>
      </c>
      <c r="Z870">
        <v>49</v>
      </c>
      <c r="AA870">
        <v>209</v>
      </c>
      <c r="AB870">
        <v>23.4</v>
      </c>
    </row>
    <row r="871" spans="1:28">
      <c r="A871" t="str">
        <f t="shared" si="70"/>
        <v>2011AllSexAllEth24</v>
      </c>
      <c r="B871">
        <v>2011</v>
      </c>
      <c r="C871" t="s">
        <v>17</v>
      </c>
      <c r="D871" t="s">
        <v>27</v>
      </c>
      <c r="E871">
        <v>24</v>
      </c>
      <c r="F871">
        <v>150</v>
      </c>
      <c r="G871">
        <v>13.4247409025006</v>
      </c>
      <c r="H871">
        <v>2.1</v>
      </c>
      <c r="J871" s="340" t="str">
        <f t="shared" si="71"/>
        <v>2001FemaleNon-Maori253</v>
      </c>
      <c r="K871">
        <v>2001</v>
      </c>
      <c r="L871" t="s">
        <v>8</v>
      </c>
      <c r="M871" t="s">
        <v>19</v>
      </c>
      <c r="N871">
        <v>25</v>
      </c>
      <c r="O871">
        <v>3</v>
      </c>
      <c r="P871">
        <v>4</v>
      </c>
      <c r="Q871">
        <v>7.2655079626812196</v>
      </c>
      <c r="R871">
        <v>7.1</v>
      </c>
      <c r="T871" s="340" t="str">
        <f t="shared" si="72"/>
        <v>2000AllSexAllEth24Poisoning by gases and vapours</v>
      </c>
      <c r="U871">
        <v>2000</v>
      </c>
      <c r="V871" t="s">
        <v>17</v>
      </c>
      <c r="W871" t="s">
        <v>27</v>
      </c>
      <c r="X871">
        <v>24</v>
      </c>
      <c r="Y871" t="s">
        <v>46</v>
      </c>
      <c r="Z871">
        <v>38</v>
      </c>
      <c r="AA871">
        <v>103</v>
      </c>
      <c r="AB871">
        <v>36.9</v>
      </c>
    </row>
    <row r="872" spans="1:28">
      <c r="A872" t="str">
        <f t="shared" si="70"/>
        <v>2011AllSexAllEth25</v>
      </c>
      <c r="B872">
        <v>2011</v>
      </c>
      <c r="C872" t="s">
        <v>17</v>
      </c>
      <c r="D872" t="s">
        <v>27</v>
      </c>
      <c r="E872">
        <v>25</v>
      </c>
      <c r="F872">
        <v>45</v>
      </c>
      <c r="G872">
        <v>7.7496684864036398</v>
      </c>
      <c r="H872">
        <v>2.2999999999999998</v>
      </c>
      <c r="J872" s="340" t="str">
        <f t="shared" si="71"/>
        <v>2001FemaleNon-Maori254</v>
      </c>
      <c r="K872">
        <v>2001</v>
      </c>
      <c r="L872" t="s">
        <v>8</v>
      </c>
      <c r="M872" t="s">
        <v>19</v>
      </c>
      <c r="N872">
        <v>25</v>
      </c>
      <c r="O872">
        <v>4</v>
      </c>
      <c r="P872">
        <v>8</v>
      </c>
      <c r="Q872">
        <v>14.4190529392808</v>
      </c>
      <c r="R872">
        <v>10</v>
      </c>
      <c r="T872" s="340" t="str">
        <f t="shared" si="72"/>
        <v>2000AllSexAllEth25Poisoning by gases and vapours</v>
      </c>
      <c r="U872">
        <v>2000</v>
      </c>
      <c r="V872" t="s">
        <v>17</v>
      </c>
      <c r="W872" t="s">
        <v>27</v>
      </c>
      <c r="X872">
        <v>25</v>
      </c>
      <c r="Y872" t="s">
        <v>46</v>
      </c>
      <c r="Z872">
        <v>8</v>
      </c>
      <c r="AA872">
        <v>47</v>
      </c>
      <c r="AB872">
        <v>17</v>
      </c>
    </row>
    <row r="873" spans="1:28">
      <c r="A873" t="str">
        <f t="shared" si="70"/>
        <v>2011AllSexMaori21</v>
      </c>
      <c r="B873">
        <v>2011</v>
      </c>
      <c r="C873" t="s">
        <v>17</v>
      </c>
      <c r="D873" t="s">
        <v>18</v>
      </c>
      <c r="E873">
        <v>21</v>
      </c>
      <c r="F873">
        <v>4</v>
      </c>
      <c r="G873">
        <v>1.7310771627645301</v>
      </c>
      <c r="H873">
        <v>1.7</v>
      </c>
      <c r="J873" s="340" t="str">
        <f t="shared" si="71"/>
        <v>2001FemaleNon-Maori255</v>
      </c>
      <c r="K873">
        <v>2001</v>
      </c>
      <c r="L873" t="s">
        <v>8</v>
      </c>
      <c r="M873" t="s">
        <v>19</v>
      </c>
      <c r="N873">
        <v>25</v>
      </c>
      <c r="O873">
        <v>5</v>
      </c>
      <c r="P873">
        <v>3</v>
      </c>
      <c r="Q873">
        <v>7.9004706681151102</v>
      </c>
      <c r="R873">
        <v>8.9</v>
      </c>
      <c r="T873" s="340" t="str">
        <f t="shared" si="72"/>
        <v>2000AllSexAllEth22Poisoning by solids and liquids</v>
      </c>
      <c r="U873">
        <v>2000</v>
      </c>
      <c r="V873" t="s">
        <v>17</v>
      </c>
      <c r="W873" t="s">
        <v>27</v>
      </c>
      <c r="X873">
        <v>22</v>
      </c>
      <c r="Y873" t="s">
        <v>47</v>
      </c>
      <c r="Z873">
        <v>2</v>
      </c>
      <c r="AA873">
        <v>96</v>
      </c>
      <c r="AB873">
        <v>2.1</v>
      </c>
    </row>
    <row r="874" spans="1:28">
      <c r="A874" t="str">
        <f t="shared" si="70"/>
        <v>2011AllSexMaori22</v>
      </c>
      <c r="B874">
        <v>2011</v>
      </c>
      <c r="C874" t="s">
        <v>17</v>
      </c>
      <c r="D874" t="s">
        <v>18</v>
      </c>
      <c r="E874">
        <v>22</v>
      </c>
      <c r="F874">
        <v>49</v>
      </c>
      <c r="G874">
        <v>39.319531375381203</v>
      </c>
      <c r="H874">
        <v>11</v>
      </c>
      <c r="J874" s="340" t="str">
        <f t="shared" si="71"/>
        <v>2001MaleAllEth211</v>
      </c>
      <c r="K874">
        <v>2001</v>
      </c>
      <c r="L874" t="s">
        <v>20</v>
      </c>
      <c r="M874" t="s">
        <v>27</v>
      </c>
      <c r="N874">
        <v>21</v>
      </c>
      <c r="O874">
        <v>1</v>
      </c>
      <c r="P874">
        <v>0</v>
      </c>
      <c r="Q874">
        <v>0</v>
      </c>
      <c r="T874" s="340" t="str">
        <f t="shared" si="72"/>
        <v>2000AllSexAllEth23Poisoning by solids and liquids</v>
      </c>
      <c r="U874">
        <v>2000</v>
      </c>
      <c r="V874" t="s">
        <v>17</v>
      </c>
      <c r="W874" t="s">
        <v>27</v>
      </c>
      <c r="X874">
        <v>23</v>
      </c>
      <c r="Y874" t="s">
        <v>47</v>
      </c>
      <c r="Z874">
        <v>20</v>
      </c>
      <c r="AA874">
        <v>209</v>
      </c>
      <c r="AB874">
        <v>9.6</v>
      </c>
    </row>
    <row r="875" spans="1:28">
      <c r="A875" t="str">
        <f t="shared" si="70"/>
        <v>2011AllSexMaori23</v>
      </c>
      <c r="B875">
        <v>2011</v>
      </c>
      <c r="C875" t="s">
        <v>17</v>
      </c>
      <c r="D875" t="s">
        <v>18</v>
      </c>
      <c r="E875">
        <v>23</v>
      </c>
      <c r="F875">
        <v>44</v>
      </c>
      <c r="G875">
        <v>26.256116481680401</v>
      </c>
      <c r="H875">
        <v>7.8</v>
      </c>
      <c r="J875" s="340" t="str">
        <f t="shared" si="71"/>
        <v>2001MaleAllEth212</v>
      </c>
      <c r="K875">
        <v>2001</v>
      </c>
      <c r="L875" t="s">
        <v>20</v>
      </c>
      <c r="M875" t="s">
        <v>27</v>
      </c>
      <c r="N875">
        <v>21</v>
      </c>
      <c r="O875">
        <v>2</v>
      </c>
      <c r="P875">
        <v>0</v>
      </c>
      <c r="Q875">
        <v>0</v>
      </c>
      <c r="T875" s="340" t="str">
        <f t="shared" si="72"/>
        <v>2000AllSexAllEth24Poisoning by solids and liquids</v>
      </c>
      <c r="U875">
        <v>2000</v>
      </c>
      <c r="V875" t="s">
        <v>17</v>
      </c>
      <c r="W875" t="s">
        <v>27</v>
      </c>
      <c r="X875">
        <v>24</v>
      </c>
      <c r="Y875" t="s">
        <v>47</v>
      </c>
      <c r="Z875">
        <v>7</v>
      </c>
      <c r="AA875">
        <v>103</v>
      </c>
      <c r="AB875">
        <v>6.8</v>
      </c>
    </row>
    <row r="876" spans="1:28">
      <c r="A876" t="str">
        <f t="shared" si="70"/>
        <v>2011AllSexMaori24</v>
      </c>
      <c r="B876">
        <v>2011</v>
      </c>
      <c r="C876" t="s">
        <v>17</v>
      </c>
      <c r="D876" t="s">
        <v>18</v>
      </c>
      <c r="E876">
        <v>24</v>
      </c>
      <c r="F876">
        <v>16</v>
      </c>
      <c r="G876">
        <v>13.3723359799415</v>
      </c>
      <c r="H876">
        <v>6.6</v>
      </c>
      <c r="J876" s="340" t="str">
        <f t="shared" si="71"/>
        <v>2001MaleAllEth213</v>
      </c>
      <c r="K876">
        <v>2001</v>
      </c>
      <c r="L876" t="s">
        <v>20</v>
      </c>
      <c r="M876" t="s">
        <v>27</v>
      </c>
      <c r="N876">
        <v>21</v>
      </c>
      <c r="O876">
        <v>3</v>
      </c>
      <c r="P876">
        <v>1</v>
      </c>
      <c r="Q876">
        <v>1.2110250338502699</v>
      </c>
      <c r="R876">
        <v>2.4</v>
      </c>
      <c r="T876" s="340" t="str">
        <f t="shared" si="72"/>
        <v>2000AllSexAllEth25Poisoning by solids and liquids</v>
      </c>
      <c r="U876">
        <v>2000</v>
      </c>
      <c r="V876" t="s">
        <v>17</v>
      </c>
      <c r="W876" t="s">
        <v>27</v>
      </c>
      <c r="X876">
        <v>25</v>
      </c>
      <c r="Y876" t="s">
        <v>47</v>
      </c>
      <c r="Z876">
        <v>7</v>
      </c>
      <c r="AA876">
        <v>47</v>
      </c>
      <c r="AB876">
        <v>14.9</v>
      </c>
    </row>
    <row r="877" spans="1:28">
      <c r="A877" t="str">
        <f t="shared" si="70"/>
        <v>2011AllSexMaori25</v>
      </c>
      <c r="B877">
        <v>2011</v>
      </c>
      <c r="C877" t="s">
        <v>17</v>
      </c>
      <c r="D877" t="s">
        <v>18</v>
      </c>
      <c r="E877">
        <v>25</v>
      </c>
      <c r="F877">
        <v>0</v>
      </c>
      <c r="G877">
        <v>0</v>
      </c>
      <c r="J877" s="340" t="str">
        <f t="shared" si="71"/>
        <v>2001MaleAllEth214</v>
      </c>
      <c r="K877">
        <v>2001</v>
      </c>
      <c r="L877" t="s">
        <v>20</v>
      </c>
      <c r="M877" t="s">
        <v>27</v>
      </c>
      <c r="N877">
        <v>21</v>
      </c>
      <c r="O877">
        <v>4</v>
      </c>
      <c r="P877">
        <v>0</v>
      </c>
      <c r="Q877">
        <v>0</v>
      </c>
      <c r="T877" s="340" t="str">
        <f t="shared" si="72"/>
        <v>2000AllSexAllEth22Sharp object</v>
      </c>
      <c r="U877">
        <v>2000</v>
      </c>
      <c r="V877" t="s">
        <v>17</v>
      </c>
      <c r="W877" t="s">
        <v>27</v>
      </c>
      <c r="X877">
        <v>22</v>
      </c>
      <c r="Y877" t="s">
        <v>48</v>
      </c>
      <c r="Z877">
        <v>3</v>
      </c>
      <c r="AA877">
        <v>96</v>
      </c>
      <c r="AB877">
        <v>3.1</v>
      </c>
    </row>
    <row r="878" spans="1:28">
      <c r="A878" t="str">
        <f t="shared" si="70"/>
        <v>2011AllSexNon-Maori21</v>
      </c>
      <c r="B878">
        <v>2011</v>
      </c>
      <c r="C878" t="s">
        <v>17</v>
      </c>
      <c r="D878" t="s">
        <v>19</v>
      </c>
      <c r="E878">
        <v>21</v>
      </c>
      <c r="F878">
        <v>2</v>
      </c>
      <c r="G878">
        <v>0.294368726266521</v>
      </c>
      <c r="H878">
        <v>0.4</v>
      </c>
      <c r="J878" s="340" t="str">
        <f t="shared" si="71"/>
        <v>2001MaleAllEth215</v>
      </c>
      <c r="K878">
        <v>2001</v>
      </c>
      <c r="L878" t="s">
        <v>20</v>
      </c>
      <c r="M878" t="s">
        <v>27</v>
      </c>
      <c r="N878">
        <v>21</v>
      </c>
      <c r="O878">
        <v>5</v>
      </c>
      <c r="P878">
        <v>0</v>
      </c>
      <c r="Q878">
        <v>0</v>
      </c>
      <c r="T878" s="340" t="str">
        <f t="shared" si="72"/>
        <v>2000AllSexAllEth23Sharp object</v>
      </c>
      <c r="U878">
        <v>2000</v>
      </c>
      <c r="V878" t="s">
        <v>17</v>
      </c>
      <c r="W878" t="s">
        <v>27</v>
      </c>
      <c r="X878">
        <v>23</v>
      </c>
      <c r="Y878" t="s">
        <v>48</v>
      </c>
      <c r="Z878">
        <v>3</v>
      </c>
      <c r="AA878">
        <v>209</v>
      </c>
      <c r="AB878">
        <v>1.4</v>
      </c>
    </row>
    <row r="879" spans="1:28">
      <c r="A879" t="str">
        <f t="shared" si="70"/>
        <v>2011AllSexNon-Maori22</v>
      </c>
      <c r="B879">
        <v>2011</v>
      </c>
      <c r="C879" t="s">
        <v>17</v>
      </c>
      <c r="D879" t="s">
        <v>19</v>
      </c>
      <c r="E879">
        <v>22</v>
      </c>
      <c r="F879">
        <v>82</v>
      </c>
      <c r="G879">
        <v>16.4625577193335</v>
      </c>
      <c r="H879">
        <v>3.6</v>
      </c>
      <c r="J879" s="340" t="str">
        <f t="shared" si="71"/>
        <v>2001MaleAllEth221</v>
      </c>
      <c r="K879">
        <v>2001</v>
      </c>
      <c r="L879" t="s">
        <v>20</v>
      </c>
      <c r="M879" t="s">
        <v>27</v>
      </c>
      <c r="N879">
        <v>22</v>
      </c>
      <c r="O879">
        <v>1</v>
      </c>
      <c r="P879">
        <v>10</v>
      </c>
      <c r="Q879">
        <v>21.36605294085</v>
      </c>
      <c r="R879">
        <v>13.2</v>
      </c>
      <c r="T879" s="340" t="str">
        <f t="shared" si="72"/>
        <v>2000AllSexAllEth24Sharp object</v>
      </c>
      <c r="U879">
        <v>2000</v>
      </c>
      <c r="V879" t="s">
        <v>17</v>
      </c>
      <c r="W879" t="s">
        <v>27</v>
      </c>
      <c r="X879">
        <v>24</v>
      </c>
      <c r="Y879" t="s">
        <v>48</v>
      </c>
      <c r="Z879">
        <v>3</v>
      </c>
      <c r="AA879">
        <v>103</v>
      </c>
      <c r="AB879">
        <v>2.9</v>
      </c>
    </row>
    <row r="880" spans="1:28">
      <c r="A880" t="str">
        <f t="shared" si="70"/>
        <v>2011AllSexNon-Maori23</v>
      </c>
      <c r="B880">
        <v>2011</v>
      </c>
      <c r="C880" t="s">
        <v>17</v>
      </c>
      <c r="D880" t="s">
        <v>19</v>
      </c>
      <c r="E880">
        <v>23</v>
      </c>
      <c r="F880">
        <v>119</v>
      </c>
      <c r="G880">
        <v>12.051121058068199</v>
      </c>
      <c r="H880">
        <v>2.2000000000000002</v>
      </c>
      <c r="J880" s="340" t="str">
        <f t="shared" si="71"/>
        <v>2001MaleAllEth222</v>
      </c>
      <c r="K880">
        <v>2001</v>
      </c>
      <c r="L880" t="s">
        <v>20</v>
      </c>
      <c r="M880" t="s">
        <v>27</v>
      </c>
      <c r="N880">
        <v>22</v>
      </c>
      <c r="O880">
        <v>2</v>
      </c>
      <c r="P880">
        <v>7</v>
      </c>
      <c r="Q880">
        <v>14.165418568962099</v>
      </c>
      <c r="R880">
        <v>10.5</v>
      </c>
      <c r="T880" s="340" t="str">
        <f t="shared" si="72"/>
        <v>2000AllSexAllEth25Sharp object</v>
      </c>
      <c r="U880">
        <v>2000</v>
      </c>
      <c r="V880" t="s">
        <v>17</v>
      </c>
      <c r="W880" t="s">
        <v>27</v>
      </c>
      <c r="X880">
        <v>25</v>
      </c>
      <c r="Y880" t="s">
        <v>48</v>
      </c>
      <c r="Z880">
        <v>2</v>
      </c>
      <c r="AA880">
        <v>47</v>
      </c>
      <c r="AB880">
        <v>4.3</v>
      </c>
    </row>
    <row r="881" spans="1:28">
      <c r="A881" t="str">
        <f t="shared" si="70"/>
        <v>2011AllSexNon-Maori24</v>
      </c>
      <c r="B881">
        <v>2011</v>
      </c>
      <c r="C881" t="s">
        <v>17</v>
      </c>
      <c r="D881" t="s">
        <v>19</v>
      </c>
      <c r="E881">
        <v>24</v>
      </c>
      <c r="F881">
        <v>134</v>
      </c>
      <c r="G881">
        <v>13.431025669296099</v>
      </c>
      <c r="H881">
        <v>2.2999999999999998</v>
      </c>
      <c r="J881" s="340" t="str">
        <f t="shared" si="71"/>
        <v>2001MaleAllEth223</v>
      </c>
      <c r="K881">
        <v>2001</v>
      </c>
      <c r="L881" t="s">
        <v>20</v>
      </c>
      <c r="M881" t="s">
        <v>27</v>
      </c>
      <c r="N881">
        <v>22</v>
      </c>
      <c r="O881">
        <v>3</v>
      </c>
      <c r="P881">
        <v>14</v>
      </c>
      <c r="Q881">
        <v>26.649827219488699</v>
      </c>
      <c r="R881">
        <v>14</v>
      </c>
      <c r="T881" s="340" t="str">
        <f t="shared" si="72"/>
        <v>2000AllSexAllEth22Submersion (drowning)</v>
      </c>
      <c r="U881">
        <v>2000</v>
      </c>
      <c r="V881" t="s">
        <v>17</v>
      </c>
      <c r="W881" t="s">
        <v>27</v>
      </c>
      <c r="X881">
        <v>22</v>
      </c>
      <c r="Y881" t="s">
        <v>49</v>
      </c>
      <c r="Z881">
        <v>1</v>
      </c>
      <c r="AA881">
        <v>96</v>
      </c>
      <c r="AB881">
        <v>1</v>
      </c>
    </row>
    <row r="882" spans="1:28">
      <c r="A882" t="str">
        <f t="shared" si="70"/>
        <v>2011AllSexNon-Maori25</v>
      </c>
      <c r="B882">
        <v>2011</v>
      </c>
      <c r="C882" t="s">
        <v>17</v>
      </c>
      <c r="D882" t="s">
        <v>19</v>
      </c>
      <c r="E882">
        <v>25</v>
      </c>
      <c r="F882">
        <v>45</v>
      </c>
      <c r="G882">
        <v>8.2083834956769195</v>
      </c>
      <c r="H882">
        <v>2.4</v>
      </c>
      <c r="J882" s="340" t="str">
        <f t="shared" si="71"/>
        <v>2001MaleAllEth224</v>
      </c>
      <c r="K882">
        <v>2001</v>
      </c>
      <c r="L882" t="s">
        <v>20</v>
      </c>
      <c r="M882" t="s">
        <v>27</v>
      </c>
      <c r="N882">
        <v>22</v>
      </c>
      <c r="O882">
        <v>4</v>
      </c>
      <c r="P882">
        <v>22</v>
      </c>
      <c r="Q882">
        <v>38.874759230782303</v>
      </c>
      <c r="R882">
        <v>16.2</v>
      </c>
      <c r="T882" s="340" t="str">
        <f t="shared" si="72"/>
        <v>2000AllSexAllEth23Submersion (drowning)</v>
      </c>
      <c r="U882">
        <v>2000</v>
      </c>
      <c r="V882" t="s">
        <v>17</v>
      </c>
      <c r="W882" t="s">
        <v>27</v>
      </c>
      <c r="X882">
        <v>23</v>
      </c>
      <c r="Y882" t="s">
        <v>49</v>
      </c>
      <c r="Z882">
        <v>8</v>
      </c>
      <c r="AA882">
        <v>209</v>
      </c>
      <c r="AB882">
        <v>3.8</v>
      </c>
    </row>
    <row r="883" spans="1:28">
      <c r="A883" t="str">
        <f t="shared" si="70"/>
        <v>2011FemaleAllEth21</v>
      </c>
      <c r="B883">
        <v>2011</v>
      </c>
      <c r="C883" t="s">
        <v>8</v>
      </c>
      <c r="D883" t="s">
        <v>27</v>
      </c>
      <c r="E883">
        <v>21</v>
      </c>
      <c r="F883">
        <v>3</v>
      </c>
      <c r="G883">
        <v>0.67602586925659702</v>
      </c>
      <c r="H883">
        <v>0.8</v>
      </c>
      <c r="J883" s="340" t="str">
        <f t="shared" si="71"/>
        <v>2001MaleAllEth225</v>
      </c>
      <c r="K883">
        <v>2001</v>
      </c>
      <c r="L883" t="s">
        <v>20</v>
      </c>
      <c r="M883" t="s">
        <v>27</v>
      </c>
      <c r="N883">
        <v>22</v>
      </c>
      <c r="O883">
        <v>5</v>
      </c>
      <c r="P883">
        <v>19</v>
      </c>
      <c r="Q883">
        <v>29.610927401756701</v>
      </c>
      <c r="R883">
        <v>13.3</v>
      </c>
      <c r="T883" s="340" t="str">
        <f t="shared" si="72"/>
        <v>2000AllSexAllEth24Submersion (drowning)</v>
      </c>
      <c r="U883">
        <v>2000</v>
      </c>
      <c r="V883" t="s">
        <v>17</v>
      </c>
      <c r="W883" t="s">
        <v>27</v>
      </c>
      <c r="X883">
        <v>24</v>
      </c>
      <c r="Y883" t="s">
        <v>49</v>
      </c>
      <c r="Z883">
        <v>4</v>
      </c>
      <c r="AA883">
        <v>103</v>
      </c>
      <c r="AB883">
        <v>3.9</v>
      </c>
    </row>
    <row r="884" spans="1:28">
      <c r="A884" t="str">
        <f t="shared" si="70"/>
        <v>2011FemaleAllEth22</v>
      </c>
      <c r="B884">
        <v>2011</v>
      </c>
      <c r="C884" t="s">
        <v>8</v>
      </c>
      <c r="D884" t="s">
        <v>27</v>
      </c>
      <c r="E884">
        <v>22</v>
      </c>
      <c r="F884">
        <v>35</v>
      </c>
      <c r="G884">
        <v>11.381743683132299</v>
      </c>
      <c r="H884">
        <v>3.8</v>
      </c>
      <c r="J884" s="340" t="str">
        <f t="shared" si="71"/>
        <v>2001MaleAllEth231</v>
      </c>
      <c r="K884">
        <v>2001</v>
      </c>
      <c r="L884" t="s">
        <v>20</v>
      </c>
      <c r="M884" t="s">
        <v>27</v>
      </c>
      <c r="N884">
        <v>23</v>
      </c>
      <c r="O884">
        <v>1</v>
      </c>
      <c r="P884">
        <v>20</v>
      </c>
      <c r="Q884">
        <v>18.647988859721899</v>
      </c>
      <c r="R884">
        <v>8.1999999999999993</v>
      </c>
      <c r="T884" s="340" t="str">
        <f t="shared" si="72"/>
        <v>2000AllSexAllEth25Submersion (drowning)</v>
      </c>
      <c r="U884">
        <v>2000</v>
      </c>
      <c r="V884" t="s">
        <v>17</v>
      </c>
      <c r="W884" t="s">
        <v>27</v>
      </c>
      <c r="X884">
        <v>25</v>
      </c>
      <c r="Y884" t="s">
        <v>49</v>
      </c>
      <c r="Z884">
        <v>2</v>
      </c>
      <c r="AA884">
        <v>47</v>
      </c>
      <c r="AB884">
        <v>4.3</v>
      </c>
    </row>
    <row r="885" spans="1:28">
      <c r="A885" t="str">
        <f t="shared" si="70"/>
        <v>2011FemaleAllEth23</v>
      </c>
      <c r="B885">
        <v>2011</v>
      </c>
      <c r="C885" t="s">
        <v>8</v>
      </c>
      <c r="D885" t="s">
        <v>27</v>
      </c>
      <c r="E885">
        <v>23</v>
      </c>
      <c r="F885">
        <v>33</v>
      </c>
      <c r="G885">
        <v>5.4831848996410999</v>
      </c>
      <c r="H885">
        <v>1.9</v>
      </c>
      <c r="J885" s="340" t="str">
        <f t="shared" si="71"/>
        <v>2001MaleAllEth232</v>
      </c>
      <c r="K885">
        <v>2001</v>
      </c>
      <c r="L885" t="s">
        <v>20</v>
      </c>
      <c r="M885" t="s">
        <v>27</v>
      </c>
      <c r="N885">
        <v>23</v>
      </c>
      <c r="O885">
        <v>2</v>
      </c>
      <c r="P885">
        <v>33</v>
      </c>
      <c r="Q885">
        <v>28.776445894146399</v>
      </c>
      <c r="R885">
        <v>9.8000000000000007</v>
      </c>
      <c r="T885" s="340" t="str">
        <f t="shared" si="72"/>
        <v>2000AllSexMaori23Firearms and explosives</v>
      </c>
      <c r="U885">
        <v>2000</v>
      </c>
      <c r="V885" t="s">
        <v>17</v>
      </c>
      <c r="W885" t="s">
        <v>18</v>
      </c>
      <c r="X885">
        <v>23</v>
      </c>
      <c r="Y885" t="s">
        <v>42</v>
      </c>
      <c r="Z885">
        <v>3</v>
      </c>
      <c r="AA885">
        <v>40</v>
      </c>
      <c r="AB885">
        <v>7.5</v>
      </c>
    </row>
    <row r="886" spans="1:28">
      <c r="A886" t="str">
        <f t="shared" si="70"/>
        <v>2011FemaleAllEth24</v>
      </c>
      <c r="B886">
        <v>2011</v>
      </c>
      <c r="C886" t="s">
        <v>8</v>
      </c>
      <c r="D886" t="s">
        <v>27</v>
      </c>
      <c r="E886">
        <v>24</v>
      </c>
      <c r="F886">
        <v>33</v>
      </c>
      <c r="G886">
        <v>5.7582578652567697</v>
      </c>
      <c r="H886">
        <v>2</v>
      </c>
      <c r="J886" s="340" t="str">
        <f t="shared" si="71"/>
        <v>2001MaleAllEth233</v>
      </c>
      <c r="K886">
        <v>2001</v>
      </c>
      <c r="L886" t="s">
        <v>20</v>
      </c>
      <c r="M886" t="s">
        <v>27</v>
      </c>
      <c r="N886">
        <v>23</v>
      </c>
      <c r="O886">
        <v>3</v>
      </c>
      <c r="P886">
        <v>38</v>
      </c>
      <c r="Q886">
        <v>32.737200090056099</v>
      </c>
      <c r="R886">
        <v>10.4</v>
      </c>
      <c r="T886" s="340" t="str">
        <f t="shared" si="72"/>
        <v>2000AllSexMaori24Firearms and explosives</v>
      </c>
      <c r="U886">
        <v>2000</v>
      </c>
      <c r="V886" t="s">
        <v>17</v>
      </c>
      <c r="W886" t="s">
        <v>18</v>
      </c>
      <c r="X886">
        <v>24</v>
      </c>
      <c r="Y886" t="s">
        <v>42</v>
      </c>
      <c r="Z886">
        <v>1</v>
      </c>
      <c r="AA886">
        <v>10</v>
      </c>
      <c r="AB886">
        <v>10</v>
      </c>
    </row>
    <row r="887" spans="1:28">
      <c r="A887" t="str">
        <f t="shared" si="70"/>
        <v>2011FemaleAllEth25</v>
      </c>
      <c r="B887">
        <v>2011</v>
      </c>
      <c r="C887" t="s">
        <v>8</v>
      </c>
      <c r="D887" t="s">
        <v>27</v>
      </c>
      <c r="E887">
        <v>25</v>
      </c>
      <c r="F887">
        <v>14</v>
      </c>
      <c r="G887">
        <v>4.4406381831446096</v>
      </c>
      <c r="H887">
        <v>2.2999999999999998</v>
      </c>
      <c r="J887" s="340" t="str">
        <f t="shared" si="71"/>
        <v>2001MaleAllEth234</v>
      </c>
      <c r="K887">
        <v>2001</v>
      </c>
      <c r="L887" t="s">
        <v>20</v>
      </c>
      <c r="M887" t="s">
        <v>27</v>
      </c>
      <c r="N887">
        <v>23</v>
      </c>
      <c r="O887">
        <v>4</v>
      </c>
      <c r="P887">
        <v>48</v>
      </c>
      <c r="Q887">
        <v>42.000173032839903</v>
      </c>
      <c r="R887">
        <v>11.9</v>
      </c>
      <c r="T887" s="340" t="str">
        <f t="shared" si="72"/>
        <v>2000AllSexMaori21Hanging, strangulation and suffocation</v>
      </c>
      <c r="U887">
        <v>2000</v>
      </c>
      <c r="V887" t="s">
        <v>17</v>
      </c>
      <c r="W887" t="s">
        <v>18</v>
      </c>
      <c r="X887">
        <v>21</v>
      </c>
      <c r="Y887" t="s">
        <v>43</v>
      </c>
      <c r="Z887">
        <v>1</v>
      </c>
      <c r="AA887">
        <v>1</v>
      </c>
      <c r="AB887">
        <v>100</v>
      </c>
    </row>
    <row r="888" spans="1:28">
      <c r="A888" t="str">
        <f t="shared" si="70"/>
        <v>2011FemaleMaori21</v>
      </c>
      <c r="B888">
        <v>2011</v>
      </c>
      <c r="C888" t="s">
        <v>8</v>
      </c>
      <c r="D888" t="s">
        <v>18</v>
      </c>
      <c r="E888">
        <v>21</v>
      </c>
      <c r="F888">
        <v>2</v>
      </c>
      <c r="G888">
        <v>1.7806267806267799</v>
      </c>
      <c r="H888">
        <v>2.5</v>
      </c>
      <c r="J888" s="340" t="str">
        <f t="shared" si="71"/>
        <v>2001MaleAllEth235</v>
      </c>
      <c r="K888">
        <v>2001</v>
      </c>
      <c r="L888" t="s">
        <v>20</v>
      </c>
      <c r="M888" t="s">
        <v>27</v>
      </c>
      <c r="N888">
        <v>23</v>
      </c>
      <c r="O888">
        <v>5</v>
      </c>
      <c r="P888">
        <v>37</v>
      </c>
      <c r="Q888">
        <v>35.077220412892302</v>
      </c>
      <c r="R888">
        <v>11.3</v>
      </c>
      <c r="T888" s="340" t="str">
        <f t="shared" si="72"/>
        <v>2000AllSexMaori22Hanging, strangulation and suffocation</v>
      </c>
      <c r="U888">
        <v>2000</v>
      </c>
      <c r="V888" t="s">
        <v>17</v>
      </c>
      <c r="W888" t="s">
        <v>18</v>
      </c>
      <c r="X888">
        <v>22</v>
      </c>
      <c r="Y888" t="s">
        <v>43</v>
      </c>
      <c r="Z888">
        <v>23</v>
      </c>
      <c r="AA888">
        <v>28</v>
      </c>
      <c r="AB888">
        <v>82.1</v>
      </c>
    </row>
    <row r="889" spans="1:28">
      <c r="A889" t="str">
        <f t="shared" si="70"/>
        <v>2011FemaleMaori22</v>
      </c>
      <c r="B889">
        <v>2011</v>
      </c>
      <c r="C889" t="s">
        <v>8</v>
      </c>
      <c r="D889" t="s">
        <v>18</v>
      </c>
      <c r="E889">
        <v>22</v>
      </c>
      <c r="F889">
        <v>16</v>
      </c>
      <c r="G889">
        <v>25.412960609911099</v>
      </c>
      <c r="H889">
        <v>12.5</v>
      </c>
      <c r="J889" s="340" t="str">
        <f t="shared" si="71"/>
        <v>2001MaleAllEth241</v>
      </c>
      <c r="K889">
        <v>2001</v>
      </c>
      <c r="L889" t="s">
        <v>20</v>
      </c>
      <c r="M889" t="s">
        <v>27</v>
      </c>
      <c r="N889">
        <v>24</v>
      </c>
      <c r="O889">
        <v>1</v>
      </c>
      <c r="P889">
        <v>9</v>
      </c>
      <c r="Q889">
        <v>8.4829195385514105</v>
      </c>
      <c r="R889">
        <v>5.5</v>
      </c>
      <c r="T889" s="340" t="str">
        <f t="shared" si="72"/>
        <v>2000AllSexMaori23Hanging, strangulation and suffocation</v>
      </c>
      <c r="U889">
        <v>2000</v>
      </c>
      <c r="V889" t="s">
        <v>17</v>
      </c>
      <c r="W889" t="s">
        <v>18</v>
      </c>
      <c r="X889">
        <v>23</v>
      </c>
      <c r="Y889" t="s">
        <v>43</v>
      </c>
      <c r="Z889">
        <v>29</v>
      </c>
      <c r="AA889">
        <v>40</v>
      </c>
      <c r="AB889">
        <v>72.5</v>
      </c>
    </row>
    <row r="890" spans="1:28">
      <c r="A890" t="str">
        <f t="shared" si="70"/>
        <v>2011FemaleMaori23</v>
      </c>
      <c r="B890">
        <v>2011</v>
      </c>
      <c r="C890" t="s">
        <v>8</v>
      </c>
      <c r="D890" t="s">
        <v>18</v>
      </c>
      <c r="E890">
        <v>23</v>
      </c>
      <c r="F890">
        <v>11</v>
      </c>
      <c r="G890">
        <v>12.2562674094708</v>
      </c>
      <c r="H890">
        <v>7.2</v>
      </c>
      <c r="J890" s="340" t="str">
        <f t="shared" si="71"/>
        <v>2001MaleAllEth242</v>
      </c>
      <c r="K890">
        <v>2001</v>
      </c>
      <c r="L890" t="s">
        <v>20</v>
      </c>
      <c r="M890" t="s">
        <v>27</v>
      </c>
      <c r="N890">
        <v>24</v>
      </c>
      <c r="O890">
        <v>2</v>
      </c>
      <c r="P890">
        <v>8</v>
      </c>
      <c r="Q890">
        <v>8.6244545165980409</v>
      </c>
      <c r="R890">
        <v>6</v>
      </c>
      <c r="T890" s="340" t="str">
        <f t="shared" si="72"/>
        <v>2000AllSexMaori24Hanging, strangulation and suffocation</v>
      </c>
      <c r="U890">
        <v>2000</v>
      </c>
      <c r="V890" t="s">
        <v>17</v>
      </c>
      <c r="W890" t="s">
        <v>18</v>
      </c>
      <c r="X890">
        <v>24</v>
      </c>
      <c r="Y890" t="s">
        <v>43</v>
      </c>
      <c r="Z890">
        <v>6</v>
      </c>
      <c r="AA890">
        <v>10</v>
      </c>
      <c r="AB890">
        <v>60</v>
      </c>
    </row>
    <row r="891" spans="1:28">
      <c r="A891" t="str">
        <f t="shared" si="70"/>
        <v>2011FemaleMaori24</v>
      </c>
      <c r="B891">
        <v>2011</v>
      </c>
      <c r="C891" t="s">
        <v>8</v>
      </c>
      <c r="D891" t="s">
        <v>18</v>
      </c>
      <c r="E891">
        <v>24</v>
      </c>
      <c r="F891">
        <v>3</v>
      </c>
      <c r="G891">
        <v>4.74908975779642</v>
      </c>
      <c r="H891">
        <v>5.4</v>
      </c>
      <c r="J891" s="340" t="str">
        <f t="shared" si="71"/>
        <v>2001MaleAllEth243</v>
      </c>
      <c r="K891">
        <v>2001</v>
      </c>
      <c r="L891" t="s">
        <v>20</v>
      </c>
      <c r="M891" t="s">
        <v>27</v>
      </c>
      <c r="N891">
        <v>24</v>
      </c>
      <c r="O891">
        <v>3</v>
      </c>
      <c r="P891">
        <v>10</v>
      </c>
      <c r="Q891">
        <v>12.0752916359718</v>
      </c>
      <c r="R891">
        <v>7.5</v>
      </c>
      <c r="T891" s="340" t="str">
        <f t="shared" si="72"/>
        <v>2000AllSexMaori22Jumping from a high place</v>
      </c>
      <c r="U891">
        <v>2000</v>
      </c>
      <c r="V891" t="s">
        <v>17</v>
      </c>
      <c r="W891" t="s">
        <v>18</v>
      </c>
      <c r="X891">
        <v>22</v>
      </c>
      <c r="Y891" t="s">
        <v>44</v>
      </c>
      <c r="Z891">
        <v>1</v>
      </c>
      <c r="AA891">
        <v>28</v>
      </c>
      <c r="AB891">
        <v>3.6</v>
      </c>
    </row>
    <row r="892" spans="1:28">
      <c r="A892" t="str">
        <f t="shared" si="70"/>
        <v>2011FemaleMaori25</v>
      </c>
      <c r="B892">
        <v>2011</v>
      </c>
      <c r="C892" t="s">
        <v>8</v>
      </c>
      <c r="D892" t="s">
        <v>18</v>
      </c>
      <c r="E892">
        <v>25</v>
      </c>
      <c r="F892">
        <v>0</v>
      </c>
      <c r="G892">
        <v>0</v>
      </c>
      <c r="J892" s="340" t="str">
        <f t="shared" si="71"/>
        <v>2001MaleAllEth244</v>
      </c>
      <c r="K892">
        <v>2001</v>
      </c>
      <c r="L892" t="s">
        <v>20</v>
      </c>
      <c r="M892" t="s">
        <v>27</v>
      </c>
      <c r="N892">
        <v>24</v>
      </c>
      <c r="O892">
        <v>4</v>
      </c>
      <c r="P892">
        <v>11</v>
      </c>
      <c r="Q892">
        <v>14.5918022999785</v>
      </c>
      <c r="R892">
        <v>8.6</v>
      </c>
      <c r="T892" s="340" t="str">
        <f t="shared" si="72"/>
        <v>2000AllSexMaori24Jumping from a high place</v>
      </c>
      <c r="U892">
        <v>2000</v>
      </c>
      <c r="V892" t="s">
        <v>17</v>
      </c>
      <c r="W892" t="s">
        <v>18</v>
      </c>
      <c r="X892">
        <v>24</v>
      </c>
      <c r="Y892" t="s">
        <v>44</v>
      </c>
      <c r="Z892">
        <v>1</v>
      </c>
      <c r="AA892">
        <v>10</v>
      </c>
      <c r="AB892">
        <v>10</v>
      </c>
    </row>
    <row r="893" spans="1:28">
      <c r="A893" t="str">
        <f t="shared" si="70"/>
        <v>2011FemaleNon-Maori21</v>
      </c>
      <c r="B893">
        <v>2011</v>
      </c>
      <c r="C893" t="s">
        <v>8</v>
      </c>
      <c r="D893" t="s">
        <v>19</v>
      </c>
      <c r="E893">
        <v>21</v>
      </c>
      <c r="F893">
        <v>1</v>
      </c>
      <c r="G893">
        <v>0.30170463116608798</v>
      </c>
      <c r="H893">
        <v>0.6</v>
      </c>
      <c r="J893" s="340" t="str">
        <f t="shared" si="71"/>
        <v>2001MaleAllEth245</v>
      </c>
      <c r="K893">
        <v>2001</v>
      </c>
      <c r="L893" t="s">
        <v>20</v>
      </c>
      <c r="M893" t="s">
        <v>27</v>
      </c>
      <c r="N893">
        <v>24</v>
      </c>
      <c r="O893">
        <v>5</v>
      </c>
      <c r="P893">
        <v>14</v>
      </c>
      <c r="Q893">
        <v>20.868600711468002</v>
      </c>
      <c r="R893">
        <v>10.9</v>
      </c>
      <c r="T893" s="340" t="str">
        <f t="shared" si="72"/>
        <v>2000AllSexMaori23Other</v>
      </c>
      <c r="U893">
        <v>2000</v>
      </c>
      <c r="V893" t="s">
        <v>17</v>
      </c>
      <c r="W893" t="s">
        <v>18</v>
      </c>
      <c r="X893">
        <v>23</v>
      </c>
      <c r="Y893" t="s">
        <v>45</v>
      </c>
      <c r="Z893">
        <v>3</v>
      </c>
      <c r="AA893">
        <v>40</v>
      </c>
      <c r="AB893">
        <v>7.5</v>
      </c>
    </row>
    <row r="894" spans="1:28">
      <c r="A894" t="str">
        <f t="shared" si="70"/>
        <v>2011FemaleNon-Maori22</v>
      </c>
      <c r="B894">
        <v>2011</v>
      </c>
      <c r="C894" t="s">
        <v>8</v>
      </c>
      <c r="D894" t="s">
        <v>19</v>
      </c>
      <c r="E894">
        <v>22</v>
      </c>
      <c r="F894">
        <v>19</v>
      </c>
      <c r="G894">
        <v>7.7693723164996902</v>
      </c>
      <c r="H894">
        <v>3.5</v>
      </c>
      <c r="J894" s="340" t="str">
        <f t="shared" si="71"/>
        <v>2001MaleAllEth251</v>
      </c>
      <c r="K894">
        <v>2001</v>
      </c>
      <c r="L894" t="s">
        <v>20</v>
      </c>
      <c r="M894" t="s">
        <v>27</v>
      </c>
      <c r="N894">
        <v>25</v>
      </c>
      <c r="O894">
        <v>1</v>
      </c>
      <c r="P894">
        <v>8</v>
      </c>
      <c r="Q894">
        <v>19.3817775167634</v>
      </c>
      <c r="R894">
        <v>13.4</v>
      </c>
      <c r="T894" s="340" t="str">
        <f t="shared" si="72"/>
        <v>2000AllSexMaori22Poisoning by gases and vapours</v>
      </c>
      <c r="U894">
        <v>2000</v>
      </c>
      <c r="V894" t="s">
        <v>17</v>
      </c>
      <c r="W894" t="s">
        <v>18</v>
      </c>
      <c r="X894">
        <v>22</v>
      </c>
      <c r="Y894" t="s">
        <v>46</v>
      </c>
      <c r="Z894">
        <v>3</v>
      </c>
      <c r="AA894">
        <v>28</v>
      </c>
      <c r="AB894">
        <v>10.7</v>
      </c>
    </row>
    <row r="895" spans="1:28">
      <c r="A895" t="str">
        <f t="shared" si="70"/>
        <v>2011FemaleNon-Maori23</v>
      </c>
      <c r="B895">
        <v>2011</v>
      </c>
      <c r="C895" t="s">
        <v>8</v>
      </c>
      <c r="D895" t="s">
        <v>19</v>
      </c>
      <c r="E895">
        <v>23</v>
      </c>
      <c r="F895">
        <v>22</v>
      </c>
      <c r="G895">
        <v>4.2961198226874204</v>
      </c>
      <c r="H895">
        <v>1.8</v>
      </c>
      <c r="J895" s="340" t="str">
        <f t="shared" si="71"/>
        <v>2001MaleAllEth252</v>
      </c>
      <c r="K895">
        <v>2001</v>
      </c>
      <c r="L895" t="s">
        <v>20</v>
      </c>
      <c r="M895" t="s">
        <v>27</v>
      </c>
      <c r="N895">
        <v>25</v>
      </c>
      <c r="O895">
        <v>2</v>
      </c>
      <c r="P895">
        <v>9</v>
      </c>
      <c r="Q895">
        <v>21.410365102909399</v>
      </c>
      <c r="R895">
        <v>14</v>
      </c>
      <c r="T895" s="340" t="str">
        <f t="shared" si="72"/>
        <v>2000AllSexMaori23Poisoning by gases and vapours</v>
      </c>
      <c r="U895">
        <v>2000</v>
      </c>
      <c r="V895" t="s">
        <v>17</v>
      </c>
      <c r="W895" t="s">
        <v>18</v>
      </c>
      <c r="X895">
        <v>23</v>
      </c>
      <c r="Y895" t="s">
        <v>46</v>
      </c>
      <c r="Z895">
        <v>2</v>
      </c>
      <c r="AA895">
        <v>40</v>
      </c>
      <c r="AB895">
        <v>5</v>
      </c>
    </row>
    <row r="896" spans="1:28">
      <c r="A896" t="str">
        <f t="shared" si="70"/>
        <v>2011FemaleNon-Maori24</v>
      </c>
      <c r="B896">
        <v>2011</v>
      </c>
      <c r="C896" t="s">
        <v>8</v>
      </c>
      <c r="D896" t="s">
        <v>19</v>
      </c>
      <c r="E896">
        <v>24</v>
      </c>
      <c r="F896">
        <v>30</v>
      </c>
      <c r="G896">
        <v>5.8832758079698797</v>
      </c>
      <c r="H896">
        <v>2.1</v>
      </c>
      <c r="J896" s="340" t="str">
        <f t="shared" si="71"/>
        <v>2001MaleAllEth253</v>
      </c>
      <c r="K896">
        <v>2001</v>
      </c>
      <c r="L896" t="s">
        <v>20</v>
      </c>
      <c r="M896" t="s">
        <v>27</v>
      </c>
      <c r="N896">
        <v>25</v>
      </c>
      <c r="O896">
        <v>3</v>
      </c>
      <c r="P896">
        <v>10</v>
      </c>
      <c r="Q896">
        <v>23.323344503496401</v>
      </c>
      <c r="R896">
        <v>14.5</v>
      </c>
      <c r="T896" s="340" t="str">
        <f t="shared" si="72"/>
        <v>2000AllSexMaori24Poisoning by gases and vapours</v>
      </c>
      <c r="U896">
        <v>2000</v>
      </c>
      <c r="V896" t="s">
        <v>17</v>
      </c>
      <c r="W896" t="s">
        <v>18</v>
      </c>
      <c r="X896">
        <v>24</v>
      </c>
      <c r="Y896" t="s">
        <v>46</v>
      </c>
      <c r="Z896">
        <v>2</v>
      </c>
      <c r="AA896">
        <v>10</v>
      </c>
      <c r="AB896">
        <v>20</v>
      </c>
    </row>
    <row r="897" spans="1:28">
      <c r="A897" t="str">
        <f t="shared" si="70"/>
        <v>2011FemaleNon-Maori25</v>
      </c>
      <c r="B897">
        <v>2011</v>
      </c>
      <c r="C897" t="s">
        <v>8</v>
      </c>
      <c r="D897" t="s">
        <v>19</v>
      </c>
      <c r="E897">
        <v>25</v>
      </c>
      <c r="F897">
        <v>14</v>
      </c>
      <c r="G897">
        <v>4.70540785803112</v>
      </c>
      <c r="H897">
        <v>2.5</v>
      </c>
      <c r="J897" s="340" t="str">
        <f t="shared" si="71"/>
        <v>2001MaleAllEth254</v>
      </c>
      <c r="K897">
        <v>2001</v>
      </c>
      <c r="L897" t="s">
        <v>20</v>
      </c>
      <c r="M897" t="s">
        <v>27</v>
      </c>
      <c r="N897">
        <v>25</v>
      </c>
      <c r="O897">
        <v>4</v>
      </c>
      <c r="P897">
        <v>8</v>
      </c>
      <c r="Q897">
        <v>19.211739720930399</v>
      </c>
      <c r="R897">
        <v>13.3</v>
      </c>
      <c r="T897" s="340" t="str">
        <f t="shared" si="72"/>
        <v>2000AllSexMaori22Poisoning by solids and liquids</v>
      </c>
      <c r="U897">
        <v>2000</v>
      </c>
      <c r="V897" t="s">
        <v>17</v>
      </c>
      <c r="W897" t="s">
        <v>18</v>
      </c>
      <c r="X897">
        <v>22</v>
      </c>
      <c r="Y897" t="s">
        <v>47</v>
      </c>
      <c r="Z897">
        <v>1</v>
      </c>
      <c r="AA897">
        <v>28</v>
      </c>
      <c r="AB897">
        <v>3.6</v>
      </c>
    </row>
    <row r="898" spans="1:28">
      <c r="A898" t="str">
        <f t="shared" si="70"/>
        <v>2011MaleAllEth21</v>
      </c>
      <c r="B898">
        <v>2011</v>
      </c>
      <c r="C898" t="s">
        <v>20</v>
      </c>
      <c r="D898" t="s">
        <v>27</v>
      </c>
      <c r="E898">
        <v>21</v>
      </c>
      <c r="F898">
        <v>3</v>
      </c>
      <c r="G898">
        <v>0.64278368186492996</v>
      </c>
      <c r="H898">
        <v>0.7</v>
      </c>
      <c r="J898" s="340" t="str">
        <f t="shared" si="71"/>
        <v>2001MaleAllEth255</v>
      </c>
      <c r="K898">
        <v>2001</v>
      </c>
      <c r="L898" t="s">
        <v>20</v>
      </c>
      <c r="M898" t="s">
        <v>27</v>
      </c>
      <c r="N898">
        <v>25</v>
      </c>
      <c r="O898">
        <v>5</v>
      </c>
      <c r="P898">
        <v>10</v>
      </c>
      <c r="Q898">
        <v>29.7869946948795</v>
      </c>
      <c r="R898">
        <v>18.5</v>
      </c>
      <c r="T898" s="340" t="str">
        <f t="shared" si="72"/>
        <v>2000AllSexMaori23Poisoning by solids and liquids</v>
      </c>
      <c r="U898">
        <v>2000</v>
      </c>
      <c r="V898" t="s">
        <v>17</v>
      </c>
      <c r="W898" t="s">
        <v>18</v>
      </c>
      <c r="X898">
        <v>23</v>
      </c>
      <c r="Y898" t="s">
        <v>47</v>
      </c>
      <c r="Z898">
        <v>2</v>
      </c>
      <c r="AA898">
        <v>40</v>
      </c>
      <c r="AB898">
        <v>5</v>
      </c>
    </row>
    <row r="899" spans="1:28">
      <c r="A899" t="str">
        <f t="shared" si="70"/>
        <v>2011MaleAllEth22</v>
      </c>
      <c r="B899">
        <v>2011</v>
      </c>
      <c r="C899" t="s">
        <v>20</v>
      </c>
      <c r="D899" t="s">
        <v>27</v>
      </c>
      <c r="E899">
        <v>22</v>
      </c>
      <c r="F899">
        <v>96</v>
      </c>
      <c r="G899">
        <v>30.454920373072799</v>
      </c>
      <c r="H899">
        <v>6.1</v>
      </c>
      <c r="J899" s="340" t="str">
        <f t="shared" si="71"/>
        <v>2001MaleMaori211</v>
      </c>
      <c r="K899">
        <v>2001</v>
      </c>
      <c r="L899" t="s">
        <v>20</v>
      </c>
      <c r="M899" t="s">
        <v>18</v>
      </c>
      <c r="N899">
        <v>21</v>
      </c>
      <c r="O899">
        <v>1</v>
      </c>
      <c r="P899">
        <v>0</v>
      </c>
      <c r="Q899">
        <v>0</v>
      </c>
      <c r="T899" s="340" t="str">
        <f t="shared" si="72"/>
        <v>2000AllSexMaori25Poisoning by solids and liquids</v>
      </c>
      <c r="U899">
        <v>2000</v>
      </c>
      <c r="V899" t="s">
        <v>17</v>
      </c>
      <c r="W899" t="s">
        <v>18</v>
      </c>
      <c r="X899">
        <v>25</v>
      </c>
      <c r="Y899" t="s">
        <v>47</v>
      </c>
      <c r="Z899">
        <v>1</v>
      </c>
      <c r="AA899">
        <v>1</v>
      </c>
      <c r="AB899">
        <v>100</v>
      </c>
    </row>
    <row r="900" spans="1:28">
      <c r="A900" t="str">
        <f t="shared" ref="A900:A963" si="73">B900&amp;C900&amp;D900&amp;E900</f>
        <v>2011MaleAllEth23</v>
      </c>
      <c r="B900">
        <v>2011</v>
      </c>
      <c r="C900" t="s">
        <v>20</v>
      </c>
      <c r="D900" t="s">
        <v>27</v>
      </c>
      <c r="E900">
        <v>23</v>
      </c>
      <c r="F900">
        <v>130</v>
      </c>
      <c r="G900">
        <v>23.499213680157599</v>
      </c>
      <c r="H900">
        <v>4</v>
      </c>
      <c r="J900" s="340" t="str">
        <f t="shared" ref="J900:J963" si="74">K900&amp;L900&amp;M900&amp;N900&amp;O900</f>
        <v>2001MaleMaori212</v>
      </c>
      <c r="K900">
        <v>2001</v>
      </c>
      <c r="L900" t="s">
        <v>20</v>
      </c>
      <c r="M900" t="s">
        <v>18</v>
      </c>
      <c r="N900">
        <v>21</v>
      </c>
      <c r="O900">
        <v>2</v>
      </c>
      <c r="P900">
        <v>0</v>
      </c>
      <c r="Q900">
        <v>0</v>
      </c>
      <c r="T900" s="340" t="str">
        <f t="shared" si="72"/>
        <v>2000AllSexMaori23Submersion (drowning)</v>
      </c>
      <c r="U900">
        <v>2000</v>
      </c>
      <c r="V900" t="s">
        <v>17</v>
      </c>
      <c r="W900" t="s">
        <v>18</v>
      </c>
      <c r="X900">
        <v>23</v>
      </c>
      <c r="Y900" t="s">
        <v>49</v>
      </c>
      <c r="Z900">
        <v>1</v>
      </c>
      <c r="AA900">
        <v>40</v>
      </c>
      <c r="AB900">
        <v>2.5</v>
      </c>
    </row>
    <row r="901" spans="1:28">
      <c r="A901" t="str">
        <f t="shared" si="73"/>
        <v>2011MaleAllEth24</v>
      </c>
      <c r="B901">
        <v>2011</v>
      </c>
      <c r="C901" t="s">
        <v>20</v>
      </c>
      <c r="D901" t="s">
        <v>27</v>
      </c>
      <c r="E901">
        <v>24</v>
      </c>
      <c r="F901">
        <v>117</v>
      </c>
      <c r="G901">
        <v>21.4970786021387</v>
      </c>
      <c r="H901">
        <v>3.9</v>
      </c>
      <c r="J901" s="340" t="str">
        <f t="shared" si="74"/>
        <v>2001MaleMaori213</v>
      </c>
      <c r="K901">
        <v>2001</v>
      </c>
      <c r="L901" t="s">
        <v>20</v>
      </c>
      <c r="M901" t="s">
        <v>18</v>
      </c>
      <c r="N901">
        <v>21</v>
      </c>
      <c r="O901">
        <v>3</v>
      </c>
      <c r="P901">
        <v>0</v>
      </c>
      <c r="Q901">
        <v>0</v>
      </c>
      <c r="T901" s="340" t="str">
        <f t="shared" ref="T901:T964" si="75">U901&amp;V901&amp;W901&amp;X901&amp;Y901</f>
        <v>2000AllSexNon-Maori22Firearms and explosives</v>
      </c>
      <c r="U901">
        <v>2000</v>
      </c>
      <c r="V901" t="s">
        <v>17</v>
      </c>
      <c r="W901" t="s">
        <v>19</v>
      </c>
      <c r="X901">
        <v>22</v>
      </c>
      <c r="Y901" t="s">
        <v>42</v>
      </c>
      <c r="Z901">
        <v>3</v>
      </c>
      <c r="AA901">
        <v>68</v>
      </c>
      <c r="AB901">
        <v>4.4000000000000004</v>
      </c>
    </row>
    <row r="902" spans="1:28">
      <c r="A902" t="str">
        <f t="shared" si="73"/>
        <v>2011MaleAllEth25</v>
      </c>
      <c r="B902">
        <v>2011</v>
      </c>
      <c r="C902" t="s">
        <v>20</v>
      </c>
      <c r="D902" t="s">
        <v>27</v>
      </c>
      <c r="E902">
        <v>25</v>
      </c>
      <c r="F902">
        <v>31</v>
      </c>
      <c r="G902">
        <v>11.676082862523501</v>
      </c>
      <c r="H902">
        <v>4.0999999999999996</v>
      </c>
      <c r="J902" s="340" t="str">
        <f t="shared" si="74"/>
        <v>2001MaleMaori214</v>
      </c>
      <c r="K902">
        <v>2001</v>
      </c>
      <c r="L902" t="s">
        <v>20</v>
      </c>
      <c r="M902" t="s">
        <v>18</v>
      </c>
      <c r="N902">
        <v>21</v>
      </c>
      <c r="O902">
        <v>4</v>
      </c>
      <c r="P902">
        <v>0</v>
      </c>
      <c r="Q902">
        <v>0</v>
      </c>
      <c r="T902" s="340" t="str">
        <f t="shared" si="75"/>
        <v>2000AllSexNon-Maori23Firearms and explosives</v>
      </c>
      <c r="U902">
        <v>2000</v>
      </c>
      <c r="V902" t="s">
        <v>17</v>
      </c>
      <c r="W902" t="s">
        <v>19</v>
      </c>
      <c r="X902">
        <v>23</v>
      </c>
      <c r="Y902" t="s">
        <v>42</v>
      </c>
      <c r="Z902">
        <v>16</v>
      </c>
      <c r="AA902">
        <v>169</v>
      </c>
      <c r="AB902">
        <v>9.5</v>
      </c>
    </row>
    <row r="903" spans="1:28">
      <c r="A903" t="str">
        <f t="shared" si="73"/>
        <v>2011MaleMaori21</v>
      </c>
      <c r="B903">
        <v>2011</v>
      </c>
      <c r="C903" t="s">
        <v>20</v>
      </c>
      <c r="D903" t="s">
        <v>18</v>
      </c>
      <c r="E903">
        <v>21</v>
      </c>
      <c r="F903">
        <v>2</v>
      </c>
      <c r="G903">
        <v>1.68406871000337</v>
      </c>
      <c r="H903">
        <v>2.2999999999999998</v>
      </c>
      <c r="J903" s="340" t="str">
        <f t="shared" si="74"/>
        <v>2001MaleMaori215</v>
      </c>
      <c r="K903">
        <v>2001</v>
      </c>
      <c r="L903" t="s">
        <v>20</v>
      </c>
      <c r="M903" t="s">
        <v>18</v>
      </c>
      <c r="N903">
        <v>21</v>
      </c>
      <c r="O903">
        <v>5</v>
      </c>
      <c r="P903">
        <v>0</v>
      </c>
      <c r="Q903">
        <v>0</v>
      </c>
      <c r="T903" s="340" t="str">
        <f t="shared" si="75"/>
        <v>2000AllSexNon-Maori24Firearms and explosives</v>
      </c>
      <c r="U903">
        <v>2000</v>
      </c>
      <c r="V903" t="s">
        <v>17</v>
      </c>
      <c r="W903" t="s">
        <v>19</v>
      </c>
      <c r="X903">
        <v>24</v>
      </c>
      <c r="Y903" t="s">
        <v>42</v>
      </c>
      <c r="Z903">
        <v>7</v>
      </c>
      <c r="AA903">
        <v>93</v>
      </c>
      <c r="AB903">
        <v>7.5</v>
      </c>
    </row>
    <row r="904" spans="1:28">
      <c r="A904" t="str">
        <f t="shared" si="73"/>
        <v>2011MaleMaori22</v>
      </c>
      <c r="B904">
        <v>2011</v>
      </c>
      <c r="C904" t="s">
        <v>20</v>
      </c>
      <c r="D904" t="s">
        <v>18</v>
      </c>
      <c r="E904">
        <v>22</v>
      </c>
      <c r="F904">
        <v>33</v>
      </c>
      <c r="G904">
        <v>53.519299383717197</v>
      </c>
      <c r="H904">
        <v>18.3</v>
      </c>
      <c r="J904" s="340" t="str">
        <f t="shared" si="74"/>
        <v>2001MaleMaori221</v>
      </c>
      <c r="K904">
        <v>2001</v>
      </c>
      <c r="L904" t="s">
        <v>20</v>
      </c>
      <c r="M904" t="s">
        <v>18</v>
      </c>
      <c r="N904">
        <v>22</v>
      </c>
      <c r="O904">
        <v>1</v>
      </c>
      <c r="P904">
        <v>0</v>
      </c>
      <c r="Q904">
        <v>0</v>
      </c>
      <c r="T904" s="340" t="str">
        <f t="shared" si="75"/>
        <v>2000AllSexNon-Maori25Firearms and explosives</v>
      </c>
      <c r="U904">
        <v>2000</v>
      </c>
      <c r="V904" t="s">
        <v>17</v>
      </c>
      <c r="W904" t="s">
        <v>19</v>
      </c>
      <c r="X904">
        <v>25</v>
      </c>
      <c r="Y904" t="s">
        <v>42</v>
      </c>
      <c r="Z904">
        <v>7</v>
      </c>
      <c r="AA904">
        <v>46</v>
      </c>
      <c r="AB904">
        <v>15.2</v>
      </c>
    </row>
    <row r="905" spans="1:28">
      <c r="A905" t="str">
        <f t="shared" si="73"/>
        <v>2011MaleMaori23</v>
      </c>
      <c r="B905">
        <v>2011</v>
      </c>
      <c r="C905" t="s">
        <v>20</v>
      </c>
      <c r="D905" t="s">
        <v>18</v>
      </c>
      <c r="E905">
        <v>23</v>
      </c>
      <c r="F905">
        <v>33</v>
      </c>
      <c r="G905">
        <v>42.411001156663701</v>
      </c>
      <c r="H905">
        <v>14.5</v>
      </c>
      <c r="J905" s="340" t="str">
        <f t="shared" si="74"/>
        <v>2001MaleMaori222</v>
      </c>
      <c r="K905">
        <v>2001</v>
      </c>
      <c r="L905" t="s">
        <v>20</v>
      </c>
      <c r="M905" t="s">
        <v>18</v>
      </c>
      <c r="N905">
        <v>22</v>
      </c>
      <c r="O905">
        <v>2</v>
      </c>
      <c r="P905">
        <v>2</v>
      </c>
      <c r="Q905">
        <v>35.165334849525699</v>
      </c>
      <c r="R905">
        <v>48.7</v>
      </c>
      <c r="T905" s="340" t="str">
        <f t="shared" si="75"/>
        <v>2000AllSexNon-Maori21Hanging, strangulation and suffocation</v>
      </c>
      <c r="U905">
        <v>2000</v>
      </c>
      <c r="V905" t="s">
        <v>17</v>
      </c>
      <c r="W905" t="s">
        <v>19</v>
      </c>
      <c r="X905">
        <v>21</v>
      </c>
      <c r="Y905" t="s">
        <v>43</v>
      </c>
      <c r="Z905">
        <v>2</v>
      </c>
      <c r="AA905">
        <v>3</v>
      </c>
      <c r="AB905">
        <v>66.7</v>
      </c>
    </row>
    <row r="906" spans="1:28">
      <c r="A906" t="str">
        <f t="shared" si="73"/>
        <v>2011MaleMaori24</v>
      </c>
      <c r="B906">
        <v>2011</v>
      </c>
      <c r="C906" t="s">
        <v>20</v>
      </c>
      <c r="D906" t="s">
        <v>18</v>
      </c>
      <c r="E906">
        <v>24</v>
      </c>
      <c r="F906">
        <v>13</v>
      </c>
      <c r="G906">
        <v>23.008849557522101</v>
      </c>
      <c r="H906">
        <v>12.5</v>
      </c>
      <c r="J906" s="340" t="str">
        <f t="shared" si="74"/>
        <v>2001MaleMaori223</v>
      </c>
      <c r="K906">
        <v>2001</v>
      </c>
      <c r="L906" t="s">
        <v>20</v>
      </c>
      <c r="M906" t="s">
        <v>18</v>
      </c>
      <c r="N906">
        <v>22</v>
      </c>
      <c r="O906">
        <v>3</v>
      </c>
      <c r="P906">
        <v>1</v>
      </c>
      <c r="Q906">
        <v>11.813446088792301</v>
      </c>
      <c r="R906">
        <v>23.2</v>
      </c>
      <c r="T906" s="340" t="str">
        <f t="shared" si="75"/>
        <v>2000AllSexNon-Maori22Hanging, strangulation and suffocation</v>
      </c>
      <c r="U906">
        <v>2000</v>
      </c>
      <c r="V906" t="s">
        <v>17</v>
      </c>
      <c r="W906" t="s">
        <v>19</v>
      </c>
      <c r="X906">
        <v>22</v>
      </c>
      <c r="Y906" t="s">
        <v>43</v>
      </c>
      <c r="Z906">
        <v>37</v>
      </c>
      <c r="AA906">
        <v>68</v>
      </c>
      <c r="AB906">
        <v>54.4</v>
      </c>
    </row>
    <row r="907" spans="1:28">
      <c r="A907" t="str">
        <f t="shared" si="73"/>
        <v>2011MaleMaori25</v>
      </c>
      <c r="B907">
        <v>2011</v>
      </c>
      <c r="C907" t="s">
        <v>20</v>
      </c>
      <c r="D907" t="s">
        <v>18</v>
      </c>
      <c r="E907">
        <v>25</v>
      </c>
      <c r="F907">
        <v>0</v>
      </c>
      <c r="G907">
        <v>0</v>
      </c>
      <c r="J907" s="340" t="str">
        <f t="shared" si="74"/>
        <v>2001MaleMaori224</v>
      </c>
      <c r="K907">
        <v>2001</v>
      </c>
      <c r="L907" t="s">
        <v>20</v>
      </c>
      <c r="M907" t="s">
        <v>18</v>
      </c>
      <c r="N907">
        <v>22</v>
      </c>
      <c r="O907">
        <v>4</v>
      </c>
      <c r="P907">
        <v>5</v>
      </c>
      <c r="Q907">
        <v>40.645596131824</v>
      </c>
      <c r="R907">
        <v>35.6</v>
      </c>
      <c r="T907" s="340" t="str">
        <f t="shared" si="75"/>
        <v>2000AllSexNon-Maori23Hanging, strangulation and suffocation</v>
      </c>
      <c r="U907">
        <v>2000</v>
      </c>
      <c r="V907" t="s">
        <v>17</v>
      </c>
      <c r="W907" t="s">
        <v>19</v>
      </c>
      <c r="X907">
        <v>23</v>
      </c>
      <c r="Y907" t="s">
        <v>43</v>
      </c>
      <c r="Z907">
        <v>70</v>
      </c>
      <c r="AA907">
        <v>169</v>
      </c>
      <c r="AB907">
        <v>41.4</v>
      </c>
    </row>
    <row r="908" spans="1:28">
      <c r="A908" t="str">
        <f t="shared" si="73"/>
        <v>2011MaleNon-Maori21</v>
      </c>
      <c r="B908">
        <v>2011</v>
      </c>
      <c r="C908" t="s">
        <v>20</v>
      </c>
      <c r="D908" t="s">
        <v>19</v>
      </c>
      <c r="E908">
        <v>21</v>
      </c>
      <c r="F908">
        <v>1</v>
      </c>
      <c r="G908">
        <v>0.287389355098287</v>
      </c>
      <c r="H908">
        <v>0.6</v>
      </c>
      <c r="J908" s="340" t="str">
        <f t="shared" si="74"/>
        <v>2001MaleMaori225</v>
      </c>
      <c r="K908">
        <v>2001</v>
      </c>
      <c r="L908" t="s">
        <v>20</v>
      </c>
      <c r="M908" t="s">
        <v>18</v>
      </c>
      <c r="N908">
        <v>22</v>
      </c>
      <c r="O908">
        <v>5</v>
      </c>
      <c r="P908">
        <v>9</v>
      </c>
      <c r="Q908">
        <v>42.830760729680399</v>
      </c>
      <c r="R908">
        <v>28</v>
      </c>
      <c r="T908" s="340" t="str">
        <f t="shared" si="75"/>
        <v>2000AllSexNon-Maori24Hanging, strangulation and suffocation</v>
      </c>
      <c r="U908">
        <v>2000</v>
      </c>
      <c r="V908" t="s">
        <v>17</v>
      </c>
      <c r="W908" t="s">
        <v>19</v>
      </c>
      <c r="X908">
        <v>24</v>
      </c>
      <c r="Y908" t="s">
        <v>43</v>
      </c>
      <c r="Z908">
        <v>30</v>
      </c>
      <c r="AA908">
        <v>93</v>
      </c>
      <c r="AB908">
        <v>32.299999999999997</v>
      </c>
    </row>
    <row r="909" spans="1:28">
      <c r="A909" t="str">
        <f t="shared" si="73"/>
        <v>2011MaleNon-Maori22</v>
      </c>
      <c r="B909">
        <v>2011</v>
      </c>
      <c r="C909" t="s">
        <v>20</v>
      </c>
      <c r="D909" t="s">
        <v>19</v>
      </c>
      <c r="E909">
        <v>22</v>
      </c>
      <c r="F909">
        <v>63</v>
      </c>
      <c r="G909">
        <v>24.846190250828201</v>
      </c>
      <c r="H909">
        <v>6.1</v>
      </c>
      <c r="J909" s="340" t="str">
        <f t="shared" si="74"/>
        <v>2001MaleMaori231</v>
      </c>
      <c r="K909">
        <v>2001</v>
      </c>
      <c r="L909" t="s">
        <v>20</v>
      </c>
      <c r="M909" t="s">
        <v>18</v>
      </c>
      <c r="N909">
        <v>23</v>
      </c>
      <c r="O909">
        <v>1</v>
      </c>
      <c r="P909">
        <v>1</v>
      </c>
      <c r="Q909">
        <v>14.195025338817199</v>
      </c>
      <c r="R909">
        <v>27.8</v>
      </c>
      <c r="T909" s="340" t="str">
        <f t="shared" si="75"/>
        <v>2000AllSexNon-Maori25Hanging, strangulation and suffocation</v>
      </c>
      <c r="U909">
        <v>2000</v>
      </c>
      <c r="V909" t="s">
        <v>17</v>
      </c>
      <c r="W909" t="s">
        <v>19</v>
      </c>
      <c r="X909">
        <v>25</v>
      </c>
      <c r="Y909" t="s">
        <v>43</v>
      </c>
      <c r="Z909">
        <v>17</v>
      </c>
      <c r="AA909">
        <v>46</v>
      </c>
      <c r="AB909">
        <v>37</v>
      </c>
    </row>
    <row r="910" spans="1:28">
      <c r="A910" t="str">
        <f t="shared" si="73"/>
        <v>2011MaleNon-Maori23</v>
      </c>
      <c r="B910">
        <v>2011</v>
      </c>
      <c r="C910" t="s">
        <v>20</v>
      </c>
      <c r="D910" t="s">
        <v>19</v>
      </c>
      <c r="E910">
        <v>23</v>
      </c>
      <c r="F910">
        <v>97</v>
      </c>
      <c r="G910">
        <v>20.4038704249053</v>
      </c>
      <c r="H910">
        <v>4.0999999999999996</v>
      </c>
      <c r="J910" s="340" t="str">
        <f t="shared" si="74"/>
        <v>2001MaleMaori232</v>
      </c>
      <c r="K910">
        <v>2001</v>
      </c>
      <c r="L910" t="s">
        <v>20</v>
      </c>
      <c r="M910" t="s">
        <v>18</v>
      </c>
      <c r="N910">
        <v>23</v>
      </c>
      <c r="O910">
        <v>2</v>
      </c>
      <c r="P910">
        <v>3</v>
      </c>
      <c r="Q910">
        <v>29.657003721651801</v>
      </c>
      <c r="R910">
        <v>33.6</v>
      </c>
      <c r="T910" s="340" t="str">
        <f t="shared" si="75"/>
        <v>2000AllSexNon-Maori22Jumping from a high place</v>
      </c>
      <c r="U910">
        <v>2000</v>
      </c>
      <c r="V910" t="s">
        <v>17</v>
      </c>
      <c r="W910" t="s">
        <v>19</v>
      </c>
      <c r="X910">
        <v>22</v>
      </c>
      <c r="Y910" t="s">
        <v>44</v>
      </c>
      <c r="Z910">
        <v>4</v>
      </c>
      <c r="AA910">
        <v>68</v>
      </c>
      <c r="AB910">
        <v>5.9</v>
      </c>
    </row>
    <row r="911" spans="1:28">
      <c r="A911" t="str">
        <f t="shared" si="73"/>
        <v>2011MaleNon-Maori24</v>
      </c>
      <c r="B911">
        <v>2011</v>
      </c>
      <c r="C911" t="s">
        <v>20</v>
      </c>
      <c r="D911" t="s">
        <v>19</v>
      </c>
      <c r="E911">
        <v>24</v>
      </c>
      <c r="F911">
        <v>104</v>
      </c>
      <c r="G911">
        <v>21.3219616204691</v>
      </c>
      <c r="H911">
        <v>4.0999999999999996</v>
      </c>
      <c r="J911" s="340" t="str">
        <f t="shared" si="74"/>
        <v>2001MaleMaori233</v>
      </c>
      <c r="K911">
        <v>2001</v>
      </c>
      <c r="L911" t="s">
        <v>20</v>
      </c>
      <c r="M911" t="s">
        <v>18</v>
      </c>
      <c r="N911">
        <v>23</v>
      </c>
      <c r="O911">
        <v>3</v>
      </c>
      <c r="P911">
        <v>8</v>
      </c>
      <c r="Q911">
        <v>57.217033305495796</v>
      </c>
      <c r="R911">
        <v>39.6</v>
      </c>
      <c r="T911" s="340" t="str">
        <f t="shared" si="75"/>
        <v>2000AllSexNon-Maori23Jumping from a high place</v>
      </c>
      <c r="U911">
        <v>2000</v>
      </c>
      <c r="V911" t="s">
        <v>17</v>
      </c>
      <c r="W911" t="s">
        <v>19</v>
      </c>
      <c r="X911">
        <v>23</v>
      </c>
      <c r="Y911" t="s">
        <v>44</v>
      </c>
      <c r="Z911">
        <v>3</v>
      </c>
      <c r="AA911">
        <v>169</v>
      </c>
      <c r="AB911">
        <v>1.8</v>
      </c>
    </row>
    <row r="912" spans="1:28">
      <c r="A912" t="str">
        <f t="shared" si="73"/>
        <v>2011MaleNon-Maori25</v>
      </c>
      <c r="B912">
        <v>2011</v>
      </c>
      <c r="C912" t="s">
        <v>20</v>
      </c>
      <c r="D912" t="s">
        <v>19</v>
      </c>
      <c r="E912">
        <v>25</v>
      </c>
      <c r="F912">
        <v>31</v>
      </c>
      <c r="G912">
        <v>12.360939431396799</v>
      </c>
      <c r="H912">
        <v>4.4000000000000004</v>
      </c>
      <c r="J912" s="340" t="str">
        <f t="shared" si="74"/>
        <v>2001MaleMaori234</v>
      </c>
      <c r="K912">
        <v>2001</v>
      </c>
      <c r="L912" t="s">
        <v>20</v>
      </c>
      <c r="M912" t="s">
        <v>18</v>
      </c>
      <c r="N912">
        <v>23</v>
      </c>
      <c r="O912">
        <v>4</v>
      </c>
      <c r="P912">
        <v>7</v>
      </c>
      <c r="Q912">
        <v>36.539173739025301</v>
      </c>
      <c r="R912">
        <v>27.1</v>
      </c>
      <c r="T912" s="340" t="str">
        <f t="shared" si="75"/>
        <v>2000AllSexNon-Maori24Jumping from a high place</v>
      </c>
      <c r="U912">
        <v>2000</v>
      </c>
      <c r="V912" t="s">
        <v>17</v>
      </c>
      <c r="W912" t="s">
        <v>19</v>
      </c>
      <c r="X912">
        <v>24</v>
      </c>
      <c r="Y912" t="s">
        <v>44</v>
      </c>
      <c r="Z912">
        <v>4</v>
      </c>
      <c r="AA912">
        <v>93</v>
      </c>
      <c r="AB912">
        <v>4.3</v>
      </c>
    </row>
    <row r="913" spans="1:28">
      <c r="A913" t="str">
        <f t="shared" si="73"/>
        <v>2012AllSexAllEth21</v>
      </c>
      <c r="B913">
        <v>2012</v>
      </c>
      <c r="C913" t="s">
        <v>17</v>
      </c>
      <c r="D913" t="s">
        <v>27</v>
      </c>
      <c r="E913">
        <v>21</v>
      </c>
      <c r="F913">
        <v>11</v>
      </c>
      <c r="G913">
        <v>1.20895063085242</v>
      </c>
      <c r="H913">
        <v>0.7</v>
      </c>
      <c r="J913" s="340" t="str">
        <f t="shared" si="74"/>
        <v>2001MaleMaori235</v>
      </c>
      <c r="K913">
        <v>2001</v>
      </c>
      <c r="L913" t="s">
        <v>20</v>
      </c>
      <c r="M913" t="s">
        <v>18</v>
      </c>
      <c r="N913">
        <v>23</v>
      </c>
      <c r="O913">
        <v>5</v>
      </c>
      <c r="P913">
        <v>11</v>
      </c>
      <c r="Q913">
        <v>36.912439039124102</v>
      </c>
      <c r="R913">
        <v>21.8</v>
      </c>
      <c r="T913" s="340" t="str">
        <f t="shared" si="75"/>
        <v>2000AllSexNon-Maori25Jumping from a high place</v>
      </c>
      <c r="U913">
        <v>2000</v>
      </c>
      <c r="V913" t="s">
        <v>17</v>
      </c>
      <c r="W913" t="s">
        <v>19</v>
      </c>
      <c r="X913">
        <v>25</v>
      </c>
      <c r="Y913" t="s">
        <v>44</v>
      </c>
      <c r="Z913">
        <v>3</v>
      </c>
      <c r="AA913">
        <v>46</v>
      </c>
      <c r="AB913">
        <v>6.5</v>
      </c>
    </row>
    <row r="914" spans="1:28">
      <c r="A914" t="str">
        <f t="shared" si="73"/>
        <v>2012AllSexAllEth22</v>
      </c>
      <c r="B914">
        <v>2012</v>
      </c>
      <c r="C914" t="s">
        <v>17</v>
      </c>
      <c r="D914" t="s">
        <v>27</v>
      </c>
      <c r="E914">
        <v>22</v>
      </c>
      <c r="F914">
        <v>148</v>
      </c>
      <c r="G914">
        <v>23.7019954517793</v>
      </c>
      <c r="H914">
        <v>3.8</v>
      </c>
      <c r="J914" s="340" t="str">
        <f t="shared" si="74"/>
        <v>2001MaleMaori241</v>
      </c>
      <c r="K914">
        <v>2001</v>
      </c>
      <c r="L914" t="s">
        <v>20</v>
      </c>
      <c r="M914" t="s">
        <v>18</v>
      </c>
      <c r="N914">
        <v>24</v>
      </c>
      <c r="O914">
        <v>1</v>
      </c>
      <c r="P914">
        <v>0</v>
      </c>
      <c r="Q914">
        <v>0</v>
      </c>
      <c r="T914" s="340" t="str">
        <f t="shared" si="75"/>
        <v>2000AllSexNon-Maori21Other</v>
      </c>
      <c r="U914">
        <v>2000</v>
      </c>
      <c r="V914" t="s">
        <v>17</v>
      </c>
      <c r="W914" t="s">
        <v>19</v>
      </c>
      <c r="X914">
        <v>21</v>
      </c>
      <c r="Y914" t="s">
        <v>45</v>
      </c>
      <c r="Z914">
        <v>1</v>
      </c>
      <c r="AA914">
        <v>3</v>
      </c>
      <c r="AB914">
        <v>33.299999999999997</v>
      </c>
    </row>
    <row r="915" spans="1:28">
      <c r="A915" t="str">
        <f t="shared" si="73"/>
        <v>2012AllSexAllEth23</v>
      </c>
      <c r="B915">
        <v>2012</v>
      </c>
      <c r="C915" t="s">
        <v>17</v>
      </c>
      <c r="D915" t="s">
        <v>27</v>
      </c>
      <c r="E915">
        <v>23</v>
      </c>
      <c r="F915">
        <v>186</v>
      </c>
      <c r="G915">
        <v>16.230649749559301</v>
      </c>
      <c r="H915">
        <v>2.2999999999999998</v>
      </c>
      <c r="J915" s="340" t="str">
        <f t="shared" si="74"/>
        <v>2001MaleMaori242</v>
      </c>
      <c r="K915">
        <v>2001</v>
      </c>
      <c r="L915" t="s">
        <v>20</v>
      </c>
      <c r="M915" t="s">
        <v>18</v>
      </c>
      <c r="N915">
        <v>24</v>
      </c>
      <c r="O915">
        <v>2</v>
      </c>
      <c r="P915">
        <v>1</v>
      </c>
      <c r="Q915">
        <v>22.066488808830499</v>
      </c>
      <c r="R915">
        <v>43.2</v>
      </c>
      <c r="T915" s="340" t="str">
        <f t="shared" si="75"/>
        <v>2000AllSexNon-Maori22Other</v>
      </c>
      <c r="U915">
        <v>2000</v>
      </c>
      <c r="V915" t="s">
        <v>17</v>
      </c>
      <c r="W915" t="s">
        <v>19</v>
      </c>
      <c r="X915">
        <v>22</v>
      </c>
      <c r="Y915" t="s">
        <v>45</v>
      </c>
      <c r="Z915">
        <v>4</v>
      </c>
      <c r="AA915">
        <v>68</v>
      </c>
      <c r="AB915">
        <v>5.9</v>
      </c>
    </row>
    <row r="916" spans="1:28">
      <c r="A916" t="str">
        <f t="shared" si="73"/>
        <v>2012AllSexAllEth24</v>
      </c>
      <c r="B916">
        <v>2012</v>
      </c>
      <c r="C916" t="s">
        <v>17</v>
      </c>
      <c r="D916" t="s">
        <v>27</v>
      </c>
      <c r="E916">
        <v>24</v>
      </c>
      <c r="F916">
        <v>147</v>
      </c>
      <c r="G916">
        <v>13.0385034991086</v>
      </c>
      <c r="H916">
        <v>2.1</v>
      </c>
      <c r="J916" s="340" t="str">
        <f t="shared" si="74"/>
        <v>2001MaleMaori243</v>
      </c>
      <c r="K916">
        <v>2001</v>
      </c>
      <c r="L916" t="s">
        <v>20</v>
      </c>
      <c r="M916" t="s">
        <v>18</v>
      </c>
      <c r="N916">
        <v>24</v>
      </c>
      <c r="O916">
        <v>3</v>
      </c>
      <c r="P916">
        <v>0</v>
      </c>
      <c r="Q916">
        <v>0</v>
      </c>
      <c r="T916" s="340" t="str">
        <f t="shared" si="75"/>
        <v>2000AllSexNon-Maori23Other</v>
      </c>
      <c r="U916">
        <v>2000</v>
      </c>
      <c r="V916" t="s">
        <v>17</v>
      </c>
      <c r="W916" t="s">
        <v>19</v>
      </c>
      <c r="X916">
        <v>23</v>
      </c>
      <c r="Y916" t="s">
        <v>45</v>
      </c>
      <c r="Z916">
        <v>5</v>
      </c>
      <c r="AA916">
        <v>169</v>
      </c>
      <c r="AB916">
        <v>3</v>
      </c>
    </row>
    <row r="917" spans="1:28">
      <c r="A917" t="str">
        <f t="shared" si="73"/>
        <v>2012AllSexAllEth25</v>
      </c>
      <c r="B917">
        <v>2012</v>
      </c>
      <c r="C917" t="s">
        <v>17</v>
      </c>
      <c r="D917" t="s">
        <v>27</v>
      </c>
      <c r="E917">
        <v>25</v>
      </c>
      <c r="F917">
        <v>57</v>
      </c>
      <c r="G917">
        <v>9.4530498523997508</v>
      </c>
      <c r="H917">
        <v>2.5</v>
      </c>
      <c r="J917" s="340" t="str">
        <f t="shared" si="74"/>
        <v>2001MaleMaori244</v>
      </c>
      <c r="K917">
        <v>2001</v>
      </c>
      <c r="L917" t="s">
        <v>20</v>
      </c>
      <c r="M917" t="s">
        <v>18</v>
      </c>
      <c r="N917">
        <v>24</v>
      </c>
      <c r="O917">
        <v>4</v>
      </c>
      <c r="P917">
        <v>0</v>
      </c>
      <c r="Q917">
        <v>0</v>
      </c>
      <c r="T917" s="340" t="str">
        <f t="shared" si="75"/>
        <v>2000AllSexNon-Maori24Other</v>
      </c>
      <c r="U917">
        <v>2000</v>
      </c>
      <c r="V917" t="s">
        <v>17</v>
      </c>
      <c r="W917" t="s">
        <v>19</v>
      </c>
      <c r="X917">
        <v>24</v>
      </c>
      <c r="Y917" t="s">
        <v>45</v>
      </c>
      <c r="Z917">
        <v>2</v>
      </c>
      <c r="AA917">
        <v>93</v>
      </c>
      <c r="AB917">
        <v>2.2000000000000002</v>
      </c>
    </row>
    <row r="918" spans="1:28">
      <c r="A918" t="str">
        <f t="shared" si="73"/>
        <v>2012AllSexMaori21</v>
      </c>
      <c r="B918">
        <v>2012</v>
      </c>
      <c r="C918" t="s">
        <v>17</v>
      </c>
      <c r="D918" t="s">
        <v>18</v>
      </c>
      <c r="E918">
        <v>21</v>
      </c>
      <c r="F918">
        <v>7</v>
      </c>
      <c r="G918">
        <v>3.0117890026675802</v>
      </c>
      <c r="H918">
        <v>2.2000000000000002</v>
      </c>
      <c r="J918" s="340" t="str">
        <f t="shared" si="74"/>
        <v>2001MaleMaori245</v>
      </c>
      <c r="K918">
        <v>2001</v>
      </c>
      <c r="L918" t="s">
        <v>20</v>
      </c>
      <c r="M918" t="s">
        <v>18</v>
      </c>
      <c r="N918">
        <v>24</v>
      </c>
      <c r="O918">
        <v>5</v>
      </c>
      <c r="P918">
        <v>4</v>
      </c>
      <c r="Q918">
        <v>26.694398517020701</v>
      </c>
      <c r="R918">
        <v>26.2</v>
      </c>
      <c r="T918" s="340" t="str">
        <f t="shared" si="75"/>
        <v>2000AllSexNon-Maori25Other</v>
      </c>
      <c r="U918">
        <v>2000</v>
      </c>
      <c r="V918" t="s">
        <v>17</v>
      </c>
      <c r="W918" t="s">
        <v>19</v>
      </c>
      <c r="X918">
        <v>25</v>
      </c>
      <c r="Y918" t="s">
        <v>45</v>
      </c>
      <c r="Z918">
        <v>1</v>
      </c>
      <c r="AA918">
        <v>46</v>
      </c>
      <c r="AB918">
        <v>2.2000000000000002</v>
      </c>
    </row>
    <row r="919" spans="1:28">
      <c r="A919" t="str">
        <f t="shared" si="73"/>
        <v>2012AllSexMaori22</v>
      </c>
      <c r="B919">
        <v>2012</v>
      </c>
      <c r="C919" t="s">
        <v>17</v>
      </c>
      <c r="D919" t="s">
        <v>18</v>
      </c>
      <c r="E919">
        <v>22</v>
      </c>
      <c r="F919">
        <v>61</v>
      </c>
      <c r="G919">
        <v>48.389655719498698</v>
      </c>
      <c r="H919">
        <v>12.1</v>
      </c>
      <c r="J919" s="340" t="str">
        <f t="shared" si="74"/>
        <v>2001MaleMaori251</v>
      </c>
      <c r="K919">
        <v>2001</v>
      </c>
      <c r="L919" t="s">
        <v>20</v>
      </c>
      <c r="M919" t="s">
        <v>18</v>
      </c>
      <c r="N919">
        <v>25</v>
      </c>
      <c r="O919">
        <v>1</v>
      </c>
      <c r="P919">
        <v>0</v>
      </c>
      <c r="Q919">
        <v>0</v>
      </c>
      <c r="T919" s="340" t="str">
        <f t="shared" si="75"/>
        <v>2000AllSexNon-Maori22Poisoning by gases and vapours</v>
      </c>
      <c r="U919">
        <v>2000</v>
      </c>
      <c r="V919" t="s">
        <v>17</v>
      </c>
      <c r="W919" t="s">
        <v>19</v>
      </c>
      <c r="X919">
        <v>22</v>
      </c>
      <c r="Y919" t="s">
        <v>46</v>
      </c>
      <c r="Z919">
        <v>15</v>
      </c>
      <c r="AA919">
        <v>68</v>
      </c>
      <c r="AB919">
        <v>22.1</v>
      </c>
    </row>
    <row r="920" spans="1:28">
      <c r="A920" t="str">
        <f t="shared" si="73"/>
        <v>2012AllSexMaori23</v>
      </c>
      <c r="B920">
        <v>2012</v>
      </c>
      <c r="C920" t="s">
        <v>17</v>
      </c>
      <c r="D920" t="s">
        <v>18</v>
      </c>
      <c r="E920">
        <v>23</v>
      </c>
      <c r="F920">
        <v>39</v>
      </c>
      <c r="G920">
        <v>23.2641374373658</v>
      </c>
      <c r="H920">
        <v>7.3</v>
      </c>
      <c r="J920" s="340" t="str">
        <f t="shared" si="74"/>
        <v>2001MaleMaori252</v>
      </c>
      <c r="K920">
        <v>2001</v>
      </c>
      <c r="L920" t="s">
        <v>20</v>
      </c>
      <c r="M920" t="s">
        <v>18</v>
      </c>
      <c r="N920">
        <v>25</v>
      </c>
      <c r="O920">
        <v>2</v>
      </c>
      <c r="P920">
        <v>0</v>
      </c>
      <c r="Q920">
        <v>0</v>
      </c>
      <c r="T920" s="340" t="str">
        <f t="shared" si="75"/>
        <v>2000AllSexNon-Maori23Poisoning by gases and vapours</v>
      </c>
      <c r="U920">
        <v>2000</v>
      </c>
      <c r="V920" t="s">
        <v>17</v>
      </c>
      <c r="W920" t="s">
        <v>19</v>
      </c>
      <c r="X920">
        <v>23</v>
      </c>
      <c r="Y920" t="s">
        <v>46</v>
      </c>
      <c r="Z920">
        <v>47</v>
      </c>
      <c r="AA920">
        <v>169</v>
      </c>
      <c r="AB920">
        <v>27.8</v>
      </c>
    </row>
    <row r="921" spans="1:28">
      <c r="A921" t="str">
        <f t="shared" si="73"/>
        <v>2012AllSexMaori24</v>
      </c>
      <c r="B921">
        <v>2012</v>
      </c>
      <c r="C921" t="s">
        <v>17</v>
      </c>
      <c r="D921" t="s">
        <v>18</v>
      </c>
      <c r="E921">
        <v>24</v>
      </c>
      <c r="F921">
        <v>10</v>
      </c>
      <c r="G921">
        <v>8.08865162177465</v>
      </c>
      <c r="H921">
        <v>5</v>
      </c>
      <c r="J921" s="340" t="str">
        <f t="shared" si="74"/>
        <v>2001MaleMaori253</v>
      </c>
      <c r="K921">
        <v>2001</v>
      </c>
      <c r="L921" t="s">
        <v>20</v>
      </c>
      <c r="M921" t="s">
        <v>18</v>
      </c>
      <c r="N921">
        <v>25</v>
      </c>
      <c r="O921">
        <v>3</v>
      </c>
      <c r="P921">
        <v>0</v>
      </c>
      <c r="Q921">
        <v>0</v>
      </c>
      <c r="T921" s="340" t="str">
        <f t="shared" si="75"/>
        <v>2000AllSexNon-Maori24Poisoning by gases and vapours</v>
      </c>
      <c r="U921">
        <v>2000</v>
      </c>
      <c r="V921" t="s">
        <v>17</v>
      </c>
      <c r="W921" t="s">
        <v>19</v>
      </c>
      <c r="X921">
        <v>24</v>
      </c>
      <c r="Y921" t="s">
        <v>46</v>
      </c>
      <c r="Z921">
        <v>36</v>
      </c>
      <c r="AA921">
        <v>93</v>
      </c>
      <c r="AB921">
        <v>38.700000000000003</v>
      </c>
    </row>
    <row r="922" spans="1:28">
      <c r="A922" t="str">
        <f t="shared" si="73"/>
        <v>2012AllSexMaori25</v>
      </c>
      <c r="B922">
        <v>2012</v>
      </c>
      <c r="C922" t="s">
        <v>17</v>
      </c>
      <c r="D922" t="s">
        <v>18</v>
      </c>
      <c r="E922">
        <v>25</v>
      </c>
      <c r="F922">
        <v>1</v>
      </c>
      <c r="G922">
        <v>2.9103608847497102</v>
      </c>
      <c r="H922">
        <v>5.7</v>
      </c>
      <c r="J922" s="340" t="str">
        <f t="shared" si="74"/>
        <v>2001MaleMaori254</v>
      </c>
      <c r="K922">
        <v>2001</v>
      </c>
      <c r="L922" t="s">
        <v>20</v>
      </c>
      <c r="M922" t="s">
        <v>18</v>
      </c>
      <c r="N922">
        <v>25</v>
      </c>
      <c r="O922">
        <v>4</v>
      </c>
      <c r="P922">
        <v>0</v>
      </c>
      <c r="Q922">
        <v>0</v>
      </c>
      <c r="T922" s="340" t="str">
        <f t="shared" si="75"/>
        <v>2000AllSexNon-Maori25Poisoning by gases and vapours</v>
      </c>
      <c r="U922">
        <v>2000</v>
      </c>
      <c r="V922" t="s">
        <v>17</v>
      </c>
      <c r="W922" t="s">
        <v>19</v>
      </c>
      <c r="X922">
        <v>25</v>
      </c>
      <c r="Y922" t="s">
        <v>46</v>
      </c>
      <c r="Z922">
        <v>8</v>
      </c>
      <c r="AA922">
        <v>46</v>
      </c>
      <c r="AB922">
        <v>17.399999999999999</v>
      </c>
    </row>
    <row r="923" spans="1:28">
      <c r="A923" t="str">
        <f t="shared" si="73"/>
        <v>2012AllSexNon-Maori21</v>
      </c>
      <c r="B923">
        <v>2012</v>
      </c>
      <c r="C923" t="s">
        <v>17</v>
      </c>
      <c r="D923" t="s">
        <v>19</v>
      </c>
      <c r="E923">
        <v>21</v>
      </c>
      <c r="F923">
        <v>4</v>
      </c>
      <c r="G923">
        <v>0.59044076403034895</v>
      </c>
      <c r="H923">
        <v>0.6</v>
      </c>
      <c r="J923" s="340" t="str">
        <f t="shared" si="74"/>
        <v>2001MaleMaori255</v>
      </c>
      <c r="K923">
        <v>2001</v>
      </c>
      <c r="L923" t="s">
        <v>20</v>
      </c>
      <c r="M923" t="s">
        <v>18</v>
      </c>
      <c r="N923">
        <v>25</v>
      </c>
      <c r="O923">
        <v>5</v>
      </c>
      <c r="P923">
        <v>2</v>
      </c>
      <c r="Q923">
        <v>51.160916331887798</v>
      </c>
      <c r="R923">
        <v>70.900000000000006</v>
      </c>
      <c r="T923" s="340" t="str">
        <f t="shared" si="75"/>
        <v>2000AllSexNon-Maori22Poisoning by solids and liquids</v>
      </c>
      <c r="U923">
        <v>2000</v>
      </c>
      <c r="V923" t="s">
        <v>17</v>
      </c>
      <c r="W923" t="s">
        <v>19</v>
      </c>
      <c r="X923">
        <v>22</v>
      </c>
      <c r="Y923" t="s">
        <v>47</v>
      </c>
      <c r="Z923">
        <v>1</v>
      </c>
      <c r="AA923">
        <v>68</v>
      </c>
      <c r="AB923">
        <v>1.5</v>
      </c>
    </row>
    <row r="924" spans="1:28">
      <c r="A924" t="str">
        <f t="shared" si="73"/>
        <v>2012AllSexNon-Maori22</v>
      </c>
      <c r="B924">
        <v>2012</v>
      </c>
      <c r="C924" t="s">
        <v>17</v>
      </c>
      <c r="D924" t="s">
        <v>19</v>
      </c>
      <c r="E924">
        <v>22</v>
      </c>
      <c r="F924">
        <v>87</v>
      </c>
      <c r="G924">
        <v>17.457259812183999</v>
      </c>
      <c r="H924">
        <v>3.7</v>
      </c>
      <c r="J924" s="340" t="str">
        <f t="shared" si="74"/>
        <v>2001MaleNon-Maori211</v>
      </c>
      <c r="K924">
        <v>2001</v>
      </c>
      <c r="L924" t="s">
        <v>20</v>
      </c>
      <c r="M924" t="s">
        <v>19</v>
      </c>
      <c r="N924">
        <v>21</v>
      </c>
      <c r="O924">
        <v>1</v>
      </c>
      <c r="P924">
        <v>0</v>
      </c>
      <c r="Q924">
        <v>0</v>
      </c>
      <c r="T924" s="340" t="str">
        <f t="shared" si="75"/>
        <v>2000AllSexNon-Maori23Poisoning by solids and liquids</v>
      </c>
      <c r="U924">
        <v>2000</v>
      </c>
      <c r="V924" t="s">
        <v>17</v>
      </c>
      <c r="W924" t="s">
        <v>19</v>
      </c>
      <c r="X924">
        <v>23</v>
      </c>
      <c r="Y924" t="s">
        <v>47</v>
      </c>
      <c r="Z924">
        <v>18</v>
      </c>
      <c r="AA924">
        <v>169</v>
      </c>
      <c r="AB924">
        <v>10.7</v>
      </c>
    </row>
    <row r="925" spans="1:28">
      <c r="A925" t="str">
        <f t="shared" si="73"/>
        <v>2012AllSexNon-Maori23</v>
      </c>
      <c r="B925">
        <v>2012</v>
      </c>
      <c r="C925" t="s">
        <v>17</v>
      </c>
      <c r="D925" t="s">
        <v>19</v>
      </c>
      <c r="E925">
        <v>23</v>
      </c>
      <c r="F925">
        <v>147</v>
      </c>
      <c r="G925">
        <v>15.025451274608001</v>
      </c>
      <c r="H925">
        <v>2.4</v>
      </c>
      <c r="J925" s="340" t="str">
        <f t="shared" si="74"/>
        <v>2001MaleNon-Maori212</v>
      </c>
      <c r="K925">
        <v>2001</v>
      </c>
      <c r="L925" t="s">
        <v>20</v>
      </c>
      <c r="M925" t="s">
        <v>19</v>
      </c>
      <c r="N925">
        <v>21</v>
      </c>
      <c r="O925">
        <v>2</v>
      </c>
      <c r="P925">
        <v>0</v>
      </c>
      <c r="Q925">
        <v>0</v>
      </c>
      <c r="T925" s="340" t="str">
        <f t="shared" si="75"/>
        <v>2000AllSexNon-Maori24Poisoning by solids and liquids</v>
      </c>
      <c r="U925">
        <v>2000</v>
      </c>
      <c r="V925" t="s">
        <v>17</v>
      </c>
      <c r="W925" t="s">
        <v>19</v>
      </c>
      <c r="X925">
        <v>24</v>
      </c>
      <c r="Y925" t="s">
        <v>47</v>
      </c>
      <c r="Z925">
        <v>7</v>
      </c>
      <c r="AA925">
        <v>93</v>
      </c>
      <c r="AB925">
        <v>7.5</v>
      </c>
    </row>
    <row r="926" spans="1:28">
      <c r="A926" t="str">
        <f t="shared" si="73"/>
        <v>2012AllSexNon-Maori24</v>
      </c>
      <c r="B926">
        <v>2012</v>
      </c>
      <c r="C926" t="s">
        <v>17</v>
      </c>
      <c r="D926" t="s">
        <v>19</v>
      </c>
      <c r="E926">
        <v>24</v>
      </c>
      <c r="F926">
        <v>137</v>
      </c>
      <c r="G926">
        <v>13.648137079099399</v>
      </c>
      <c r="H926">
        <v>2.2999999999999998</v>
      </c>
      <c r="J926" s="340" t="str">
        <f t="shared" si="74"/>
        <v>2001MaleNon-Maori213</v>
      </c>
      <c r="K926">
        <v>2001</v>
      </c>
      <c r="L926" t="s">
        <v>20</v>
      </c>
      <c r="M926" t="s">
        <v>19</v>
      </c>
      <c r="N926">
        <v>21</v>
      </c>
      <c r="O926">
        <v>3</v>
      </c>
      <c r="P926">
        <v>1</v>
      </c>
      <c r="Q926">
        <v>1.5200536920238401</v>
      </c>
      <c r="R926">
        <v>3</v>
      </c>
      <c r="T926" s="340" t="str">
        <f t="shared" si="75"/>
        <v>2000AllSexNon-Maori25Poisoning by solids and liquids</v>
      </c>
      <c r="U926">
        <v>2000</v>
      </c>
      <c r="V926" t="s">
        <v>17</v>
      </c>
      <c r="W926" t="s">
        <v>19</v>
      </c>
      <c r="X926">
        <v>25</v>
      </c>
      <c r="Y926" t="s">
        <v>47</v>
      </c>
      <c r="Z926">
        <v>6</v>
      </c>
      <c r="AA926">
        <v>46</v>
      </c>
      <c r="AB926">
        <v>13</v>
      </c>
    </row>
    <row r="927" spans="1:28">
      <c r="A927" t="str">
        <f t="shared" si="73"/>
        <v>2012AllSexNon-Maori25</v>
      </c>
      <c r="B927">
        <v>2012</v>
      </c>
      <c r="C927" t="s">
        <v>17</v>
      </c>
      <c r="D927" t="s">
        <v>19</v>
      </c>
      <c r="E927">
        <v>25</v>
      </c>
      <c r="F927">
        <v>56</v>
      </c>
      <c r="G927">
        <v>9.8484049101333095</v>
      </c>
      <c r="H927">
        <v>2.6</v>
      </c>
      <c r="J927" s="340" t="str">
        <f t="shared" si="74"/>
        <v>2001MaleNon-Maori214</v>
      </c>
      <c r="K927">
        <v>2001</v>
      </c>
      <c r="L927" t="s">
        <v>20</v>
      </c>
      <c r="M927" t="s">
        <v>19</v>
      </c>
      <c r="N927">
        <v>21</v>
      </c>
      <c r="O927">
        <v>4</v>
      </c>
      <c r="P927">
        <v>0</v>
      </c>
      <c r="Q927">
        <v>0</v>
      </c>
      <c r="T927" s="340" t="str">
        <f t="shared" si="75"/>
        <v>2000AllSexNon-Maori22Sharp object</v>
      </c>
      <c r="U927">
        <v>2000</v>
      </c>
      <c r="V927" t="s">
        <v>17</v>
      </c>
      <c r="W927" t="s">
        <v>19</v>
      </c>
      <c r="X927">
        <v>22</v>
      </c>
      <c r="Y927" t="s">
        <v>48</v>
      </c>
      <c r="Z927">
        <v>3</v>
      </c>
      <c r="AA927">
        <v>68</v>
      </c>
      <c r="AB927">
        <v>4.4000000000000004</v>
      </c>
    </row>
    <row r="928" spans="1:28">
      <c r="A928" t="str">
        <f t="shared" si="73"/>
        <v>2012FemaleAllEth21</v>
      </c>
      <c r="B928">
        <v>2012</v>
      </c>
      <c r="C928" t="s">
        <v>8</v>
      </c>
      <c r="D928" t="s">
        <v>27</v>
      </c>
      <c r="E928">
        <v>21</v>
      </c>
      <c r="F928">
        <v>5</v>
      </c>
      <c r="G928">
        <v>1.1277517141826101</v>
      </c>
      <c r="H928">
        <v>1</v>
      </c>
      <c r="J928" s="340" t="str">
        <f t="shared" si="74"/>
        <v>2001MaleNon-Maori215</v>
      </c>
      <c r="K928">
        <v>2001</v>
      </c>
      <c r="L928" t="s">
        <v>20</v>
      </c>
      <c r="M928" t="s">
        <v>19</v>
      </c>
      <c r="N928">
        <v>21</v>
      </c>
      <c r="O928">
        <v>5</v>
      </c>
      <c r="P928">
        <v>0</v>
      </c>
      <c r="Q928">
        <v>0</v>
      </c>
      <c r="T928" s="340" t="str">
        <f t="shared" si="75"/>
        <v>2000AllSexNon-Maori23Sharp object</v>
      </c>
      <c r="U928">
        <v>2000</v>
      </c>
      <c r="V928" t="s">
        <v>17</v>
      </c>
      <c r="W928" t="s">
        <v>19</v>
      </c>
      <c r="X928">
        <v>23</v>
      </c>
      <c r="Y928" t="s">
        <v>48</v>
      </c>
      <c r="Z928">
        <v>3</v>
      </c>
      <c r="AA928">
        <v>169</v>
      </c>
      <c r="AB928">
        <v>1.8</v>
      </c>
    </row>
    <row r="929" spans="1:28">
      <c r="A929" t="str">
        <f t="shared" si="73"/>
        <v>2012FemaleAllEth22</v>
      </c>
      <c r="B929">
        <v>2012</v>
      </c>
      <c r="C929" t="s">
        <v>8</v>
      </c>
      <c r="D929" t="s">
        <v>27</v>
      </c>
      <c r="E929">
        <v>22</v>
      </c>
      <c r="F929">
        <v>41</v>
      </c>
      <c r="G929">
        <v>13.3238008579228</v>
      </c>
      <c r="H929">
        <v>4.0999999999999996</v>
      </c>
      <c r="J929" s="340" t="str">
        <f t="shared" si="74"/>
        <v>2001MaleNon-Maori221</v>
      </c>
      <c r="K929">
        <v>2001</v>
      </c>
      <c r="L929" t="s">
        <v>20</v>
      </c>
      <c r="M929" t="s">
        <v>19</v>
      </c>
      <c r="N929">
        <v>22</v>
      </c>
      <c r="O929">
        <v>1</v>
      </c>
      <c r="P929">
        <v>10</v>
      </c>
      <c r="Q929">
        <v>22.548216397779999</v>
      </c>
      <c r="R929">
        <v>14</v>
      </c>
      <c r="T929" s="340" t="str">
        <f t="shared" si="75"/>
        <v>2000AllSexNon-Maori24Sharp object</v>
      </c>
      <c r="U929">
        <v>2000</v>
      </c>
      <c r="V929" t="s">
        <v>17</v>
      </c>
      <c r="W929" t="s">
        <v>19</v>
      </c>
      <c r="X929">
        <v>24</v>
      </c>
      <c r="Y929" t="s">
        <v>48</v>
      </c>
      <c r="Z929">
        <v>3</v>
      </c>
      <c r="AA929">
        <v>93</v>
      </c>
      <c r="AB929">
        <v>3.2</v>
      </c>
    </row>
    <row r="930" spans="1:28">
      <c r="A930" t="str">
        <f t="shared" si="73"/>
        <v>2012FemaleAllEth23</v>
      </c>
      <c r="B930">
        <v>2012</v>
      </c>
      <c r="C930" t="s">
        <v>8</v>
      </c>
      <c r="D930" t="s">
        <v>27</v>
      </c>
      <c r="E930">
        <v>23</v>
      </c>
      <c r="F930">
        <v>43</v>
      </c>
      <c r="G930">
        <v>7.1972550004184503</v>
      </c>
      <c r="H930">
        <v>2.2000000000000002</v>
      </c>
      <c r="J930" s="340" t="str">
        <f t="shared" si="74"/>
        <v>2001MaleNon-Maori222</v>
      </c>
      <c r="K930">
        <v>2001</v>
      </c>
      <c r="L930" t="s">
        <v>20</v>
      </c>
      <c r="M930" t="s">
        <v>19</v>
      </c>
      <c r="N930">
        <v>22</v>
      </c>
      <c r="O930">
        <v>2</v>
      </c>
      <c r="P930">
        <v>5</v>
      </c>
      <c r="Q930">
        <v>11.216645202915799</v>
      </c>
      <c r="R930">
        <v>9.8000000000000007</v>
      </c>
      <c r="T930" s="340" t="str">
        <f t="shared" si="75"/>
        <v>2000AllSexNon-Maori25Sharp object</v>
      </c>
      <c r="U930">
        <v>2000</v>
      </c>
      <c r="V930" t="s">
        <v>17</v>
      </c>
      <c r="W930" t="s">
        <v>19</v>
      </c>
      <c r="X930">
        <v>25</v>
      </c>
      <c r="Y930" t="s">
        <v>48</v>
      </c>
      <c r="Z930">
        <v>2</v>
      </c>
      <c r="AA930">
        <v>46</v>
      </c>
      <c r="AB930">
        <v>4.3</v>
      </c>
    </row>
    <row r="931" spans="1:28">
      <c r="A931" t="str">
        <f t="shared" si="73"/>
        <v>2012FemaleAllEth24</v>
      </c>
      <c r="B931">
        <v>2012</v>
      </c>
      <c r="C931" t="s">
        <v>8</v>
      </c>
      <c r="D931" t="s">
        <v>27</v>
      </c>
      <c r="E931">
        <v>24</v>
      </c>
      <c r="F931">
        <v>42</v>
      </c>
      <c r="G931">
        <v>7.2452517724990901</v>
      </c>
      <c r="H931">
        <v>2.2000000000000002</v>
      </c>
      <c r="J931" s="340" t="str">
        <f t="shared" si="74"/>
        <v>2001MaleNon-Maori223</v>
      </c>
      <c r="K931">
        <v>2001</v>
      </c>
      <c r="L931" t="s">
        <v>20</v>
      </c>
      <c r="M931" t="s">
        <v>19</v>
      </c>
      <c r="N931">
        <v>22</v>
      </c>
      <c r="O931">
        <v>3</v>
      </c>
      <c r="P931">
        <v>13</v>
      </c>
      <c r="Q931">
        <v>29.309558953345899</v>
      </c>
      <c r="R931">
        <v>15.9</v>
      </c>
      <c r="T931" s="340" t="str">
        <f t="shared" si="75"/>
        <v>2000AllSexNon-Maori22Submersion (drowning)</v>
      </c>
      <c r="U931">
        <v>2000</v>
      </c>
      <c r="V931" t="s">
        <v>17</v>
      </c>
      <c r="W931" t="s">
        <v>19</v>
      </c>
      <c r="X931">
        <v>22</v>
      </c>
      <c r="Y931" t="s">
        <v>49</v>
      </c>
      <c r="Z931">
        <v>1</v>
      </c>
      <c r="AA931">
        <v>68</v>
      </c>
      <c r="AB931">
        <v>1.5</v>
      </c>
    </row>
    <row r="932" spans="1:28">
      <c r="A932" t="str">
        <f t="shared" si="73"/>
        <v>2012FemaleAllEth25</v>
      </c>
      <c r="B932">
        <v>2012</v>
      </c>
      <c r="C932" t="s">
        <v>8</v>
      </c>
      <c r="D932" t="s">
        <v>27</v>
      </c>
      <c r="E932">
        <v>25</v>
      </c>
      <c r="F932">
        <v>14</v>
      </c>
      <c r="G932">
        <v>4.2935565982764397</v>
      </c>
      <c r="H932">
        <v>2.2000000000000002</v>
      </c>
      <c r="J932" s="340" t="str">
        <f t="shared" si="74"/>
        <v>2001MaleNon-Maori224</v>
      </c>
      <c r="K932">
        <v>2001</v>
      </c>
      <c r="L932" t="s">
        <v>20</v>
      </c>
      <c r="M932" t="s">
        <v>19</v>
      </c>
      <c r="N932">
        <v>22</v>
      </c>
      <c r="O932">
        <v>4</v>
      </c>
      <c r="P932">
        <v>17</v>
      </c>
      <c r="Q932">
        <v>38.900193700667998</v>
      </c>
      <c r="R932">
        <v>18.5</v>
      </c>
      <c r="T932" s="340" t="str">
        <f t="shared" si="75"/>
        <v>2000AllSexNon-Maori23Submersion (drowning)</v>
      </c>
      <c r="U932">
        <v>2000</v>
      </c>
      <c r="V932" t="s">
        <v>17</v>
      </c>
      <c r="W932" t="s">
        <v>19</v>
      </c>
      <c r="X932">
        <v>23</v>
      </c>
      <c r="Y932" t="s">
        <v>49</v>
      </c>
      <c r="Z932">
        <v>7</v>
      </c>
      <c r="AA932">
        <v>169</v>
      </c>
      <c r="AB932">
        <v>4.0999999999999996</v>
      </c>
    </row>
    <row r="933" spans="1:28">
      <c r="A933" t="str">
        <f t="shared" si="73"/>
        <v>2012FemaleMaori21</v>
      </c>
      <c r="B933">
        <v>2012</v>
      </c>
      <c r="C933" t="s">
        <v>8</v>
      </c>
      <c r="D933" t="s">
        <v>18</v>
      </c>
      <c r="E933">
        <v>21</v>
      </c>
      <c r="F933">
        <v>3</v>
      </c>
      <c r="G933">
        <v>2.6558073654390899</v>
      </c>
      <c r="H933">
        <v>3</v>
      </c>
      <c r="J933" s="340" t="str">
        <f t="shared" si="74"/>
        <v>2001MaleNon-Maori225</v>
      </c>
      <c r="K933">
        <v>2001</v>
      </c>
      <c r="L933" t="s">
        <v>20</v>
      </c>
      <c r="M933" t="s">
        <v>19</v>
      </c>
      <c r="N933">
        <v>22</v>
      </c>
      <c r="O933">
        <v>5</v>
      </c>
      <c r="P933">
        <v>10</v>
      </c>
      <c r="Q933">
        <v>24.261084077273701</v>
      </c>
      <c r="R933">
        <v>15</v>
      </c>
      <c r="T933" s="340" t="str">
        <f t="shared" si="75"/>
        <v>2000AllSexNon-Maori24Submersion (drowning)</v>
      </c>
      <c r="U933">
        <v>2000</v>
      </c>
      <c r="V933" t="s">
        <v>17</v>
      </c>
      <c r="W933" t="s">
        <v>19</v>
      </c>
      <c r="X933">
        <v>24</v>
      </c>
      <c r="Y933" t="s">
        <v>49</v>
      </c>
      <c r="Z933">
        <v>4</v>
      </c>
      <c r="AA933">
        <v>93</v>
      </c>
      <c r="AB933">
        <v>4.3</v>
      </c>
    </row>
    <row r="934" spans="1:28">
      <c r="A934" t="str">
        <f t="shared" si="73"/>
        <v>2012FemaleMaori22</v>
      </c>
      <c r="B934">
        <v>2012</v>
      </c>
      <c r="C934" t="s">
        <v>8</v>
      </c>
      <c r="D934" t="s">
        <v>18</v>
      </c>
      <c r="E934">
        <v>22</v>
      </c>
      <c r="F934">
        <v>24</v>
      </c>
      <c r="G934">
        <v>37.7299166797673</v>
      </c>
      <c r="H934">
        <v>15.1</v>
      </c>
      <c r="J934" s="340" t="str">
        <f t="shared" si="74"/>
        <v>2001MaleNon-Maori231</v>
      </c>
      <c r="K934">
        <v>2001</v>
      </c>
      <c r="L934" t="s">
        <v>20</v>
      </c>
      <c r="M934" t="s">
        <v>19</v>
      </c>
      <c r="N934">
        <v>23</v>
      </c>
      <c r="O934">
        <v>1</v>
      </c>
      <c r="P934">
        <v>19</v>
      </c>
      <c r="Q934">
        <v>18.390683231781701</v>
      </c>
      <c r="R934">
        <v>8.3000000000000007</v>
      </c>
      <c r="T934" s="340" t="str">
        <f t="shared" si="75"/>
        <v>2000AllSexNon-Maori25Submersion (drowning)</v>
      </c>
      <c r="U934">
        <v>2000</v>
      </c>
      <c r="V934" t="s">
        <v>17</v>
      </c>
      <c r="W934" t="s">
        <v>19</v>
      </c>
      <c r="X934">
        <v>25</v>
      </c>
      <c r="Y934" t="s">
        <v>49</v>
      </c>
      <c r="Z934">
        <v>2</v>
      </c>
      <c r="AA934">
        <v>46</v>
      </c>
      <c r="AB934">
        <v>4.3</v>
      </c>
    </row>
    <row r="935" spans="1:28">
      <c r="A935" t="str">
        <f t="shared" si="73"/>
        <v>2012FemaleMaori23</v>
      </c>
      <c r="B935">
        <v>2012</v>
      </c>
      <c r="C935" t="s">
        <v>8</v>
      </c>
      <c r="D935" t="s">
        <v>18</v>
      </c>
      <c r="E935">
        <v>23</v>
      </c>
      <c r="F935">
        <v>9</v>
      </c>
      <c r="G935">
        <v>9.9922282669035205</v>
      </c>
      <c r="H935">
        <v>6.5</v>
      </c>
      <c r="J935" s="340" t="str">
        <f t="shared" si="74"/>
        <v>2001MaleNon-Maori232</v>
      </c>
      <c r="K935">
        <v>2001</v>
      </c>
      <c r="L935" t="s">
        <v>20</v>
      </c>
      <c r="M935" t="s">
        <v>19</v>
      </c>
      <c r="N935">
        <v>23</v>
      </c>
      <c r="O935">
        <v>2</v>
      </c>
      <c r="P935">
        <v>30</v>
      </c>
      <c r="Q935">
        <v>28.138686161003299</v>
      </c>
      <c r="R935">
        <v>10.1</v>
      </c>
      <c r="T935" s="340" t="str">
        <f t="shared" si="75"/>
        <v>2000FemaleAllEth23Firearms and explosives</v>
      </c>
      <c r="U935">
        <v>2000</v>
      </c>
      <c r="V935" t="s">
        <v>8</v>
      </c>
      <c r="W935" t="s">
        <v>27</v>
      </c>
      <c r="X935">
        <v>23</v>
      </c>
      <c r="Y935" t="s">
        <v>42</v>
      </c>
      <c r="Z935">
        <v>1</v>
      </c>
      <c r="AA935">
        <v>38</v>
      </c>
      <c r="AB935">
        <v>2.6</v>
      </c>
    </row>
    <row r="936" spans="1:28">
      <c r="A936" t="str">
        <f t="shared" si="73"/>
        <v>2012FemaleMaori24</v>
      </c>
      <c r="B936">
        <v>2012</v>
      </c>
      <c r="C936" t="s">
        <v>8</v>
      </c>
      <c r="D936" t="s">
        <v>18</v>
      </c>
      <c r="E936">
        <v>24</v>
      </c>
      <c r="F936">
        <v>1</v>
      </c>
      <c r="G936">
        <v>1.5299877600979199</v>
      </c>
      <c r="H936">
        <v>3</v>
      </c>
      <c r="J936" s="340" t="str">
        <f t="shared" si="74"/>
        <v>2001MaleNon-Maori233</v>
      </c>
      <c r="K936">
        <v>2001</v>
      </c>
      <c r="L936" t="s">
        <v>20</v>
      </c>
      <c r="M936" t="s">
        <v>19</v>
      </c>
      <c r="N936">
        <v>23</v>
      </c>
      <c r="O936">
        <v>3</v>
      </c>
      <c r="P936">
        <v>30</v>
      </c>
      <c r="Q936">
        <v>29.219377725908402</v>
      </c>
      <c r="R936">
        <v>10.5</v>
      </c>
      <c r="T936" s="340" t="str">
        <f t="shared" si="75"/>
        <v>2000FemaleAllEth24Firearms and explosives</v>
      </c>
      <c r="U936">
        <v>2000</v>
      </c>
      <c r="V936" t="s">
        <v>8</v>
      </c>
      <c r="W936" t="s">
        <v>27</v>
      </c>
      <c r="X936">
        <v>24</v>
      </c>
      <c r="Y936" t="s">
        <v>42</v>
      </c>
      <c r="Z936">
        <v>1</v>
      </c>
      <c r="AA936">
        <v>23</v>
      </c>
      <c r="AB936">
        <v>4.3</v>
      </c>
    </row>
    <row r="937" spans="1:28">
      <c r="A937" t="str">
        <f t="shared" si="73"/>
        <v>2012FemaleMaori25</v>
      </c>
      <c r="B937">
        <v>2012</v>
      </c>
      <c r="C937" t="s">
        <v>8</v>
      </c>
      <c r="D937" t="s">
        <v>18</v>
      </c>
      <c r="E937">
        <v>25</v>
      </c>
      <c r="F937">
        <v>0</v>
      </c>
      <c r="G937">
        <v>0</v>
      </c>
      <c r="J937" s="340" t="str">
        <f t="shared" si="74"/>
        <v>2001MaleNon-Maori234</v>
      </c>
      <c r="K937">
        <v>2001</v>
      </c>
      <c r="L937" t="s">
        <v>20</v>
      </c>
      <c r="M937" t="s">
        <v>19</v>
      </c>
      <c r="N937">
        <v>23</v>
      </c>
      <c r="O937">
        <v>4</v>
      </c>
      <c r="P937">
        <v>41</v>
      </c>
      <c r="Q937">
        <v>43.913597023430697</v>
      </c>
      <c r="R937">
        <v>13.4</v>
      </c>
      <c r="T937" s="340" t="str">
        <f t="shared" si="75"/>
        <v>2000FemaleAllEth21Hanging, strangulation and suffocation</v>
      </c>
      <c r="U937">
        <v>2000</v>
      </c>
      <c r="V937" t="s">
        <v>8</v>
      </c>
      <c r="W937" t="s">
        <v>27</v>
      </c>
      <c r="X937">
        <v>21</v>
      </c>
      <c r="Y937" t="s">
        <v>43</v>
      </c>
      <c r="Z937">
        <v>1</v>
      </c>
      <c r="AA937">
        <v>1</v>
      </c>
      <c r="AB937">
        <v>100</v>
      </c>
    </row>
    <row r="938" spans="1:28">
      <c r="A938" t="str">
        <f t="shared" si="73"/>
        <v>2012FemaleNon-Maori21</v>
      </c>
      <c r="B938">
        <v>2012</v>
      </c>
      <c r="C938" t="s">
        <v>8</v>
      </c>
      <c r="D938" t="s">
        <v>19</v>
      </c>
      <c r="E938">
        <v>21</v>
      </c>
      <c r="F938">
        <v>2</v>
      </c>
      <c r="G938">
        <v>0.60532687651331696</v>
      </c>
      <c r="H938">
        <v>0.8</v>
      </c>
      <c r="J938" s="340" t="str">
        <f t="shared" si="74"/>
        <v>2001MaleNon-Maori235</v>
      </c>
      <c r="K938">
        <v>2001</v>
      </c>
      <c r="L938" t="s">
        <v>20</v>
      </c>
      <c r="M938" t="s">
        <v>19</v>
      </c>
      <c r="N938">
        <v>23</v>
      </c>
      <c r="O938">
        <v>5</v>
      </c>
      <c r="P938">
        <v>26</v>
      </c>
      <c r="Q938">
        <v>36.264590120264103</v>
      </c>
      <c r="R938">
        <v>13.9</v>
      </c>
      <c r="T938" s="340" t="str">
        <f t="shared" si="75"/>
        <v>2000FemaleAllEth22Hanging, strangulation and suffocation</v>
      </c>
      <c r="U938">
        <v>2000</v>
      </c>
      <c r="V938" t="s">
        <v>8</v>
      </c>
      <c r="W938" t="s">
        <v>27</v>
      </c>
      <c r="X938">
        <v>22</v>
      </c>
      <c r="Y938" t="s">
        <v>43</v>
      </c>
      <c r="Z938">
        <v>7</v>
      </c>
      <c r="AA938">
        <v>15</v>
      </c>
      <c r="AB938">
        <v>46.7</v>
      </c>
    </row>
    <row r="939" spans="1:28">
      <c r="A939" t="str">
        <f t="shared" si="73"/>
        <v>2012FemaleNon-Maori22</v>
      </c>
      <c r="B939">
        <v>2012</v>
      </c>
      <c r="C939" t="s">
        <v>8</v>
      </c>
      <c r="D939" t="s">
        <v>19</v>
      </c>
      <c r="E939">
        <v>22</v>
      </c>
      <c r="F939">
        <v>17</v>
      </c>
      <c r="G939">
        <v>6.96407357338905</v>
      </c>
      <c r="H939">
        <v>3.3</v>
      </c>
      <c r="J939" s="340" t="str">
        <f t="shared" si="74"/>
        <v>2001MaleNon-Maori241</v>
      </c>
      <c r="K939">
        <v>2001</v>
      </c>
      <c r="L939" t="s">
        <v>20</v>
      </c>
      <c r="M939" t="s">
        <v>19</v>
      </c>
      <c r="N939">
        <v>24</v>
      </c>
      <c r="O939">
        <v>1</v>
      </c>
      <c r="P939">
        <v>9</v>
      </c>
      <c r="Q939">
        <v>8.5653350608011092</v>
      </c>
      <c r="R939">
        <v>5.6</v>
      </c>
      <c r="T939" s="340" t="str">
        <f t="shared" si="75"/>
        <v>2000FemaleAllEth23Hanging, strangulation and suffocation</v>
      </c>
      <c r="U939">
        <v>2000</v>
      </c>
      <c r="V939" t="s">
        <v>8</v>
      </c>
      <c r="W939" t="s">
        <v>27</v>
      </c>
      <c r="X939">
        <v>23</v>
      </c>
      <c r="Y939" t="s">
        <v>43</v>
      </c>
      <c r="Z939">
        <v>13</v>
      </c>
      <c r="AA939">
        <v>38</v>
      </c>
      <c r="AB939">
        <v>34.200000000000003</v>
      </c>
    </row>
    <row r="940" spans="1:28">
      <c r="A940" t="str">
        <f t="shared" si="73"/>
        <v>2012FemaleNon-Maori23</v>
      </c>
      <c r="B940">
        <v>2012</v>
      </c>
      <c r="C940" t="s">
        <v>8</v>
      </c>
      <c r="D940" t="s">
        <v>19</v>
      </c>
      <c r="E940">
        <v>23</v>
      </c>
      <c r="F940">
        <v>34</v>
      </c>
      <c r="G940">
        <v>6.7010918837951801</v>
      </c>
      <c r="H940">
        <v>2.2999999999999998</v>
      </c>
      <c r="J940" s="340" t="str">
        <f t="shared" si="74"/>
        <v>2001MaleNon-Maori242</v>
      </c>
      <c r="K940">
        <v>2001</v>
      </c>
      <c r="L940" t="s">
        <v>20</v>
      </c>
      <c r="M940" t="s">
        <v>19</v>
      </c>
      <c r="N940">
        <v>24</v>
      </c>
      <c r="O940">
        <v>2</v>
      </c>
      <c r="P940">
        <v>7</v>
      </c>
      <c r="Q940">
        <v>7.8249757206346597</v>
      </c>
      <c r="R940">
        <v>5.8</v>
      </c>
      <c r="T940" s="340" t="str">
        <f t="shared" si="75"/>
        <v>2000FemaleAllEth24Hanging, strangulation and suffocation</v>
      </c>
      <c r="U940">
        <v>2000</v>
      </c>
      <c r="V940" t="s">
        <v>8</v>
      </c>
      <c r="W940" t="s">
        <v>27</v>
      </c>
      <c r="X940">
        <v>24</v>
      </c>
      <c r="Y940" t="s">
        <v>43</v>
      </c>
      <c r="Z940">
        <v>7</v>
      </c>
      <c r="AA940">
        <v>23</v>
      </c>
      <c r="AB940">
        <v>30.4</v>
      </c>
    </row>
    <row r="941" spans="1:28">
      <c r="A941" t="str">
        <f t="shared" si="73"/>
        <v>2012FemaleNon-Maori24</v>
      </c>
      <c r="B941">
        <v>2012</v>
      </c>
      <c r="C941" t="s">
        <v>8</v>
      </c>
      <c r="D941" t="s">
        <v>19</v>
      </c>
      <c r="E941">
        <v>24</v>
      </c>
      <c r="F941">
        <v>41</v>
      </c>
      <c r="G941">
        <v>7.9715357844185597</v>
      </c>
      <c r="H941">
        <v>2.4</v>
      </c>
      <c r="J941" s="340" t="str">
        <f t="shared" si="74"/>
        <v>2001MaleNon-Maori243</v>
      </c>
      <c r="K941">
        <v>2001</v>
      </c>
      <c r="L941" t="s">
        <v>20</v>
      </c>
      <c r="M941" t="s">
        <v>19</v>
      </c>
      <c r="N941">
        <v>24</v>
      </c>
      <c r="O941">
        <v>3</v>
      </c>
      <c r="P941">
        <v>10</v>
      </c>
      <c r="Q941">
        <v>13.0311183438703</v>
      </c>
      <c r="R941">
        <v>8.1</v>
      </c>
      <c r="T941" s="340" t="str">
        <f t="shared" si="75"/>
        <v>2000FemaleAllEth25Hanging, strangulation and suffocation</v>
      </c>
      <c r="U941">
        <v>2000</v>
      </c>
      <c r="V941" t="s">
        <v>8</v>
      </c>
      <c r="W941" t="s">
        <v>27</v>
      </c>
      <c r="X941">
        <v>25</v>
      </c>
      <c r="Y941" t="s">
        <v>43</v>
      </c>
      <c r="Z941">
        <v>1</v>
      </c>
      <c r="AA941">
        <v>6</v>
      </c>
      <c r="AB941">
        <v>16.7</v>
      </c>
    </row>
    <row r="942" spans="1:28">
      <c r="A942" t="str">
        <f t="shared" si="73"/>
        <v>2012FemaleNon-Maori25</v>
      </c>
      <c r="B942">
        <v>2012</v>
      </c>
      <c r="C942" t="s">
        <v>8</v>
      </c>
      <c r="D942" t="s">
        <v>19</v>
      </c>
      <c r="E942">
        <v>25</v>
      </c>
      <c r="F942">
        <v>14</v>
      </c>
      <c r="G942">
        <v>4.5559569136646196</v>
      </c>
      <c r="H942">
        <v>2.4</v>
      </c>
      <c r="J942" s="340" t="str">
        <f t="shared" si="74"/>
        <v>2001MaleNon-Maori244</v>
      </c>
      <c r="K942">
        <v>2001</v>
      </c>
      <c r="L942" t="s">
        <v>20</v>
      </c>
      <c r="M942" t="s">
        <v>19</v>
      </c>
      <c r="N942">
        <v>24</v>
      </c>
      <c r="O942">
        <v>4</v>
      </c>
      <c r="P942">
        <v>11</v>
      </c>
      <c r="Q942">
        <v>16.7404797607158</v>
      </c>
      <c r="R942">
        <v>9.9</v>
      </c>
      <c r="T942" s="340" t="str">
        <f t="shared" si="75"/>
        <v>2000FemaleAllEth22Jumping from a high place</v>
      </c>
      <c r="U942">
        <v>2000</v>
      </c>
      <c r="V942" t="s">
        <v>8</v>
      </c>
      <c r="W942" t="s">
        <v>27</v>
      </c>
      <c r="X942">
        <v>22</v>
      </c>
      <c r="Y942" t="s">
        <v>44</v>
      </c>
      <c r="Z942">
        <v>1</v>
      </c>
      <c r="AA942">
        <v>15</v>
      </c>
      <c r="AB942">
        <v>6.7</v>
      </c>
    </row>
    <row r="943" spans="1:28">
      <c r="A943" t="str">
        <f t="shared" si="73"/>
        <v>2012MaleAllEth21</v>
      </c>
      <c r="B943">
        <v>2012</v>
      </c>
      <c r="C943" t="s">
        <v>20</v>
      </c>
      <c r="D943" t="s">
        <v>27</v>
      </c>
      <c r="E943">
        <v>21</v>
      </c>
      <c r="F943">
        <v>6</v>
      </c>
      <c r="G943">
        <v>1.28614606332126</v>
      </c>
      <c r="H943">
        <v>1</v>
      </c>
      <c r="J943" s="340" t="str">
        <f t="shared" si="74"/>
        <v>2001MaleNon-Maori245</v>
      </c>
      <c r="K943">
        <v>2001</v>
      </c>
      <c r="L943" t="s">
        <v>20</v>
      </c>
      <c r="M943" t="s">
        <v>19</v>
      </c>
      <c r="N943">
        <v>24</v>
      </c>
      <c r="O943">
        <v>5</v>
      </c>
      <c r="P943">
        <v>10</v>
      </c>
      <c r="Q943">
        <v>20.300536687952999</v>
      </c>
      <c r="R943">
        <v>12.6</v>
      </c>
      <c r="T943" s="340" t="str">
        <f t="shared" si="75"/>
        <v>2000FemaleAllEth23Jumping from a high place</v>
      </c>
      <c r="U943">
        <v>2000</v>
      </c>
      <c r="V943" t="s">
        <v>8</v>
      </c>
      <c r="W943" t="s">
        <v>27</v>
      </c>
      <c r="X943">
        <v>23</v>
      </c>
      <c r="Y943" t="s">
        <v>44</v>
      </c>
      <c r="Z943">
        <v>1</v>
      </c>
      <c r="AA943">
        <v>38</v>
      </c>
      <c r="AB943">
        <v>2.6</v>
      </c>
    </row>
    <row r="944" spans="1:28">
      <c r="A944" t="str">
        <f t="shared" si="73"/>
        <v>2012MaleAllEth22</v>
      </c>
      <c r="B944">
        <v>2012</v>
      </c>
      <c r="C944" t="s">
        <v>20</v>
      </c>
      <c r="D944" t="s">
        <v>27</v>
      </c>
      <c r="E944">
        <v>22</v>
      </c>
      <c r="F944">
        <v>107</v>
      </c>
      <c r="G944">
        <v>33.785917271866097</v>
      </c>
      <c r="H944">
        <v>6.4</v>
      </c>
      <c r="J944" s="340" t="str">
        <f t="shared" si="74"/>
        <v>2001MaleNon-Maori251</v>
      </c>
      <c r="K944">
        <v>2001</v>
      </c>
      <c r="L944" t="s">
        <v>20</v>
      </c>
      <c r="M944" t="s">
        <v>19</v>
      </c>
      <c r="N944">
        <v>25</v>
      </c>
      <c r="O944">
        <v>1</v>
      </c>
      <c r="P944">
        <v>8</v>
      </c>
      <c r="Q944">
        <v>19.181329226543799</v>
      </c>
      <c r="R944">
        <v>13.3</v>
      </c>
      <c r="T944" s="340" t="str">
        <f t="shared" si="75"/>
        <v>2000FemaleAllEth24Jumping from a high place</v>
      </c>
      <c r="U944">
        <v>2000</v>
      </c>
      <c r="V944" t="s">
        <v>8</v>
      </c>
      <c r="W944" t="s">
        <v>27</v>
      </c>
      <c r="X944">
        <v>24</v>
      </c>
      <c r="Y944" t="s">
        <v>44</v>
      </c>
      <c r="Z944">
        <v>3</v>
      </c>
      <c r="AA944">
        <v>23</v>
      </c>
      <c r="AB944">
        <v>13</v>
      </c>
    </row>
    <row r="945" spans="1:28">
      <c r="A945" t="str">
        <f t="shared" si="73"/>
        <v>2012MaleAllEth23</v>
      </c>
      <c r="B945">
        <v>2012</v>
      </c>
      <c r="C945" t="s">
        <v>20</v>
      </c>
      <c r="D945" t="s">
        <v>27</v>
      </c>
      <c r="E945">
        <v>23</v>
      </c>
      <c r="F945">
        <v>143</v>
      </c>
      <c r="G945">
        <v>26.0701524101218</v>
      </c>
      <c r="H945">
        <v>4.3</v>
      </c>
      <c r="J945" s="340" t="str">
        <f t="shared" si="74"/>
        <v>2001MaleNon-Maori252</v>
      </c>
      <c r="K945">
        <v>2001</v>
      </c>
      <c r="L945" t="s">
        <v>20</v>
      </c>
      <c r="M945" t="s">
        <v>19</v>
      </c>
      <c r="N945">
        <v>25</v>
      </c>
      <c r="O945">
        <v>2</v>
      </c>
      <c r="P945">
        <v>9</v>
      </c>
      <c r="Q945">
        <v>21.531973933141199</v>
      </c>
      <c r="R945">
        <v>14.1</v>
      </c>
      <c r="T945" s="340" t="str">
        <f t="shared" si="75"/>
        <v>2000FemaleAllEth23Other</v>
      </c>
      <c r="U945">
        <v>2000</v>
      </c>
      <c r="V945" t="s">
        <v>8</v>
      </c>
      <c r="W945" t="s">
        <v>27</v>
      </c>
      <c r="X945">
        <v>23</v>
      </c>
      <c r="Y945" t="s">
        <v>45</v>
      </c>
      <c r="Z945">
        <v>1</v>
      </c>
      <c r="AA945">
        <v>38</v>
      </c>
      <c r="AB945">
        <v>2.6</v>
      </c>
    </row>
    <row r="946" spans="1:28">
      <c r="A946" t="str">
        <f t="shared" si="73"/>
        <v>2012MaleAllEth24</v>
      </c>
      <c r="B946">
        <v>2012</v>
      </c>
      <c r="C946" t="s">
        <v>20</v>
      </c>
      <c r="D946" t="s">
        <v>27</v>
      </c>
      <c r="E946">
        <v>24</v>
      </c>
      <c r="F946">
        <v>105</v>
      </c>
      <c r="G946">
        <v>19.170029028901101</v>
      </c>
      <c r="H946">
        <v>3.7</v>
      </c>
      <c r="J946" s="340" t="str">
        <f t="shared" si="74"/>
        <v>2001MaleNon-Maori253</v>
      </c>
      <c r="K946">
        <v>2001</v>
      </c>
      <c r="L946" t="s">
        <v>20</v>
      </c>
      <c r="M946" t="s">
        <v>19</v>
      </c>
      <c r="N946">
        <v>25</v>
      </c>
      <c r="O946">
        <v>3</v>
      </c>
      <c r="P946">
        <v>10</v>
      </c>
      <c r="Q946">
        <v>23.984070530068699</v>
      </c>
      <c r="R946">
        <v>14.9</v>
      </c>
      <c r="T946" s="340" t="str">
        <f t="shared" si="75"/>
        <v>2000FemaleAllEth24Other</v>
      </c>
      <c r="U946">
        <v>2000</v>
      </c>
      <c r="V946" t="s">
        <v>8</v>
      </c>
      <c r="W946" t="s">
        <v>27</v>
      </c>
      <c r="X946">
        <v>24</v>
      </c>
      <c r="Y946" t="s">
        <v>45</v>
      </c>
      <c r="Z946">
        <v>1</v>
      </c>
      <c r="AA946">
        <v>23</v>
      </c>
      <c r="AB946">
        <v>4.3</v>
      </c>
    </row>
    <row r="947" spans="1:28">
      <c r="A947" t="str">
        <f t="shared" si="73"/>
        <v>2012MaleAllEth25</v>
      </c>
      <c r="B947">
        <v>2012</v>
      </c>
      <c r="C947" t="s">
        <v>20</v>
      </c>
      <c r="D947" t="s">
        <v>27</v>
      </c>
      <c r="E947">
        <v>25</v>
      </c>
      <c r="F947">
        <v>43</v>
      </c>
      <c r="G947">
        <v>15.527389593038</v>
      </c>
      <c r="H947">
        <v>4.5999999999999996</v>
      </c>
      <c r="J947" s="340" t="str">
        <f t="shared" si="74"/>
        <v>2001MaleNon-Maori254</v>
      </c>
      <c r="K947">
        <v>2001</v>
      </c>
      <c r="L947" t="s">
        <v>20</v>
      </c>
      <c r="M947" t="s">
        <v>19</v>
      </c>
      <c r="N947">
        <v>25</v>
      </c>
      <c r="O947">
        <v>4</v>
      </c>
      <c r="P947">
        <v>8</v>
      </c>
      <c r="Q947">
        <v>20.419024249212999</v>
      </c>
      <c r="R947">
        <v>14.1</v>
      </c>
      <c r="T947" s="340" t="str">
        <f t="shared" si="75"/>
        <v>2000FemaleAllEth22Poisoning by gases and vapours</v>
      </c>
      <c r="U947">
        <v>2000</v>
      </c>
      <c r="V947" t="s">
        <v>8</v>
      </c>
      <c r="W947" t="s">
        <v>27</v>
      </c>
      <c r="X947">
        <v>22</v>
      </c>
      <c r="Y947" t="s">
        <v>46</v>
      </c>
      <c r="Z947">
        <v>4</v>
      </c>
      <c r="AA947">
        <v>15</v>
      </c>
      <c r="AB947">
        <v>26.7</v>
      </c>
    </row>
    <row r="948" spans="1:28">
      <c r="A948" t="str">
        <f t="shared" si="73"/>
        <v>2012MaleMaori21</v>
      </c>
      <c r="B948">
        <v>2012</v>
      </c>
      <c r="C948" t="s">
        <v>20</v>
      </c>
      <c r="D948" t="s">
        <v>18</v>
      </c>
      <c r="E948">
        <v>21</v>
      </c>
      <c r="F948">
        <v>4</v>
      </c>
      <c r="G948">
        <v>3.34868145667643</v>
      </c>
      <c r="H948">
        <v>3.3</v>
      </c>
      <c r="J948" s="340" t="str">
        <f t="shared" si="74"/>
        <v>2001MaleNon-Maori255</v>
      </c>
      <c r="K948">
        <v>2001</v>
      </c>
      <c r="L948" t="s">
        <v>20</v>
      </c>
      <c r="M948" t="s">
        <v>19</v>
      </c>
      <c r="N948">
        <v>25</v>
      </c>
      <c r="O948">
        <v>5</v>
      </c>
      <c r="P948">
        <v>8</v>
      </c>
      <c r="Q948">
        <v>28.458629058966899</v>
      </c>
      <c r="R948">
        <v>19.7</v>
      </c>
      <c r="T948" s="340" t="str">
        <f t="shared" si="75"/>
        <v>2000FemaleAllEth23Poisoning by gases and vapours</v>
      </c>
      <c r="U948">
        <v>2000</v>
      </c>
      <c r="V948" t="s">
        <v>8</v>
      </c>
      <c r="W948" t="s">
        <v>27</v>
      </c>
      <c r="X948">
        <v>23</v>
      </c>
      <c r="Y948" t="s">
        <v>46</v>
      </c>
      <c r="Z948">
        <v>9</v>
      </c>
      <c r="AA948">
        <v>38</v>
      </c>
      <c r="AB948">
        <v>23.7</v>
      </c>
    </row>
    <row r="949" spans="1:28">
      <c r="A949" t="str">
        <f t="shared" si="73"/>
        <v>2012MaleMaori22</v>
      </c>
      <c r="B949">
        <v>2012</v>
      </c>
      <c r="C949" t="s">
        <v>20</v>
      </c>
      <c r="D949" t="s">
        <v>18</v>
      </c>
      <c r="E949">
        <v>22</v>
      </c>
      <c r="F949">
        <v>37</v>
      </c>
      <c r="G949">
        <v>59.247397918334698</v>
      </c>
      <c r="H949">
        <v>19.100000000000001</v>
      </c>
      <c r="J949" s="340" t="str">
        <f t="shared" si="74"/>
        <v>2002AllSexAllEth211</v>
      </c>
      <c r="K949">
        <v>2002</v>
      </c>
      <c r="L949" t="s">
        <v>17</v>
      </c>
      <c r="M949" t="s">
        <v>27</v>
      </c>
      <c r="N949">
        <v>21</v>
      </c>
      <c r="O949">
        <v>1</v>
      </c>
      <c r="P949">
        <v>0</v>
      </c>
      <c r="Q949">
        <v>0</v>
      </c>
      <c r="T949" s="340" t="str">
        <f t="shared" si="75"/>
        <v>2000FemaleAllEth24Poisoning by gases and vapours</v>
      </c>
      <c r="U949">
        <v>2000</v>
      </c>
      <c r="V949" t="s">
        <v>8</v>
      </c>
      <c r="W949" t="s">
        <v>27</v>
      </c>
      <c r="X949">
        <v>24</v>
      </c>
      <c r="Y949" t="s">
        <v>46</v>
      </c>
      <c r="Z949">
        <v>10</v>
      </c>
      <c r="AA949">
        <v>23</v>
      </c>
      <c r="AB949">
        <v>43.5</v>
      </c>
    </row>
    <row r="950" spans="1:28">
      <c r="A950" t="str">
        <f t="shared" si="73"/>
        <v>2012MaleMaori23</v>
      </c>
      <c r="B950">
        <v>2012</v>
      </c>
      <c r="C950" t="s">
        <v>20</v>
      </c>
      <c r="D950" t="s">
        <v>18</v>
      </c>
      <c r="E950">
        <v>23</v>
      </c>
      <c r="F950">
        <v>30</v>
      </c>
      <c r="G950">
        <v>38.669760247486501</v>
      </c>
      <c r="H950">
        <v>13.8</v>
      </c>
      <c r="J950" s="340" t="str">
        <f t="shared" si="74"/>
        <v>2002AllSexAllEth212</v>
      </c>
      <c r="K950">
        <v>2002</v>
      </c>
      <c r="L950" t="s">
        <v>17</v>
      </c>
      <c r="M950" t="s">
        <v>27</v>
      </c>
      <c r="N950">
        <v>21</v>
      </c>
      <c r="O950">
        <v>2</v>
      </c>
      <c r="P950">
        <v>0</v>
      </c>
      <c r="Q950">
        <v>0</v>
      </c>
      <c r="T950" s="340" t="str">
        <f t="shared" si="75"/>
        <v>2000FemaleAllEth25Poisoning by gases and vapours</v>
      </c>
      <c r="U950">
        <v>2000</v>
      </c>
      <c r="V950" t="s">
        <v>8</v>
      </c>
      <c r="W950" t="s">
        <v>27</v>
      </c>
      <c r="X950">
        <v>25</v>
      </c>
      <c r="Y950" t="s">
        <v>46</v>
      </c>
      <c r="Z950">
        <v>1</v>
      </c>
      <c r="AA950">
        <v>6</v>
      </c>
      <c r="AB950">
        <v>16.7</v>
      </c>
    </row>
    <row r="951" spans="1:28">
      <c r="A951" t="str">
        <f t="shared" si="73"/>
        <v>2012MaleMaori24</v>
      </c>
      <c r="B951">
        <v>2012</v>
      </c>
      <c r="C951" t="s">
        <v>20</v>
      </c>
      <c r="D951" t="s">
        <v>18</v>
      </c>
      <c r="E951">
        <v>24</v>
      </c>
      <c r="F951">
        <v>9</v>
      </c>
      <c r="G951">
        <v>15.442690459849</v>
      </c>
      <c r="H951">
        <v>10.1</v>
      </c>
      <c r="J951" s="340" t="str">
        <f t="shared" si="74"/>
        <v>2002AllSexAllEth213</v>
      </c>
      <c r="K951">
        <v>2002</v>
      </c>
      <c r="L951" t="s">
        <v>17</v>
      </c>
      <c r="M951" t="s">
        <v>27</v>
      </c>
      <c r="N951">
        <v>21</v>
      </c>
      <c r="O951">
        <v>3</v>
      </c>
      <c r="P951">
        <v>0</v>
      </c>
      <c r="Q951">
        <v>0</v>
      </c>
      <c r="T951" s="340" t="str">
        <f t="shared" si="75"/>
        <v>2000FemaleAllEth22Poisoning by solids and liquids</v>
      </c>
      <c r="U951">
        <v>2000</v>
      </c>
      <c r="V951" t="s">
        <v>8</v>
      </c>
      <c r="W951" t="s">
        <v>27</v>
      </c>
      <c r="X951">
        <v>22</v>
      </c>
      <c r="Y951" t="s">
        <v>47</v>
      </c>
      <c r="Z951">
        <v>2</v>
      </c>
      <c r="AA951">
        <v>15</v>
      </c>
      <c r="AB951">
        <v>13.3</v>
      </c>
    </row>
    <row r="952" spans="1:28">
      <c r="A952" t="str">
        <f t="shared" si="73"/>
        <v>2012MaleMaori25</v>
      </c>
      <c r="B952">
        <v>2012</v>
      </c>
      <c r="C952" t="s">
        <v>20</v>
      </c>
      <c r="D952" t="s">
        <v>18</v>
      </c>
      <c r="E952">
        <v>25</v>
      </c>
      <c r="F952">
        <v>1</v>
      </c>
      <c r="G952">
        <v>6.4184852374839503</v>
      </c>
      <c r="H952">
        <v>12.6</v>
      </c>
      <c r="J952" s="340" t="str">
        <f t="shared" si="74"/>
        <v>2002AllSexAllEth214</v>
      </c>
      <c r="K952">
        <v>2002</v>
      </c>
      <c r="L952" t="s">
        <v>17</v>
      </c>
      <c r="M952" t="s">
        <v>27</v>
      </c>
      <c r="N952">
        <v>21</v>
      </c>
      <c r="O952">
        <v>4</v>
      </c>
      <c r="P952">
        <v>0</v>
      </c>
      <c r="Q952">
        <v>0</v>
      </c>
      <c r="T952" s="340" t="str">
        <f t="shared" si="75"/>
        <v>2000FemaleAllEth23Poisoning by solids and liquids</v>
      </c>
      <c r="U952">
        <v>2000</v>
      </c>
      <c r="V952" t="s">
        <v>8</v>
      </c>
      <c r="W952" t="s">
        <v>27</v>
      </c>
      <c r="X952">
        <v>23</v>
      </c>
      <c r="Y952" t="s">
        <v>47</v>
      </c>
      <c r="Z952">
        <v>10</v>
      </c>
      <c r="AA952">
        <v>38</v>
      </c>
      <c r="AB952">
        <v>26.3</v>
      </c>
    </row>
    <row r="953" spans="1:28">
      <c r="A953" t="str">
        <f t="shared" si="73"/>
        <v>2012MaleNon-Maori21</v>
      </c>
      <c r="B953">
        <v>2012</v>
      </c>
      <c r="C953" t="s">
        <v>20</v>
      </c>
      <c r="D953" t="s">
        <v>19</v>
      </c>
      <c r="E953">
        <v>21</v>
      </c>
      <c r="F953">
        <v>2</v>
      </c>
      <c r="G953">
        <v>0.57626923298565103</v>
      </c>
      <c r="H953">
        <v>0.8</v>
      </c>
      <c r="J953" s="340" t="str">
        <f t="shared" si="74"/>
        <v>2002AllSexAllEth215</v>
      </c>
      <c r="K953">
        <v>2002</v>
      </c>
      <c r="L953" t="s">
        <v>17</v>
      </c>
      <c r="M953" t="s">
        <v>27</v>
      </c>
      <c r="N953">
        <v>21</v>
      </c>
      <c r="O953">
        <v>5</v>
      </c>
      <c r="P953">
        <v>0</v>
      </c>
      <c r="Q953">
        <v>0</v>
      </c>
      <c r="T953" s="340" t="str">
        <f t="shared" si="75"/>
        <v>2000FemaleAllEth24Poisoning by solids and liquids</v>
      </c>
      <c r="U953">
        <v>2000</v>
      </c>
      <c r="V953" t="s">
        <v>8</v>
      </c>
      <c r="W953" t="s">
        <v>27</v>
      </c>
      <c r="X953">
        <v>24</v>
      </c>
      <c r="Y953" t="s">
        <v>47</v>
      </c>
      <c r="Z953">
        <v>1</v>
      </c>
      <c r="AA953">
        <v>23</v>
      </c>
      <c r="AB953">
        <v>4.3</v>
      </c>
    </row>
    <row r="954" spans="1:28">
      <c r="A954" t="str">
        <f t="shared" si="73"/>
        <v>2012MaleNon-Maori22</v>
      </c>
      <c r="B954">
        <v>2012</v>
      </c>
      <c r="C954" t="s">
        <v>20</v>
      </c>
      <c r="D954" t="s">
        <v>19</v>
      </c>
      <c r="E954">
        <v>22</v>
      </c>
      <c r="F954">
        <v>70</v>
      </c>
      <c r="G954">
        <v>27.5319567354966</v>
      </c>
      <c r="H954">
        <v>6.4</v>
      </c>
      <c r="J954" s="340" t="str">
        <f t="shared" si="74"/>
        <v>2002AllSexAllEth221</v>
      </c>
      <c r="K954">
        <v>2002</v>
      </c>
      <c r="L954" t="s">
        <v>17</v>
      </c>
      <c r="M954" t="s">
        <v>27</v>
      </c>
      <c r="N954">
        <v>22</v>
      </c>
      <c r="O954">
        <v>1</v>
      </c>
      <c r="P954">
        <v>6</v>
      </c>
      <c r="Q954">
        <v>6.4687488043273396</v>
      </c>
      <c r="R954">
        <v>5.2</v>
      </c>
      <c r="T954" s="340" t="str">
        <f t="shared" si="75"/>
        <v>2000FemaleAllEth25Poisoning by solids and liquids</v>
      </c>
      <c r="U954">
        <v>2000</v>
      </c>
      <c r="V954" t="s">
        <v>8</v>
      </c>
      <c r="W954" t="s">
        <v>27</v>
      </c>
      <c r="X954">
        <v>25</v>
      </c>
      <c r="Y954" t="s">
        <v>47</v>
      </c>
      <c r="Z954">
        <v>3</v>
      </c>
      <c r="AA954">
        <v>6</v>
      </c>
      <c r="AB954">
        <v>50</v>
      </c>
    </row>
    <row r="955" spans="1:28">
      <c r="A955" t="str">
        <f t="shared" si="73"/>
        <v>2012MaleNon-Maori23</v>
      </c>
      <c r="B955">
        <v>2012</v>
      </c>
      <c r="C955" t="s">
        <v>20</v>
      </c>
      <c r="D955" t="s">
        <v>19</v>
      </c>
      <c r="E955">
        <v>23</v>
      </c>
      <c r="F955">
        <v>113</v>
      </c>
      <c r="G955">
        <v>23.994564063362599</v>
      </c>
      <c r="H955">
        <v>4.4000000000000004</v>
      </c>
      <c r="J955" s="340" t="str">
        <f t="shared" si="74"/>
        <v>2002AllSexAllEth222</v>
      </c>
      <c r="K955">
        <v>2002</v>
      </c>
      <c r="L955" t="s">
        <v>17</v>
      </c>
      <c r="M955" t="s">
        <v>27</v>
      </c>
      <c r="N955">
        <v>22</v>
      </c>
      <c r="O955">
        <v>2</v>
      </c>
      <c r="P955">
        <v>21</v>
      </c>
      <c r="Q955">
        <v>21.2789535245556</v>
      </c>
      <c r="R955">
        <v>9.1</v>
      </c>
      <c r="T955" s="340" t="str">
        <f t="shared" si="75"/>
        <v>2000FemaleAllEth23Sharp object</v>
      </c>
      <c r="U955">
        <v>2000</v>
      </c>
      <c r="V955" t="s">
        <v>8</v>
      </c>
      <c r="W955" t="s">
        <v>27</v>
      </c>
      <c r="X955">
        <v>23</v>
      </c>
      <c r="Y955" t="s">
        <v>48</v>
      </c>
      <c r="Z955">
        <v>1</v>
      </c>
      <c r="AA955">
        <v>38</v>
      </c>
      <c r="AB955">
        <v>2.6</v>
      </c>
    </row>
    <row r="956" spans="1:28">
      <c r="A956" t="str">
        <f t="shared" si="73"/>
        <v>2012MaleNon-Maori24</v>
      </c>
      <c r="B956">
        <v>2012</v>
      </c>
      <c r="C956" t="s">
        <v>20</v>
      </c>
      <c r="D956" t="s">
        <v>19</v>
      </c>
      <c r="E956">
        <v>24</v>
      </c>
      <c r="F956">
        <v>96</v>
      </c>
      <c r="G956">
        <v>19.613852283175</v>
      </c>
      <c r="H956">
        <v>3.9</v>
      </c>
      <c r="J956" s="340" t="str">
        <f t="shared" si="74"/>
        <v>2002AllSexAllEth223</v>
      </c>
      <c r="K956">
        <v>2002</v>
      </c>
      <c r="L956" t="s">
        <v>17</v>
      </c>
      <c r="M956" t="s">
        <v>27</v>
      </c>
      <c r="N956">
        <v>22</v>
      </c>
      <c r="O956">
        <v>3</v>
      </c>
      <c r="P956">
        <v>16</v>
      </c>
      <c r="Q956">
        <v>14.9939930311075</v>
      </c>
      <c r="R956">
        <v>7.3</v>
      </c>
      <c r="T956" s="340" t="str">
        <f t="shared" si="75"/>
        <v>2000FemaleAllEth25Sharp object</v>
      </c>
      <c r="U956">
        <v>2000</v>
      </c>
      <c r="V956" t="s">
        <v>8</v>
      </c>
      <c r="W956" t="s">
        <v>27</v>
      </c>
      <c r="X956">
        <v>25</v>
      </c>
      <c r="Y956" t="s">
        <v>48</v>
      </c>
      <c r="Z956">
        <v>1</v>
      </c>
      <c r="AA956">
        <v>6</v>
      </c>
      <c r="AB956">
        <v>16.7</v>
      </c>
    </row>
    <row r="957" spans="1:28">
      <c r="A957" t="str">
        <f t="shared" si="73"/>
        <v>2012MaleNon-Maori25</v>
      </c>
      <c r="B957">
        <v>2012</v>
      </c>
      <c r="C957" t="s">
        <v>20</v>
      </c>
      <c r="D957" t="s">
        <v>19</v>
      </c>
      <c r="E957">
        <v>25</v>
      </c>
      <c r="F957">
        <v>42</v>
      </c>
      <c r="G957">
        <v>16.070403673235099</v>
      </c>
      <c r="H957">
        <v>4.9000000000000004</v>
      </c>
      <c r="J957" s="340" t="str">
        <f t="shared" si="74"/>
        <v>2002AllSexAllEth224</v>
      </c>
      <c r="K957">
        <v>2002</v>
      </c>
      <c r="L957" t="s">
        <v>17</v>
      </c>
      <c r="M957" t="s">
        <v>27</v>
      </c>
      <c r="N957">
        <v>22</v>
      </c>
      <c r="O957">
        <v>4</v>
      </c>
      <c r="P957">
        <v>17</v>
      </c>
      <c r="Q957">
        <v>14.5137484234128</v>
      </c>
      <c r="R957">
        <v>6.9</v>
      </c>
      <c r="T957" s="340" t="str">
        <f t="shared" si="75"/>
        <v>2000FemaleAllEth22Submersion (drowning)</v>
      </c>
      <c r="U957">
        <v>2000</v>
      </c>
      <c r="V957" t="s">
        <v>8</v>
      </c>
      <c r="W957" t="s">
        <v>27</v>
      </c>
      <c r="X957">
        <v>22</v>
      </c>
      <c r="Y957" t="s">
        <v>49</v>
      </c>
      <c r="Z957">
        <v>1</v>
      </c>
      <c r="AA957">
        <v>15</v>
      </c>
      <c r="AB957">
        <v>6.7</v>
      </c>
    </row>
    <row r="958" spans="1:28">
      <c r="A958" t="str">
        <f t="shared" si="73"/>
        <v>2013AllSexAllEth21</v>
      </c>
      <c r="B958">
        <v>2013</v>
      </c>
      <c r="C958" t="s">
        <v>17</v>
      </c>
      <c r="D958" t="s">
        <v>27</v>
      </c>
      <c r="E958">
        <v>21</v>
      </c>
      <c r="F958">
        <v>2</v>
      </c>
      <c r="G958">
        <v>0.22000748025432901</v>
      </c>
      <c r="H958">
        <v>0.3</v>
      </c>
      <c r="J958" s="340" t="str">
        <f t="shared" si="74"/>
        <v>2002AllSexAllEth225</v>
      </c>
      <c r="K958">
        <v>2002</v>
      </c>
      <c r="L958" t="s">
        <v>17</v>
      </c>
      <c r="M958" t="s">
        <v>27</v>
      </c>
      <c r="N958">
        <v>22</v>
      </c>
      <c r="O958">
        <v>5</v>
      </c>
      <c r="P958">
        <v>25</v>
      </c>
      <c r="Q958">
        <v>18.312660373294701</v>
      </c>
      <c r="R958">
        <v>7.2</v>
      </c>
      <c r="T958" s="340" t="str">
        <f t="shared" si="75"/>
        <v>2000FemaleAllEth23Submersion (drowning)</v>
      </c>
      <c r="U958">
        <v>2000</v>
      </c>
      <c r="V958" t="s">
        <v>8</v>
      </c>
      <c r="W958" t="s">
        <v>27</v>
      </c>
      <c r="X958">
        <v>23</v>
      </c>
      <c r="Y958" t="s">
        <v>49</v>
      </c>
      <c r="Z958">
        <v>2</v>
      </c>
      <c r="AA958">
        <v>38</v>
      </c>
      <c r="AB958">
        <v>5.3</v>
      </c>
    </row>
    <row r="959" spans="1:28">
      <c r="A959" t="str">
        <f t="shared" si="73"/>
        <v>2013AllSexAllEth22</v>
      </c>
      <c r="B959">
        <v>2013</v>
      </c>
      <c r="C959" t="s">
        <v>17</v>
      </c>
      <c r="D959" t="s">
        <v>27</v>
      </c>
      <c r="E959">
        <v>22</v>
      </c>
      <c r="F959">
        <v>111</v>
      </c>
      <c r="G959">
        <v>17.659692944077602</v>
      </c>
      <c r="H959">
        <v>3.3</v>
      </c>
      <c r="J959" s="340" t="str">
        <f t="shared" si="74"/>
        <v>2002AllSexAllEth231</v>
      </c>
      <c r="K959">
        <v>2002</v>
      </c>
      <c r="L959" t="s">
        <v>17</v>
      </c>
      <c r="M959" t="s">
        <v>27</v>
      </c>
      <c r="N959">
        <v>23</v>
      </c>
      <c r="O959">
        <v>1</v>
      </c>
      <c r="P959">
        <v>27</v>
      </c>
      <c r="Q959">
        <v>11.8998382808554</v>
      </c>
      <c r="R959">
        <v>4.5</v>
      </c>
      <c r="T959" s="340" t="str">
        <f t="shared" si="75"/>
        <v>2000FemaleMaori22Hanging, strangulation and suffocation</v>
      </c>
      <c r="U959">
        <v>2000</v>
      </c>
      <c r="V959" t="s">
        <v>8</v>
      </c>
      <c r="W959" t="s">
        <v>18</v>
      </c>
      <c r="X959">
        <v>22</v>
      </c>
      <c r="Y959" t="s">
        <v>43</v>
      </c>
      <c r="Z959">
        <v>3</v>
      </c>
      <c r="AA959">
        <v>4</v>
      </c>
      <c r="AB959">
        <v>75</v>
      </c>
    </row>
    <row r="960" spans="1:28">
      <c r="A960" t="str">
        <f t="shared" si="73"/>
        <v>2013AllSexAllEth23</v>
      </c>
      <c r="B960">
        <v>2013</v>
      </c>
      <c r="C960" t="s">
        <v>17</v>
      </c>
      <c r="D960" t="s">
        <v>27</v>
      </c>
      <c r="E960">
        <v>23</v>
      </c>
      <c r="F960">
        <v>161</v>
      </c>
      <c r="G960">
        <v>14.073795641494099</v>
      </c>
      <c r="H960">
        <v>2.2000000000000002</v>
      </c>
      <c r="J960" s="340" t="str">
        <f t="shared" si="74"/>
        <v>2002AllSexAllEth232</v>
      </c>
      <c r="K960">
        <v>2002</v>
      </c>
      <c r="L960" t="s">
        <v>17</v>
      </c>
      <c r="M960" t="s">
        <v>27</v>
      </c>
      <c r="N960">
        <v>23</v>
      </c>
      <c r="O960">
        <v>2</v>
      </c>
      <c r="P960">
        <v>37</v>
      </c>
      <c r="Q960">
        <v>15.480421009091</v>
      </c>
      <c r="R960">
        <v>5</v>
      </c>
      <c r="T960" s="340" t="str">
        <f t="shared" si="75"/>
        <v>2000FemaleMaori23Hanging, strangulation and suffocation</v>
      </c>
      <c r="U960">
        <v>2000</v>
      </c>
      <c r="V960" t="s">
        <v>8</v>
      </c>
      <c r="W960" t="s">
        <v>18</v>
      </c>
      <c r="X960">
        <v>23</v>
      </c>
      <c r="Y960" t="s">
        <v>43</v>
      </c>
      <c r="Z960">
        <v>4</v>
      </c>
      <c r="AA960">
        <v>5</v>
      </c>
      <c r="AB960">
        <v>80</v>
      </c>
    </row>
    <row r="961" spans="1:28">
      <c r="A961" t="str">
        <f t="shared" si="73"/>
        <v>2013AllSexAllEth24</v>
      </c>
      <c r="B961">
        <v>2013</v>
      </c>
      <c r="C961" t="s">
        <v>17</v>
      </c>
      <c r="D961" t="s">
        <v>27</v>
      </c>
      <c r="E961">
        <v>24</v>
      </c>
      <c r="F961">
        <v>183</v>
      </c>
      <c r="G961">
        <v>16.0695468914647</v>
      </c>
      <c r="H961">
        <v>2.2999999999999998</v>
      </c>
      <c r="J961" s="340" t="str">
        <f t="shared" si="74"/>
        <v>2002AllSexAllEth233</v>
      </c>
      <c r="K961">
        <v>2002</v>
      </c>
      <c r="L961" t="s">
        <v>17</v>
      </c>
      <c r="M961" t="s">
        <v>27</v>
      </c>
      <c r="N961">
        <v>23</v>
      </c>
      <c r="O961">
        <v>3</v>
      </c>
      <c r="P961">
        <v>41</v>
      </c>
      <c r="Q961">
        <v>17.1370713394493</v>
      </c>
      <c r="R961">
        <v>5.2</v>
      </c>
      <c r="T961" s="340" t="str">
        <f t="shared" si="75"/>
        <v>2000FemaleMaori24Jumping from a high place</v>
      </c>
      <c r="U961">
        <v>2000</v>
      </c>
      <c r="V961" t="s">
        <v>8</v>
      </c>
      <c r="W961" t="s">
        <v>18</v>
      </c>
      <c r="X961">
        <v>24</v>
      </c>
      <c r="Y961" t="s">
        <v>44</v>
      </c>
      <c r="Z961">
        <v>1</v>
      </c>
      <c r="AA961">
        <v>2</v>
      </c>
      <c r="AB961">
        <v>50</v>
      </c>
    </row>
    <row r="962" spans="1:28">
      <c r="A962" t="str">
        <f t="shared" si="73"/>
        <v>2013AllSexAllEth25</v>
      </c>
      <c r="B962">
        <v>2013</v>
      </c>
      <c r="C962" t="s">
        <v>17</v>
      </c>
      <c r="D962" t="s">
        <v>27</v>
      </c>
      <c r="E962">
        <v>25</v>
      </c>
      <c r="F962">
        <v>56</v>
      </c>
      <c r="G962">
        <v>8.9415446518385995</v>
      </c>
      <c r="H962">
        <v>2.2999999999999998</v>
      </c>
      <c r="J962" s="340" t="str">
        <f t="shared" si="74"/>
        <v>2002AllSexAllEth234</v>
      </c>
      <c r="K962">
        <v>2002</v>
      </c>
      <c r="L962" t="s">
        <v>17</v>
      </c>
      <c r="M962" t="s">
        <v>27</v>
      </c>
      <c r="N962">
        <v>23</v>
      </c>
      <c r="O962">
        <v>4</v>
      </c>
      <c r="P962">
        <v>41</v>
      </c>
      <c r="Q962">
        <v>17.4508323683519</v>
      </c>
      <c r="R962">
        <v>5.3</v>
      </c>
      <c r="T962" s="340" t="str">
        <f t="shared" si="75"/>
        <v>2000FemaleMaori23Poisoning by gases and vapours</v>
      </c>
      <c r="U962">
        <v>2000</v>
      </c>
      <c r="V962" t="s">
        <v>8</v>
      </c>
      <c r="W962" t="s">
        <v>18</v>
      </c>
      <c r="X962">
        <v>23</v>
      </c>
      <c r="Y962" t="s">
        <v>46</v>
      </c>
      <c r="Z962">
        <v>1</v>
      </c>
      <c r="AA962">
        <v>5</v>
      </c>
      <c r="AB962">
        <v>20</v>
      </c>
    </row>
    <row r="963" spans="1:28">
      <c r="A963" t="str">
        <f t="shared" si="73"/>
        <v>2013AllSexMaori21</v>
      </c>
      <c r="B963">
        <v>2013</v>
      </c>
      <c r="C963" t="s">
        <v>17</v>
      </c>
      <c r="D963" t="s">
        <v>18</v>
      </c>
      <c r="E963">
        <v>21</v>
      </c>
      <c r="F963">
        <v>1</v>
      </c>
      <c r="G963">
        <v>0.42889003259564201</v>
      </c>
      <c r="H963">
        <v>0.8</v>
      </c>
      <c r="J963" s="340" t="str">
        <f t="shared" si="74"/>
        <v>2002AllSexAllEth235</v>
      </c>
      <c r="K963">
        <v>2002</v>
      </c>
      <c r="L963" t="s">
        <v>17</v>
      </c>
      <c r="M963" t="s">
        <v>27</v>
      </c>
      <c r="N963">
        <v>23</v>
      </c>
      <c r="O963">
        <v>5</v>
      </c>
      <c r="P963">
        <v>53</v>
      </c>
      <c r="Q963">
        <v>24.012923911546899</v>
      </c>
      <c r="R963">
        <v>6.5</v>
      </c>
      <c r="T963" s="340" t="str">
        <f t="shared" si="75"/>
        <v>2000FemaleMaori24Poisoning by gases and vapours</v>
      </c>
      <c r="U963">
        <v>2000</v>
      </c>
      <c r="V963" t="s">
        <v>8</v>
      </c>
      <c r="W963" t="s">
        <v>18</v>
      </c>
      <c r="X963">
        <v>24</v>
      </c>
      <c r="Y963" t="s">
        <v>46</v>
      </c>
      <c r="Z963">
        <v>1</v>
      </c>
      <c r="AA963">
        <v>2</v>
      </c>
      <c r="AB963">
        <v>50</v>
      </c>
    </row>
    <row r="964" spans="1:28">
      <c r="A964" t="str">
        <f t="shared" ref="A964:A1027" si="76">B964&amp;C964&amp;D964&amp;E964</f>
        <v>2013AllSexMaori22</v>
      </c>
      <c r="B964">
        <v>2013</v>
      </c>
      <c r="C964" t="s">
        <v>17</v>
      </c>
      <c r="D964" t="s">
        <v>18</v>
      </c>
      <c r="E964">
        <v>22</v>
      </c>
      <c r="F964">
        <v>49</v>
      </c>
      <c r="G964">
        <v>38.3531621790858</v>
      </c>
      <c r="H964">
        <v>10.7</v>
      </c>
      <c r="J964" s="340" t="str">
        <f t="shared" ref="J964:J1027" si="77">K964&amp;L964&amp;M964&amp;N964&amp;O964</f>
        <v>2002AllSexAllEth241</v>
      </c>
      <c r="K964">
        <v>2002</v>
      </c>
      <c r="L964" t="s">
        <v>17</v>
      </c>
      <c r="M964" t="s">
        <v>27</v>
      </c>
      <c r="N964">
        <v>24</v>
      </c>
      <c r="O964">
        <v>1</v>
      </c>
      <c r="P964">
        <v>17</v>
      </c>
      <c r="Q964">
        <v>7.7892090449881897</v>
      </c>
      <c r="R964">
        <v>3.7</v>
      </c>
      <c r="T964" s="340" t="str">
        <f t="shared" si="75"/>
        <v>2000FemaleMaori22Poisoning by solids and liquids</v>
      </c>
      <c r="U964">
        <v>2000</v>
      </c>
      <c r="V964" t="s">
        <v>8</v>
      </c>
      <c r="W964" t="s">
        <v>18</v>
      </c>
      <c r="X964">
        <v>22</v>
      </c>
      <c r="Y964" t="s">
        <v>47</v>
      </c>
      <c r="Z964">
        <v>1</v>
      </c>
      <c r="AA964">
        <v>4</v>
      </c>
      <c r="AB964">
        <v>25</v>
      </c>
    </row>
    <row r="965" spans="1:28">
      <c r="A965" t="str">
        <f t="shared" si="76"/>
        <v>2013AllSexMaori23</v>
      </c>
      <c r="B965">
        <v>2013</v>
      </c>
      <c r="C965" t="s">
        <v>17</v>
      </c>
      <c r="D965" t="s">
        <v>18</v>
      </c>
      <c r="E965">
        <v>23</v>
      </c>
      <c r="F965">
        <v>44</v>
      </c>
      <c r="G965">
        <v>26.227944682880299</v>
      </c>
      <c r="H965">
        <v>7.7</v>
      </c>
      <c r="J965" s="340" t="str">
        <f t="shared" si="77"/>
        <v>2002AllSexAllEth242</v>
      </c>
      <c r="K965">
        <v>2002</v>
      </c>
      <c r="L965" t="s">
        <v>17</v>
      </c>
      <c r="M965" t="s">
        <v>27</v>
      </c>
      <c r="N965">
        <v>24</v>
      </c>
      <c r="O965">
        <v>2</v>
      </c>
      <c r="P965">
        <v>26</v>
      </c>
      <c r="Q965">
        <v>13.493191035545101</v>
      </c>
      <c r="R965">
        <v>5.2</v>
      </c>
      <c r="T965" s="340" t="str">
        <f t="shared" ref="T965:T1028" si="78">U965&amp;V965&amp;W965&amp;X965&amp;Y965</f>
        <v>2000FemaleNon-Maori23Firearms and explosives</v>
      </c>
      <c r="U965">
        <v>2000</v>
      </c>
      <c r="V965" t="s">
        <v>8</v>
      </c>
      <c r="W965" t="s">
        <v>19</v>
      </c>
      <c r="X965">
        <v>23</v>
      </c>
      <c r="Y965" t="s">
        <v>42</v>
      </c>
      <c r="Z965">
        <v>1</v>
      </c>
      <c r="AA965">
        <v>33</v>
      </c>
      <c r="AB965">
        <v>3</v>
      </c>
    </row>
    <row r="966" spans="1:28">
      <c r="A966" t="str">
        <f t="shared" si="76"/>
        <v>2013AllSexMaori24</v>
      </c>
      <c r="B966">
        <v>2013</v>
      </c>
      <c r="C966" t="s">
        <v>17</v>
      </c>
      <c r="D966" t="s">
        <v>18</v>
      </c>
      <c r="E966">
        <v>24</v>
      </c>
      <c r="F966">
        <v>10</v>
      </c>
      <c r="G966">
        <v>7.8492935635792804</v>
      </c>
      <c r="H966">
        <v>4.9000000000000004</v>
      </c>
      <c r="J966" s="340" t="str">
        <f t="shared" si="77"/>
        <v>2002AllSexAllEth243</v>
      </c>
      <c r="K966">
        <v>2002</v>
      </c>
      <c r="L966" t="s">
        <v>17</v>
      </c>
      <c r="M966" t="s">
        <v>27</v>
      </c>
      <c r="N966">
        <v>24</v>
      </c>
      <c r="O966">
        <v>3</v>
      </c>
      <c r="P966">
        <v>13</v>
      </c>
      <c r="Q966">
        <v>7.4836601567202097</v>
      </c>
      <c r="R966">
        <v>4.0999999999999996</v>
      </c>
      <c r="T966" s="340" t="str">
        <f t="shared" si="78"/>
        <v>2000FemaleNon-Maori24Firearms and explosives</v>
      </c>
      <c r="U966">
        <v>2000</v>
      </c>
      <c r="V966" t="s">
        <v>8</v>
      </c>
      <c r="W966" t="s">
        <v>19</v>
      </c>
      <c r="X966">
        <v>24</v>
      </c>
      <c r="Y966" t="s">
        <v>42</v>
      </c>
      <c r="Z966">
        <v>1</v>
      </c>
      <c r="AA966">
        <v>21</v>
      </c>
      <c r="AB966">
        <v>4.8</v>
      </c>
    </row>
    <row r="967" spans="1:28">
      <c r="A967" t="str">
        <f t="shared" si="76"/>
        <v>2013AllSexMaori25</v>
      </c>
      <c r="B967">
        <v>2013</v>
      </c>
      <c r="C967" t="s">
        <v>17</v>
      </c>
      <c r="D967" t="s">
        <v>18</v>
      </c>
      <c r="E967">
        <v>25</v>
      </c>
      <c r="F967">
        <v>0</v>
      </c>
      <c r="G967">
        <v>0</v>
      </c>
      <c r="J967" s="340" t="str">
        <f t="shared" si="77"/>
        <v>2002AllSexAllEth244</v>
      </c>
      <c r="K967">
        <v>2002</v>
      </c>
      <c r="L967" t="s">
        <v>17</v>
      </c>
      <c r="M967" t="s">
        <v>27</v>
      </c>
      <c r="N967">
        <v>24</v>
      </c>
      <c r="O967">
        <v>4</v>
      </c>
      <c r="P967">
        <v>32</v>
      </c>
      <c r="Q967">
        <v>20.153107597166301</v>
      </c>
      <c r="R967">
        <v>7</v>
      </c>
      <c r="T967" s="340" t="str">
        <f t="shared" si="78"/>
        <v>2000FemaleNon-Maori21Hanging, strangulation and suffocation</v>
      </c>
      <c r="U967">
        <v>2000</v>
      </c>
      <c r="V967" t="s">
        <v>8</v>
      </c>
      <c r="W967" t="s">
        <v>19</v>
      </c>
      <c r="X967">
        <v>21</v>
      </c>
      <c r="Y967" t="s">
        <v>43</v>
      </c>
      <c r="Z967">
        <v>1</v>
      </c>
      <c r="AA967">
        <v>1</v>
      </c>
      <c r="AB967">
        <v>100</v>
      </c>
    </row>
    <row r="968" spans="1:28">
      <c r="A968" t="str">
        <f t="shared" si="76"/>
        <v>2013AllSexNon-Maori21</v>
      </c>
      <c r="B968">
        <v>2013</v>
      </c>
      <c r="C968" t="s">
        <v>17</v>
      </c>
      <c r="D968" t="s">
        <v>19</v>
      </c>
      <c r="E968">
        <v>21</v>
      </c>
      <c r="F968">
        <v>1</v>
      </c>
      <c r="G968">
        <v>0.14795088030773801</v>
      </c>
      <c r="H968">
        <v>0.3</v>
      </c>
      <c r="J968" s="340" t="str">
        <f t="shared" si="77"/>
        <v>2002AllSexAllEth245</v>
      </c>
      <c r="K968">
        <v>2002</v>
      </c>
      <c r="L968" t="s">
        <v>17</v>
      </c>
      <c r="M968" t="s">
        <v>27</v>
      </c>
      <c r="N968">
        <v>24</v>
      </c>
      <c r="O968">
        <v>5</v>
      </c>
      <c r="P968">
        <v>15</v>
      </c>
      <c r="Q968">
        <v>10.6117194427929</v>
      </c>
      <c r="R968">
        <v>5.4</v>
      </c>
      <c r="T968" s="340" t="str">
        <f t="shared" si="78"/>
        <v>2000FemaleNon-Maori22Hanging, strangulation and suffocation</v>
      </c>
      <c r="U968">
        <v>2000</v>
      </c>
      <c r="V968" t="s">
        <v>8</v>
      </c>
      <c r="W968" t="s">
        <v>19</v>
      </c>
      <c r="X968">
        <v>22</v>
      </c>
      <c r="Y968" t="s">
        <v>43</v>
      </c>
      <c r="Z968">
        <v>4</v>
      </c>
      <c r="AA968">
        <v>11</v>
      </c>
      <c r="AB968">
        <v>36.4</v>
      </c>
    </row>
    <row r="969" spans="1:28">
      <c r="A969" t="str">
        <f t="shared" si="76"/>
        <v>2013AllSexNon-Maori22</v>
      </c>
      <c r="B969">
        <v>2013</v>
      </c>
      <c r="C969" t="s">
        <v>17</v>
      </c>
      <c r="D969" t="s">
        <v>19</v>
      </c>
      <c r="E969">
        <v>22</v>
      </c>
      <c r="F969">
        <v>62</v>
      </c>
      <c r="G969">
        <v>12.380438906527701</v>
      </c>
      <c r="H969">
        <v>3.1</v>
      </c>
      <c r="J969" s="340" t="str">
        <f t="shared" si="77"/>
        <v>2002AllSexAllEth251</v>
      </c>
      <c r="K969">
        <v>2002</v>
      </c>
      <c r="L969" t="s">
        <v>17</v>
      </c>
      <c r="M969" t="s">
        <v>27</v>
      </c>
      <c r="N969">
        <v>25</v>
      </c>
      <c r="O969">
        <v>1</v>
      </c>
      <c r="P969">
        <v>9</v>
      </c>
      <c r="Q969">
        <v>10.031060873382501</v>
      </c>
      <c r="R969">
        <v>6.6</v>
      </c>
      <c r="T969" s="340" t="str">
        <f t="shared" si="78"/>
        <v>2000FemaleNon-Maori23Hanging, strangulation and suffocation</v>
      </c>
      <c r="U969">
        <v>2000</v>
      </c>
      <c r="V969" t="s">
        <v>8</v>
      </c>
      <c r="W969" t="s">
        <v>19</v>
      </c>
      <c r="X969">
        <v>23</v>
      </c>
      <c r="Y969" t="s">
        <v>43</v>
      </c>
      <c r="Z969">
        <v>9</v>
      </c>
      <c r="AA969">
        <v>33</v>
      </c>
      <c r="AB969">
        <v>27.3</v>
      </c>
    </row>
    <row r="970" spans="1:28">
      <c r="A970" t="str">
        <f t="shared" si="76"/>
        <v>2013AllSexNon-Maori23</v>
      </c>
      <c r="B970">
        <v>2013</v>
      </c>
      <c r="C970" t="s">
        <v>17</v>
      </c>
      <c r="D970" t="s">
        <v>19</v>
      </c>
      <c r="E970">
        <v>23</v>
      </c>
      <c r="F970">
        <v>117</v>
      </c>
      <c r="G970">
        <v>11.9851261511355</v>
      </c>
      <c r="H970">
        <v>2.2000000000000002</v>
      </c>
      <c r="J970" s="340" t="str">
        <f t="shared" si="77"/>
        <v>2002AllSexAllEth252</v>
      </c>
      <c r="K970">
        <v>2002</v>
      </c>
      <c r="L970" t="s">
        <v>17</v>
      </c>
      <c r="M970" t="s">
        <v>27</v>
      </c>
      <c r="N970">
        <v>25</v>
      </c>
      <c r="O970">
        <v>2</v>
      </c>
      <c r="P970">
        <v>10</v>
      </c>
      <c r="Q970">
        <v>10.382246189622601</v>
      </c>
      <c r="R970">
        <v>6.4</v>
      </c>
      <c r="T970" s="340" t="str">
        <f t="shared" si="78"/>
        <v>2000FemaleNon-Maori24Hanging, strangulation and suffocation</v>
      </c>
      <c r="U970">
        <v>2000</v>
      </c>
      <c r="V970" t="s">
        <v>8</v>
      </c>
      <c r="W970" t="s">
        <v>19</v>
      </c>
      <c r="X970">
        <v>24</v>
      </c>
      <c r="Y970" t="s">
        <v>43</v>
      </c>
      <c r="Z970">
        <v>7</v>
      </c>
      <c r="AA970">
        <v>21</v>
      </c>
      <c r="AB970">
        <v>33.299999999999997</v>
      </c>
    </row>
    <row r="971" spans="1:28">
      <c r="A971" t="str">
        <f t="shared" si="76"/>
        <v>2013AllSexNon-Maori24</v>
      </c>
      <c r="B971">
        <v>2013</v>
      </c>
      <c r="C971" t="s">
        <v>17</v>
      </c>
      <c r="D971" t="s">
        <v>19</v>
      </c>
      <c r="E971">
        <v>24</v>
      </c>
      <c r="F971">
        <v>173</v>
      </c>
      <c r="G971">
        <v>17.105002966185499</v>
      </c>
      <c r="H971">
        <v>2.5</v>
      </c>
      <c r="J971" s="340" t="str">
        <f t="shared" si="77"/>
        <v>2002AllSexAllEth253</v>
      </c>
      <c r="K971">
        <v>2002</v>
      </c>
      <c r="L971" t="s">
        <v>17</v>
      </c>
      <c r="M971" t="s">
        <v>27</v>
      </c>
      <c r="N971">
        <v>25</v>
      </c>
      <c r="O971">
        <v>3</v>
      </c>
      <c r="P971">
        <v>9</v>
      </c>
      <c r="Q971">
        <v>8.9408821425005396</v>
      </c>
      <c r="R971">
        <v>5.8</v>
      </c>
      <c r="T971" s="340" t="str">
        <f t="shared" si="78"/>
        <v>2000FemaleNon-Maori25Hanging, strangulation and suffocation</v>
      </c>
      <c r="U971">
        <v>2000</v>
      </c>
      <c r="V971" t="s">
        <v>8</v>
      </c>
      <c r="W971" t="s">
        <v>19</v>
      </c>
      <c r="X971">
        <v>25</v>
      </c>
      <c r="Y971" t="s">
        <v>43</v>
      </c>
      <c r="Z971">
        <v>1</v>
      </c>
      <c r="AA971">
        <v>6</v>
      </c>
      <c r="AB971">
        <v>16.7</v>
      </c>
    </row>
    <row r="972" spans="1:28">
      <c r="A972" t="str">
        <f t="shared" si="76"/>
        <v>2013AllSexNon-Maori25</v>
      </c>
      <c r="B972">
        <v>2013</v>
      </c>
      <c r="C972" t="s">
        <v>17</v>
      </c>
      <c r="D972" t="s">
        <v>19</v>
      </c>
      <c r="E972">
        <v>25</v>
      </c>
      <c r="F972">
        <v>56</v>
      </c>
      <c r="G972">
        <v>9.4941000949410004</v>
      </c>
      <c r="H972">
        <v>2.5</v>
      </c>
      <c r="J972" s="340" t="str">
        <f t="shared" si="77"/>
        <v>2002AllSexAllEth254</v>
      </c>
      <c r="K972">
        <v>2002</v>
      </c>
      <c r="L972" t="s">
        <v>17</v>
      </c>
      <c r="M972" t="s">
        <v>27</v>
      </c>
      <c r="N972">
        <v>25</v>
      </c>
      <c r="O972">
        <v>4</v>
      </c>
      <c r="P972">
        <v>8</v>
      </c>
      <c r="Q972">
        <v>7.8774510583932802</v>
      </c>
      <c r="R972">
        <v>5.5</v>
      </c>
      <c r="T972" s="340" t="str">
        <f t="shared" si="78"/>
        <v>2000FemaleNon-Maori22Jumping from a high place</v>
      </c>
      <c r="U972">
        <v>2000</v>
      </c>
      <c r="V972" t="s">
        <v>8</v>
      </c>
      <c r="W972" t="s">
        <v>19</v>
      </c>
      <c r="X972">
        <v>22</v>
      </c>
      <c r="Y972" t="s">
        <v>44</v>
      </c>
      <c r="Z972">
        <v>1</v>
      </c>
      <c r="AA972">
        <v>11</v>
      </c>
      <c r="AB972">
        <v>9.1</v>
      </c>
    </row>
    <row r="973" spans="1:28">
      <c r="A973" t="str">
        <f t="shared" si="76"/>
        <v>2013FemaleAllEth21</v>
      </c>
      <c r="B973">
        <v>2013</v>
      </c>
      <c r="C973" t="s">
        <v>8</v>
      </c>
      <c r="D973" t="s">
        <v>27</v>
      </c>
      <c r="E973">
        <v>21</v>
      </c>
      <c r="F973">
        <v>2</v>
      </c>
      <c r="G973">
        <v>0.45149784409779398</v>
      </c>
      <c r="H973">
        <v>0.6</v>
      </c>
      <c r="J973" s="340" t="str">
        <f t="shared" si="77"/>
        <v>2002AllSexAllEth255</v>
      </c>
      <c r="K973">
        <v>2002</v>
      </c>
      <c r="L973" t="s">
        <v>17</v>
      </c>
      <c r="M973" t="s">
        <v>27</v>
      </c>
      <c r="N973">
        <v>25</v>
      </c>
      <c r="O973">
        <v>5</v>
      </c>
      <c r="P973">
        <v>11</v>
      </c>
      <c r="Q973">
        <v>13.884823657663199</v>
      </c>
      <c r="R973">
        <v>8.1999999999999993</v>
      </c>
      <c r="T973" s="340" t="str">
        <f t="shared" si="78"/>
        <v>2000FemaleNon-Maori23Jumping from a high place</v>
      </c>
      <c r="U973">
        <v>2000</v>
      </c>
      <c r="V973" t="s">
        <v>8</v>
      </c>
      <c r="W973" t="s">
        <v>19</v>
      </c>
      <c r="X973">
        <v>23</v>
      </c>
      <c r="Y973" t="s">
        <v>44</v>
      </c>
      <c r="Z973">
        <v>1</v>
      </c>
      <c r="AA973">
        <v>33</v>
      </c>
      <c r="AB973">
        <v>3</v>
      </c>
    </row>
    <row r="974" spans="1:28">
      <c r="A974" t="str">
        <f t="shared" si="76"/>
        <v>2013FemaleAllEth22</v>
      </c>
      <c r="B974">
        <v>2013</v>
      </c>
      <c r="C974" t="s">
        <v>8</v>
      </c>
      <c r="D974" t="s">
        <v>27</v>
      </c>
      <c r="E974">
        <v>22</v>
      </c>
      <c r="F974">
        <v>38</v>
      </c>
      <c r="G974">
        <v>12.3120787973043</v>
      </c>
      <c r="H974">
        <v>3.9</v>
      </c>
      <c r="J974" s="340" t="str">
        <f t="shared" si="77"/>
        <v>2002AllSexMaori211</v>
      </c>
      <c r="K974">
        <v>2002</v>
      </c>
      <c r="L974" t="s">
        <v>17</v>
      </c>
      <c r="M974" t="s">
        <v>18</v>
      </c>
      <c r="N974">
        <v>21</v>
      </c>
      <c r="O974">
        <v>1</v>
      </c>
      <c r="P974">
        <v>0</v>
      </c>
      <c r="Q974">
        <v>0</v>
      </c>
      <c r="T974" s="340" t="str">
        <f t="shared" si="78"/>
        <v>2000FemaleNon-Maori24Jumping from a high place</v>
      </c>
      <c r="U974">
        <v>2000</v>
      </c>
      <c r="V974" t="s">
        <v>8</v>
      </c>
      <c r="W974" t="s">
        <v>19</v>
      </c>
      <c r="X974">
        <v>24</v>
      </c>
      <c r="Y974" t="s">
        <v>44</v>
      </c>
      <c r="Z974">
        <v>2</v>
      </c>
      <c r="AA974">
        <v>21</v>
      </c>
      <c r="AB974">
        <v>9.5</v>
      </c>
    </row>
    <row r="975" spans="1:28">
      <c r="A975" t="str">
        <f t="shared" si="76"/>
        <v>2013FemaleAllEth23</v>
      </c>
      <c r="B975">
        <v>2013</v>
      </c>
      <c r="C975" t="s">
        <v>8</v>
      </c>
      <c r="D975" t="s">
        <v>27</v>
      </c>
      <c r="E975">
        <v>23</v>
      </c>
      <c r="F975">
        <v>47</v>
      </c>
      <c r="G975">
        <v>7.8847153953262099</v>
      </c>
      <c r="H975">
        <v>2.2999999999999998</v>
      </c>
      <c r="J975" s="340" t="str">
        <f t="shared" si="77"/>
        <v>2002AllSexMaori212</v>
      </c>
      <c r="K975">
        <v>2002</v>
      </c>
      <c r="L975" t="s">
        <v>17</v>
      </c>
      <c r="M975" t="s">
        <v>18</v>
      </c>
      <c r="N975">
        <v>21</v>
      </c>
      <c r="O975">
        <v>2</v>
      </c>
      <c r="P975">
        <v>0</v>
      </c>
      <c r="Q975">
        <v>0</v>
      </c>
      <c r="T975" s="340" t="str">
        <f t="shared" si="78"/>
        <v>2000FemaleNon-Maori23Other</v>
      </c>
      <c r="U975">
        <v>2000</v>
      </c>
      <c r="V975" t="s">
        <v>8</v>
      </c>
      <c r="W975" t="s">
        <v>19</v>
      </c>
      <c r="X975">
        <v>23</v>
      </c>
      <c r="Y975" t="s">
        <v>45</v>
      </c>
      <c r="Z975">
        <v>1</v>
      </c>
      <c r="AA975">
        <v>33</v>
      </c>
      <c r="AB975">
        <v>3</v>
      </c>
    </row>
    <row r="976" spans="1:28">
      <c r="A976" t="str">
        <f t="shared" si="76"/>
        <v>2013FemaleAllEth24</v>
      </c>
      <c r="B976">
        <v>2013</v>
      </c>
      <c r="C976" t="s">
        <v>8</v>
      </c>
      <c r="D976" t="s">
        <v>27</v>
      </c>
      <c r="E976">
        <v>24</v>
      </c>
      <c r="F976">
        <v>53</v>
      </c>
      <c r="G976">
        <v>9.0334236675700108</v>
      </c>
      <c r="H976">
        <v>2.4</v>
      </c>
      <c r="J976" s="340" t="str">
        <f t="shared" si="77"/>
        <v>2002AllSexMaori213</v>
      </c>
      <c r="K976">
        <v>2002</v>
      </c>
      <c r="L976" t="s">
        <v>17</v>
      </c>
      <c r="M976" t="s">
        <v>18</v>
      </c>
      <c r="N976">
        <v>21</v>
      </c>
      <c r="O976">
        <v>3</v>
      </c>
      <c r="P976">
        <v>0</v>
      </c>
      <c r="Q976">
        <v>0</v>
      </c>
      <c r="T976" s="340" t="str">
        <f t="shared" si="78"/>
        <v>2000FemaleNon-Maori24Other</v>
      </c>
      <c r="U976">
        <v>2000</v>
      </c>
      <c r="V976" t="s">
        <v>8</v>
      </c>
      <c r="W976" t="s">
        <v>19</v>
      </c>
      <c r="X976">
        <v>24</v>
      </c>
      <c r="Y976" t="s">
        <v>45</v>
      </c>
      <c r="Z976">
        <v>1</v>
      </c>
      <c r="AA976">
        <v>21</v>
      </c>
      <c r="AB976">
        <v>4.8</v>
      </c>
    </row>
    <row r="977" spans="1:28">
      <c r="A977" t="str">
        <f t="shared" si="76"/>
        <v>2013FemaleAllEth25</v>
      </c>
      <c r="B977">
        <v>2013</v>
      </c>
      <c r="C977" t="s">
        <v>8</v>
      </c>
      <c r="D977" t="s">
        <v>27</v>
      </c>
      <c r="E977">
        <v>25</v>
      </c>
      <c r="F977">
        <v>8</v>
      </c>
      <c r="G977">
        <v>2.36987883994431</v>
      </c>
      <c r="H977">
        <v>1.6</v>
      </c>
      <c r="J977" s="340" t="str">
        <f t="shared" si="77"/>
        <v>2002AllSexMaori214</v>
      </c>
      <c r="K977">
        <v>2002</v>
      </c>
      <c r="L977" t="s">
        <v>17</v>
      </c>
      <c r="M977" t="s">
        <v>18</v>
      </c>
      <c r="N977">
        <v>21</v>
      </c>
      <c r="O977">
        <v>4</v>
      </c>
      <c r="P977">
        <v>0</v>
      </c>
      <c r="Q977">
        <v>0</v>
      </c>
      <c r="T977" s="340" t="str">
        <f t="shared" si="78"/>
        <v>2000FemaleNon-Maori22Poisoning by gases and vapours</v>
      </c>
      <c r="U977">
        <v>2000</v>
      </c>
      <c r="V977" t="s">
        <v>8</v>
      </c>
      <c r="W977" t="s">
        <v>19</v>
      </c>
      <c r="X977">
        <v>22</v>
      </c>
      <c r="Y977" t="s">
        <v>46</v>
      </c>
      <c r="Z977">
        <v>4</v>
      </c>
      <c r="AA977">
        <v>11</v>
      </c>
      <c r="AB977">
        <v>36.4</v>
      </c>
    </row>
    <row r="978" spans="1:28">
      <c r="A978" t="str">
        <f t="shared" si="76"/>
        <v>2013FemaleMaori21</v>
      </c>
      <c r="B978">
        <v>2013</v>
      </c>
      <c r="C978" t="s">
        <v>8</v>
      </c>
      <c r="D978" t="s">
        <v>18</v>
      </c>
      <c r="E978">
        <v>21</v>
      </c>
      <c r="F978">
        <v>1</v>
      </c>
      <c r="G978">
        <v>0.88269044046252998</v>
      </c>
      <c r="H978">
        <v>1.7</v>
      </c>
      <c r="J978" s="340" t="str">
        <f t="shared" si="77"/>
        <v>2002AllSexMaori215</v>
      </c>
      <c r="K978">
        <v>2002</v>
      </c>
      <c r="L978" t="s">
        <v>17</v>
      </c>
      <c r="M978" t="s">
        <v>18</v>
      </c>
      <c r="N978">
        <v>21</v>
      </c>
      <c r="O978">
        <v>5</v>
      </c>
      <c r="P978">
        <v>0</v>
      </c>
      <c r="Q978">
        <v>0</v>
      </c>
      <c r="T978" s="340" t="str">
        <f t="shared" si="78"/>
        <v>2000FemaleNon-Maori23Poisoning by gases and vapours</v>
      </c>
      <c r="U978">
        <v>2000</v>
      </c>
      <c r="V978" t="s">
        <v>8</v>
      </c>
      <c r="W978" t="s">
        <v>19</v>
      </c>
      <c r="X978">
        <v>23</v>
      </c>
      <c r="Y978" t="s">
        <v>46</v>
      </c>
      <c r="Z978">
        <v>8</v>
      </c>
      <c r="AA978">
        <v>33</v>
      </c>
      <c r="AB978">
        <v>24.2</v>
      </c>
    </row>
    <row r="979" spans="1:28">
      <c r="A979" t="str">
        <f t="shared" si="76"/>
        <v>2013FemaleMaori22</v>
      </c>
      <c r="B979">
        <v>2013</v>
      </c>
      <c r="C979" t="s">
        <v>8</v>
      </c>
      <c r="D979" t="s">
        <v>18</v>
      </c>
      <c r="E979">
        <v>22</v>
      </c>
      <c r="F979">
        <v>20</v>
      </c>
      <c r="G979">
        <v>31.172069825436399</v>
      </c>
      <c r="H979">
        <v>13.7</v>
      </c>
      <c r="J979" s="340" t="str">
        <f t="shared" si="77"/>
        <v>2002AllSexMaori221</v>
      </c>
      <c r="K979">
        <v>2002</v>
      </c>
      <c r="L979" t="s">
        <v>17</v>
      </c>
      <c r="M979" t="s">
        <v>18</v>
      </c>
      <c r="N979">
        <v>22</v>
      </c>
      <c r="O979">
        <v>1</v>
      </c>
      <c r="P979">
        <v>1</v>
      </c>
      <c r="Q979">
        <v>13.244234952307499</v>
      </c>
      <c r="R979">
        <v>26</v>
      </c>
      <c r="T979" s="340" t="str">
        <f t="shared" si="78"/>
        <v>2000FemaleNon-Maori24Poisoning by gases and vapours</v>
      </c>
      <c r="U979">
        <v>2000</v>
      </c>
      <c r="V979" t="s">
        <v>8</v>
      </c>
      <c r="W979" t="s">
        <v>19</v>
      </c>
      <c r="X979">
        <v>24</v>
      </c>
      <c r="Y979" t="s">
        <v>46</v>
      </c>
      <c r="Z979">
        <v>9</v>
      </c>
      <c r="AA979">
        <v>21</v>
      </c>
      <c r="AB979">
        <v>42.9</v>
      </c>
    </row>
    <row r="980" spans="1:28">
      <c r="A980" t="str">
        <f t="shared" si="76"/>
        <v>2013FemaleMaori23</v>
      </c>
      <c r="B980">
        <v>2013</v>
      </c>
      <c r="C980" t="s">
        <v>8</v>
      </c>
      <c r="D980" t="s">
        <v>18</v>
      </c>
      <c r="E980">
        <v>23</v>
      </c>
      <c r="F980">
        <v>13</v>
      </c>
      <c r="G980">
        <v>14.3662283125207</v>
      </c>
      <c r="H980">
        <v>7.8</v>
      </c>
      <c r="J980" s="340" t="str">
        <f t="shared" si="77"/>
        <v>2002AllSexMaori222</v>
      </c>
      <c r="K980">
        <v>2002</v>
      </c>
      <c r="L980" t="s">
        <v>17</v>
      </c>
      <c r="M980" t="s">
        <v>18</v>
      </c>
      <c r="N980">
        <v>22</v>
      </c>
      <c r="O980">
        <v>2</v>
      </c>
      <c r="P980">
        <v>6</v>
      </c>
      <c r="Q980">
        <v>53.449527258224698</v>
      </c>
      <c r="R980">
        <v>42.8</v>
      </c>
      <c r="T980" s="340" t="str">
        <f t="shared" si="78"/>
        <v>2000FemaleNon-Maori25Poisoning by gases and vapours</v>
      </c>
      <c r="U980">
        <v>2000</v>
      </c>
      <c r="V980" t="s">
        <v>8</v>
      </c>
      <c r="W980" t="s">
        <v>19</v>
      </c>
      <c r="X980">
        <v>25</v>
      </c>
      <c r="Y980" t="s">
        <v>46</v>
      </c>
      <c r="Z980">
        <v>1</v>
      </c>
      <c r="AA980">
        <v>6</v>
      </c>
      <c r="AB980">
        <v>16.7</v>
      </c>
    </row>
    <row r="981" spans="1:28">
      <c r="A981" t="str">
        <f t="shared" si="76"/>
        <v>2013FemaleMaori24</v>
      </c>
      <c r="B981">
        <v>2013</v>
      </c>
      <c r="C981" t="s">
        <v>8</v>
      </c>
      <c r="D981" t="s">
        <v>18</v>
      </c>
      <c r="E981">
        <v>24</v>
      </c>
      <c r="F981">
        <v>5</v>
      </c>
      <c r="G981">
        <v>7.4041166888790197</v>
      </c>
      <c r="H981">
        <v>6.5</v>
      </c>
      <c r="J981" s="340" t="str">
        <f t="shared" si="77"/>
        <v>2002AllSexMaori223</v>
      </c>
      <c r="K981">
        <v>2002</v>
      </c>
      <c r="L981" t="s">
        <v>17</v>
      </c>
      <c r="M981" t="s">
        <v>18</v>
      </c>
      <c r="N981">
        <v>22</v>
      </c>
      <c r="O981">
        <v>3</v>
      </c>
      <c r="P981">
        <v>2</v>
      </c>
      <c r="Q981">
        <v>11.736505205757901</v>
      </c>
      <c r="R981">
        <v>16.3</v>
      </c>
      <c r="T981" s="340" t="str">
        <f t="shared" si="78"/>
        <v>2000FemaleNon-Maori22Poisoning by solids and liquids</v>
      </c>
      <c r="U981">
        <v>2000</v>
      </c>
      <c r="V981" t="s">
        <v>8</v>
      </c>
      <c r="W981" t="s">
        <v>19</v>
      </c>
      <c r="X981">
        <v>22</v>
      </c>
      <c r="Y981" t="s">
        <v>47</v>
      </c>
      <c r="Z981">
        <v>1</v>
      </c>
      <c r="AA981">
        <v>11</v>
      </c>
      <c r="AB981">
        <v>9.1</v>
      </c>
    </row>
    <row r="982" spans="1:28">
      <c r="A982" t="str">
        <f t="shared" si="76"/>
        <v>2013FemaleMaori25</v>
      </c>
      <c r="B982">
        <v>2013</v>
      </c>
      <c r="C982" t="s">
        <v>8</v>
      </c>
      <c r="D982" t="s">
        <v>18</v>
      </c>
      <c r="E982">
        <v>25</v>
      </c>
      <c r="F982">
        <v>0</v>
      </c>
      <c r="G982">
        <v>0</v>
      </c>
      <c r="J982" s="340" t="str">
        <f t="shared" si="77"/>
        <v>2002AllSexMaori224</v>
      </c>
      <c r="K982">
        <v>2002</v>
      </c>
      <c r="L982" t="s">
        <v>17</v>
      </c>
      <c r="M982" t="s">
        <v>18</v>
      </c>
      <c r="N982">
        <v>22</v>
      </c>
      <c r="O982">
        <v>4</v>
      </c>
      <c r="P982">
        <v>7</v>
      </c>
      <c r="Q982">
        <v>27.6964512427516</v>
      </c>
      <c r="R982">
        <v>20.5</v>
      </c>
      <c r="T982" s="340" t="str">
        <f t="shared" si="78"/>
        <v>2000FemaleNon-Maori23Poisoning by solids and liquids</v>
      </c>
      <c r="U982">
        <v>2000</v>
      </c>
      <c r="V982" t="s">
        <v>8</v>
      </c>
      <c r="W982" t="s">
        <v>19</v>
      </c>
      <c r="X982">
        <v>23</v>
      </c>
      <c r="Y982" t="s">
        <v>47</v>
      </c>
      <c r="Z982">
        <v>10</v>
      </c>
      <c r="AA982">
        <v>33</v>
      </c>
      <c r="AB982">
        <v>30.3</v>
      </c>
    </row>
    <row r="983" spans="1:28">
      <c r="A983" t="str">
        <f t="shared" si="76"/>
        <v>2013FemaleNon-Maori21</v>
      </c>
      <c r="B983">
        <v>2013</v>
      </c>
      <c r="C983" t="s">
        <v>8</v>
      </c>
      <c r="D983" t="s">
        <v>19</v>
      </c>
      <c r="E983">
        <v>21</v>
      </c>
      <c r="F983">
        <v>1</v>
      </c>
      <c r="G983">
        <v>0.303324435816549</v>
      </c>
      <c r="H983">
        <v>0.6</v>
      </c>
      <c r="J983" s="340" t="str">
        <f t="shared" si="77"/>
        <v>2002AllSexMaori225</v>
      </c>
      <c r="K983">
        <v>2002</v>
      </c>
      <c r="L983" t="s">
        <v>17</v>
      </c>
      <c r="M983" t="s">
        <v>18</v>
      </c>
      <c r="N983">
        <v>22</v>
      </c>
      <c r="O983">
        <v>5</v>
      </c>
      <c r="P983">
        <v>12</v>
      </c>
      <c r="Q983">
        <v>26.9668027416296</v>
      </c>
      <c r="R983">
        <v>15.3</v>
      </c>
      <c r="T983" s="340" t="str">
        <f t="shared" si="78"/>
        <v>2000FemaleNon-Maori24Poisoning by solids and liquids</v>
      </c>
      <c r="U983">
        <v>2000</v>
      </c>
      <c r="V983" t="s">
        <v>8</v>
      </c>
      <c r="W983" t="s">
        <v>19</v>
      </c>
      <c r="X983">
        <v>24</v>
      </c>
      <c r="Y983" t="s">
        <v>47</v>
      </c>
      <c r="Z983">
        <v>1</v>
      </c>
      <c r="AA983">
        <v>21</v>
      </c>
      <c r="AB983">
        <v>4.8</v>
      </c>
    </row>
    <row r="984" spans="1:28">
      <c r="A984" t="str">
        <f t="shared" si="76"/>
        <v>2013FemaleNon-Maori22</v>
      </c>
      <c r="B984">
        <v>2013</v>
      </c>
      <c r="C984" t="s">
        <v>8</v>
      </c>
      <c r="D984" t="s">
        <v>19</v>
      </c>
      <c r="E984">
        <v>22</v>
      </c>
      <c r="F984">
        <v>18</v>
      </c>
      <c r="G984">
        <v>7.3625654450261804</v>
      </c>
      <c r="H984">
        <v>3.4</v>
      </c>
      <c r="J984" s="340" t="str">
        <f t="shared" si="77"/>
        <v>2002AllSexMaori231</v>
      </c>
      <c r="K984">
        <v>2002</v>
      </c>
      <c r="L984" t="s">
        <v>17</v>
      </c>
      <c r="M984" t="s">
        <v>18</v>
      </c>
      <c r="N984">
        <v>23</v>
      </c>
      <c r="O984">
        <v>1</v>
      </c>
      <c r="P984">
        <v>4</v>
      </c>
      <c r="Q984">
        <v>28.774792816045299</v>
      </c>
      <c r="R984">
        <v>28.2</v>
      </c>
      <c r="T984" s="340" t="str">
        <f t="shared" si="78"/>
        <v>2000FemaleNon-Maori25Poisoning by solids and liquids</v>
      </c>
      <c r="U984">
        <v>2000</v>
      </c>
      <c r="V984" t="s">
        <v>8</v>
      </c>
      <c r="W984" t="s">
        <v>19</v>
      </c>
      <c r="X984">
        <v>25</v>
      </c>
      <c r="Y984" t="s">
        <v>47</v>
      </c>
      <c r="Z984">
        <v>3</v>
      </c>
      <c r="AA984">
        <v>6</v>
      </c>
      <c r="AB984">
        <v>50</v>
      </c>
    </row>
    <row r="985" spans="1:28">
      <c r="A985" t="str">
        <f t="shared" si="76"/>
        <v>2013FemaleNon-Maori23</v>
      </c>
      <c r="B985">
        <v>2013</v>
      </c>
      <c r="C985" t="s">
        <v>8</v>
      </c>
      <c r="D985" t="s">
        <v>19</v>
      </c>
      <c r="E985">
        <v>23</v>
      </c>
      <c r="F985">
        <v>34</v>
      </c>
      <c r="G985">
        <v>6.7246835443038</v>
      </c>
      <c r="H985">
        <v>2.2999999999999998</v>
      </c>
      <c r="J985" s="340" t="str">
        <f t="shared" si="77"/>
        <v>2002AllSexMaori232</v>
      </c>
      <c r="K985">
        <v>2002</v>
      </c>
      <c r="L985" t="s">
        <v>17</v>
      </c>
      <c r="M985" t="s">
        <v>18</v>
      </c>
      <c r="N985">
        <v>23</v>
      </c>
      <c r="O985">
        <v>2</v>
      </c>
      <c r="P985">
        <v>1</v>
      </c>
      <c r="Q985">
        <v>4.9430695815657604</v>
      </c>
      <c r="R985">
        <v>9.6999999999999993</v>
      </c>
      <c r="T985" s="340" t="str">
        <f t="shared" si="78"/>
        <v>2000FemaleNon-Maori23Sharp object</v>
      </c>
      <c r="U985">
        <v>2000</v>
      </c>
      <c r="V985" t="s">
        <v>8</v>
      </c>
      <c r="W985" t="s">
        <v>19</v>
      </c>
      <c r="X985">
        <v>23</v>
      </c>
      <c r="Y985" t="s">
        <v>48</v>
      </c>
      <c r="Z985">
        <v>1</v>
      </c>
      <c r="AA985">
        <v>33</v>
      </c>
      <c r="AB985">
        <v>3</v>
      </c>
    </row>
    <row r="986" spans="1:28">
      <c r="A986" t="str">
        <f t="shared" si="76"/>
        <v>2013FemaleNon-Maori24</v>
      </c>
      <c r="B986">
        <v>2013</v>
      </c>
      <c r="C986" t="s">
        <v>8</v>
      </c>
      <c r="D986" t="s">
        <v>19</v>
      </c>
      <c r="E986">
        <v>24</v>
      </c>
      <c r="F986">
        <v>48</v>
      </c>
      <c r="G986">
        <v>9.2453484340691094</v>
      </c>
      <c r="H986">
        <v>2.6</v>
      </c>
      <c r="J986" s="340" t="str">
        <f t="shared" si="77"/>
        <v>2002AllSexMaori233</v>
      </c>
      <c r="K986">
        <v>2002</v>
      </c>
      <c r="L986" t="s">
        <v>17</v>
      </c>
      <c r="M986" t="s">
        <v>18</v>
      </c>
      <c r="N986">
        <v>23</v>
      </c>
      <c r="O986">
        <v>3</v>
      </c>
      <c r="P986">
        <v>4</v>
      </c>
      <c r="Q986">
        <v>14.135907328295501</v>
      </c>
      <c r="R986">
        <v>13.9</v>
      </c>
      <c r="T986" s="340" t="str">
        <f t="shared" si="78"/>
        <v>2000FemaleNon-Maori25Sharp object</v>
      </c>
      <c r="U986">
        <v>2000</v>
      </c>
      <c r="V986" t="s">
        <v>8</v>
      </c>
      <c r="W986" t="s">
        <v>19</v>
      </c>
      <c r="X986">
        <v>25</v>
      </c>
      <c r="Y986" t="s">
        <v>48</v>
      </c>
      <c r="Z986">
        <v>1</v>
      </c>
      <c r="AA986">
        <v>6</v>
      </c>
      <c r="AB986">
        <v>16.7</v>
      </c>
    </row>
    <row r="987" spans="1:28">
      <c r="A987" t="str">
        <f t="shared" si="76"/>
        <v>2013FemaleNon-Maori25</v>
      </c>
      <c r="B987">
        <v>2013</v>
      </c>
      <c r="C987" t="s">
        <v>8</v>
      </c>
      <c r="D987" t="s">
        <v>19</v>
      </c>
      <c r="E987">
        <v>25</v>
      </c>
      <c r="F987">
        <v>8</v>
      </c>
      <c r="G987">
        <v>2.5182573659027998</v>
      </c>
      <c r="H987">
        <v>1.7</v>
      </c>
      <c r="J987" s="340" t="str">
        <f t="shared" si="77"/>
        <v>2002AllSexMaori234</v>
      </c>
      <c r="K987">
        <v>2002</v>
      </c>
      <c r="L987" t="s">
        <v>17</v>
      </c>
      <c r="M987" t="s">
        <v>18</v>
      </c>
      <c r="N987">
        <v>23</v>
      </c>
      <c r="O987">
        <v>4</v>
      </c>
      <c r="P987">
        <v>8</v>
      </c>
      <c r="Q987">
        <v>19.769475359918001</v>
      </c>
      <c r="R987">
        <v>13.7</v>
      </c>
      <c r="T987" s="340" t="str">
        <f t="shared" si="78"/>
        <v>2000FemaleNon-Maori22Submersion (drowning)</v>
      </c>
      <c r="U987">
        <v>2000</v>
      </c>
      <c r="V987" t="s">
        <v>8</v>
      </c>
      <c r="W987" t="s">
        <v>19</v>
      </c>
      <c r="X987">
        <v>22</v>
      </c>
      <c r="Y987" t="s">
        <v>49</v>
      </c>
      <c r="Z987">
        <v>1</v>
      </c>
      <c r="AA987">
        <v>11</v>
      </c>
      <c r="AB987">
        <v>9.1</v>
      </c>
    </row>
    <row r="988" spans="1:28">
      <c r="A988" t="str">
        <f t="shared" si="76"/>
        <v>2013MaleAllEth21</v>
      </c>
      <c r="B988">
        <v>2013</v>
      </c>
      <c r="C988" t="s">
        <v>20</v>
      </c>
      <c r="D988" t="s">
        <v>27</v>
      </c>
      <c r="E988">
        <v>21</v>
      </c>
      <c r="F988">
        <v>0</v>
      </c>
      <c r="G988">
        <v>0</v>
      </c>
      <c r="J988" s="340" t="str">
        <f t="shared" si="77"/>
        <v>2002AllSexMaori235</v>
      </c>
      <c r="K988">
        <v>2002</v>
      </c>
      <c r="L988" t="s">
        <v>17</v>
      </c>
      <c r="M988" t="s">
        <v>18</v>
      </c>
      <c r="N988">
        <v>23</v>
      </c>
      <c r="O988">
        <v>5</v>
      </c>
      <c r="P988">
        <v>19</v>
      </c>
      <c r="Q988">
        <v>28.5347662922137</v>
      </c>
      <c r="R988">
        <v>12.8</v>
      </c>
      <c r="T988" s="340" t="str">
        <f t="shared" si="78"/>
        <v>2000FemaleNon-Maori23Submersion (drowning)</v>
      </c>
      <c r="U988">
        <v>2000</v>
      </c>
      <c r="V988" t="s">
        <v>8</v>
      </c>
      <c r="W988" t="s">
        <v>19</v>
      </c>
      <c r="X988">
        <v>23</v>
      </c>
      <c r="Y988" t="s">
        <v>49</v>
      </c>
      <c r="Z988">
        <v>2</v>
      </c>
      <c r="AA988">
        <v>33</v>
      </c>
      <c r="AB988">
        <v>6.1</v>
      </c>
    </row>
    <row r="989" spans="1:28">
      <c r="A989" t="str">
        <f t="shared" si="76"/>
        <v>2013MaleAllEth22</v>
      </c>
      <c r="B989">
        <v>2013</v>
      </c>
      <c r="C989" t="s">
        <v>20</v>
      </c>
      <c r="D989" t="s">
        <v>27</v>
      </c>
      <c r="E989">
        <v>22</v>
      </c>
      <c r="F989">
        <v>73</v>
      </c>
      <c r="G989">
        <v>22.8189178206371</v>
      </c>
      <c r="H989">
        <v>5.2</v>
      </c>
      <c r="J989" s="340" t="str">
        <f t="shared" si="77"/>
        <v>2002AllSexMaori241</v>
      </c>
      <c r="K989">
        <v>2002</v>
      </c>
      <c r="L989" t="s">
        <v>17</v>
      </c>
      <c r="M989" t="s">
        <v>18</v>
      </c>
      <c r="N989">
        <v>24</v>
      </c>
      <c r="O989">
        <v>1</v>
      </c>
      <c r="P989">
        <v>0</v>
      </c>
      <c r="Q989">
        <v>0</v>
      </c>
      <c r="T989" s="340" t="str">
        <f t="shared" si="78"/>
        <v>2000MaleAllEth22Firearms and explosives</v>
      </c>
      <c r="U989">
        <v>2000</v>
      </c>
      <c r="V989" t="s">
        <v>20</v>
      </c>
      <c r="W989" t="s">
        <v>27</v>
      </c>
      <c r="X989">
        <v>22</v>
      </c>
      <c r="Y989" t="s">
        <v>42</v>
      </c>
      <c r="Z989">
        <v>3</v>
      </c>
      <c r="AA989">
        <v>81</v>
      </c>
      <c r="AB989">
        <v>3.7</v>
      </c>
    </row>
    <row r="990" spans="1:28">
      <c r="A990" t="str">
        <f t="shared" si="76"/>
        <v>2013MaleAllEth23</v>
      </c>
      <c r="B990">
        <v>2013</v>
      </c>
      <c r="C990" t="s">
        <v>20</v>
      </c>
      <c r="D990" t="s">
        <v>27</v>
      </c>
      <c r="E990">
        <v>23</v>
      </c>
      <c r="F990">
        <v>114</v>
      </c>
      <c r="G990">
        <v>20.807476089654699</v>
      </c>
      <c r="H990">
        <v>3.8</v>
      </c>
      <c r="J990" s="340" t="str">
        <f t="shared" si="77"/>
        <v>2002AllSexMaori242</v>
      </c>
      <c r="K990">
        <v>2002</v>
      </c>
      <c r="L990" t="s">
        <v>17</v>
      </c>
      <c r="M990" t="s">
        <v>18</v>
      </c>
      <c r="N990">
        <v>24</v>
      </c>
      <c r="O990">
        <v>2</v>
      </c>
      <c r="P990">
        <v>1</v>
      </c>
      <c r="Q990">
        <v>10.7113875235144</v>
      </c>
      <c r="R990">
        <v>21</v>
      </c>
      <c r="T990" s="340" t="str">
        <f t="shared" si="78"/>
        <v>2000MaleAllEth23Firearms and explosives</v>
      </c>
      <c r="U990">
        <v>2000</v>
      </c>
      <c r="V990" t="s">
        <v>20</v>
      </c>
      <c r="W990" t="s">
        <v>27</v>
      </c>
      <c r="X990">
        <v>23</v>
      </c>
      <c r="Y990" t="s">
        <v>42</v>
      </c>
      <c r="Z990">
        <v>18</v>
      </c>
      <c r="AA990">
        <v>171</v>
      </c>
      <c r="AB990">
        <v>10.5</v>
      </c>
    </row>
    <row r="991" spans="1:28">
      <c r="A991" t="str">
        <f t="shared" si="76"/>
        <v>2013MaleAllEth24</v>
      </c>
      <c r="B991">
        <v>2013</v>
      </c>
      <c r="C991" t="s">
        <v>20</v>
      </c>
      <c r="D991" t="s">
        <v>27</v>
      </c>
      <c r="E991">
        <v>24</v>
      </c>
      <c r="F991">
        <v>130</v>
      </c>
      <c r="G991">
        <v>23.546885471571699</v>
      </c>
      <c r="H991">
        <v>4</v>
      </c>
      <c r="J991" s="340" t="str">
        <f t="shared" si="77"/>
        <v>2002AllSexMaori243</v>
      </c>
      <c r="K991">
        <v>2002</v>
      </c>
      <c r="L991" t="s">
        <v>17</v>
      </c>
      <c r="M991" t="s">
        <v>18</v>
      </c>
      <c r="N991">
        <v>24</v>
      </c>
      <c r="O991">
        <v>3</v>
      </c>
      <c r="P991">
        <v>0</v>
      </c>
      <c r="Q991">
        <v>0</v>
      </c>
      <c r="T991" s="340" t="str">
        <f t="shared" si="78"/>
        <v>2000MaleAllEth24Firearms and explosives</v>
      </c>
      <c r="U991">
        <v>2000</v>
      </c>
      <c r="V991" t="s">
        <v>20</v>
      </c>
      <c r="W991" t="s">
        <v>27</v>
      </c>
      <c r="X991">
        <v>24</v>
      </c>
      <c r="Y991" t="s">
        <v>42</v>
      </c>
      <c r="Z991">
        <v>7</v>
      </c>
      <c r="AA991">
        <v>80</v>
      </c>
      <c r="AB991">
        <v>8.8000000000000007</v>
      </c>
    </row>
    <row r="992" spans="1:28">
      <c r="A992" t="str">
        <f t="shared" si="76"/>
        <v>2013MaleAllEth25</v>
      </c>
      <c r="B992">
        <v>2013</v>
      </c>
      <c r="C992" t="s">
        <v>20</v>
      </c>
      <c r="D992" t="s">
        <v>27</v>
      </c>
      <c r="E992">
        <v>25</v>
      </c>
      <c r="F992">
        <v>48</v>
      </c>
      <c r="G992">
        <v>16.625103906899401</v>
      </c>
      <c r="H992">
        <v>4.7</v>
      </c>
      <c r="J992" s="340" t="str">
        <f t="shared" si="77"/>
        <v>2002AllSexMaori244</v>
      </c>
      <c r="K992">
        <v>2002</v>
      </c>
      <c r="L992" t="s">
        <v>17</v>
      </c>
      <c r="M992" t="s">
        <v>18</v>
      </c>
      <c r="N992">
        <v>24</v>
      </c>
      <c r="O992">
        <v>4</v>
      </c>
      <c r="P992">
        <v>5</v>
      </c>
      <c r="Q992">
        <v>26.458234648277301</v>
      </c>
      <c r="R992">
        <v>23.2</v>
      </c>
      <c r="T992" s="340" t="str">
        <f t="shared" si="78"/>
        <v>2000MaleAllEth25Firearms and explosives</v>
      </c>
      <c r="U992">
        <v>2000</v>
      </c>
      <c r="V992" t="s">
        <v>20</v>
      </c>
      <c r="W992" t="s">
        <v>27</v>
      </c>
      <c r="X992">
        <v>25</v>
      </c>
      <c r="Y992" t="s">
        <v>42</v>
      </c>
      <c r="Z992">
        <v>7</v>
      </c>
      <c r="AA992">
        <v>41</v>
      </c>
      <c r="AB992">
        <v>17.100000000000001</v>
      </c>
    </row>
    <row r="993" spans="1:28">
      <c r="A993" t="str">
        <f t="shared" si="76"/>
        <v>2013MaleMaori21</v>
      </c>
      <c r="B993">
        <v>2013</v>
      </c>
      <c r="C993" t="s">
        <v>20</v>
      </c>
      <c r="D993" t="s">
        <v>18</v>
      </c>
      <c r="E993">
        <v>21</v>
      </c>
      <c r="F993">
        <v>0</v>
      </c>
      <c r="G993">
        <v>0</v>
      </c>
      <c r="J993" s="340" t="str">
        <f t="shared" si="77"/>
        <v>2002AllSexMaori245</v>
      </c>
      <c r="K993">
        <v>2002</v>
      </c>
      <c r="L993" t="s">
        <v>17</v>
      </c>
      <c r="M993" t="s">
        <v>18</v>
      </c>
      <c r="N993">
        <v>24</v>
      </c>
      <c r="O993">
        <v>5</v>
      </c>
      <c r="P993">
        <v>1</v>
      </c>
      <c r="Q993">
        <v>2.98451228702007</v>
      </c>
      <c r="R993">
        <v>5.8</v>
      </c>
      <c r="T993" s="340" t="str">
        <f t="shared" si="78"/>
        <v>2000MaleAllEth21Hanging, strangulation and suffocation</v>
      </c>
      <c r="U993">
        <v>2000</v>
      </c>
      <c r="V993" t="s">
        <v>20</v>
      </c>
      <c r="W993" t="s">
        <v>27</v>
      </c>
      <c r="X993">
        <v>21</v>
      </c>
      <c r="Y993" t="s">
        <v>43</v>
      </c>
      <c r="Z993">
        <v>2</v>
      </c>
      <c r="AA993">
        <v>3</v>
      </c>
      <c r="AB993">
        <v>66.7</v>
      </c>
    </row>
    <row r="994" spans="1:28">
      <c r="A994" t="str">
        <f t="shared" si="76"/>
        <v>2013MaleMaori22</v>
      </c>
      <c r="B994">
        <v>2013</v>
      </c>
      <c r="C994" t="s">
        <v>20</v>
      </c>
      <c r="D994" t="s">
        <v>18</v>
      </c>
      <c r="E994">
        <v>22</v>
      </c>
      <c r="F994">
        <v>29</v>
      </c>
      <c r="G994">
        <v>45.597484276729602</v>
      </c>
      <c r="H994">
        <v>16.600000000000001</v>
      </c>
      <c r="J994" s="340" t="str">
        <f t="shared" si="77"/>
        <v>2002AllSexMaori251</v>
      </c>
      <c r="K994">
        <v>2002</v>
      </c>
      <c r="L994" t="s">
        <v>17</v>
      </c>
      <c r="M994" t="s">
        <v>18</v>
      </c>
      <c r="N994">
        <v>25</v>
      </c>
      <c r="O994">
        <v>1</v>
      </c>
      <c r="P994">
        <v>0</v>
      </c>
      <c r="Q994">
        <v>0</v>
      </c>
      <c r="T994" s="340" t="str">
        <f t="shared" si="78"/>
        <v>2000MaleAllEth22Hanging, strangulation and suffocation</v>
      </c>
      <c r="U994">
        <v>2000</v>
      </c>
      <c r="V994" t="s">
        <v>20</v>
      </c>
      <c r="W994" t="s">
        <v>27</v>
      </c>
      <c r="X994">
        <v>22</v>
      </c>
      <c r="Y994" t="s">
        <v>43</v>
      </c>
      <c r="Z994">
        <v>53</v>
      </c>
      <c r="AA994">
        <v>81</v>
      </c>
      <c r="AB994">
        <v>65.400000000000006</v>
      </c>
    </row>
    <row r="995" spans="1:28">
      <c r="A995" t="str">
        <f t="shared" si="76"/>
        <v>2013MaleMaori23</v>
      </c>
      <c r="B995">
        <v>2013</v>
      </c>
      <c r="C995" t="s">
        <v>20</v>
      </c>
      <c r="D995" t="s">
        <v>18</v>
      </c>
      <c r="E995">
        <v>23</v>
      </c>
      <c r="F995">
        <v>31</v>
      </c>
      <c r="G995">
        <v>40.119063025753803</v>
      </c>
      <c r="H995">
        <v>14.1</v>
      </c>
      <c r="J995" s="340" t="str">
        <f t="shared" si="77"/>
        <v>2002AllSexMaori252</v>
      </c>
      <c r="K995">
        <v>2002</v>
      </c>
      <c r="L995" t="s">
        <v>17</v>
      </c>
      <c r="M995" t="s">
        <v>18</v>
      </c>
      <c r="N995">
        <v>25</v>
      </c>
      <c r="O995">
        <v>2</v>
      </c>
      <c r="P995">
        <v>0</v>
      </c>
      <c r="Q995">
        <v>0</v>
      </c>
      <c r="T995" s="340" t="str">
        <f t="shared" si="78"/>
        <v>2000MaleAllEth23Hanging, strangulation and suffocation</v>
      </c>
      <c r="U995">
        <v>2000</v>
      </c>
      <c r="V995" t="s">
        <v>20</v>
      </c>
      <c r="W995" t="s">
        <v>27</v>
      </c>
      <c r="X995">
        <v>23</v>
      </c>
      <c r="Y995" t="s">
        <v>43</v>
      </c>
      <c r="Z995">
        <v>86</v>
      </c>
      <c r="AA995">
        <v>171</v>
      </c>
      <c r="AB995">
        <v>50.3</v>
      </c>
    </row>
    <row r="996" spans="1:28">
      <c r="A996" t="str">
        <f t="shared" si="76"/>
        <v>2013MaleMaori24</v>
      </c>
      <c r="B996">
        <v>2013</v>
      </c>
      <c r="C996" t="s">
        <v>20</v>
      </c>
      <c r="D996" t="s">
        <v>18</v>
      </c>
      <c r="E996">
        <v>24</v>
      </c>
      <c r="F996">
        <v>5</v>
      </c>
      <c r="G996">
        <v>8.3514280942041097</v>
      </c>
      <c r="H996">
        <v>7.3</v>
      </c>
      <c r="J996" s="340" t="str">
        <f t="shared" si="77"/>
        <v>2002AllSexMaori253</v>
      </c>
      <c r="K996">
        <v>2002</v>
      </c>
      <c r="L996" t="s">
        <v>17</v>
      </c>
      <c r="M996" t="s">
        <v>18</v>
      </c>
      <c r="N996">
        <v>25</v>
      </c>
      <c r="O996">
        <v>3</v>
      </c>
      <c r="P996">
        <v>0</v>
      </c>
      <c r="Q996">
        <v>0</v>
      </c>
      <c r="T996" s="340" t="str">
        <f t="shared" si="78"/>
        <v>2000MaleAllEth24Hanging, strangulation and suffocation</v>
      </c>
      <c r="U996">
        <v>2000</v>
      </c>
      <c r="V996" t="s">
        <v>20</v>
      </c>
      <c r="W996" t="s">
        <v>27</v>
      </c>
      <c r="X996">
        <v>24</v>
      </c>
      <c r="Y996" t="s">
        <v>43</v>
      </c>
      <c r="Z996">
        <v>29</v>
      </c>
      <c r="AA996">
        <v>80</v>
      </c>
      <c r="AB996">
        <v>36.200000000000003</v>
      </c>
    </row>
    <row r="997" spans="1:28">
      <c r="A997" t="str">
        <f t="shared" si="76"/>
        <v>2013MaleMaori25</v>
      </c>
      <c r="B997">
        <v>2013</v>
      </c>
      <c r="C997" t="s">
        <v>20</v>
      </c>
      <c r="D997" t="s">
        <v>18</v>
      </c>
      <c r="E997">
        <v>25</v>
      </c>
      <c r="F997">
        <v>0</v>
      </c>
      <c r="G997">
        <v>0</v>
      </c>
      <c r="J997" s="340" t="str">
        <f t="shared" si="77"/>
        <v>2002AllSexMaori254</v>
      </c>
      <c r="K997">
        <v>2002</v>
      </c>
      <c r="L997" t="s">
        <v>17</v>
      </c>
      <c r="M997" t="s">
        <v>18</v>
      </c>
      <c r="N997">
        <v>25</v>
      </c>
      <c r="O997">
        <v>4</v>
      </c>
      <c r="P997">
        <v>0</v>
      </c>
      <c r="Q997">
        <v>0</v>
      </c>
      <c r="T997" s="340" t="str">
        <f t="shared" si="78"/>
        <v>2000MaleAllEth25Hanging, strangulation and suffocation</v>
      </c>
      <c r="U997">
        <v>2000</v>
      </c>
      <c r="V997" t="s">
        <v>20</v>
      </c>
      <c r="W997" t="s">
        <v>27</v>
      </c>
      <c r="X997">
        <v>25</v>
      </c>
      <c r="Y997" t="s">
        <v>43</v>
      </c>
      <c r="Z997">
        <v>16</v>
      </c>
      <c r="AA997">
        <v>41</v>
      </c>
      <c r="AB997">
        <v>39</v>
      </c>
    </row>
    <row r="998" spans="1:28">
      <c r="A998" t="str">
        <f t="shared" si="76"/>
        <v>2013MaleNon-Maori21</v>
      </c>
      <c r="B998">
        <v>2013</v>
      </c>
      <c r="C998" t="s">
        <v>20</v>
      </c>
      <c r="D998" t="s">
        <v>19</v>
      </c>
      <c r="E998">
        <v>21</v>
      </c>
      <c r="F998">
        <v>0</v>
      </c>
      <c r="G998">
        <v>0</v>
      </c>
      <c r="J998" s="340" t="str">
        <f t="shared" si="77"/>
        <v>2002AllSexMaori255</v>
      </c>
      <c r="K998">
        <v>2002</v>
      </c>
      <c r="L998" t="s">
        <v>17</v>
      </c>
      <c r="M998" t="s">
        <v>18</v>
      </c>
      <c r="N998">
        <v>25</v>
      </c>
      <c r="O998">
        <v>5</v>
      </c>
      <c r="P998">
        <v>0</v>
      </c>
      <c r="Q998">
        <v>0</v>
      </c>
      <c r="T998" s="340" t="str">
        <f t="shared" si="78"/>
        <v>2000MaleAllEth22Jumping from a high place</v>
      </c>
      <c r="U998">
        <v>2000</v>
      </c>
      <c r="V998" t="s">
        <v>20</v>
      </c>
      <c r="W998" t="s">
        <v>27</v>
      </c>
      <c r="X998">
        <v>22</v>
      </c>
      <c r="Y998" t="s">
        <v>44</v>
      </c>
      <c r="Z998">
        <v>4</v>
      </c>
      <c r="AA998">
        <v>81</v>
      </c>
      <c r="AB998">
        <v>4.9000000000000004</v>
      </c>
    </row>
    <row r="999" spans="1:28">
      <c r="A999" t="str">
        <f t="shared" si="76"/>
        <v>2013MaleNon-Maori22</v>
      </c>
      <c r="B999">
        <v>2013</v>
      </c>
      <c r="C999" t="s">
        <v>20</v>
      </c>
      <c r="D999" t="s">
        <v>19</v>
      </c>
      <c r="E999">
        <v>22</v>
      </c>
      <c r="F999">
        <v>44</v>
      </c>
      <c r="G999">
        <v>17.1667121844641</v>
      </c>
      <c r="H999">
        <v>5.0999999999999996</v>
      </c>
      <c r="J999" s="340" t="str">
        <f t="shared" si="77"/>
        <v>2002AllSexNon-Maori211</v>
      </c>
      <c r="K999">
        <v>2002</v>
      </c>
      <c r="L999" t="s">
        <v>17</v>
      </c>
      <c r="M999" t="s">
        <v>19</v>
      </c>
      <c r="N999">
        <v>21</v>
      </c>
      <c r="O999">
        <v>1</v>
      </c>
      <c r="P999">
        <v>0</v>
      </c>
      <c r="Q999">
        <v>0</v>
      </c>
      <c r="T999" s="340" t="str">
        <f t="shared" si="78"/>
        <v>2000MaleAllEth23Jumping from a high place</v>
      </c>
      <c r="U999">
        <v>2000</v>
      </c>
      <c r="V999" t="s">
        <v>20</v>
      </c>
      <c r="W999" t="s">
        <v>27</v>
      </c>
      <c r="X999">
        <v>23</v>
      </c>
      <c r="Y999" t="s">
        <v>44</v>
      </c>
      <c r="Z999">
        <v>2</v>
      </c>
      <c r="AA999">
        <v>171</v>
      </c>
      <c r="AB999">
        <v>1.2</v>
      </c>
    </row>
    <row r="1000" spans="1:28">
      <c r="A1000" t="str">
        <f t="shared" si="76"/>
        <v>2013MaleNon-Maori23</v>
      </c>
      <c r="B1000">
        <v>2013</v>
      </c>
      <c r="C1000" t="s">
        <v>20</v>
      </c>
      <c r="D1000" t="s">
        <v>19</v>
      </c>
      <c r="E1000">
        <v>23</v>
      </c>
      <c r="F1000">
        <v>83</v>
      </c>
      <c r="G1000">
        <v>17.636684303351</v>
      </c>
      <c r="H1000">
        <v>3.8</v>
      </c>
      <c r="J1000" s="340" t="str">
        <f t="shared" si="77"/>
        <v>2002AllSexNon-Maori212</v>
      </c>
      <c r="K1000">
        <v>2002</v>
      </c>
      <c r="L1000" t="s">
        <v>17</v>
      </c>
      <c r="M1000" t="s">
        <v>19</v>
      </c>
      <c r="N1000">
        <v>21</v>
      </c>
      <c r="O1000">
        <v>2</v>
      </c>
      <c r="P1000">
        <v>0</v>
      </c>
      <c r="Q1000">
        <v>0</v>
      </c>
      <c r="T1000" s="340" t="str">
        <f t="shared" si="78"/>
        <v>2000MaleAllEth24Jumping from a high place</v>
      </c>
      <c r="U1000">
        <v>2000</v>
      </c>
      <c r="V1000" t="s">
        <v>20</v>
      </c>
      <c r="W1000" t="s">
        <v>27</v>
      </c>
      <c r="X1000">
        <v>24</v>
      </c>
      <c r="Y1000" t="s">
        <v>44</v>
      </c>
      <c r="Z1000">
        <v>2</v>
      </c>
      <c r="AA1000">
        <v>80</v>
      </c>
      <c r="AB1000">
        <v>2.5</v>
      </c>
    </row>
    <row r="1001" spans="1:28">
      <c r="A1001" t="str">
        <f t="shared" si="76"/>
        <v>2013MaleNon-Maori24</v>
      </c>
      <c r="B1001">
        <v>2013</v>
      </c>
      <c r="C1001" t="s">
        <v>20</v>
      </c>
      <c r="D1001" t="s">
        <v>19</v>
      </c>
      <c r="E1001">
        <v>24</v>
      </c>
      <c r="F1001">
        <v>125</v>
      </c>
      <c r="G1001">
        <v>25.395148510828498</v>
      </c>
      <c r="H1001">
        <v>4.5</v>
      </c>
      <c r="J1001" s="340" t="str">
        <f t="shared" si="77"/>
        <v>2002AllSexNon-Maori213</v>
      </c>
      <c r="K1001">
        <v>2002</v>
      </c>
      <c r="L1001" t="s">
        <v>17</v>
      </c>
      <c r="M1001" t="s">
        <v>19</v>
      </c>
      <c r="N1001">
        <v>21</v>
      </c>
      <c r="O1001">
        <v>3</v>
      </c>
      <c r="P1001">
        <v>0</v>
      </c>
      <c r="Q1001">
        <v>0</v>
      </c>
      <c r="T1001" s="340" t="str">
        <f t="shared" si="78"/>
        <v>2000MaleAllEth25Jumping from a high place</v>
      </c>
      <c r="U1001">
        <v>2000</v>
      </c>
      <c r="V1001" t="s">
        <v>20</v>
      </c>
      <c r="W1001" t="s">
        <v>27</v>
      </c>
      <c r="X1001">
        <v>25</v>
      </c>
      <c r="Y1001" t="s">
        <v>44</v>
      </c>
      <c r="Z1001">
        <v>3</v>
      </c>
      <c r="AA1001">
        <v>41</v>
      </c>
      <c r="AB1001">
        <v>7.3</v>
      </c>
    </row>
    <row r="1002" spans="1:28">
      <c r="A1002" t="str">
        <f t="shared" si="76"/>
        <v>2013MaleNon-Maori25</v>
      </c>
      <c r="B1002">
        <v>2013</v>
      </c>
      <c r="C1002" t="s">
        <v>20</v>
      </c>
      <c r="D1002" t="s">
        <v>19</v>
      </c>
      <c r="E1002">
        <v>25</v>
      </c>
      <c r="F1002">
        <v>48</v>
      </c>
      <c r="G1002">
        <v>17.635388345947501</v>
      </c>
      <c r="H1002">
        <v>5</v>
      </c>
      <c r="J1002" s="340" t="str">
        <f t="shared" si="77"/>
        <v>2002AllSexNon-Maori214</v>
      </c>
      <c r="K1002">
        <v>2002</v>
      </c>
      <c r="L1002" t="s">
        <v>17</v>
      </c>
      <c r="M1002" t="s">
        <v>19</v>
      </c>
      <c r="N1002">
        <v>21</v>
      </c>
      <c r="O1002">
        <v>4</v>
      </c>
      <c r="P1002">
        <v>0</v>
      </c>
      <c r="Q1002">
        <v>0</v>
      </c>
      <c r="T1002" s="340" t="str">
        <f t="shared" si="78"/>
        <v>2000MaleAllEth21Other</v>
      </c>
      <c r="U1002">
        <v>2000</v>
      </c>
      <c r="V1002" t="s">
        <v>20</v>
      </c>
      <c r="W1002" t="s">
        <v>27</v>
      </c>
      <c r="X1002">
        <v>21</v>
      </c>
      <c r="Y1002" t="s">
        <v>45</v>
      </c>
      <c r="Z1002">
        <v>1</v>
      </c>
      <c r="AA1002">
        <v>3</v>
      </c>
      <c r="AB1002">
        <v>33.299999999999997</v>
      </c>
    </row>
    <row r="1003" spans="1:28">
      <c r="A1003" t="str">
        <f t="shared" si="76"/>
        <v>2014AllSexAllEth21</v>
      </c>
      <c r="B1003">
        <v>2014</v>
      </c>
      <c r="C1003" t="s">
        <v>17</v>
      </c>
      <c r="D1003" t="s">
        <v>27</v>
      </c>
      <c r="E1003">
        <v>21</v>
      </c>
      <c r="F1003">
        <v>6</v>
      </c>
      <c r="G1003">
        <v>0.65864582418547502</v>
      </c>
      <c r="H1003">
        <v>0.5</v>
      </c>
      <c r="J1003" s="340" t="str">
        <f t="shared" si="77"/>
        <v>2002AllSexNon-Maori215</v>
      </c>
      <c r="K1003">
        <v>2002</v>
      </c>
      <c r="L1003" t="s">
        <v>17</v>
      </c>
      <c r="M1003" t="s">
        <v>19</v>
      </c>
      <c r="N1003">
        <v>21</v>
      </c>
      <c r="O1003">
        <v>5</v>
      </c>
      <c r="P1003">
        <v>0</v>
      </c>
      <c r="Q1003">
        <v>0</v>
      </c>
      <c r="T1003" s="340" t="str">
        <f t="shared" si="78"/>
        <v>2000MaleAllEth22Other</v>
      </c>
      <c r="U1003">
        <v>2000</v>
      </c>
      <c r="V1003" t="s">
        <v>20</v>
      </c>
      <c r="W1003" t="s">
        <v>27</v>
      </c>
      <c r="X1003">
        <v>22</v>
      </c>
      <c r="Y1003" t="s">
        <v>45</v>
      </c>
      <c r="Z1003">
        <v>4</v>
      </c>
      <c r="AA1003">
        <v>81</v>
      </c>
      <c r="AB1003">
        <v>4.9000000000000004</v>
      </c>
    </row>
    <row r="1004" spans="1:28">
      <c r="A1004" t="str">
        <f t="shared" si="76"/>
        <v>2014AllSexAllEth22</v>
      </c>
      <c r="B1004">
        <v>2014</v>
      </c>
      <c r="C1004" t="s">
        <v>17</v>
      </c>
      <c r="D1004" t="s">
        <v>27</v>
      </c>
      <c r="E1004">
        <v>22</v>
      </c>
      <c r="F1004">
        <v>89</v>
      </c>
      <c r="G1004">
        <v>13.8953942232631</v>
      </c>
      <c r="H1004">
        <v>2.9</v>
      </c>
      <c r="J1004" s="340" t="str">
        <f t="shared" si="77"/>
        <v>2002AllSexNon-Maori221</v>
      </c>
      <c r="K1004">
        <v>2002</v>
      </c>
      <c r="L1004" t="s">
        <v>17</v>
      </c>
      <c r="M1004" t="s">
        <v>19</v>
      </c>
      <c r="N1004">
        <v>22</v>
      </c>
      <c r="O1004">
        <v>1</v>
      </c>
      <c r="P1004">
        <v>5</v>
      </c>
      <c r="Q1004">
        <v>5.7075377890038901</v>
      </c>
      <c r="R1004">
        <v>5</v>
      </c>
      <c r="T1004" s="340" t="str">
        <f t="shared" si="78"/>
        <v>2000MaleAllEth23Other</v>
      </c>
      <c r="U1004">
        <v>2000</v>
      </c>
      <c r="V1004" t="s">
        <v>20</v>
      </c>
      <c r="W1004" t="s">
        <v>27</v>
      </c>
      <c r="X1004">
        <v>23</v>
      </c>
      <c r="Y1004" t="s">
        <v>45</v>
      </c>
      <c r="Z1004">
        <v>7</v>
      </c>
      <c r="AA1004">
        <v>171</v>
      </c>
      <c r="AB1004">
        <v>4.0999999999999996</v>
      </c>
    </row>
    <row r="1005" spans="1:28">
      <c r="A1005" t="str">
        <f t="shared" si="76"/>
        <v>2014AllSexAllEth23</v>
      </c>
      <c r="B1005">
        <v>2014</v>
      </c>
      <c r="C1005" t="s">
        <v>17</v>
      </c>
      <c r="D1005" t="s">
        <v>27</v>
      </c>
      <c r="E1005">
        <v>23</v>
      </c>
      <c r="F1005">
        <v>190</v>
      </c>
      <c r="G1005">
        <v>16.415679565934902</v>
      </c>
      <c r="H1005">
        <v>2.2999999999999998</v>
      </c>
      <c r="J1005" s="340" t="str">
        <f t="shared" si="77"/>
        <v>2002AllSexNon-Maori222</v>
      </c>
      <c r="K1005">
        <v>2002</v>
      </c>
      <c r="L1005" t="s">
        <v>17</v>
      </c>
      <c r="M1005" t="s">
        <v>19</v>
      </c>
      <c r="N1005">
        <v>22</v>
      </c>
      <c r="O1005">
        <v>2</v>
      </c>
      <c r="P1005">
        <v>15</v>
      </c>
      <c r="Q1005">
        <v>16.836848284146299</v>
      </c>
      <c r="R1005">
        <v>8.5</v>
      </c>
      <c r="T1005" s="340" t="str">
        <f t="shared" si="78"/>
        <v>2000MaleAllEth24Other</v>
      </c>
      <c r="U1005">
        <v>2000</v>
      </c>
      <c r="V1005" t="s">
        <v>20</v>
      </c>
      <c r="W1005" t="s">
        <v>27</v>
      </c>
      <c r="X1005">
        <v>24</v>
      </c>
      <c r="Y1005" t="s">
        <v>45</v>
      </c>
      <c r="Z1005">
        <v>1</v>
      </c>
      <c r="AA1005">
        <v>80</v>
      </c>
      <c r="AB1005">
        <v>1.2</v>
      </c>
    </row>
    <row r="1006" spans="1:28">
      <c r="A1006" t="str">
        <f t="shared" si="76"/>
        <v>2014AllSexAllEth24</v>
      </c>
      <c r="B1006">
        <v>2014</v>
      </c>
      <c r="C1006" t="s">
        <v>17</v>
      </c>
      <c r="D1006" t="s">
        <v>27</v>
      </c>
      <c r="E1006">
        <v>24</v>
      </c>
      <c r="F1006">
        <v>165</v>
      </c>
      <c r="G1006">
        <v>14.301067813063399</v>
      </c>
      <c r="H1006">
        <v>2.2000000000000002</v>
      </c>
      <c r="J1006" s="340" t="str">
        <f t="shared" si="77"/>
        <v>2002AllSexNon-Maori223</v>
      </c>
      <c r="K1006">
        <v>2002</v>
      </c>
      <c r="L1006" t="s">
        <v>17</v>
      </c>
      <c r="M1006" t="s">
        <v>19</v>
      </c>
      <c r="N1006">
        <v>22</v>
      </c>
      <c r="O1006">
        <v>3</v>
      </c>
      <c r="P1006">
        <v>14</v>
      </c>
      <c r="Q1006">
        <v>15.4812764040015</v>
      </c>
      <c r="R1006">
        <v>8.1</v>
      </c>
      <c r="T1006" s="340" t="str">
        <f t="shared" si="78"/>
        <v>2000MaleAllEth25Other</v>
      </c>
      <c r="U1006">
        <v>2000</v>
      </c>
      <c r="V1006" t="s">
        <v>20</v>
      </c>
      <c r="W1006" t="s">
        <v>27</v>
      </c>
      <c r="X1006">
        <v>25</v>
      </c>
      <c r="Y1006" t="s">
        <v>45</v>
      </c>
      <c r="Z1006">
        <v>1</v>
      </c>
      <c r="AA1006">
        <v>41</v>
      </c>
      <c r="AB1006">
        <v>2.4</v>
      </c>
    </row>
    <row r="1007" spans="1:28">
      <c r="A1007" t="str">
        <f t="shared" si="76"/>
        <v>2014AllSexAllEth25</v>
      </c>
      <c r="B1007">
        <v>2014</v>
      </c>
      <c r="C1007" t="s">
        <v>17</v>
      </c>
      <c r="D1007" t="s">
        <v>27</v>
      </c>
      <c r="E1007">
        <v>25</v>
      </c>
      <c r="F1007">
        <v>60</v>
      </c>
      <c r="G1007">
        <v>9.2238158926347804</v>
      </c>
      <c r="H1007">
        <v>2.2999999999999998</v>
      </c>
      <c r="J1007" s="340" t="str">
        <f t="shared" si="77"/>
        <v>2002AllSexNon-Maori224</v>
      </c>
      <c r="K1007">
        <v>2002</v>
      </c>
      <c r="L1007" t="s">
        <v>17</v>
      </c>
      <c r="M1007" t="s">
        <v>19</v>
      </c>
      <c r="N1007">
        <v>22</v>
      </c>
      <c r="O1007">
        <v>4</v>
      </c>
      <c r="P1007">
        <v>10</v>
      </c>
      <c r="Q1007">
        <v>10.996155478486299</v>
      </c>
      <c r="R1007">
        <v>6.8</v>
      </c>
      <c r="T1007" s="340" t="str">
        <f t="shared" si="78"/>
        <v>2000MaleAllEth22Poisoning by gases and vapours</v>
      </c>
      <c r="U1007">
        <v>2000</v>
      </c>
      <c r="V1007" t="s">
        <v>20</v>
      </c>
      <c r="W1007" t="s">
        <v>27</v>
      </c>
      <c r="X1007">
        <v>22</v>
      </c>
      <c r="Y1007" t="s">
        <v>46</v>
      </c>
      <c r="Z1007">
        <v>14</v>
      </c>
      <c r="AA1007">
        <v>81</v>
      </c>
      <c r="AB1007">
        <v>17.3</v>
      </c>
    </row>
    <row r="1008" spans="1:28">
      <c r="A1008" t="str">
        <f t="shared" si="76"/>
        <v>2014AllSexMaori21</v>
      </c>
      <c r="B1008">
        <v>2014</v>
      </c>
      <c r="C1008" t="s">
        <v>17</v>
      </c>
      <c r="D1008" t="s">
        <v>18</v>
      </c>
      <c r="E1008">
        <v>21</v>
      </c>
      <c r="F1008">
        <v>3</v>
      </c>
      <c r="G1008">
        <v>1.2800819252432201</v>
      </c>
      <c r="H1008">
        <v>1.4</v>
      </c>
      <c r="J1008" s="340" t="str">
        <f t="shared" si="77"/>
        <v>2002AllSexNon-Maori225</v>
      </c>
      <c r="K1008">
        <v>2002</v>
      </c>
      <c r="L1008" t="s">
        <v>17</v>
      </c>
      <c r="M1008" t="s">
        <v>19</v>
      </c>
      <c r="N1008">
        <v>22</v>
      </c>
      <c r="O1008">
        <v>5</v>
      </c>
      <c r="P1008">
        <v>13</v>
      </c>
      <c r="Q1008">
        <v>14.745323199188199</v>
      </c>
      <c r="R1008">
        <v>8</v>
      </c>
      <c r="T1008" s="340" t="str">
        <f t="shared" si="78"/>
        <v>2000MaleAllEth23Poisoning by gases and vapours</v>
      </c>
      <c r="U1008">
        <v>2000</v>
      </c>
      <c r="V1008" t="s">
        <v>20</v>
      </c>
      <c r="W1008" t="s">
        <v>27</v>
      </c>
      <c r="X1008">
        <v>23</v>
      </c>
      <c r="Y1008" t="s">
        <v>46</v>
      </c>
      <c r="Z1008">
        <v>40</v>
      </c>
      <c r="AA1008">
        <v>171</v>
      </c>
      <c r="AB1008">
        <v>23.4</v>
      </c>
    </row>
    <row r="1009" spans="1:28">
      <c r="A1009" t="str">
        <f t="shared" si="76"/>
        <v>2014AllSexMaori22</v>
      </c>
      <c r="B1009">
        <v>2014</v>
      </c>
      <c r="C1009" t="s">
        <v>17</v>
      </c>
      <c r="D1009" t="s">
        <v>18</v>
      </c>
      <c r="E1009">
        <v>22</v>
      </c>
      <c r="F1009">
        <v>28</v>
      </c>
      <c r="G1009">
        <v>21.611608521148501</v>
      </c>
      <c r="H1009">
        <v>8</v>
      </c>
      <c r="J1009" s="340" t="str">
        <f t="shared" si="77"/>
        <v>2002AllSexNon-Maori231</v>
      </c>
      <c r="K1009">
        <v>2002</v>
      </c>
      <c r="L1009" t="s">
        <v>17</v>
      </c>
      <c r="M1009" t="s">
        <v>19</v>
      </c>
      <c r="N1009">
        <v>23</v>
      </c>
      <c r="O1009">
        <v>1</v>
      </c>
      <c r="P1009">
        <v>23</v>
      </c>
      <c r="Q1009">
        <v>10.5401073972339</v>
      </c>
      <c r="R1009">
        <v>4.3</v>
      </c>
      <c r="T1009" s="340" t="str">
        <f t="shared" si="78"/>
        <v>2000MaleAllEth24Poisoning by gases and vapours</v>
      </c>
      <c r="U1009">
        <v>2000</v>
      </c>
      <c r="V1009" t="s">
        <v>20</v>
      </c>
      <c r="W1009" t="s">
        <v>27</v>
      </c>
      <c r="X1009">
        <v>24</v>
      </c>
      <c r="Y1009" t="s">
        <v>46</v>
      </c>
      <c r="Z1009">
        <v>28</v>
      </c>
      <c r="AA1009">
        <v>80</v>
      </c>
      <c r="AB1009">
        <v>35</v>
      </c>
    </row>
    <row r="1010" spans="1:28">
      <c r="A1010" t="str">
        <f t="shared" si="76"/>
        <v>2014AllSexMaori23</v>
      </c>
      <c r="B1010">
        <v>2014</v>
      </c>
      <c r="C1010" t="s">
        <v>17</v>
      </c>
      <c r="D1010" t="s">
        <v>18</v>
      </c>
      <c r="E1010">
        <v>23</v>
      </c>
      <c r="F1010">
        <v>51</v>
      </c>
      <c r="G1010">
        <v>30.236556589790698</v>
      </c>
      <c r="H1010">
        <v>8.3000000000000007</v>
      </c>
      <c r="J1010" s="340" t="str">
        <f t="shared" si="77"/>
        <v>2002AllSexNon-Maori232</v>
      </c>
      <c r="K1010">
        <v>2002</v>
      </c>
      <c r="L1010" t="s">
        <v>17</v>
      </c>
      <c r="M1010" t="s">
        <v>19</v>
      </c>
      <c r="N1010">
        <v>23</v>
      </c>
      <c r="O1010">
        <v>2</v>
      </c>
      <c r="P1010">
        <v>36</v>
      </c>
      <c r="Q1010">
        <v>16.2114651191233</v>
      </c>
      <c r="R1010">
        <v>5.3</v>
      </c>
      <c r="T1010" s="340" t="str">
        <f t="shared" si="78"/>
        <v>2000MaleAllEth25Poisoning by gases and vapours</v>
      </c>
      <c r="U1010">
        <v>2000</v>
      </c>
      <c r="V1010" t="s">
        <v>20</v>
      </c>
      <c r="W1010" t="s">
        <v>27</v>
      </c>
      <c r="X1010">
        <v>25</v>
      </c>
      <c r="Y1010" t="s">
        <v>46</v>
      </c>
      <c r="Z1010">
        <v>7</v>
      </c>
      <c r="AA1010">
        <v>41</v>
      </c>
      <c r="AB1010">
        <v>17.100000000000001</v>
      </c>
    </row>
    <row r="1011" spans="1:28">
      <c r="A1011" t="str">
        <f t="shared" si="76"/>
        <v>2014AllSexMaori24</v>
      </c>
      <c r="B1011">
        <v>2014</v>
      </c>
      <c r="C1011" t="s">
        <v>17</v>
      </c>
      <c r="D1011" t="s">
        <v>18</v>
      </c>
      <c r="E1011">
        <v>24</v>
      </c>
      <c r="F1011">
        <v>11</v>
      </c>
      <c r="G1011">
        <v>8.4207303069738995</v>
      </c>
      <c r="H1011">
        <v>5</v>
      </c>
      <c r="J1011" s="340" t="str">
        <f t="shared" si="77"/>
        <v>2002AllSexNon-Maori233</v>
      </c>
      <c r="K1011">
        <v>2002</v>
      </c>
      <c r="L1011" t="s">
        <v>17</v>
      </c>
      <c r="M1011" t="s">
        <v>19</v>
      </c>
      <c r="N1011">
        <v>23</v>
      </c>
      <c r="O1011">
        <v>3</v>
      </c>
      <c r="P1011">
        <v>37</v>
      </c>
      <c r="Q1011">
        <v>17.460229234985</v>
      </c>
      <c r="R1011">
        <v>5.6</v>
      </c>
      <c r="T1011" s="340" t="str">
        <f t="shared" si="78"/>
        <v>2000MaleAllEth23Poisoning by solids and liquids</v>
      </c>
      <c r="U1011">
        <v>2000</v>
      </c>
      <c r="V1011" t="s">
        <v>20</v>
      </c>
      <c r="W1011" t="s">
        <v>27</v>
      </c>
      <c r="X1011">
        <v>23</v>
      </c>
      <c r="Y1011" t="s">
        <v>47</v>
      </c>
      <c r="Z1011">
        <v>10</v>
      </c>
      <c r="AA1011">
        <v>171</v>
      </c>
      <c r="AB1011">
        <v>5.8</v>
      </c>
    </row>
    <row r="1012" spans="1:28">
      <c r="A1012" t="str">
        <f t="shared" si="76"/>
        <v>2014AllSexMaori25</v>
      </c>
      <c r="B1012">
        <v>2014</v>
      </c>
      <c r="C1012" t="s">
        <v>17</v>
      </c>
      <c r="D1012" t="s">
        <v>18</v>
      </c>
      <c r="E1012">
        <v>25</v>
      </c>
      <c r="F1012">
        <v>0</v>
      </c>
      <c r="G1012">
        <v>0</v>
      </c>
      <c r="J1012" s="340" t="str">
        <f t="shared" si="77"/>
        <v>2002AllSexNon-Maori234</v>
      </c>
      <c r="K1012">
        <v>2002</v>
      </c>
      <c r="L1012" t="s">
        <v>17</v>
      </c>
      <c r="M1012" t="s">
        <v>19</v>
      </c>
      <c r="N1012">
        <v>23</v>
      </c>
      <c r="O1012">
        <v>4</v>
      </c>
      <c r="P1012">
        <v>33</v>
      </c>
      <c r="Q1012">
        <v>17.211653568173102</v>
      </c>
      <c r="R1012">
        <v>5.9</v>
      </c>
      <c r="T1012" s="340" t="str">
        <f t="shared" si="78"/>
        <v>2000MaleAllEth24Poisoning by solids and liquids</v>
      </c>
      <c r="U1012">
        <v>2000</v>
      </c>
      <c r="V1012" t="s">
        <v>20</v>
      </c>
      <c r="W1012" t="s">
        <v>27</v>
      </c>
      <c r="X1012">
        <v>24</v>
      </c>
      <c r="Y1012" t="s">
        <v>47</v>
      </c>
      <c r="Z1012">
        <v>6</v>
      </c>
      <c r="AA1012">
        <v>80</v>
      </c>
      <c r="AB1012">
        <v>7.5</v>
      </c>
    </row>
    <row r="1013" spans="1:28">
      <c r="A1013" t="str">
        <f t="shared" si="76"/>
        <v>2014AllSexNon-Maori21</v>
      </c>
      <c r="B1013">
        <v>2014</v>
      </c>
      <c r="C1013" t="s">
        <v>17</v>
      </c>
      <c r="D1013" t="s">
        <v>19</v>
      </c>
      <c r="E1013">
        <v>21</v>
      </c>
      <c r="F1013">
        <v>3</v>
      </c>
      <c r="G1013">
        <v>0.44339343777712098</v>
      </c>
      <c r="H1013">
        <v>0.5</v>
      </c>
      <c r="J1013" s="340" t="str">
        <f t="shared" si="77"/>
        <v>2002AllSexNon-Maori235</v>
      </c>
      <c r="K1013">
        <v>2002</v>
      </c>
      <c r="L1013" t="s">
        <v>17</v>
      </c>
      <c r="M1013" t="s">
        <v>19</v>
      </c>
      <c r="N1013">
        <v>23</v>
      </c>
      <c r="O1013">
        <v>5</v>
      </c>
      <c r="P1013">
        <v>34</v>
      </c>
      <c r="Q1013">
        <v>23.0680319489047</v>
      </c>
      <c r="R1013">
        <v>7.8</v>
      </c>
      <c r="T1013" s="340" t="str">
        <f t="shared" si="78"/>
        <v>2000MaleAllEth25Poisoning by solids and liquids</v>
      </c>
      <c r="U1013">
        <v>2000</v>
      </c>
      <c r="V1013" t="s">
        <v>20</v>
      </c>
      <c r="W1013" t="s">
        <v>27</v>
      </c>
      <c r="X1013">
        <v>25</v>
      </c>
      <c r="Y1013" t="s">
        <v>47</v>
      </c>
      <c r="Z1013">
        <v>4</v>
      </c>
      <c r="AA1013">
        <v>41</v>
      </c>
      <c r="AB1013">
        <v>9.8000000000000007</v>
      </c>
    </row>
    <row r="1014" spans="1:28">
      <c r="A1014" t="str">
        <f t="shared" si="76"/>
        <v>2014AllSexNon-Maori22</v>
      </c>
      <c r="B1014">
        <v>2014</v>
      </c>
      <c r="C1014" t="s">
        <v>17</v>
      </c>
      <c r="D1014" t="s">
        <v>19</v>
      </c>
      <c r="E1014">
        <v>22</v>
      </c>
      <c r="F1014">
        <v>61</v>
      </c>
      <c r="G1014">
        <v>11.938779504442801</v>
      </c>
      <c r="H1014">
        <v>3</v>
      </c>
      <c r="J1014" s="340" t="str">
        <f t="shared" si="77"/>
        <v>2002AllSexNon-Maori241</v>
      </c>
      <c r="K1014">
        <v>2002</v>
      </c>
      <c r="L1014" t="s">
        <v>17</v>
      </c>
      <c r="M1014" t="s">
        <v>19</v>
      </c>
      <c r="N1014">
        <v>24</v>
      </c>
      <c r="O1014">
        <v>1</v>
      </c>
      <c r="P1014">
        <v>17</v>
      </c>
      <c r="Q1014">
        <v>7.8821437748943604</v>
      </c>
      <c r="R1014">
        <v>3.7</v>
      </c>
      <c r="T1014" s="340" t="str">
        <f t="shared" si="78"/>
        <v>2000MaleAllEth22Sharp object</v>
      </c>
      <c r="U1014">
        <v>2000</v>
      </c>
      <c r="V1014" t="s">
        <v>20</v>
      </c>
      <c r="W1014" t="s">
        <v>27</v>
      </c>
      <c r="X1014">
        <v>22</v>
      </c>
      <c r="Y1014" t="s">
        <v>48</v>
      </c>
      <c r="Z1014">
        <v>3</v>
      </c>
      <c r="AA1014">
        <v>81</v>
      </c>
      <c r="AB1014">
        <v>3.7</v>
      </c>
    </row>
    <row r="1015" spans="1:28">
      <c r="A1015" t="str">
        <f t="shared" si="76"/>
        <v>2014AllSexNon-Maori23</v>
      </c>
      <c r="B1015">
        <v>2014</v>
      </c>
      <c r="C1015" t="s">
        <v>17</v>
      </c>
      <c r="D1015" t="s">
        <v>19</v>
      </c>
      <c r="E1015">
        <v>23</v>
      </c>
      <c r="F1015">
        <v>139</v>
      </c>
      <c r="G1015">
        <v>14.0580120555039</v>
      </c>
      <c r="H1015">
        <v>2.2999999999999998</v>
      </c>
      <c r="J1015" s="340" t="str">
        <f t="shared" si="77"/>
        <v>2002AllSexNon-Maori242</v>
      </c>
      <c r="K1015">
        <v>2002</v>
      </c>
      <c r="L1015" t="s">
        <v>17</v>
      </c>
      <c r="M1015" t="s">
        <v>19</v>
      </c>
      <c r="N1015">
        <v>24</v>
      </c>
      <c r="O1015">
        <v>2</v>
      </c>
      <c r="P1015">
        <v>25</v>
      </c>
      <c r="Q1015">
        <v>13.461675469019401</v>
      </c>
      <c r="R1015">
        <v>5.3</v>
      </c>
      <c r="T1015" s="340" t="str">
        <f t="shared" si="78"/>
        <v>2000MaleAllEth23Sharp object</v>
      </c>
      <c r="U1015">
        <v>2000</v>
      </c>
      <c r="V1015" t="s">
        <v>20</v>
      </c>
      <c r="W1015" t="s">
        <v>27</v>
      </c>
      <c r="X1015">
        <v>23</v>
      </c>
      <c r="Y1015" t="s">
        <v>48</v>
      </c>
      <c r="Z1015">
        <v>2</v>
      </c>
      <c r="AA1015">
        <v>171</v>
      </c>
      <c r="AB1015">
        <v>1.2</v>
      </c>
    </row>
    <row r="1016" spans="1:28">
      <c r="A1016" t="str">
        <f t="shared" si="76"/>
        <v>2014AllSexNon-Maori24</v>
      </c>
      <c r="B1016">
        <v>2014</v>
      </c>
      <c r="C1016" t="s">
        <v>17</v>
      </c>
      <c r="D1016" t="s">
        <v>19</v>
      </c>
      <c r="E1016">
        <v>24</v>
      </c>
      <c r="F1016">
        <v>154</v>
      </c>
      <c r="G1016">
        <v>15.051850693460301</v>
      </c>
      <c r="H1016">
        <v>2.4</v>
      </c>
      <c r="J1016" s="340" t="str">
        <f t="shared" si="77"/>
        <v>2002AllSexNon-Maori243</v>
      </c>
      <c r="K1016">
        <v>2002</v>
      </c>
      <c r="L1016" t="s">
        <v>17</v>
      </c>
      <c r="M1016" t="s">
        <v>19</v>
      </c>
      <c r="N1016">
        <v>24</v>
      </c>
      <c r="O1016">
        <v>3</v>
      </c>
      <c r="P1016">
        <v>13</v>
      </c>
      <c r="Q1016">
        <v>8.0650259082122897</v>
      </c>
      <c r="R1016">
        <v>4.4000000000000004</v>
      </c>
      <c r="T1016" s="340" t="str">
        <f t="shared" si="78"/>
        <v>2000MaleAllEth24Sharp object</v>
      </c>
      <c r="U1016">
        <v>2000</v>
      </c>
      <c r="V1016" t="s">
        <v>20</v>
      </c>
      <c r="W1016" t="s">
        <v>27</v>
      </c>
      <c r="X1016">
        <v>24</v>
      </c>
      <c r="Y1016" t="s">
        <v>48</v>
      </c>
      <c r="Z1016">
        <v>3</v>
      </c>
      <c r="AA1016">
        <v>80</v>
      </c>
      <c r="AB1016">
        <v>3.8</v>
      </c>
    </row>
    <row r="1017" spans="1:28">
      <c r="A1017" t="str">
        <f t="shared" si="76"/>
        <v>2014AllSexNon-Maori25</v>
      </c>
      <c r="B1017">
        <v>2014</v>
      </c>
      <c r="C1017" t="s">
        <v>17</v>
      </c>
      <c r="D1017" t="s">
        <v>19</v>
      </c>
      <c r="E1017">
        <v>25</v>
      </c>
      <c r="F1017">
        <v>60</v>
      </c>
      <c r="G1017">
        <v>9.8053635338530203</v>
      </c>
      <c r="H1017">
        <v>2.5</v>
      </c>
      <c r="J1017" s="340" t="str">
        <f t="shared" si="77"/>
        <v>2002AllSexNon-Maori244</v>
      </c>
      <c r="K1017">
        <v>2002</v>
      </c>
      <c r="L1017" t="s">
        <v>17</v>
      </c>
      <c r="M1017" t="s">
        <v>19</v>
      </c>
      <c r="N1017">
        <v>24</v>
      </c>
      <c r="O1017">
        <v>4</v>
      </c>
      <c r="P1017">
        <v>27</v>
      </c>
      <c r="Q1017">
        <v>19.520758003770901</v>
      </c>
      <c r="R1017">
        <v>7.4</v>
      </c>
      <c r="T1017" s="340" t="str">
        <f t="shared" si="78"/>
        <v>2000MaleAllEth25Sharp object</v>
      </c>
      <c r="U1017">
        <v>2000</v>
      </c>
      <c r="V1017" t="s">
        <v>20</v>
      </c>
      <c r="W1017" t="s">
        <v>27</v>
      </c>
      <c r="X1017">
        <v>25</v>
      </c>
      <c r="Y1017" t="s">
        <v>48</v>
      </c>
      <c r="Z1017">
        <v>1</v>
      </c>
      <c r="AA1017">
        <v>41</v>
      </c>
      <c r="AB1017">
        <v>2.4</v>
      </c>
    </row>
    <row r="1018" spans="1:28">
      <c r="A1018" t="str">
        <f t="shared" si="76"/>
        <v>2014FemaleAllEth21</v>
      </c>
      <c r="B1018">
        <v>2014</v>
      </c>
      <c r="C1018" t="s">
        <v>8</v>
      </c>
      <c r="D1018" t="s">
        <v>27</v>
      </c>
      <c r="E1018">
        <v>21</v>
      </c>
      <c r="F1018">
        <v>4</v>
      </c>
      <c r="G1018">
        <v>0.90098207045679801</v>
      </c>
      <c r="H1018">
        <v>0.9</v>
      </c>
      <c r="J1018" s="340" t="str">
        <f t="shared" si="77"/>
        <v>2002AllSexNon-Maori245</v>
      </c>
      <c r="K1018">
        <v>2002</v>
      </c>
      <c r="L1018" t="s">
        <v>17</v>
      </c>
      <c r="M1018" t="s">
        <v>19</v>
      </c>
      <c r="N1018">
        <v>24</v>
      </c>
      <c r="O1018">
        <v>5</v>
      </c>
      <c r="P1018">
        <v>14</v>
      </c>
      <c r="Q1018">
        <v>13.6978088659093</v>
      </c>
      <c r="R1018">
        <v>7.2</v>
      </c>
      <c r="T1018" s="340" t="str">
        <f t="shared" si="78"/>
        <v>2000MaleAllEth23Submersion (drowning)</v>
      </c>
      <c r="U1018">
        <v>2000</v>
      </c>
      <c r="V1018" t="s">
        <v>20</v>
      </c>
      <c r="W1018" t="s">
        <v>27</v>
      </c>
      <c r="X1018">
        <v>23</v>
      </c>
      <c r="Y1018" t="s">
        <v>49</v>
      </c>
      <c r="Z1018">
        <v>6</v>
      </c>
      <c r="AA1018">
        <v>171</v>
      </c>
      <c r="AB1018">
        <v>3.5</v>
      </c>
    </row>
    <row r="1019" spans="1:28">
      <c r="A1019" t="str">
        <f t="shared" si="76"/>
        <v>2014FemaleAllEth22</v>
      </c>
      <c r="B1019">
        <v>2014</v>
      </c>
      <c r="C1019" t="s">
        <v>8</v>
      </c>
      <c r="D1019" t="s">
        <v>27</v>
      </c>
      <c r="E1019">
        <v>22</v>
      </c>
      <c r="F1019">
        <v>21</v>
      </c>
      <c r="G1019">
        <v>6.7275348390197003</v>
      </c>
      <c r="H1019">
        <v>2.9</v>
      </c>
      <c r="J1019" s="340" t="str">
        <f t="shared" si="77"/>
        <v>2002AllSexNon-Maori251</v>
      </c>
      <c r="K1019">
        <v>2002</v>
      </c>
      <c r="L1019" t="s">
        <v>17</v>
      </c>
      <c r="M1019" t="s">
        <v>19</v>
      </c>
      <c r="N1019">
        <v>25</v>
      </c>
      <c r="O1019">
        <v>1</v>
      </c>
      <c r="P1019">
        <v>9</v>
      </c>
      <c r="Q1019">
        <v>9.9846521149704905</v>
      </c>
      <c r="R1019">
        <v>6.5</v>
      </c>
      <c r="T1019" s="340" t="str">
        <f t="shared" si="78"/>
        <v>2000MaleAllEth24Submersion (drowning)</v>
      </c>
      <c r="U1019">
        <v>2000</v>
      </c>
      <c r="V1019" t="s">
        <v>20</v>
      </c>
      <c r="W1019" t="s">
        <v>27</v>
      </c>
      <c r="X1019">
        <v>24</v>
      </c>
      <c r="Y1019" t="s">
        <v>49</v>
      </c>
      <c r="Z1019">
        <v>4</v>
      </c>
      <c r="AA1019">
        <v>80</v>
      </c>
      <c r="AB1019">
        <v>5</v>
      </c>
    </row>
    <row r="1020" spans="1:28">
      <c r="A1020" t="str">
        <f t="shared" si="76"/>
        <v>2014FemaleAllEth23</v>
      </c>
      <c r="B1020">
        <v>2014</v>
      </c>
      <c r="C1020" t="s">
        <v>8</v>
      </c>
      <c r="D1020" t="s">
        <v>27</v>
      </c>
      <c r="E1020">
        <v>23</v>
      </c>
      <c r="F1020">
        <v>50</v>
      </c>
      <c r="G1020">
        <v>8.3223755388738194</v>
      </c>
      <c r="H1020">
        <v>2.2999999999999998</v>
      </c>
      <c r="J1020" s="340" t="str">
        <f t="shared" si="77"/>
        <v>2002AllSexNon-Maori252</v>
      </c>
      <c r="K1020">
        <v>2002</v>
      </c>
      <c r="L1020" t="s">
        <v>17</v>
      </c>
      <c r="M1020" t="s">
        <v>19</v>
      </c>
      <c r="N1020">
        <v>25</v>
      </c>
      <c r="O1020">
        <v>2</v>
      </c>
      <c r="P1020">
        <v>10</v>
      </c>
      <c r="Q1020">
        <v>10.477201059545299</v>
      </c>
      <c r="R1020">
        <v>6.5</v>
      </c>
      <c r="T1020" s="340" t="str">
        <f t="shared" si="78"/>
        <v>2000MaleAllEth25Submersion (drowning)</v>
      </c>
      <c r="U1020">
        <v>2000</v>
      </c>
      <c r="V1020" t="s">
        <v>20</v>
      </c>
      <c r="W1020" t="s">
        <v>27</v>
      </c>
      <c r="X1020">
        <v>25</v>
      </c>
      <c r="Y1020" t="s">
        <v>49</v>
      </c>
      <c r="Z1020">
        <v>2</v>
      </c>
      <c r="AA1020">
        <v>41</v>
      </c>
      <c r="AB1020">
        <v>4.9000000000000004</v>
      </c>
    </row>
    <row r="1021" spans="1:28">
      <c r="A1021" t="str">
        <f t="shared" si="76"/>
        <v>2014FemaleAllEth24</v>
      </c>
      <c r="B1021">
        <v>2014</v>
      </c>
      <c r="C1021" t="s">
        <v>8</v>
      </c>
      <c r="D1021" t="s">
        <v>27</v>
      </c>
      <c r="E1021">
        <v>24</v>
      </c>
      <c r="F1021">
        <v>45</v>
      </c>
      <c r="G1021">
        <v>7.5585789871504199</v>
      </c>
      <c r="H1021">
        <v>2.2000000000000002</v>
      </c>
      <c r="J1021" s="340" t="str">
        <f t="shared" si="77"/>
        <v>2002AllSexNon-Maori253</v>
      </c>
      <c r="K1021">
        <v>2002</v>
      </c>
      <c r="L1021" t="s">
        <v>17</v>
      </c>
      <c r="M1021" t="s">
        <v>19</v>
      </c>
      <c r="N1021">
        <v>25</v>
      </c>
      <c r="O1021">
        <v>3</v>
      </c>
      <c r="P1021">
        <v>9</v>
      </c>
      <c r="Q1021">
        <v>9.1861337663015998</v>
      </c>
      <c r="R1021">
        <v>6</v>
      </c>
      <c r="T1021" s="340" t="str">
        <f t="shared" si="78"/>
        <v>2000MaleMaori23Firearms and explosives</v>
      </c>
      <c r="U1021">
        <v>2000</v>
      </c>
      <c r="V1021" t="s">
        <v>20</v>
      </c>
      <c r="W1021" t="s">
        <v>18</v>
      </c>
      <c r="X1021">
        <v>23</v>
      </c>
      <c r="Y1021" t="s">
        <v>42</v>
      </c>
      <c r="Z1021">
        <v>3</v>
      </c>
      <c r="AA1021">
        <v>35</v>
      </c>
      <c r="AB1021">
        <v>8.6</v>
      </c>
    </row>
    <row r="1022" spans="1:28">
      <c r="A1022" t="str">
        <f t="shared" si="76"/>
        <v>2014FemaleAllEth25</v>
      </c>
      <c r="B1022">
        <v>2014</v>
      </c>
      <c r="C1022" t="s">
        <v>8</v>
      </c>
      <c r="D1022" t="s">
        <v>27</v>
      </c>
      <c r="E1022">
        <v>25</v>
      </c>
      <c r="F1022">
        <v>11</v>
      </c>
      <c r="G1022">
        <v>3.1469931910511</v>
      </c>
      <c r="H1022">
        <v>1.9</v>
      </c>
      <c r="J1022" s="340" t="str">
        <f t="shared" si="77"/>
        <v>2002AllSexNon-Maori254</v>
      </c>
      <c r="K1022">
        <v>2002</v>
      </c>
      <c r="L1022" t="s">
        <v>17</v>
      </c>
      <c r="M1022" t="s">
        <v>19</v>
      </c>
      <c r="N1022">
        <v>25</v>
      </c>
      <c r="O1022">
        <v>4</v>
      </c>
      <c r="P1022">
        <v>8</v>
      </c>
      <c r="Q1022">
        <v>8.3390941271456605</v>
      </c>
      <c r="R1022">
        <v>5.8</v>
      </c>
      <c r="T1022" s="340" t="str">
        <f t="shared" si="78"/>
        <v>2000MaleMaori24Firearms and explosives</v>
      </c>
      <c r="U1022">
        <v>2000</v>
      </c>
      <c r="V1022" t="s">
        <v>20</v>
      </c>
      <c r="W1022" t="s">
        <v>18</v>
      </c>
      <c r="X1022">
        <v>24</v>
      </c>
      <c r="Y1022" t="s">
        <v>42</v>
      </c>
      <c r="Z1022">
        <v>1</v>
      </c>
      <c r="AA1022">
        <v>8</v>
      </c>
      <c r="AB1022">
        <v>12.5</v>
      </c>
    </row>
    <row r="1023" spans="1:28">
      <c r="A1023" t="str">
        <f t="shared" si="76"/>
        <v>2014FemaleMaori21</v>
      </c>
      <c r="B1023">
        <v>2014</v>
      </c>
      <c r="C1023" t="s">
        <v>8</v>
      </c>
      <c r="D1023" t="s">
        <v>18</v>
      </c>
      <c r="E1023">
        <v>21</v>
      </c>
      <c r="F1023">
        <v>2</v>
      </c>
      <c r="G1023">
        <v>1.7551557700745899</v>
      </c>
      <c r="H1023">
        <v>2.4</v>
      </c>
      <c r="J1023" s="340" t="str">
        <f t="shared" si="77"/>
        <v>2002AllSexNon-Maori255</v>
      </c>
      <c r="K1023">
        <v>2002</v>
      </c>
      <c r="L1023" t="s">
        <v>17</v>
      </c>
      <c r="M1023" t="s">
        <v>19</v>
      </c>
      <c r="N1023">
        <v>25</v>
      </c>
      <c r="O1023">
        <v>5</v>
      </c>
      <c r="P1023">
        <v>11</v>
      </c>
      <c r="Q1023">
        <v>16.386388921178099</v>
      </c>
      <c r="R1023">
        <v>9.6999999999999993</v>
      </c>
      <c r="T1023" s="340" t="str">
        <f t="shared" si="78"/>
        <v>2000MaleMaori21Hanging, strangulation and suffocation</v>
      </c>
      <c r="U1023">
        <v>2000</v>
      </c>
      <c r="V1023" t="s">
        <v>20</v>
      </c>
      <c r="W1023" t="s">
        <v>18</v>
      </c>
      <c r="X1023">
        <v>21</v>
      </c>
      <c r="Y1023" t="s">
        <v>43</v>
      </c>
      <c r="Z1023">
        <v>1</v>
      </c>
      <c r="AA1023">
        <v>1</v>
      </c>
      <c r="AB1023">
        <v>100</v>
      </c>
    </row>
    <row r="1024" spans="1:28">
      <c r="A1024" t="str">
        <f t="shared" si="76"/>
        <v>2014FemaleMaori22</v>
      </c>
      <c r="B1024">
        <v>2014</v>
      </c>
      <c r="C1024" t="s">
        <v>8</v>
      </c>
      <c r="D1024" t="s">
        <v>18</v>
      </c>
      <c r="E1024">
        <v>22</v>
      </c>
      <c r="F1024">
        <v>8</v>
      </c>
      <c r="G1024">
        <v>12.405024034734099</v>
      </c>
      <c r="H1024">
        <v>8.6</v>
      </c>
      <c r="J1024" s="340" t="str">
        <f t="shared" si="77"/>
        <v>2002FemaleAllEth211</v>
      </c>
      <c r="K1024">
        <v>2002</v>
      </c>
      <c r="L1024" t="s">
        <v>8</v>
      </c>
      <c r="M1024" t="s">
        <v>27</v>
      </c>
      <c r="N1024">
        <v>21</v>
      </c>
      <c r="O1024">
        <v>1</v>
      </c>
      <c r="P1024">
        <v>0</v>
      </c>
      <c r="Q1024">
        <v>0</v>
      </c>
      <c r="T1024" s="340" t="str">
        <f t="shared" si="78"/>
        <v>2000MaleMaori22Hanging, strangulation and suffocation</v>
      </c>
      <c r="U1024">
        <v>2000</v>
      </c>
      <c r="V1024" t="s">
        <v>20</v>
      </c>
      <c r="W1024" t="s">
        <v>18</v>
      </c>
      <c r="X1024">
        <v>22</v>
      </c>
      <c r="Y1024" t="s">
        <v>43</v>
      </c>
      <c r="Z1024">
        <v>20</v>
      </c>
      <c r="AA1024">
        <v>24</v>
      </c>
      <c r="AB1024">
        <v>83.3</v>
      </c>
    </row>
    <row r="1025" spans="1:28">
      <c r="A1025" t="str">
        <f t="shared" si="76"/>
        <v>2014FemaleMaori23</v>
      </c>
      <c r="B1025">
        <v>2014</v>
      </c>
      <c r="C1025" t="s">
        <v>8</v>
      </c>
      <c r="D1025" t="s">
        <v>18</v>
      </c>
      <c r="E1025">
        <v>23</v>
      </c>
      <c r="F1025">
        <v>15</v>
      </c>
      <c r="G1025">
        <v>16.458196181698501</v>
      </c>
      <c r="H1025">
        <v>8.3000000000000007</v>
      </c>
      <c r="J1025" s="340" t="str">
        <f t="shared" si="77"/>
        <v>2002FemaleAllEth212</v>
      </c>
      <c r="K1025">
        <v>2002</v>
      </c>
      <c r="L1025" t="s">
        <v>8</v>
      </c>
      <c r="M1025" t="s">
        <v>27</v>
      </c>
      <c r="N1025">
        <v>21</v>
      </c>
      <c r="O1025">
        <v>2</v>
      </c>
      <c r="P1025">
        <v>0</v>
      </c>
      <c r="Q1025">
        <v>0</v>
      </c>
      <c r="T1025" s="340" t="str">
        <f t="shared" si="78"/>
        <v>2000MaleMaori23Hanging, strangulation and suffocation</v>
      </c>
      <c r="U1025">
        <v>2000</v>
      </c>
      <c r="V1025" t="s">
        <v>20</v>
      </c>
      <c r="W1025" t="s">
        <v>18</v>
      </c>
      <c r="X1025">
        <v>23</v>
      </c>
      <c r="Y1025" t="s">
        <v>43</v>
      </c>
      <c r="Z1025">
        <v>25</v>
      </c>
      <c r="AA1025">
        <v>35</v>
      </c>
      <c r="AB1025">
        <v>71.400000000000006</v>
      </c>
    </row>
    <row r="1026" spans="1:28">
      <c r="A1026" t="str">
        <f t="shared" si="76"/>
        <v>2014FemaleMaori24</v>
      </c>
      <c r="B1026">
        <v>2014</v>
      </c>
      <c r="C1026" t="s">
        <v>8</v>
      </c>
      <c r="D1026" t="s">
        <v>18</v>
      </c>
      <c r="E1026">
        <v>24</v>
      </c>
      <c r="F1026">
        <v>2</v>
      </c>
      <c r="G1026">
        <v>2.88433804441881</v>
      </c>
      <c r="H1026">
        <v>4</v>
      </c>
      <c r="J1026" s="340" t="str">
        <f t="shared" si="77"/>
        <v>2002FemaleAllEth213</v>
      </c>
      <c r="K1026">
        <v>2002</v>
      </c>
      <c r="L1026" t="s">
        <v>8</v>
      </c>
      <c r="M1026" t="s">
        <v>27</v>
      </c>
      <c r="N1026">
        <v>21</v>
      </c>
      <c r="O1026">
        <v>3</v>
      </c>
      <c r="P1026">
        <v>0</v>
      </c>
      <c r="Q1026">
        <v>0</v>
      </c>
      <c r="T1026" s="340" t="str">
        <f t="shared" si="78"/>
        <v>2000MaleMaori24Hanging, strangulation and suffocation</v>
      </c>
      <c r="U1026">
        <v>2000</v>
      </c>
      <c r="V1026" t="s">
        <v>20</v>
      </c>
      <c r="W1026" t="s">
        <v>18</v>
      </c>
      <c r="X1026">
        <v>24</v>
      </c>
      <c r="Y1026" t="s">
        <v>43</v>
      </c>
      <c r="Z1026">
        <v>6</v>
      </c>
      <c r="AA1026">
        <v>8</v>
      </c>
      <c r="AB1026">
        <v>75</v>
      </c>
    </row>
    <row r="1027" spans="1:28">
      <c r="A1027" t="str">
        <f t="shared" si="76"/>
        <v>2014FemaleMaori25</v>
      </c>
      <c r="B1027">
        <v>2014</v>
      </c>
      <c r="C1027" t="s">
        <v>8</v>
      </c>
      <c r="D1027" t="s">
        <v>18</v>
      </c>
      <c r="E1027">
        <v>25</v>
      </c>
      <c r="F1027">
        <v>0</v>
      </c>
      <c r="G1027">
        <v>0</v>
      </c>
      <c r="J1027" s="340" t="str">
        <f t="shared" si="77"/>
        <v>2002FemaleAllEth214</v>
      </c>
      <c r="K1027">
        <v>2002</v>
      </c>
      <c r="L1027" t="s">
        <v>8</v>
      </c>
      <c r="M1027" t="s">
        <v>27</v>
      </c>
      <c r="N1027">
        <v>21</v>
      </c>
      <c r="O1027">
        <v>4</v>
      </c>
      <c r="P1027">
        <v>0</v>
      </c>
      <c r="Q1027">
        <v>0</v>
      </c>
      <c r="T1027" s="340" t="str">
        <f t="shared" si="78"/>
        <v>2000MaleMaori22Jumping from a high place</v>
      </c>
      <c r="U1027">
        <v>2000</v>
      </c>
      <c r="V1027" t="s">
        <v>20</v>
      </c>
      <c r="W1027" t="s">
        <v>18</v>
      </c>
      <c r="X1027">
        <v>22</v>
      </c>
      <c r="Y1027" t="s">
        <v>44</v>
      </c>
      <c r="Z1027">
        <v>1</v>
      </c>
      <c r="AA1027">
        <v>24</v>
      </c>
      <c r="AB1027">
        <v>4.2</v>
      </c>
    </row>
    <row r="1028" spans="1:28">
      <c r="A1028" t="str">
        <f t="shared" ref="A1028:A1091" si="79">B1028&amp;C1028&amp;D1028&amp;E1028</f>
        <v>2014FemaleNon-Maori21</v>
      </c>
      <c r="B1028">
        <v>2014</v>
      </c>
      <c r="C1028" t="s">
        <v>8</v>
      </c>
      <c r="D1028" t="s">
        <v>19</v>
      </c>
      <c r="E1028">
        <v>21</v>
      </c>
      <c r="F1028">
        <v>2</v>
      </c>
      <c r="G1028">
        <v>0.60604224114420802</v>
      </c>
      <c r="H1028">
        <v>0.8</v>
      </c>
      <c r="J1028" s="340" t="str">
        <f t="shared" ref="J1028:J1091" si="80">K1028&amp;L1028&amp;M1028&amp;N1028&amp;O1028</f>
        <v>2002FemaleAllEth215</v>
      </c>
      <c r="K1028">
        <v>2002</v>
      </c>
      <c r="L1028" t="s">
        <v>8</v>
      </c>
      <c r="M1028" t="s">
        <v>27</v>
      </c>
      <c r="N1028">
        <v>21</v>
      </c>
      <c r="O1028">
        <v>5</v>
      </c>
      <c r="P1028">
        <v>0</v>
      </c>
      <c r="Q1028">
        <v>0</v>
      </c>
      <c r="T1028" s="340" t="str">
        <f t="shared" si="78"/>
        <v>2000MaleMaori23Other</v>
      </c>
      <c r="U1028">
        <v>2000</v>
      </c>
      <c r="V1028" t="s">
        <v>20</v>
      </c>
      <c r="W1028" t="s">
        <v>18</v>
      </c>
      <c r="X1028">
        <v>23</v>
      </c>
      <c r="Y1028" t="s">
        <v>45</v>
      </c>
      <c r="Z1028">
        <v>3</v>
      </c>
      <c r="AA1028">
        <v>35</v>
      </c>
      <c r="AB1028">
        <v>8.6</v>
      </c>
    </row>
    <row r="1029" spans="1:28">
      <c r="A1029" t="str">
        <f t="shared" si="79"/>
        <v>2014FemaleNon-Maori22</v>
      </c>
      <c r="B1029">
        <v>2014</v>
      </c>
      <c r="C1029" t="s">
        <v>8</v>
      </c>
      <c r="D1029" t="s">
        <v>19</v>
      </c>
      <c r="E1029">
        <v>22</v>
      </c>
      <c r="F1029">
        <v>13</v>
      </c>
      <c r="G1029">
        <v>5.2491318743438597</v>
      </c>
      <c r="H1029">
        <v>2.9</v>
      </c>
      <c r="J1029" s="340" t="str">
        <f t="shared" si="80"/>
        <v>2002FemaleAllEth221</v>
      </c>
      <c r="K1029">
        <v>2002</v>
      </c>
      <c r="L1029" t="s">
        <v>8</v>
      </c>
      <c r="M1029" t="s">
        <v>27</v>
      </c>
      <c r="N1029">
        <v>22</v>
      </c>
      <c r="O1029">
        <v>1</v>
      </c>
      <c r="P1029">
        <v>4</v>
      </c>
      <c r="Q1029">
        <v>9.0339301878709897</v>
      </c>
      <c r="R1029">
        <v>8.9</v>
      </c>
      <c r="T1029" s="340" t="str">
        <f t="shared" ref="T1029:T1092" si="81">U1029&amp;V1029&amp;W1029&amp;X1029&amp;Y1029</f>
        <v>2000MaleMaori22Poisoning by gases and vapours</v>
      </c>
      <c r="U1029">
        <v>2000</v>
      </c>
      <c r="V1029" t="s">
        <v>20</v>
      </c>
      <c r="W1029" t="s">
        <v>18</v>
      </c>
      <c r="X1029">
        <v>22</v>
      </c>
      <c r="Y1029" t="s">
        <v>46</v>
      </c>
      <c r="Z1029">
        <v>3</v>
      </c>
      <c r="AA1029">
        <v>24</v>
      </c>
      <c r="AB1029">
        <v>12.5</v>
      </c>
    </row>
    <row r="1030" spans="1:28">
      <c r="A1030" t="str">
        <f t="shared" si="79"/>
        <v>2014FemaleNon-Maori23</v>
      </c>
      <c r="B1030">
        <v>2014</v>
      </c>
      <c r="C1030" t="s">
        <v>8</v>
      </c>
      <c r="D1030" t="s">
        <v>19</v>
      </c>
      <c r="E1030">
        <v>23</v>
      </c>
      <c r="F1030">
        <v>35</v>
      </c>
      <c r="G1030">
        <v>6.8674580594525603</v>
      </c>
      <c r="H1030">
        <v>2.2999999999999998</v>
      </c>
      <c r="J1030" s="340" t="str">
        <f t="shared" si="80"/>
        <v>2002FemaleAllEth222</v>
      </c>
      <c r="K1030">
        <v>2002</v>
      </c>
      <c r="L1030" t="s">
        <v>8</v>
      </c>
      <c r="M1030" t="s">
        <v>27</v>
      </c>
      <c r="N1030">
        <v>22</v>
      </c>
      <c r="O1030">
        <v>2</v>
      </c>
      <c r="P1030">
        <v>3</v>
      </c>
      <c r="Q1030">
        <v>6.3173241967454699</v>
      </c>
      <c r="R1030">
        <v>7.1</v>
      </c>
      <c r="T1030" s="340" t="str">
        <f t="shared" si="81"/>
        <v>2000MaleMaori23Poisoning by gases and vapours</v>
      </c>
      <c r="U1030">
        <v>2000</v>
      </c>
      <c r="V1030" t="s">
        <v>20</v>
      </c>
      <c r="W1030" t="s">
        <v>18</v>
      </c>
      <c r="X1030">
        <v>23</v>
      </c>
      <c r="Y1030" t="s">
        <v>46</v>
      </c>
      <c r="Z1030">
        <v>1</v>
      </c>
      <c r="AA1030">
        <v>35</v>
      </c>
      <c r="AB1030">
        <v>2.9</v>
      </c>
    </row>
    <row r="1031" spans="1:28">
      <c r="A1031" t="str">
        <f t="shared" si="79"/>
        <v>2014FemaleNon-Maori24</v>
      </c>
      <c r="B1031">
        <v>2014</v>
      </c>
      <c r="C1031" t="s">
        <v>8</v>
      </c>
      <c r="D1031" t="s">
        <v>19</v>
      </c>
      <c r="E1031">
        <v>24</v>
      </c>
      <c r="F1031">
        <v>43</v>
      </c>
      <c r="G1031">
        <v>8.1747495294766299</v>
      </c>
      <c r="H1031">
        <v>2.4</v>
      </c>
      <c r="J1031" s="340" t="str">
        <f t="shared" si="80"/>
        <v>2002FemaleAllEth223</v>
      </c>
      <c r="K1031">
        <v>2002</v>
      </c>
      <c r="L1031" t="s">
        <v>8</v>
      </c>
      <c r="M1031" t="s">
        <v>27</v>
      </c>
      <c r="N1031">
        <v>22</v>
      </c>
      <c r="O1031">
        <v>3</v>
      </c>
      <c r="P1031">
        <v>7</v>
      </c>
      <c r="Q1031">
        <v>13.394967371770701</v>
      </c>
      <c r="R1031">
        <v>9.9</v>
      </c>
      <c r="T1031" s="340" t="str">
        <f t="shared" si="81"/>
        <v>2000MaleMaori24Poisoning by gases and vapours</v>
      </c>
      <c r="U1031">
        <v>2000</v>
      </c>
      <c r="V1031" t="s">
        <v>20</v>
      </c>
      <c r="W1031" t="s">
        <v>18</v>
      </c>
      <c r="X1031">
        <v>24</v>
      </c>
      <c r="Y1031" t="s">
        <v>46</v>
      </c>
      <c r="Z1031">
        <v>1</v>
      </c>
      <c r="AA1031">
        <v>8</v>
      </c>
      <c r="AB1031">
        <v>12.5</v>
      </c>
    </row>
    <row r="1032" spans="1:28">
      <c r="A1032" t="str">
        <f t="shared" si="79"/>
        <v>2014FemaleNon-Maori25</v>
      </c>
      <c r="B1032">
        <v>2014</v>
      </c>
      <c r="C1032" t="s">
        <v>8</v>
      </c>
      <c r="D1032" t="s">
        <v>19</v>
      </c>
      <c r="E1032">
        <v>25</v>
      </c>
      <c r="F1032">
        <v>11</v>
      </c>
      <c r="G1032">
        <v>3.3487579152459799</v>
      </c>
      <c r="H1032">
        <v>2</v>
      </c>
      <c r="J1032" s="340" t="str">
        <f t="shared" si="80"/>
        <v>2002FemaleAllEth224</v>
      </c>
      <c r="K1032">
        <v>2002</v>
      </c>
      <c r="L1032" t="s">
        <v>8</v>
      </c>
      <c r="M1032" t="s">
        <v>27</v>
      </c>
      <c r="N1032">
        <v>22</v>
      </c>
      <c r="O1032">
        <v>4</v>
      </c>
      <c r="P1032">
        <v>7</v>
      </c>
      <c r="Q1032">
        <v>11.976066169026501</v>
      </c>
      <c r="R1032">
        <v>8.9</v>
      </c>
      <c r="T1032" s="340" t="str">
        <f t="shared" si="81"/>
        <v>2000MaleMaori23Poisoning by solids and liquids</v>
      </c>
      <c r="U1032">
        <v>2000</v>
      </c>
      <c r="V1032" t="s">
        <v>20</v>
      </c>
      <c r="W1032" t="s">
        <v>18</v>
      </c>
      <c r="X1032">
        <v>23</v>
      </c>
      <c r="Y1032" t="s">
        <v>47</v>
      </c>
      <c r="Z1032">
        <v>2</v>
      </c>
      <c r="AA1032">
        <v>35</v>
      </c>
      <c r="AB1032">
        <v>5.7</v>
      </c>
    </row>
    <row r="1033" spans="1:28">
      <c r="A1033" t="str">
        <f t="shared" si="79"/>
        <v>2014MaleAllEth21</v>
      </c>
      <c r="B1033">
        <v>2014</v>
      </c>
      <c r="C1033" t="s">
        <v>20</v>
      </c>
      <c r="D1033" t="s">
        <v>27</v>
      </c>
      <c r="E1033">
        <v>21</v>
      </c>
      <c r="F1033">
        <v>2</v>
      </c>
      <c r="G1033">
        <v>0.42826552462526801</v>
      </c>
      <c r="H1033">
        <v>0.6</v>
      </c>
      <c r="J1033" s="340" t="str">
        <f t="shared" si="80"/>
        <v>2002FemaleAllEth225</v>
      </c>
      <c r="K1033">
        <v>2002</v>
      </c>
      <c r="L1033" t="s">
        <v>8</v>
      </c>
      <c r="M1033" t="s">
        <v>27</v>
      </c>
      <c r="N1033">
        <v>22</v>
      </c>
      <c r="O1033">
        <v>5</v>
      </c>
      <c r="P1033">
        <v>7</v>
      </c>
      <c r="Q1033">
        <v>10.003475661401399</v>
      </c>
      <c r="R1033">
        <v>7.4</v>
      </c>
      <c r="T1033" s="340" t="str">
        <f t="shared" si="81"/>
        <v>2000MaleMaori25Poisoning by solids and liquids</v>
      </c>
      <c r="U1033">
        <v>2000</v>
      </c>
      <c r="V1033" t="s">
        <v>20</v>
      </c>
      <c r="W1033" t="s">
        <v>18</v>
      </c>
      <c r="X1033">
        <v>25</v>
      </c>
      <c r="Y1033" t="s">
        <v>47</v>
      </c>
      <c r="Z1033">
        <v>1</v>
      </c>
      <c r="AA1033">
        <v>1</v>
      </c>
      <c r="AB1033">
        <v>100</v>
      </c>
    </row>
    <row r="1034" spans="1:28">
      <c r="A1034" t="str">
        <f t="shared" si="79"/>
        <v>2014MaleAllEth22</v>
      </c>
      <c r="B1034">
        <v>2014</v>
      </c>
      <c r="C1034" t="s">
        <v>20</v>
      </c>
      <c r="D1034" t="s">
        <v>27</v>
      </c>
      <c r="E1034">
        <v>22</v>
      </c>
      <c r="F1034">
        <v>68</v>
      </c>
      <c r="G1034">
        <v>20.7096086493071</v>
      </c>
      <c r="H1034">
        <v>4.9000000000000004</v>
      </c>
      <c r="J1034" s="340" t="str">
        <f t="shared" si="80"/>
        <v>2002FemaleAllEth231</v>
      </c>
      <c r="K1034">
        <v>2002</v>
      </c>
      <c r="L1034" t="s">
        <v>8</v>
      </c>
      <c r="M1034" t="s">
        <v>27</v>
      </c>
      <c r="N1034">
        <v>23</v>
      </c>
      <c r="O1034">
        <v>1</v>
      </c>
      <c r="P1034">
        <v>6</v>
      </c>
      <c r="Q1034">
        <v>5.0548955918036897</v>
      </c>
      <c r="R1034">
        <v>4</v>
      </c>
      <c r="T1034" s="340" t="str">
        <f t="shared" si="81"/>
        <v>2000MaleMaori23Submersion (drowning)</v>
      </c>
      <c r="U1034">
        <v>2000</v>
      </c>
      <c r="V1034" t="s">
        <v>20</v>
      </c>
      <c r="W1034" t="s">
        <v>18</v>
      </c>
      <c r="X1034">
        <v>23</v>
      </c>
      <c r="Y1034" t="s">
        <v>49</v>
      </c>
      <c r="Z1034">
        <v>1</v>
      </c>
      <c r="AA1034">
        <v>35</v>
      </c>
      <c r="AB1034">
        <v>2.9</v>
      </c>
    </row>
    <row r="1035" spans="1:28">
      <c r="A1035" t="str">
        <f t="shared" si="79"/>
        <v>2014MaleAllEth23</v>
      </c>
      <c r="B1035">
        <v>2014</v>
      </c>
      <c r="C1035" t="s">
        <v>20</v>
      </c>
      <c r="D1035" t="s">
        <v>27</v>
      </c>
      <c r="E1035">
        <v>23</v>
      </c>
      <c r="F1035">
        <v>140</v>
      </c>
      <c r="G1035">
        <v>25.150453606395399</v>
      </c>
      <c r="H1035">
        <v>4.2</v>
      </c>
      <c r="J1035" s="340" t="str">
        <f t="shared" si="80"/>
        <v>2002FemaleAllEth232</v>
      </c>
      <c r="K1035">
        <v>2002</v>
      </c>
      <c r="L1035" t="s">
        <v>8</v>
      </c>
      <c r="M1035" t="s">
        <v>27</v>
      </c>
      <c r="N1035">
        <v>23</v>
      </c>
      <c r="O1035">
        <v>2</v>
      </c>
      <c r="P1035">
        <v>7</v>
      </c>
      <c r="Q1035">
        <v>5.6654950110326903</v>
      </c>
      <c r="R1035">
        <v>4.2</v>
      </c>
      <c r="T1035" s="340" t="str">
        <f t="shared" si="81"/>
        <v>2000MaleNon-Maori22Firearms and explosives</v>
      </c>
      <c r="U1035">
        <v>2000</v>
      </c>
      <c r="V1035" t="s">
        <v>20</v>
      </c>
      <c r="W1035" t="s">
        <v>19</v>
      </c>
      <c r="X1035">
        <v>22</v>
      </c>
      <c r="Y1035" t="s">
        <v>42</v>
      </c>
      <c r="Z1035">
        <v>3</v>
      </c>
      <c r="AA1035">
        <v>57</v>
      </c>
      <c r="AB1035">
        <v>5.3</v>
      </c>
    </row>
    <row r="1036" spans="1:28">
      <c r="A1036" t="str">
        <f t="shared" si="79"/>
        <v>2014MaleAllEth24</v>
      </c>
      <c r="B1036">
        <v>2014</v>
      </c>
      <c r="C1036" t="s">
        <v>20</v>
      </c>
      <c r="D1036" t="s">
        <v>27</v>
      </c>
      <c r="E1036">
        <v>24</v>
      </c>
      <c r="F1036">
        <v>120</v>
      </c>
      <c r="G1036">
        <v>21.489971346704898</v>
      </c>
      <c r="H1036">
        <v>3.8</v>
      </c>
      <c r="J1036" s="340" t="str">
        <f t="shared" si="80"/>
        <v>2002FemaleAllEth233</v>
      </c>
      <c r="K1036">
        <v>2002</v>
      </c>
      <c r="L1036" t="s">
        <v>8</v>
      </c>
      <c r="M1036" t="s">
        <v>27</v>
      </c>
      <c r="N1036">
        <v>23</v>
      </c>
      <c r="O1036">
        <v>3</v>
      </c>
      <c r="P1036">
        <v>10</v>
      </c>
      <c r="Q1036">
        <v>8.1623695557930809</v>
      </c>
      <c r="R1036">
        <v>5.0999999999999996</v>
      </c>
      <c r="T1036" s="340" t="str">
        <f t="shared" si="81"/>
        <v>2000MaleNon-Maori23Firearms and explosives</v>
      </c>
      <c r="U1036">
        <v>2000</v>
      </c>
      <c r="V1036" t="s">
        <v>20</v>
      </c>
      <c r="W1036" t="s">
        <v>19</v>
      </c>
      <c r="X1036">
        <v>23</v>
      </c>
      <c r="Y1036" t="s">
        <v>42</v>
      </c>
      <c r="Z1036">
        <v>15</v>
      </c>
      <c r="AA1036">
        <v>136</v>
      </c>
      <c r="AB1036">
        <v>11</v>
      </c>
    </row>
    <row r="1037" spans="1:28">
      <c r="A1037" t="str">
        <f t="shared" si="79"/>
        <v>2014MaleAllEth25</v>
      </c>
      <c r="B1037">
        <v>2014</v>
      </c>
      <c r="C1037" t="s">
        <v>20</v>
      </c>
      <c r="D1037" t="s">
        <v>27</v>
      </c>
      <c r="E1037">
        <v>25</v>
      </c>
      <c r="F1037">
        <v>49</v>
      </c>
      <c r="G1037">
        <v>16.2817743811264</v>
      </c>
      <c r="H1037">
        <v>4.5999999999999996</v>
      </c>
      <c r="J1037" s="340" t="str">
        <f t="shared" si="80"/>
        <v>2002FemaleAllEth234</v>
      </c>
      <c r="K1037">
        <v>2002</v>
      </c>
      <c r="L1037" t="s">
        <v>8</v>
      </c>
      <c r="M1037" t="s">
        <v>27</v>
      </c>
      <c r="N1037">
        <v>23</v>
      </c>
      <c r="O1037">
        <v>4</v>
      </c>
      <c r="P1037">
        <v>8</v>
      </c>
      <c r="Q1037">
        <v>6.6616732017284503</v>
      </c>
      <c r="R1037">
        <v>4.5999999999999996</v>
      </c>
      <c r="T1037" s="340" t="str">
        <f t="shared" si="81"/>
        <v>2000MaleNon-Maori24Firearms and explosives</v>
      </c>
      <c r="U1037">
        <v>2000</v>
      </c>
      <c r="V1037" t="s">
        <v>20</v>
      </c>
      <c r="W1037" t="s">
        <v>19</v>
      </c>
      <c r="X1037">
        <v>24</v>
      </c>
      <c r="Y1037" t="s">
        <v>42</v>
      </c>
      <c r="Z1037">
        <v>6</v>
      </c>
      <c r="AA1037">
        <v>72</v>
      </c>
      <c r="AB1037">
        <v>8.3000000000000007</v>
      </c>
    </row>
    <row r="1038" spans="1:28">
      <c r="A1038" t="str">
        <f t="shared" si="79"/>
        <v>2014MaleMaori21</v>
      </c>
      <c r="B1038">
        <v>2014</v>
      </c>
      <c r="C1038" t="s">
        <v>20</v>
      </c>
      <c r="D1038" t="s">
        <v>18</v>
      </c>
      <c r="E1038">
        <v>21</v>
      </c>
      <c r="F1038">
        <v>1</v>
      </c>
      <c r="G1038">
        <v>0.83049580599618</v>
      </c>
      <c r="H1038">
        <v>1.6</v>
      </c>
      <c r="J1038" s="340" t="str">
        <f t="shared" si="80"/>
        <v>2002FemaleAllEth235</v>
      </c>
      <c r="K1038">
        <v>2002</v>
      </c>
      <c r="L1038" t="s">
        <v>8</v>
      </c>
      <c r="M1038" t="s">
        <v>27</v>
      </c>
      <c r="N1038">
        <v>23</v>
      </c>
      <c r="O1038">
        <v>5</v>
      </c>
      <c r="P1038">
        <v>11</v>
      </c>
      <c r="Q1038">
        <v>9.5915035351418201</v>
      </c>
      <c r="R1038">
        <v>5.7</v>
      </c>
      <c r="T1038" s="340" t="str">
        <f t="shared" si="81"/>
        <v>2000MaleNon-Maori25Firearms and explosives</v>
      </c>
      <c r="U1038">
        <v>2000</v>
      </c>
      <c r="V1038" t="s">
        <v>20</v>
      </c>
      <c r="W1038" t="s">
        <v>19</v>
      </c>
      <c r="X1038">
        <v>25</v>
      </c>
      <c r="Y1038" t="s">
        <v>42</v>
      </c>
      <c r="Z1038">
        <v>7</v>
      </c>
      <c r="AA1038">
        <v>40</v>
      </c>
      <c r="AB1038">
        <v>17.5</v>
      </c>
    </row>
    <row r="1039" spans="1:28">
      <c r="A1039" t="str">
        <f t="shared" si="79"/>
        <v>2014MaleMaori22</v>
      </c>
      <c r="B1039">
        <v>2014</v>
      </c>
      <c r="C1039" t="s">
        <v>20</v>
      </c>
      <c r="D1039" t="s">
        <v>18</v>
      </c>
      <c r="E1039">
        <v>22</v>
      </c>
      <c r="F1039">
        <v>20</v>
      </c>
      <c r="G1039">
        <v>30.736130321192601</v>
      </c>
      <c r="H1039">
        <v>13.5</v>
      </c>
      <c r="J1039" s="340" t="str">
        <f t="shared" si="80"/>
        <v>2002FemaleAllEth241</v>
      </c>
      <c r="K1039">
        <v>2002</v>
      </c>
      <c r="L1039" t="s">
        <v>8</v>
      </c>
      <c r="M1039" t="s">
        <v>27</v>
      </c>
      <c r="N1039">
        <v>24</v>
      </c>
      <c r="O1039">
        <v>1</v>
      </c>
      <c r="P1039">
        <v>5</v>
      </c>
      <c r="Q1039">
        <v>4.5963054760507802</v>
      </c>
      <c r="R1039">
        <v>4</v>
      </c>
      <c r="T1039" s="340" t="str">
        <f t="shared" si="81"/>
        <v>2000MaleNon-Maori21Hanging, strangulation and suffocation</v>
      </c>
      <c r="U1039">
        <v>2000</v>
      </c>
      <c r="V1039" t="s">
        <v>20</v>
      </c>
      <c r="W1039" t="s">
        <v>19</v>
      </c>
      <c r="X1039">
        <v>21</v>
      </c>
      <c r="Y1039" t="s">
        <v>43</v>
      </c>
      <c r="Z1039">
        <v>1</v>
      </c>
      <c r="AA1039">
        <v>2</v>
      </c>
      <c r="AB1039">
        <v>50</v>
      </c>
    </row>
    <row r="1040" spans="1:28">
      <c r="A1040" t="str">
        <f t="shared" si="79"/>
        <v>2014MaleMaori23</v>
      </c>
      <c r="B1040">
        <v>2014</v>
      </c>
      <c r="C1040" t="s">
        <v>20</v>
      </c>
      <c r="D1040" t="s">
        <v>18</v>
      </c>
      <c r="E1040">
        <v>23</v>
      </c>
      <c r="F1040">
        <v>36</v>
      </c>
      <c r="G1040">
        <v>46.433638591513002</v>
      </c>
      <c r="H1040">
        <v>15.2</v>
      </c>
      <c r="J1040" s="340" t="str">
        <f t="shared" si="80"/>
        <v>2002FemaleAllEth242</v>
      </c>
      <c r="K1040">
        <v>2002</v>
      </c>
      <c r="L1040" t="s">
        <v>8</v>
      </c>
      <c r="M1040" t="s">
        <v>27</v>
      </c>
      <c r="N1040">
        <v>24</v>
      </c>
      <c r="O1040">
        <v>2</v>
      </c>
      <c r="P1040">
        <v>2</v>
      </c>
      <c r="Q1040">
        <v>2.06261884880624</v>
      </c>
      <c r="R1040">
        <v>2.9</v>
      </c>
      <c r="T1040" s="340" t="str">
        <f t="shared" si="81"/>
        <v>2000MaleNon-Maori22Hanging, strangulation and suffocation</v>
      </c>
      <c r="U1040">
        <v>2000</v>
      </c>
      <c r="V1040" t="s">
        <v>20</v>
      </c>
      <c r="W1040" t="s">
        <v>19</v>
      </c>
      <c r="X1040">
        <v>22</v>
      </c>
      <c r="Y1040" t="s">
        <v>43</v>
      </c>
      <c r="Z1040">
        <v>33</v>
      </c>
      <c r="AA1040">
        <v>57</v>
      </c>
      <c r="AB1040">
        <v>57.9</v>
      </c>
    </row>
    <row r="1041" spans="1:28">
      <c r="A1041" t="str">
        <f t="shared" si="79"/>
        <v>2014MaleMaori24</v>
      </c>
      <c r="B1041">
        <v>2014</v>
      </c>
      <c r="C1041" t="s">
        <v>20</v>
      </c>
      <c r="D1041" t="s">
        <v>18</v>
      </c>
      <c r="E1041">
        <v>24</v>
      </c>
      <c r="F1041">
        <v>9</v>
      </c>
      <c r="G1041">
        <v>14.6866840731071</v>
      </c>
      <c r="H1041">
        <v>9.6</v>
      </c>
      <c r="J1041" s="340" t="str">
        <f t="shared" si="80"/>
        <v>2002FemaleAllEth243</v>
      </c>
      <c r="K1041">
        <v>2002</v>
      </c>
      <c r="L1041" t="s">
        <v>8</v>
      </c>
      <c r="M1041" t="s">
        <v>27</v>
      </c>
      <c r="N1041">
        <v>24</v>
      </c>
      <c r="O1041">
        <v>3</v>
      </c>
      <c r="P1041">
        <v>1</v>
      </c>
      <c r="Q1041">
        <v>1.13341128151294</v>
      </c>
      <c r="R1041">
        <v>2.2000000000000002</v>
      </c>
      <c r="T1041" s="340" t="str">
        <f t="shared" si="81"/>
        <v>2000MaleNon-Maori23Hanging, strangulation and suffocation</v>
      </c>
      <c r="U1041">
        <v>2000</v>
      </c>
      <c r="V1041" t="s">
        <v>20</v>
      </c>
      <c r="W1041" t="s">
        <v>19</v>
      </c>
      <c r="X1041">
        <v>23</v>
      </c>
      <c r="Y1041" t="s">
        <v>43</v>
      </c>
      <c r="Z1041">
        <v>61</v>
      </c>
      <c r="AA1041">
        <v>136</v>
      </c>
      <c r="AB1041">
        <v>44.9</v>
      </c>
    </row>
    <row r="1042" spans="1:28">
      <c r="A1042" t="str">
        <f t="shared" si="79"/>
        <v>2014MaleMaori25</v>
      </c>
      <c r="B1042">
        <v>2014</v>
      </c>
      <c r="C1042" t="s">
        <v>20</v>
      </c>
      <c r="D1042" t="s">
        <v>18</v>
      </c>
      <c r="E1042">
        <v>25</v>
      </c>
      <c r="F1042">
        <v>0</v>
      </c>
      <c r="G1042">
        <v>0</v>
      </c>
      <c r="J1042" s="340" t="str">
        <f t="shared" si="80"/>
        <v>2002FemaleAllEth244</v>
      </c>
      <c r="K1042">
        <v>2002</v>
      </c>
      <c r="L1042" t="s">
        <v>8</v>
      </c>
      <c r="M1042" t="s">
        <v>27</v>
      </c>
      <c r="N1042">
        <v>24</v>
      </c>
      <c r="O1042">
        <v>4</v>
      </c>
      <c r="P1042">
        <v>10</v>
      </c>
      <c r="Q1042">
        <v>12.348261488423701</v>
      </c>
      <c r="R1042">
        <v>7.7</v>
      </c>
      <c r="T1042" s="340" t="str">
        <f t="shared" si="81"/>
        <v>2000MaleNon-Maori24Hanging, strangulation and suffocation</v>
      </c>
      <c r="U1042">
        <v>2000</v>
      </c>
      <c r="V1042" t="s">
        <v>20</v>
      </c>
      <c r="W1042" t="s">
        <v>19</v>
      </c>
      <c r="X1042">
        <v>24</v>
      </c>
      <c r="Y1042" t="s">
        <v>43</v>
      </c>
      <c r="Z1042">
        <v>23</v>
      </c>
      <c r="AA1042">
        <v>72</v>
      </c>
      <c r="AB1042">
        <v>31.9</v>
      </c>
    </row>
    <row r="1043" spans="1:28">
      <c r="A1043" t="str">
        <f t="shared" si="79"/>
        <v>2014MaleNon-Maori21</v>
      </c>
      <c r="B1043">
        <v>2014</v>
      </c>
      <c r="C1043" t="s">
        <v>20</v>
      </c>
      <c r="D1043" t="s">
        <v>19</v>
      </c>
      <c r="E1043">
        <v>21</v>
      </c>
      <c r="F1043">
        <v>1</v>
      </c>
      <c r="G1043">
        <v>0.28852534695172999</v>
      </c>
      <c r="H1043">
        <v>0.6</v>
      </c>
      <c r="J1043" s="340" t="str">
        <f t="shared" si="80"/>
        <v>2002FemaleAllEth245</v>
      </c>
      <c r="K1043">
        <v>2002</v>
      </c>
      <c r="L1043" t="s">
        <v>8</v>
      </c>
      <c r="M1043" t="s">
        <v>27</v>
      </c>
      <c r="N1043">
        <v>24</v>
      </c>
      <c r="O1043">
        <v>5</v>
      </c>
      <c r="P1043">
        <v>4</v>
      </c>
      <c r="Q1043">
        <v>5.5462669008846603</v>
      </c>
      <c r="R1043">
        <v>5.4</v>
      </c>
      <c r="T1043" s="340" t="str">
        <f t="shared" si="81"/>
        <v>2000MaleNon-Maori25Hanging, strangulation and suffocation</v>
      </c>
      <c r="U1043">
        <v>2000</v>
      </c>
      <c r="V1043" t="s">
        <v>20</v>
      </c>
      <c r="W1043" t="s">
        <v>19</v>
      </c>
      <c r="X1043">
        <v>25</v>
      </c>
      <c r="Y1043" t="s">
        <v>43</v>
      </c>
      <c r="Z1043">
        <v>16</v>
      </c>
      <c r="AA1043">
        <v>40</v>
      </c>
      <c r="AB1043">
        <v>40</v>
      </c>
    </row>
    <row r="1044" spans="1:28">
      <c r="A1044" t="str">
        <f t="shared" si="79"/>
        <v>2014MaleNon-Maori22</v>
      </c>
      <c r="B1044">
        <v>2014</v>
      </c>
      <c r="C1044" t="s">
        <v>20</v>
      </c>
      <c r="D1044" t="s">
        <v>19</v>
      </c>
      <c r="E1044">
        <v>22</v>
      </c>
      <c r="F1044">
        <v>48</v>
      </c>
      <c r="G1044">
        <v>18.231540565177799</v>
      </c>
      <c r="H1044">
        <v>5.2</v>
      </c>
      <c r="J1044" s="340" t="str">
        <f t="shared" si="80"/>
        <v>2002FemaleAllEth251</v>
      </c>
      <c r="K1044">
        <v>2002</v>
      </c>
      <c r="L1044" t="s">
        <v>8</v>
      </c>
      <c r="M1044" t="s">
        <v>27</v>
      </c>
      <c r="N1044">
        <v>25</v>
      </c>
      <c r="O1044">
        <v>1</v>
      </c>
      <c r="P1044">
        <v>3</v>
      </c>
      <c r="Q1044">
        <v>6.3016298547104599</v>
      </c>
      <c r="R1044">
        <v>7.1</v>
      </c>
      <c r="T1044" s="340" t="str">
        <f t="shared" si="81"/>
        <v>2000MaleNon-Maori22Jumping from a high place</v>
      </c>
      <c r="U1044">
        <v>2000</v>
      </c>
      <c r="V1044" t="s">
        <v>20</v>
      </c>
      <c r="W1044" t="s">
        <v>19</v>
      </c>
      <c r="X1044">
        <v>22</v>
      </c>
      <c r="Y1044" t="s">
        <v>44</v>
      </c>
      <c r="Z1044">
        <v>3</v>
      </c>
      <c r="AA1044">
        <v>57</v>
      </c>
      <c r="AB1044">
        <v>5.3</v>
      </c>
    </row>
    <row r="1045" spans="1:28">
      <c r="A1045" t="str">
        <f t="shared" si="79"/>
        <v>2014MaleNon-Maori23</v>
      </c>
      <c r="B1045">
        <v>2014</v>
      </c>
      <c r="C1045" t="s">
        <v>20</v>
      </c>
      <c r="D1045" t="s">
        <v>19</v>
      </c>
      <c r="E1045">
        <v>23</v>
      </c>
      <c r="F1045">
        <v>104</v>
      </c>
      <c r="G1045">
        <v>21.706461846719002</v>
      </c>
      <c r="H1045">
        <v>4.2</v>
      </c>
      <c r="J1045" s="340" t="str">
        <f t="shared" si="80"/>
        <v>2002FemaleAllEth252</v>
      </c>
      <c r="K1045">
        <v>2002</v>
      </c>
      <c r="L1045" t="s">
        <v>8</v>
      </c>
      <c r="M1045" t="s">
        <v>27</v>
      </c>
      <c r="N1045">
        <v>25</v>
      </c>
      <c r="O1045">
        <v>2</v>
      </c>
      <c r="P1045">
        <v>2</v>
      </c>
      <c r="Q1045">
        <v>3.7405577026857699</v>
      </c>
      <c r="R1045">
        <v>5.2</v>
      </c>
      <c r="T1045" s="340" t="str">
        <f t="shared" si="81"/>
        <v>2000MaleNon-Maori23Jumping from a high place</v>
      </c>
      <c r="U1045">
        <v>2000</v>
      </c>
      <c r="V1045" t="s">
        <v>20</v>
      </c>
      <c r="W1045" t="s">
        <v>19</v>
      </c>
      <c r="X1045">
        <v>23</v>
      </c>
      <c r="Y1045" t="s">
        <v>44</v>
      </c>
      <c r="Z1045">
        <v>2</v>
      </c>
      <c r="AA1045">
        <v>136</v>
      </c>
      <c r="AB1045">
        <v>1.5</v>
      </c>
    </row>
    <row r="1046" spans="1:28">
      <c r="A1046" t="str">
        <f t="shared" si="79"/>
        <v>2014MaleNon-Maori24</v>
      </c>
      <c r="B1046">
        <v>2014</v>
      </c>
      <c r="C1046" t="s">
        <v>20</v>
      </c>
      <c r="D1046" t="s">
        <v>19</v>
      </c>
      <c r="E1046">
        <v>24</v>
      </c>
      <c r="F1046">
        <v>111</v>
      </c>
      <c r="G1046">
        <v>22.328612809784399</v>
      </c>
      <c r="H1046">
        <v>4.2</v>
      </c>
      <c r="J1046" s="340" t="str">
        <f t="shared" si="80"/>
        <v>2002FemaleAllEth253</v>
      </c>
      <c r="K1046">
        <v>2002</v>
      </c>
      <c r="L1046" t="s">
        <v>8</v>
      </c>
      <c r="M1046" t="s">
        <v>27</v>
      </c>
      <c r="N1046">
        <v>25</v>
      </c>
      <c r="O1046">
        <v>3</v>
      </c>
      <c r="P1046">
        <v>0</v>
      </c>
      <c r="Q1046">
        <v>0</v>
      </c>
      <c r="T1046" s="340" t="str">
        <f t="shared" si="81"/>
        <v>2000MaleNon-Maori24Jumping from a high place</v>
      </c>
      <c r="U1046">
        <v>2000</v>
      </c>
      <c r="V1046" t="s">
        <v>20</v>
      </c>
      <c r="W1046" t="s">
        <v>19</v>
      </c>
      <c r="X1046">
        <v>24</v>
      </c>
      <c r="Y1046" t="s">
        <v>44</v>
      </c>
      <c r="Z1046">
        <v>2</v>
      </c>
      <c r="AA1046">
        <v>72</v>
      </c>
      <c r="AB1046">
        <v>2.8</v>
      </c>
    </row>
    <row r="1047" spans="1:28">
      <c r="A1047" t="str">
        <f t="shared" si="79"/>
        <v>2014MaleNon-Maori25</v>
      </c>
      <c r="B1047">
        <v>2014</v>
      </c>
      <c r="C1047" t="s">
        <v>20</v>
      </c>
      <c r="D1047" t="s">
        <v>19</v>
      </c>
      <c r="E1047">
        <v>25</v>
      </c>
      <c r="F1047">
        <v>49</v>
      </c>
      <c r="G1047">
        <v>17.287609370589902</v>
      </c>
      <c r="H1047">
        <v>4.8</v>
      </c>
      <c r="J1047" s="340" t="str">
        <f t="shared" si="80"/>
        <v>2002FemaleAllEth254</v>
      </c>
      <c r="K1047">
        <v>2002</v>
      </c>
      <c r="L1047" t="s">
        <v>8</v>
      </c>
      <c r="M1047" t="s">
        <v>27</v>
      </c>
      <c r="N1047">
        <v>25</v>
      </c>
      <c r="O1047">
        <v>4</v>
      </c>
      <c r="P1047">
        <v>2</v>
      </c>
      <c r="Q1047">
        <v>3.38092545624608</v>
      </c>
      <c r="R1047">
        <v>4.7</v>
      </c>
      <c r="T1047" s="340" t="str">
        <f t="shared" si="81"/>
        <v>2000MaleNon-Maori25Jumping from a high place</v>
      </c>
      <c r="U1047">
        <v>2000</v>
      </c>
      <c r="V1047" t="s">
        <v>20</v>
      </c>
      <c r="W1047" t="s">
        <v>19</v>
      </c>
      <c r="X1047">
        <v>25</v>
      </c>
      <c r="Y1047" t="s">
        <v>44</v>
      </c>
      <c r="Z1047">
        <v>3</v>
      </c>
      <c r="AA1047">
        <v>40</v>
      </c>
      <c r="AB1047">
        <v>7.5</v>
      </c>
    </row>
    <row r="1048" spans="1:28">
      <c r="A1048" t="str">
        <f t="shared" si="79"/>
        <v>2015AllSexAllEth21</v>
      </c>
      <c r="B1048">
        <v>2015</v>
      </c>
      <c r="C1048" t="s">
        <v>17</v>
      </c>
      <c r="D1048" t="s">
        <v>27</v>
      </c>
      <c r="E1048">
        <v>21</v>
      </c>
      <c r="F1048">
        <v>9</v>
      </c>
      <c r="G1048">
        <v>0.98420891474563699</v>
      </c>
      <c r="H1048">
        <v>0.6</v>
      </c>
      <c r="J1048" s="340" t="str">
        <f t="shared" si="80"/>
        <v>2002FemaleAllEth255</v>
      </c>
      <c r="K1048">
        <v>2002</v>
      </c>
      <c r="L1048" t="s">
        <v>8</v>
      </c>
      <c r="M1048" t="s">
        <v>27</v>
      </c>
      <c r="N1048">
        <v>25</v>
      </c>
      <c r="O1048">
        <v>5</v>
      </c>
      <c r="P1048">
        <v>5</v>
      </c>
      <c r="Q1048">
        <v>11.098114632826301</v>
      </c>
      <c r="R1048">
        <v>9.6999999999999993</v>
      </c>
      <c r="T1048" s="340" t="str">
        <f t="shared" si="81"/>
        <v>2000MaleNon-Maori21Other</v>
      </c>
      <c r="U1048">
        <v>2000</v>
      </c>
      <c r="V1048" t="s">
        <v>20</v>
      </c>
      <c r="W1048" t="s">
        <v>19</v>
      </c>
      <c r="X1048">
        <v>21</v>
      </c>
      <c r="Y1048" t="s">
        <v>45</v>
      </c>
      <c r="Z1048">
        <v>1</v>
      </c>
      <c r="AA1048">
        <v>2</v>
      </c>
      <c r="AB1048">
        <v>50</v>
      </c>
    </row>
    <row r="1049" spans="1:28">
      <c r="A1049" t="str">
        <f t="shared" si="79"/>
        <v>2015AllSexAllEth22</v>
      </c>
      <c r="B1049">
        <v>2015</v>
      </c>
      <c r="C1049" t="s">
        <v>17</v>
      </c>
      <c r="D1049" t="s">
        <v>27</v>
      </c>
      <c r="E1049">
        <v>22</v>
      </c>
      <c r="F1049">
        <v>111</v>
      </c>
      <c r="G1049">
        <v>16.906299500426499</v>
      </c>
      <c r="H1049">
        <v>3.1</v>
      </c>
      <c r="J1049" s="340" t="str">
        <f t="shared" si="80"/>
        <v>2002FemaleMaori211</v>
      </c>
      <c r="K1049">
        <v>2002</v>
      </c>
      <c r="L1049" t="s">
        <v>8</v>
      </c>
      <c r="M1049" t="s">
        <v>18</v>
      </c>
      <c r="N1049">
        <v>21</v>
      </c>
      <c r="O1049">
        <v>1</v>
      </c>
      <c r="P1049">
        <v>0</v>
      </c>
      <c r="Q1049">
        <v>0</v>
      </c>
      <c r="T1049" s="340" t="str">
        <f t="shared" si="81"/>
        <v>2000MaleNon-Maori22Other</v>
      </c>
      <c r="U1049">
        <v>2000</v>
      </c>
      <c r="V1049" t="s">
        <v>20</v>
      </c>
      <c r="W1049" t="s">
        <v>19</v>
      </c>
      <c r="X1049">
        <v>22</v>
      </c>
      <c r="Y1049" t="s">
        <v>45</v>
      </c>
      <c r="Z1049">
        <v>4</v>
      </c>
      <c r="AA1049">
        <v>57</v>
      </c>
      <c r="AB1049">
        <v>7</v>
      </c>
    </row>
    <row r="1050" spans="1:28">
      <c r="A1050" t="str">
        <f t="shared" si="79"/>
        <v>2015AllSexAllEth23</v>
      </c>
      <c r="B1050">
        <v>2015</v>
      </c>
      <c r="C1050" t="s">
        <v>17</v>
      </c>
      <c r="D1050" t="s">
        <v>27</v>
      </c>
      <c r="E1050">
        <v>23</v>
      </c>
      <c r="F1050">
        <v>173</v>
      </c>
      <c r="G1050">
        <v>14.6091421140189</v>
      </c>
      <c r="H1050">
        <v>2.2000000000000002</v>
      </c>
      <c r="J1050" s="340" t="str">
        <f t="shared" si="80"/>
        <v>2002FemaleMaori212</v>
      </c>
      <c r="K1050">
        <v>2002</v>
      </c>
      <c r="L1050" t="s">
        <v>8</v>
      </c>
      <c r="M1050" t="s">
        <v>18</v>
      </c>
      <c r="N1050">
        <v>21</v>
      </c>
      <c r="O1050">
        <v>2</v>
      </c>
      <c r="P1050">
        <v>0</v>
      </c>
      <c r="Q1050">
        <v>0</v>
      </c>
      <c r="T1050" s="340" t="str">
        <f t="shared" si="81"/>
        <v>2000MaleNon-Maori23Other</v>
      </c>
      <c r="U1050">
        <v>2000</v>
      </c>
      <c r="V1050" t="s">
        <v>20</v>
      </c>
      <c r="W1050" t="s">
        <v>19</v>
      </c>
      <c r="X1050">
        <v>23</v>
      </c>
      <c r="Y1050" t="s">
        <v>45</v>
      </c>
      <c r="Z1050">
        <v>4</v>
      </c>
      <c r="AA1050">
        <v>136</v>
      </c>
      <c r="AB1050">
        <v>2.9</v>
      </c>
    </row>
    <row r="1051" spans="1:28">
      <c r="A1051" t="str">
        <f t="shared" si="79"/>
        <v>2015AllSexAllEth24</v>
      </c>
      <c r="B1051">
        <v>2015</v>
      </c>
      <c r="C1051" t="s">
        <v>17</v>
      </c>
      <c r="D1051" t="s">
        <v>27</v>
      </c>
      <c r="E1051">
        <v>24</v>
      </c>
      <c r="F1051">
        <v>172</v>
      </c>
      <c r="G1051">
        <v>14.701608629502401</v>
      </c>
      <c r="H1051">
        <v>2.2000000000000002</v>
      </c>
      <c r="J1051" s="340" t="str">
        <f t="shared" si="80"/>
        <v>2002FemaleMaori213</v>
      </c>
      <c r="K1051">
        <v>2002</v>
      </c>
      <c r="L1051" t="s">
        <v>8</v>
      </c>
      <c r="M1051" t="s">
        <v>18</v>
      </c>
      <c r="N1051">
        <v>21</v>
      </c>
      <c r="O1051">
        <v>3</v>
      </c>
      <c r="P1051">
        <v>0</v>
      </c>
      <c r="Q1051">
        <v>0</v>
      </c>
      <c r="T1051" s="340" t="str">
        <f t="shared" si="81"/>
        <v>2000MaleNon-Maori24Other</v>
      </c>
      <c r="U1051">
        <v>2000</v>
      </c>
      <c r="V1051" t="s">
        <v>20</v>
      </c>
      <c r="W1051" t="s">
        <v>19</v>
      </c>
      <c r="X1051">
        <v>24</v>
      </c>
      <c r="Y1051" t="s">
        <v>45</v>
      </c>
      <c r="Z1051">
        <v>1</v>
      </c>
      <c r="AA1051">
        <v>72</v>
      </c>
      <c r="AB1051">
        <v>1.4</v>
      </c>
    </row>
    <row r="1052" spans="1:28">
      <c r="A1052" t="str">
        <f t="shared" si="79"/>
        <v>2015AllSexAllEth25</v>
      </c>
      <c r="B1052">
        <v>2015</v>
      </c>
      <c r="C1052" t="s">
        <v>17</v>
      </c>
      <c r="D1052" t="s">
        <v>27</v>
      </c>
      <c r="E1052">
        <v>25</v>
      </c>
      <c r="F1052">
        <v>65</v>
      </c>
      <c r="G1052">
        <v>9.6410560664491296</v>
      </c>
      <c r="H1052">
        <v>2.2999999999999998</v>
      </c>
      <c r="J1052" s="340" t="str">
        <f t="shared" si="80"/>
        <v>2002FemaleMaori214</v>
      </c>
      <c r="K1052">
        <v>2002</v>
      </c>
      <c r="L1052" t="s">
        <v>8</v>
      </c>
      <c r="M1052" t="s">
        <v>18</v>
      </c>
      <c r="N1052">
        <v>21</v>
      </c>
      <c r="O1052">
        <v>4</v>
      </c>
      <c r="P1052">
        <v>0</v>
      </c>
      <c r="Q1052">
        <v>0</v>
      </c>
      <c r="T1052" s="340" t="str">
        <f t="shared" si="81"/>
        <v>2000MaleNon-Maori25Other</v>
      </c>
      <c r="U1052">
        <v>2000</v>
      </c>
      <c r="V1052" t="s">
        <v>20</v>
      </c>
      <c r="W1052" t="s">
        <v>19</v>
      </c>
      <c r="X1052">
        <v>25</v>
      </c>
      <c r="Y1052" t="s">
        <v>45</v>
      </c>
      <c r="Z1052">
        <v>1</v>
      </c>
      <c r="AA1052">
        <v>40</v>
      </c>
      <c r="AB1052">
        <v>2.5</v>
      </c>
    </row>
    <row r="1053" spans="1:28">
      <c r="A1053" t="str">
        <f t="shared" si="79"/>
        <v>2015AllSexMaori21</v>
      </c>
      <c r="B1053">
        <v>2015</v>
      </c>
      <c r="C1053" t="s">
        <v>17</v>
      </c>
      <c r="D1053" t="s">
        <v>18</v>
      </c>
      <c r="E1053">
        <v>21</v>
      </c>
      <c r="F1053">
        <v>4</v>
      </c>
      <c r="G1053">
        <v>1.6996685646298999</v>
      </c>
      <c r="H1053">
        <v>1.7</v>
      </c>
      <c r="J1053" s="340" t="str">
        <f t="shared" si="80"/>
        <v>2002FemaleMaori215</v>
      </c>
      <c r="K1053">
        <v>2002</v>
      </c>
      <c r="L1053" t="s">
        <v>8</v>
      </c>
      <c r="M1053" t="s">
        <v>18</v>
      </c>
      <c r="N1053">
        <v>21</v>
      </c>
      <c r="O1053">
        <v>5</v>
      </c>
      <c r="P1053">
        <v>0</v>
      </c>
      <c r="Q1053">
        <v>0</v>
      </c>
      <c r="T1053" s="340" t="str">
        <f t="shared" si="81"/>
        <v>2000MaleNon-Maori22Poisoning by gases and vapours</v>
      </c>
      <c r="U1053">
        <v>2000</v>
      </c>
      <c r="V1053" t="s">
        <v>20</v>
      </c>
      <c r="W1053" t="s">
        <v>19</v>
      </c>
      <c r="X1053">
        <v>22</v>
      </c>
      <c r="Y1053" t="s">
        <v>46</v>
      </c>
      <c r="Z1053">
        <v>11</v>
      </c>
      <c r="AA1053">
        <v>57</v>
      </c>
      <c r="AB1053">
        <v>19.3</v>
      </c>
    </row>
    <row r="1054" spans="1:28">
      <c r="A1054" t="str">
        <f t="shared" si="79"/>
        <v>2015AllSexMaori22</v>
      </c>
      <c r="B1054">
        <v>2015</v>
      </c>
      <c r="C1054" t="s">
        <v>17</v>
      </c>
      <c r="D1054" t="s">
        <v>18</v>
      </c>
      <c r="E1054">
        <v>22</v>
      </c>
      <c r="F1054">
        <v>42</v>
      </c>
      <c r="G1054">
        <v>31.7989097516657</v>
      </c>
      <c r="H1054">
        <v>9.6</v>
      </c>
      <c r="J1054" s="340" t="str">
        <f t="shared" si="80"/>
        <v>2002FemaleMaori221</v>
      </c>
      <c r="K1054">
        <v>2002</v>
      </c>
      <c r="L1054" t="s">
        <v>8</v>
      </c>
      <c r="M1054" t="s">
        <v>18</v>
      </c>
      <c r="N1054">
        <v>22</v>
      </c>
      <c r="O1054">
        <v>1</v>
      </c>
      <c r="P1054">
        <v>1</v>
      </c>
      <c r="Q1054">
        <v>27.560266805374201</v>
      </c>
      <c r="R1054">
        <v>54</v>
      </c>
      <c r="T1054" s="340" t="str">
        <f t="shared" si="81"/>
        <v>2000MaleNon-Maori23Poisoning by gases and vapours</v>
      </c>
      <c r="U1054">
        <v>2000</v>
      </c>
      <c r="V1054" t="s">
        <v>20</v>
      </c>
      <c r="W1054" t="s">
        <v>19</v>
      </c>
      <c r="X1054">
        <v>23</v>
      </c>
      <c r="Y1054" t="s">
        <v>46</v>
      </c>
      <c r="Z1054">
        <v>39</v>
      </c>
      <c r="AA1054">
        <v>136</v>
      </c>
      <c r="AB1054">
        <v>28.7</v>
      </c>
    </row>
    <row r="1055" spans="1:28">
      <c r="A1055" t="str">
        <f t="shared" si="79"/>
        <v>2015AllSexMaori23</v>
      </c>
      <c r="B1055">
        <v>2015</v>
      </c>
      <c r="C1055" t="s">
        <v>17</v>
      </c>
      <c r="D1055" t="s">
        <v>18</v>
      </c>
      <c r="E1055">
        <v>23</v>
      </c>
      <c r="F1055">
        <v>54</v>
      </c>
      <c r="G1055">
        <v>31.665982525068902</v>
      </c>
      <c r="H1055">
        <v>8.4</v>
      </c>
      <c r="J1055" s="340" t="str">
        <f t="shared" si="80"/>
        <v>2002FemaleMaori222</v>
      </c>
      <c r="K1055">
        <v>2002</v>
      </c>
      <c r="L1055" t="s">
        <v>8</v>
      </c>
      <c r="M1055" t="s">
        <v>18</v>
      </c>
      <c r="N1055">
        <v>22</v>
      </c>
      <c r="O1055">
        <v>2</v>
      </c>
      <c r="P1055">
        <v>1</v>
      </c>
      <c r="Q1055">
        <v>18.457357684529001</v>
      </c>
      <c r="R1055">
        <v>36.200000000000003</v>
      </c>
      <c r="T1055" s="340" t="str">
        <f t="shared" si="81"/>
        <v>2000MaleNon-Maori24Poisoning by gases and vapours</v>
      </c>
      <c r="U1055">
        <v>2000</v>
      </c>
      <c r="V1055" t="s">
        <v>20</v>
      </c>
      <c r="W1055" t="s">
        <v>19</v>
      </c>
      <c r="X1055">
        <v>24</v>
      </c>
      <c r="Y1055" t="s">
        <v>46</v>
      </c>
      <c r="Z1055">
        <v>27</v>
      </c>
      <c r="AA1055">
        <v>72</v>
      </c>
      <c r="AB1055">
        <v>37.5</v>
      </c>
    </row>
    <row r="1056" spans="1:28">
      <c r="A1056" t="str">
        <f t="shared" si="79"/>
        <v>2015AllSexMaori24</v>
      </c>
      <c r="B1056">
        <v>2015</v>
      </c>
      <c r="C1056" t="s">
        <v>17</v>
      </c>
      <c r="D1056" t="s">
        <v>18</v>
      </c>
      <c r="E1056">
        <v>24</v>
      </c>
      <c r="F1056">
        <v>18</v>
      </c>
      <c r="G1056">
        <v>13.474062429822601</v>
      </c>
      <c r="H1056">
        <v>6.2</v>
      </c>
      <c r="J1056" s="340" t="str">
        <f t="shared" si="80"/>
        <v>2002FemaleMaori223</v>
      </c>
      <c r="K1056">
        <v>2002</v>
      </c>
      <c r="L1056" t="s">
        <v>8</v>
      </c>
      <c r="M1056" t="s">
        <v>18</v>
      </c>
      <c r="N1056">
        <v>22</v>
      </c>
      <c r="O1056">
        <v>3</v>
      </c>
      <c r="P1056">
        <v>0</v>
      </c>
      <c r="Q1056">
        <v>0</v>
      </c>
      <c r="T1056" s="340" t="str">
        <f t="shared" si="81"/>
        <v>2000MaleNon-Maori25Poisoning by gases and vapours</v>
      </c>
      <c r="U1056">
        <v>2000</v>
      </c>
      <c r="V1056" t="s">
        <v>20</v>
      </c>
      <c r="W1056" t="s">
        <v>19</v>
      </c>
      <c r="X1056">
        <v>25</v>
      </c>
      <c r="Y1056" t="s">
        <v>46</v>
      </c>
      <c r="Z1056">
        <v>7</v>
      </c>
      <c r="AA1056">
        <v>40</v>
      </c>
      <c r="AB1056">
        <v>17.5</v>
      </c>
    </row>
    <row r="1057" spans="1:28">
      <c r="A1057" t="str">
        <f t="shared" si="79"/>
        <v>2015AllSexMaori25</v>
      </c>
      <c r="B1057">
        <v>2015</v>
      </c>
      <c r="C1057" t="s">
        <v>17</v>
      </c>
      <c r="D1057" t="s">
        <v>18</v>
      </c>
      <c r="E1057">
        <v>25</v>
      </c>
      <c r="F1057">
        <v>0</v>
      </c>
      <c r="G1057">
        <v>0</v>
      </c>
      <c r="J1057" s="340" t="str">
        <f t="shared" si="80"/>
        <v>2002FemaleMaori224</v>
      </c>
      <c r="K1057">
        <v>2002</v>
      </c>
      <c r="L1057" t="s">
        <v>8</v>
      </c>
      <c r="M1057" t="s">
        <v>18</v>
      </c>
      <c r="N1057">
        <v>22</v>
      </c>
      <c r="O1057">
        <v>4</v>
      </c>
      <c r="P1057">
        <v>2</v>
      </c>
      <c r="Q1057">
        <v>15.7048194793961</v>
      </c>
      <c r="R1057">
        <v>21.8</v>
      </c>
      <c r="T1057" s="340" t="str">
        <f t="shared" si="81"/>
        <v>2000MaleNon-Maori23Poisoning by solids and liquids</v>
      </c>
      <c r="U1057">
        <v>2000</v>
      </c>
      <c r="V1057" t="s">
        <v>20</v>
      </c>
      <c r="W1057" t="s">
        <v>19</v>
      </c>
      <c r="X1057">
        <v>23</v>
      </c>
      <c r="Y1057" t="s">
        <v>47</v>
      </c>
      <c r="Z1057">
        <v>8</v>
      </c>
      <c r="AA1057">
        <v>136</v>
      </c>
      <c r="AB1057">
        <v>5.9</v>
      </c>
    </row>
    <row r="1058" spans="1:28">
      <c r="A1058" t="str">
        <f t="shared" si="79"/>
        <v>2015AllSexNon-Maori21</v>
      </c>
      <c r="B1058">
        <v>2015</v>
      </c>
      <c r="C1058" t="s">
        <v>17</v>
      </c>
      <c r="D1058" t="s">
        <v>19</v>
      </c>
      <c r="E1058">
        <v>21</v>
      </c>
      <c r="F1058">
        <v>5</v>
      </c>
      <c r="G1058">
        <v>0.73626859078191698</v>
      </c>
      <c r="H1058">
        <v>0.6</v>
      </c>
      <c r="J1058" s="340" t="str">
        <f t="shared" si="80"/>
        <v>2002FemaleMaori225</v>
      </c>
      <c r="K1058">
        <v>2002</v>
      </c>
      <c r="L1058" t="s">
        <v>8</v>
      </c>
      <c r="M1058" t="s">
        <v>18</v>
      </c>
      <c r="N1058">
        <v>22</v>
      </c>
      <c r="O1058">
        <v>5</v>
      </c>
      <c r="P1058">
        <v>5</v>
      </c>
      <c r="Q1058">
        <v>21.742616482270599</v>
      </c>
      <c r="R1058">
        <v>19.100000000000001</v>
      </c>
      <c r="T1058" s="340" t="str">
        <f t="shared" si="81"/>
        <v>2000MaleNon-Maori24Poisoning by solids and liquids</v>
      </c>
      <c r="U1058">
        <v>2000</v>
      </c>
      <c r="V1058" t="s">
        <v>20</v>
      </c>
      <c r="W1058" t="s">
        <v>19</v>
      </c>
      <c r="X1058">
        <v>24</v>
      </c>
      <c r="Y1058" t="s">
        <v>47</v>
      </c>
      <c r="Z1058">
        <v>6</v>
      </c>
      <c r="AA1058">
        <v>72</v>
      </c>
      <c r="AB1058">
        <v>8.3000000000000007</v>
      </c>
    </row>
    <row r="1059" spans="1:28">
      <c r="A1059" t="str">
        <f t="shared" si="79"/>
        <v>2015AllSexNon-Maori22</v>
      </c>
      <c r="B1059">
        <v>2015</v>
      </c>
      <c r="C1059" t="s">
        <v>17</v>
      </c>
      <c r="D1059" t="s">
        <v>19</v>
      </c>
      <c r="E1059">
        <v>22</v>
      </c>
      <c r="F1059">
        <v>69</v>
      </c>
      <c r="G1059">
        <v>13.155887736424599</v>
      </c>
      <c r="H1059">
        <v>3.1</v>
      </c>
      <c r="J1059" s="340" t="str">
        <f t="shared" si="80"/>
        <v>2002FemaleMaori231</v>
      </c>
      <c r="K1059">
        <v>2002</v>
      </c>
      <c r="L1059" t="s">
        <v>8</v>
      </c>
      <c r="M1059" t="s">
        <v>18</v>
      </c>
      <c r="N1059">
        <v>23</v>
      </c>
      <c r="O1059">
        <v>1</v>
      </c>
      <c r="P1059">
        <v>1</v>
      </c>
      <c r="Q1059">
        <v>14.629606801856299</v>
      </c>
      <c r="R1059">
        <v>28.7</v>
      </c>
      <c r="T1059" s="340" t="str">
        <f t="shared" si="81"/>
        <v>2000MaleNon-Maori25Poisoning by solids and liquids</v>
      </c>
      <c r="U1059">
        <v>2000</v>
      </c>
      <c r="V1059" t="s">
        <v>20</v>
      </c>
      <c r="W1059" t="s">
        <v>19</v>
      </c>
      <c r="X1059">
        <v>25</v>
      </c>
      <c r="Y1059" t="s">
        <v>47</v>
      </c>
      <c r="Z1059">
        <v>3</v>
      </c>
      <c r="AA1059">
        <v>40</v>
      </c>
      <c r="AB1059">
        <v>7.5</v>
      </c>
    </row>
    <row r="1060" spans="1:28">
      <c r="A1060" t="str">
        <f t="shared" si="79"/>
        <v>2015AllSexNon-Maori23</v>
      </c>
      <c r="B1060">
        <v>2015</v>
      </c>
      <c r="C1060" t="s">
        <v>17</v>
      </c>
      <c r="D1060" t="s">
        <v>19</v>
      </c>
      <c r="E1060">
        <v>23</v>
      </c>
      <c r="F1060">
        <v>119</v>
      </c>
      <c r="G1060">
        <v>11.739636564528499</v>
      </c>
      <c r="H1060">
        <v>2.1</v>
      </c>
      <c r="J1060" s="340" t="str">
        <f t="shared" si="80"/>
        <v>2002FemaleMaori232</v>
      </c>
      <c r="K1060">
        <v>2002</v>
      </c>
      <c r="L1060" t="s">
        <v>8</v>
      </c>
      <c r="M1060" t="s">
        <v>18</v>
      </c>
      <c r="N1060">
        <v>23</v>
      </c>
      <c r="O1060">
        <v>2</v>
      </c>
      <c r="P1060">
        <v>0</v>
      </c>
      <c r="Q1060">
        <v>0</v>
      </c>
      <c r="T1060" s="340" t="str">
        <f t="shared" si="81"/>
        <v>2000MaleNon-Maori22Sharp object</v>
      </c>
      <c r="U1060">
        <v>2000</v>
      </c>
      <c r="V1060" t="s">
        <v>20</v>
      </c>
      <c r="W1060" t="s">
        <v>19</v>
      </c>
      <c r="X1060">
        <v>22</v>
      </c>
      <c r="Y1060" t="s">
        <v>48</v>
      </c>
      <c r="Z1060">
        <v>3</v>
      </c>
      <c r="AA1060">
        <v>57</v>
      </c>
      <c r="AB1060">
        <v>5.3</v>
      </c>
    </row>
    <row r="1061" spans="1:28">
      <c r="A1061" t="str">
        <f t="shared" si="79"/>
        <v>2015AllSexNon-Maori24</v>
      </c>
      <c r="B1061">
        <v>2015</v>
      </c>
      <c r="C1061" t="s">
        <v>17</v>
      </c>
      <c r="D1061" t="s">
        <v>19</v>
      </c>
      <c r="E1061">
        <v>24</v>
      </c>
      <c r="F1061">
        <v>154</v>
      </c>
      <c r="G1061">
        <v>14.859844647078701</v>
      </c>
      <c r="H1061">
        <v>2.2999999999999998</v>
      </c>
      <c r="J1061" s="340" t="str">
        <f t="shared" si="80"/>
        <v>2002FemaleMaori233</v>
      </c>
      <c r="K1061">
        <v>2002</v>
      </c>
      <c r="L1061" t="s">
        <v>8</v>
      </c>
      <c r="M1061" t="s">
        <v>18</v>
      </c>
      <c r="N1061">
        <v>23</v>
      </c>
      <c r="O1061">
        <v>3</v>
      </c>
      <c r="P1061">
        <v>1</v>
      </c>
      <c r="Q1061">
        <v>6.9892914372138897</v>
      </c>
      <c r="R1061">
        <v>13.7</v>
      </c>
      <c r="T1061" s="340" t="str">
        <f t="shared" si="81"/>
        <v>2000MaleNon-Maori23Sharp object</v>
      </c>
      <c r="U1061">
        <v>2000</v>
      </c>
      <c r="V1061" t="s">
        <v>20</v>
      </c>
      <c r="W1061" t="s">
        <v>19</v>
      </c>
      <c r="X1061">
        <v>23</v>
      </c>
      <c r="Y1061" t="s">
        <v>48</v>
      </c>
      <c r="Z1061">
        <v>2</v>
      </c>
      <c r="AA1061">
        <v>136</v>
      </c>
      <c r="AB1061">
        <v>1.5</v>
      </c>
    </row>
    <row r="1062" spans="1:28">
      <c r="A1062" t="str">
        <f t="shared" si="79"/>
        <v>2015AllSexNon-Maori25</v>
      </c>
      <c r="B1062">
        <v>2015</v>
      </c>
      <c r="C1062" t="s">
        <v>17</v>
      </c>
      <c r="D1062" t="s">
        <v>19</v>
      </c>
      <c r="E1062">
        <v>25</v>
      </c>
      <c r="F1062">
        <v>65</v>
      </c>
      <c r="G1062">
        <v>10.261105673602099</v>
      </c>
      <c r="H1062">
        <v>2.5</v>
      </c>
      <c r="J1062" s="340" t="str">
        <f t="shared" si="80"/>
        <v>2002FemaleMaori234</v>
      </c>
      <c r="K1062">
        <v>2002</v>
      </c>
      <c r="L1062" t="s">
        <v>8</v>
      </c>
      <c r="M1062" t="s">
        <v>18</v>
      </c>
      <c r="N1062">
        <v>23</v>
      </c>
      <c r="O1062">
        <v>4</v>
      </c>
      <c r="P1062">
        <v>2</v>
      </c>
      <c r="Q1062">
        <v>9.4074590205245805</v>
      </c>
      <c r="R1062">
        <v>13</v>
      </c>
      <c r="T1062" s="340" t="str">
        <f t="shared" si="81"/>
        <v>2000MaleNon-Maori24Sharp object</v>
      </c>
      <c r="U1062">
        <v>2000</v>
      </c>
      <c r="V1062" t="s">
        <v>20</v>
      </c>
      <c r="W1062" t="s">
        <v>19</v>
      </c>
      <c r="X1062">
        <v>24</v>
      </c>
      <c r="Y1062" t="s">
        <v>48</v>
      </c>
      <c r="Z1062">
        <v>3</v>
      </c>
      <c r="AA1062">
        <v>72</v>
      </c>
      <c r="AB1062">
        <v>4.2</v>
      </c>
    </row>
    <row r="1063" spans="1:28">
      <c r="A1063" t="str">
        <f t="shared" si="79"/>
        <v>2015FemaleAllEth21</v>
      </c>
      <c r="B1063">
        <v>2015</v>
      </c>
      <c r="C1063" t="s">
        <v>8</v>
      </c>
      <c r="D1063" t="s">
        <v>27</v>
      </c>
      <c r="E1063">
        <v>21</v>
      </c>
      <c r="F1063">
        <v>4</v>
      </c>
      <c r="G1063">
        <v>0.89760563696340001</v>
      </c>
      <c r="H1063">
        <v>0.9</v>
      </c>
      <c r="J1063" s="340" t="str">
        <f t="shared" si="80"/>
        <v>2002FemaleMaori235</v>
      </c>
      <c r="K1063">
        <v>2002</v>
      </c>
      <c r="L1063" t="s">
        <v>8</v>
      </c>
      <c r="M1063" t="s">
        <v>18</v>
      </c>
      <c r="N1063">
        <v>23</v>
      </c>
      <c r="O1063">
        <v>5</v>
      </c>
      <c r="P1063">
        <v>3</v>
      </c>
      <c r="Q1063">
        <v>8.1945879257916392</v>
      </c>
      <c r="R1063">
        <v>9.3000000000000007</v>
      </c>
      <c r="T1063" s="340" t="str">
        <f t="shared" si="81"/>
        <v>2000MaleNon-Maori25Sharp object</v>
      </c>
      <c r="U1063">
        <v>2000</v>
      </c>
      <c r="V1063" t="s">
        <v>20</v>
      </c>
      <c r="W1063" t="s">
        <v>19</v>
      </c>
      <c r="X1063">
        <v>25</v>
      </c>
      <c r="Y1063" t="s">
        <v>48</v>
      </c>
      <c r="Z1063">
        <v>1</v>
      </c>
      <c r="AA1063">
        <v>40</v>
      </c>
      <c r="AB1063">
        <v>2.5</v>
      </c>
    </row>
    <row r="1064" spans="1:28">
      <c r="A1064" t="str">
        <f t="shared" si="79"/>
        <v>2015FemaleAllEth22</v>
      </c>
      <c r="B1064">
        <v>2015</v>
      </c>
      <c r="C1064" t="s">
        <v>8</v>
      </c>
      <c r="D1064" t="s">
        <v>27</v>
      </c>
      <c r="E1064">
        <v>22</v>
      </c>
      <c r="F1064">
        <v>41</v>
      </c>
      <c r="G1064">
        <v>12.9239692346488</v>
      </c>
      <c r="H1064">
        <v>4</v>
      </c>
      <c r="J1064" s="340" t="str">
        <f t="shared" si="80"/>
        <v>2002FemaleMaori241</v>
      </c>
      <c r="K1064">
        <v>2002</v>
      </c>
      <c r="L1064" t="s">
        <v>8</v>
      </c>
      <c r="M1064" t="s">
        <v>18</v>
      </c>
      <c r="N1064">
        <v>24</v>
      </c>
      <c r="O1064">
        <v>1</v>
      </c>
      <c r="P1064">
        <v>0</v>
      </c>
      <c r="Q1064">
        <v>0</v>
      </c>
      <c r="T1064" s="340" t="str">
        <f t="shared" si="81"/>
        <v>2000MaleNon-Maori23Submersion (drowning)</v>
      </c>
      <c r="U1064">
        <v>2000</v>
      </c>
      <c r="V1064" t="s">
        <v>20</v>
      </c>
      <c r="W1064" t="s">
        <v>19</v>
      </c>
      <c r="X1064">
        <v>23</v>
      </c>
      <c r="Y1064" t="s">
        <v>49</v>
      </c>
      <c r="Z1064">
        <v>5</v>
      </c>
      <c r="AA1064">
        <v>136</v>
      </c>
      <c r="AB1064">
        <v>3.7</v>
      </c>
    </row>
    <row r="1065" spans="1:28">
      <c r="A1065" t="str">
        <f t="shared" si="79"/>
        <v>2015FemaleAllEth23</v>
      </c>
      <c r="B1065">
        <v>2015</v>
      </c>
      <c r="C1065" t="s">
        <v>8</v>
      </c>
      <c r="D1065" t="s">
        <v>27</v>
      </c>
      <c r="E1065">
        <v>23</v>
      </c>
      <c r="F1065">
        <v>36</v>
      </c>
      <c r="G1065">
        <v>5.8878367106618903</v>
      </c>
      <c r="H1065">
        <v>1.9</v>
      </c>
      <c r="J1065" s="340" t="str">
        <f t="shared" si="80"/>
        <v>2002FemaleMaori242</v>
      </c>
      <c r="K1065">
        <v>2002</v>
      </c>
      <c r="L1065" t="s">
        <v>8</v>
      </c>
      <c r="M1065" t="s">
        <v>18</v>
      </c>
      <c r="N1065">
        <v>24</v>
      </c>
      <c r="O1065">
        <v>2</v>
      </c>
      <c r="P1065">
        <v>0</v>
      </c>
      <c r="Q1065">
        <v>0</v>
      </c>
      <c r="T1065" s="340" t="str">
        <f t="shared" si="81"/>
        <v>2000MaleNon-Maori24Submersion (drowning)</v>
      </c>
      <c r="U1065">
        <v>2000</v>
      </c>
      <c r="V1065" t="s">
        <v>20</v>
      </c>
      <c r="W1065" t="s">
        <v>19</v>
      </c>
      <c r="X1065">
        <v>24</v>
      </c>
      <c r="Y1065" t="s">
        <v>49</v>
      </c>
      <c r="Z1065">
        <v>4</v>
      </c>
      <c r="AA1065">
        <v>72</v>
      </c>
      <c r="AB1065">
        <v>5.6</v>
      </c>
    </row>
    <row r="1066" spans="1:28">
      <c r="A1066" t="str">
        <f t="shared" si="79"/>
        <v>2015FemaleAllEth24</v>
      </c>
      <c r="B1066">
        <v>2015</v>
      </c>
      <c r="C1066" t="s">
        <v>8</v>
      </c>
      <c r="D1066" t="s">
        <v>27</v>
      </c>
      <c r="E1066">
        <v>24</v>
      </c>
      <c r="F1066">
        <v>47</v>
      </c>
      <c r="G1066">
        <v>7.7741204492449203</v>
      </c>
      <c r="H1066">
        <v>2.2000000000000002</v>
      </c>
      <c r="J1066" s="340" t="str">
        <f t="shared" si="80"/>
        <v>2002FemaleMaori243</v>
      </c>
      <c r="K1066">
        <v>2002</v>
      </c>
      <c r="L1066" t="s">
        <v>8</v>
      </c>
      <c r="M1066" t="s">
        <v>18</v>
      </c>
      <c r="N1066">
        <v>24</v>
      </c>
      <c r="O1066">
        <v>3</v>
      </c>
      <c r="P1066">
        <v>0</v>
      </c>
      <c r="Q1066">
        <v>0</v>
      </c>
      <c r="T1066" s="340" t="str">
        <f t="shared" si="81"/>
        <v>2000MaleNon-Maori25Submersion (drowning)</v>
      </c>
      <c r="U1066">
        <v>2000</v>
      </c>
      <c r="V1066" t="s">
        <v>20</v>
      </c>
      <c r="W1066" t="s">
        <v>19</v>
      </c>
      <c r="X1066">
        <v>25</v>
      </c>
      <c r="Y1066" t="s">
        <v>49</v>
      </c>
      <c r="Z1066">
        <v>2</v>
      </c>
      <c r="AA1066">
        <v>40</v>
      </c>
      <c r="AB1066">
        <v>5</v>
      </c>
    </row>
    <row r="1067" spans="1:28">
      <c r="A1067" t="str">
        <f t="shared" si="79"/>
        <v>2015FemaleAllEth25</v>
      </c>
      <c r="B1067">
        <v>2015</v>
      </c>
      <c r="C1067" t="s">
        <v>8</v>
      </c>
      <c r="D1067" t="s">
        <v>27</v>
      </c>
      <c r="E1067">
        <v>25</v>
      </c>
      <c r="F1067">
        <v>16</v>
      </c>
      <c r="G1067">
        <v>4.42575791104227</v>
      </c>
      <c r="H1067">
        <v>2.2000000000000002</v>
      </c>
      <c r="J1067" s="340" t="str">
        <f t="shared" si="80"/>
        <v>2002FemaleMaori244</v>
      </c>
      <c r="K1067">
        <v>2002</v>
      </c>
      <c r="L1067" t="s">
        <v>8</v>
      </c>
      <c r="M1067" t="s">
        <v>18</v>
      </c>
      <c r="N1067">
        <v>24</v>
      </c>
      <c r="O1067">
        <v>4</v>
      </c>
      <c r="P1067">
        <v>1</v>
      </c>
      <c r="Q1067">
        <v>10.2265774490981</v>
      </c>
      <c r="R1067">
        <v>20</v>
      </c>
      <c r="T1067" s="340" t="str">
        <f t="shared" si="81"/>
        <v>2001AllSexAllEth22Firearms and explosives</v>
      </c>
      <c r="U1067">
        <v>2001</v>
      </c>
      <c r="V1067" t="s">
        <v>17</v>
      </c>
      <c r="W1067" t="s">
        <v>27</v>
      </c>
      <c r="X1067">
        <v>22</v>
      </c>
      <c r="Y1067" t="s">
        <v>42</v>
      </c>
      <c r="Z1067">
        <v>5</v>
      </c>
      <c r="AA1067">
        <v>110</v>
      </c>
      <c r="AB1067">
        <v>4.5</v>
      </c>
    </row>
    <row r="1068" spans="1:28">
      <c r="A1068" t="str">
        <f t="shared" si="79"/>
        <v>2015FemaleMaori21</v>
      </c>
      <c r="B1068">
        <v>2015</v>
      </c>
      <c r="C1068" t="s">
        <v>8</v>
      </c>
      <c r="D1068" t="s">
        <v>18</v>
      </c>
      <c r="E1068">
        <v>21</v>
      </c>
      <c r="F1068">
        <v>1</v>
      </c>
      <c r="G1068">
        <v>0.87435516306723804</v>
      </c>
      <c r="H1068">
        <v>1.7</v>
      </c>
      <c r="J1068" s="340" t="str">
        <f t="shared" si="80"/>
        <v>2002FemaleMaori245</v>
      </c>
      <c r="K1068">
        <v>2002</v>
      </c>
      <c r="L1068" t="s">
        <v>8</v>
      </c>
      <c r="M1068" t="s">
        <v>18</v>
      </c>
      <c r="N1068">
        <v>24</v>
      </c>
      <c r="O1068">
        <v>5</v>
      </c>
      <c r="P1068">
        <v>0</v>
      </c>
      <c r="Q1068">
        <v>0</v>
      </c>
      <c r="T1068" s="340" t="str">
        <f t="shared" si="81"/>
        <v>2001AllSexAllEth23Firearms and explosives</v>
      </c>
      <c r="U1068">
        <v>2001</v>
      </c>
      <c r="V1068" t="s">
        <v>17</v>
      </c>
      <c r="W1068" t="s">
        <v>27</v>
      </c>
      <c r="X1068">
        <v>23</v>
      </c>
      <c r="Y1068" t="s">
        <v>42</v>
      </c>
      <c r="Z1068">
        <v>30</v>
      </c>
      <c r="AA1068">
        <v>239</v>
      </c>
      <c r="AB1068">
        <v>12.6</v>
      </c>
    </row>
    <row r="1069" spans="1:28">
      <c r="A1069" t="str">
        <f t="shared" si="79"/>
        <v>2015FemaleMaori22</v>
      </c>
      <c r="B1069">
        <v>2015</v>
      </c>
      <c r="C1069" t="s">
        <v>8</v>
      </c>
      <c r="D1069" t="s">
        <v>18</v>
      </c>
      <c r="E1069">
        <v>22</v>
      </c>
      <c r="F1069">
        <v>22</v>
      </c>
      <c r="G1069">
        <v>33.747507286393599</v>
      </c>
      <c r="H1069">
        <v>14.1</v>
      </c>
      <c r="J1069" s="340" t="str">
        <f t="shared" si="80"/>
        <v>2002FemaleMaori251</v>
      </c>
      <c r="K1069">
        <v>2002</v>
      </c>
      <c r="L1069" t="s">
        <v>8</v>
      </c>
      <c r="M1069" t="s">
        <v>18</v>
      </c>
      <c r="N1069">
        <v>25</v>
      </c>
      <c r="O1069">
        <v>1</v>
      </c>
      <c r="P1069">
        <v>0</v>
      </c>
      <c r="Q1069">
        <v>0</v>
      </c>
      <c r="T1069" s="340" t="str">
        <f t="shared" si="81"/>
        <v>2001AllSexAllEth24Firearms and explosives</v>
      </c>
      <c r="U1069">
        <v>2001</v>
      </c>
      <c r="V1069" t="s">
        <v>17</v>
      </c>
      <c r="W1069" t="s">
        <v>27</v>
      </c>
      <c r="X1069">
        <v>24</v>
      </c>
      <c r="Y1069" t="s">
        <v>42</v>
      </c>
      <c r="Z1069">
        <v>13</v>
      </c>
      <c r="AA1069">
        <v>92</v>
      </c>
      <c r="AB1069">
        <v>14.1</v>
      </c>
    </row>
    <row r="1070" spans="1:28">
      <c r="A1070" t="str">
        <f t="shared" si="79"/>
        <v>2015FemaleMaori23</v>
      </c>
      <c r="B1070">
        <v>2015</v>
      </c>
      <c r="C1070" t="s">
        <v>8</v>
      </c>
      <c r="D1070" t="s">
        <v>18</v>
      </c>
      <c r="E1070">
        <v>23</v>
      </c>
      <c r="F1070">
        <v>14</v>
      </c>
      <c r="G1070">
        <v>15.1909722222222</v>
      </c>
      <c r="H1070">
        <v>8</v>
      </c>
      <c r="J1070" s="340" t="str">
        <f t="shared" si="80"/>
        <v>2002FemaleMaori252</v>
      </c>
      <c r="K1070">
        <v>2002</v>
      </c>
      <c r="L1070" t="s">
        <v>8</v>
      </c>
      <c r="M1070" t="s">
        <v>18</v>
      </c>
      <c r="N1070">
        <v>25</v>
      </c>
      <c r="O1070">
        <v>2</v>
      </c>
      <c r="P1070">
        <v>0</v>
      </c>
      <c r="Q1070">
        <v>0</v>
      </c>
      <c r="T1070" s="340" t="str">
        <f t="shared" si="81"/>
        <v>2001AllSexAllEth25Firearms and explosives</v>
      </c>
      <c r="U1070">
        <v>2001</v>
      </c>
      <c r="V1070" t="s">
        <v>17</v>
      </c>
      <c r="W1070" t="s">
        <v>27</v>
      </c>
      <c r="X1070">
        <v>25</v>
      </c>
      <c r="Y1070" t="s">
        <v>42</v>
      </c>
      <c r="Z1070">
        <v>3</v>
      </c>
      <c r="AA1070">
        <v>64</v>
      </c>
      <c r="AB1070">
        <v>4.7</v>
      </c>
    </row>
    <row r="1071" spans="1:28">
      <c r="A1071" t="str">
        <f t="shared" si="79"/>
        <v>2015FemaleMaori24</v>
      </c>
      <c r="B1071">
        <v>2015</v>
      </c>
      <c r="C1071" t="s">
        <v>8</v>
      </c>
      <c r="D1071" t="s">
        <v>18</v>
      </c>
      <c r="E1071">
        <v>24</v>
      </c>
      <c r="F1071">
        <v>3</v>
      </c>
      <c r="G1071">
        <v>4.2211903756859401</v>
      </c>
      <c r="H1071">
        <v>4.8</v>
      </c>
      <c r="J1071" s="340" t="str">
        <f t="shared" si="80"/>
        <v>2002FemaleMaori253</v>
      </c>
      <c r="K1071">
        <v>2002</v>
      </c>
      <c r="L1071" t="s">
        <v>8</v>
      </c>
      <c r="M1071" t="s">
        <v>18</v>
      </c>
      <c r="N1071">
        <v>25</v>
      </c>
      <c r="O1071">
        <v>3</v>
      </c>
      <c r="P1071">
        <v>0</v>
      </c>
      <c r="Q1071">
        <v>0</v>
      </c>
      <c r="T1071" s="340" t="str">
        <f t="shared" si="81"/>
        <v>2001AllSexAllEth21Hanging, strangulation and suffocation</v>
      </c>
      <c r="U1071">
        <v>2001</v>
      </c>
      <c r="V1071" t="s">
        <v>17</v>
      </c>
      <c r="W1071" t="s">
        <v>27</v>
      </c>
      <c r="X1071">
        <v>21</v>
      </c>
      <c r="Y1071" t="s">
        <v>43</v>
      </c>
      <c r="Z1071">
        <v>2</v>
      </c>
      <c r="AA1071">
        <v>3</v>
      </c>
      <c r="AB1071">
        <v>66.7</v>
      </c>
    </row>
    <row r="1072" spans="1:28">
      <c r="A1072" t="str">
        <f t="shared" si="79"/>
        <v>2015FemaleMaori25</v>
      </c>
      <c r="B1072">
        <v>2015</v>
      </c>
      <c r="C1072" t="s">
        <v>8</v>
      </c>
      <c r="D1072" t="s">
        <v>18</v>
      </c>
      <c r="E1072">
        <v>25</v>
      </c>
      <c r="F1072">
        <v>0</v>
      </c>
      <c r="G1072">
        <v>0</v>
      </c>
      <c r="J1072" s="340" t="str">
        <f t="shared" si="80"/>
        <v>2002FemaleMaori254</v>
      </c>
      <c r="K1072">
        <v>2002</v>
      </c>
      <c r="L1072" t="s">
        <v>8</v>
      </c>
      <c r="M1072" t="s">
        <v>18</v>
      </c>
      <c r="N1072">
        <v>25</v>
      </c>
      <c r="O1072">
        <v>4</v>
      </c>
      <c r="P1072">
        <v>0</v>
      </c>
      <c r="Q1072">
        <v>0</v>
      </c>
      <c r="T1072" s="340" t="str">
        <f t="shared" si="81"/>
        <v>2001AllSexAllEth22Hanging, strangulation and suffocation</v>
      </c>
      <c r="U1072">
        <v>2001</v>
      </c>
      <c r="V1072" t="s">
        <v>17</v>
      </c>
      <c r="W1072" t="s">
        <v>27</v>
      </c>
      <c r="X1072">
        <v>22</v>
      </c>
      <c r="Y1072" t="s">
        <v>43</v>
      </c>
      <c r="Z1072">
        <v>70</v>
      </c>
      <c r="AA1072">
        <v>110</v>
      </c>
      <c r="AB1072">
        <v>63.6</v>
      </c>
    </row>
    <row r="1073" spans="1:28">
      <c r="A1073" t="str">
        <f t="shared" si="79"/>
        <v>2015FemaleNon-Maori21</v>
      </c>
      <c r="B1073">
        <v>2015</v>
      </c>
      <c r="C1073" t="s">
        <v>8</v>
      </c>
      <c r="D1073" t="s">
        <v>19</v>
      </c>
      <c r="E1073">
        <v>21</v>
      </c>
      <c r="F1073">
        <v>3</v>
      </c>
      <c r="G1073">
        <v>0.905633037493208</v>
      </c>
      <c r="H1073">
        <v>1</v>
      </c>
      <c r="J1073" s="340" t="str">
        <f t="shared" si="80"/>
        <v>2002FemaleMaori255</v>
      </c>
      <c r="K1073">
        <v>2002</v>
      </c>
      <c r="L1073" t="s">
        <v>8</v>
      </c>
      <c r="M1073" t="s">
        <v>18</v>
      </c>
      <c r="N1073">
        <v>25</v>
      </c>
      <c r="O1073">
        <v>5</v>
      </c>
      <c r="P1073">
        <v>0</v>
      </c>
      <c r="Q1073">
        <v>0</v>
      </c>
      <c r="T1073" s="340" t="str">
        <f t="shared" si="81"/>
        <v>2001AllSexAllEth23Hanging, strangulation and suffocation</v>
      </c>
      <c r="U1073">
        <v>2001</v>
      </c>
      <c r="V1073" t="s">
        <v>17</v>
      </c>
      <c r="W1073" t="s">
        <v>27</v>
      </c>
      <c r="X1073">
        <v>23</v>
      </c>
      <c r="Y1073" t="s">
        <v>43</v>
      </c>
      <c r="Z1073">
        <v>110</v>
      </c>
      <c r="AA1073">
        <v>239</v>
      </c>
      <c r="AB1073">
        <v>46</v>
      </c>
    </row>
    <row r="1074" spans="1:28">
      <c r="A1074" t="str">
        <f t="shared" si="79"/>
        <v>2015FemaleNon-Maori22</v>
      </c>
      <c r="B1074">
        <v>2015</v>
      </c>
      <c r="C1074" t="s">
        <v>8</v>
      </c>
      <c r="D1074" t="s">
        <v>19</v>
      </c>
      <c r="E1074">
        <v>22</v>
      </c>
      <c r="F1074">
        <v>19</v>
      </c>
      <c r="G1074">
        <v>7.5381868676849804</v>
      </c>
      <c r="H1074">
        <v>3.4</v>
      </c>
      <c r="J1074" s="340" t="str">
        <f t="shared" si="80"/>
        <v>2002FemaleNon-Maori211</v>
      </c>
      <c r="K1074">
        <v>2002</v>
      </c>
      <c r="L1074" t="s">
        <v>8</v>
      </c>
      <c r="M1074" t="s">
        <v>19</v>
      </c>
      <c r="N1074">
        <v>21</v>
      </c>
      <c r="O1074">
        <v>1</v>
      </c>
      <c r="P1074">
        <v>0</v>
      </c>
      <c r="Q1074">
        <v>0</v>
      </c>
      <c r="T1074" s="340" t="str">
        <f t="shared" si="81"/>
        <v>2001AllSexAllEth24Hanging, strangulation and suffocation</v>
      </c>
      <c r="U1074">
        <v>2001</v>
      </c>
      <c r="V1074" t="s">
        <v>17</v>
      </c>
      <c r="W1074" t="s">
        <v>27</v>
      </c>
      <c r="X1074">
        <v>24</v>
      </c>
      <c r="Y1074" t="s">
        <v>43</v>
      </c>
      <c r="Z1074">
        <v>32</v>
      </c>
      <c r="AA1074">
        <v>92</v>
      </c>
      <c r="AB1074">
        <v>34.799999999999997</v>
      </c>
    </row>
    <row r="1075" spans="1:28">
      <c r="A1075" t="str">
        <f t="shared" si="79"/>
        <v>2015FemaleNon-Maori23</v>
      </c>
      <c r="B1075">
        <v>2015</v>
      </c>
      <c r="C1075" t="s">
        <v>8</v>
      </c>
      <c r="D1075" t="s">
        <v>19</v>
      </c>
      <c r="E1075">
        <v>23</v>
      </c>
      <c r="F1075">
        <v>22</v>
      </c>
      <c r="G1075">
        <v>4.2367169295356897</v>
      </c>
      <c r="H1075">
        <v>1.8</v>
      </c>
      <c r="J1075" s="340" t="str">
        <f t="shared" si="80"/>
        <v>2002FemaleNon-Maori212</v>
      </c>
      <c r="K1075">
        <v>2002</v>
      </c>
      <c r="L1075" t="s">
        <v>8</v>
      </c>
      <c r="M1075" t="s">
        <v>19</v>
      </c>
      <c r="N1075">
        <v>21</v>
      </c>
      <c r="O1075">
        <v>2</v>
      </c>
      <c r="P1075">
        <v>0</v>
      </c>
      <c r="Q1075">
        <v>0</v>
      </c>
      <c r="T1075" s="340" t="str">
        <f t="shared" si="81"/>
        <v>2001AllSexAllEth25Hanging, strangulation and suffocation</v>
      </c>
      <c r="U1075">
        <v>2001</v>
      </c>
      <c r="V1075" t="s">
        <v>17</v>
      </c>
      <c r="W1075" t="s">
        <v>27</v>
      </c>
      <c r="X1075">
        <v>25</v>
      </c>
      <c r="Y1075" t="s">
        <v>43</v>
      </c>
      <c r="Z1075">
        <v>21</v>
      </c>
      <c r="AA1075">
        <v>64</v>
      </c>
      <c r="AB1075">
        <v>32.799999999999997</v>
      </c>
    </row>
    <row r="1076" spans="1:28">
      <c r="A1076" t="str">
        <f t="shared" si="79"/>
        <v>2015FemaleNon-Maori24</v>
      </c>
      <c r="B1076">
        <v>2015</v>
      </c>
      <c r="C1076" t="s">
        <v>8</v>
      </c>
      <c r="D1076" t="s">
        <v>19</v>
      </c>
      <c r="E1076">
        <v>24</v>
      </c>
      <c r="F1076">
        <v>44</v>
      </c>
      <c r="G1076">
        <v>8.2474226804123703</v>
      </c>
      <c r="H1076">
        <v>2.4</v>
      </c>
      <c r="J1076" s="340" t="str">
        <f t="shared" si="80"/>
        <v>2002FemaleNon-Maori213</v>
      </c>
      <c r="K1076">
        <v>2002</v>
      </c>
      <c r="L1076" t="s">
        <v>8</v>
      </c>
      <c r="M1076" t="s">
        <v>19</v>
      </c>
      <c r="N1076">
        <v>21</v>
      </c>
      <c r="O1076">
        <v>3</v>
      </c>
      <c r="P1076">
        <v>0</v>
      </c>
      <c r="Q1076">
        <v>0</v>
      </c>
      <c r="T1076" s="340" t="str">
        <f t="shared" si="81"/>
        <v>2001AllSexAllEth22Jumping from a high place</v>
      </c>
      <c r="U1076">
        <v>2001</v>
      </c>
      <c r="V1076" t="s">
        <v>17</v>
      </c>
      <c r="W1076" t="s">
        <v>27</v>
      </c>
      <c r="X1076">
        <v>22</v>
      </c>
      <c r="Y1076" t="s">
        <v>44</v>
      </c>
      <c r="Z1076">
        <v>8</v>
      </c>
      <c r="AA1076">
        <v>110</v>
      </c>
      <c r="AB1076">
        <v>7.3</v>
      </c>
    </row>
    <row r="1077" spans="1:28">
      <c r="A1077" t="str">
        <f t="shared" si="79"/>
        <v>2015FemaleNon-Maori25</v>
      </c>
      <c r="B1077">
        <v>2015</v>
      </c>
      <c r="C1077" t="s">
        <v>8</v>
      </c>
      <c r="D1077" t="s">
        <v>19</v>
      </c>
      <c r="E1077">
        <v>25</v>
      </c>
      <c r="F1077">
        <v>16</v>
      </c>
      <c r="G1077">
        <v>4.7162859248341897</v>
      </c>
      <c r="H1077">
        <v>2.2999999999999998</v>
      </c>
      <c r="J1077" s="340" t="str">
        <f t="shared" si="80"/>
        <v>2002FemaleNon-Maori214</v>
      </c>
      <c r="K1077">
        <v>2002</v>
      </c>
      <c r="L1077" t="s">
        <v>8</v>
      </c>
      <c r="M1077" t="s">
        <v>19</v>
      </c>
      <c r="N1077">
        <v>21</v>
      </c>
      <c r="O1077">
        <v>4</v>
      </c>
      <c r="P1077">
        <v>0</v>
      </c>
      <c r="Q1077">
        <v>0</v>
      </c>
      <c r="T1077" s="340" t="str">
        <f t="shared" si="81"/>
        <v>2001AllSexAllEth23Jumping from a high place</v>
      </c>
      <c r="U1077">
        <v>2001</v>
      </c>
      <c r="V1077" t="s">
        <v>17</v>
      </c>
      <c r="W1077" t="s">
        <v>27</v>
      </c>
      <c r="X1077">
        <v>23</v>
      </c>
      <c r="Y1077" t="s">
        <v>44</v>
      </c>
      <c r="Z1077">
        <v>7</v>
      </c>
      <c r="AA1077">
        <v>239</v>
      </c>
      <c r="AB1077">
        <v>2.9</v>
      </c>
    </row>
    <row r="1078" spans="1:28">
      <c r="A1078" t="str">
        <f t="shared" si="79"/>
        <v>2015MaleAllEth21</v>
      </c>
      <c r="B1078">
        <v>2015</v>
      </c>
      <c r="C1078" t="s">
        <v>20</v>
      </c>
      <c r="D1078" t="s">
        <v>27</v>
      </c>
      <c r="E1078">
        <v>21</v>
      </c>
      <c r="F1078">
        <v>5</v>
      </c>
      <c r="G1078">
        <v>1.0665301508073599</v>
      </c>
      <c r="H1078">
        <v>0.9</v>
      </c>
      <c r="J1078" s="340" t="str">
        <f t="shared" si="80"/>
        <v>2002FemaleNon-Maori215</v>
      </c>
      <c r="K1078">
        <v>2002</v>
      </c>
      <c r="L1078" t="s">
        <v>8</v>
      </c>
      <c r="M1078" t="s">
        <v>19</v>
      </c>
      <c r="N1078">
        <v>21</v>
      </c>
      <c r="O1078">
        <v>5</v>
      </c>
      <c r="P1078">
        <v>0</v>
      </c>
      <c r="Q1078">
        <v>0</v>
      </c>
      <c r="T1078" s="340" t="str">
        <f t="shared" si="81"/>
        <v>2001AllSexAllEth24Jumping from a high place</v>
      </c>
      <c r="U1078">
        <v>2001</v>
      </c>
      <c r="V1078" t="s">
        <v>17</v>
      </c>
      <c r="W1078" t="s">
        <v>27</v>
      </c>
      <c r="X1078">
        <v>24</v>
      </c>
      <c r="Y1078" t="s">
        <v>44</v>
      </c>
      <c r="Z1078">
        <v>2</v>
      </c>
      <c r="AA1078">
        <v>92</v>
      </c>
      <c r="AB1078">
        <v>2.2000000000000002</v>
      </c>
    </row>
    <row r="1079" spans="1:28">
      <c r="A1079" t="str">
        <f t="shared" si="79"/>
        <v>2015MaleAllEth22</v>
      </c>
      <c r="B1079">
        <v>2015</v>
      </c>
      <c r="C1079" t="s">
        <v>20</v>
      </c>
      <c r="D1079" t="s">
        <v>27</v>
      </c>
      <c r="E1079">
        <v>22</v>
      </c>
      <c r="F1079">
        <v>70</v>
      </c>
      <c r="G1079">
        <v>20.629494282683002</v>
      </c>
      <c r="H1079">
        <v>4.8</v>
      </c>
      <c r="J1079" s="340" t="str">
        <f t="shared" si="80"/>
        <v>2002FemaleNon-Maori221</v>
      </c>
      <c r="K1079">
        <v>2002</v>
      </c>
      <c r="L1079" t="s">
        <v>8</v>
      </c>
      <c r="M1079" t="s">
        <v>19</v>
      </c>
      <c r="N1079">
        <v>22</v>
      </c>
      <c r="O1079">
        <v>1</v>
      </c>
      <c r="P1079">
        <v>3</v>
      </c>
      <c r="Q1079">
        <v>7.1897947787236598</v>
      </c>
      <c r="R1079">
        <v>8.1</v>
      </c>
      <c r="T1079" s="340" t="str">
        <f t="shared" si="81"/>
        <v>2001AllSexAllEth25Jumping from a high place</v>
      </c>
      <c r="U1079">
        <v>2001</v>
      </c>
      <c r="V1079" t="s">
        <v>17</v>
      </c>
      <c r="W1079" t="s">
        <v>27</v>
      </c>
      <c r="X1079">
        <v>25</v>
      </c>
      <c r="Y1079" t="s">
        <v>44</v>
      </c>
      <c r="Z1079">
        <v>2</v>
      </c>
      <c r="AA1079">
        <v>64</v>
      </c>
      <c r="AB1079">
        <v>3.1</v>
      </c>
    </row>
    <row r="1080" spans="1:28">
      <c r="A1080" t="str">
        <f t="shared" si="79"/>
        <v>2015MaleAllEth23</v>
      </c>
      <c r="B1080">
        <v>2015</v>
      </c>
      <c r="C1080" t="s">
        <v>20</v>
      </c>
      <c r="D1080" t="s">
        <v>27</v>
      </c>
      <c r="E1080">
        <v>23</v>
      </c>
      <c r="F1080">
        <v>137</v>
      </c>
      <c r="G1080">
        <v>23.9192681053146</v>
      </c>
      <c r="H1080">
        <v>4</v>
      </c>
      <c r="J1080" s="340" t="str">
        <f t="shared" si="80"/>
        <v>2002FemaleNon-Maori222</v>
      </c>
      <c r="K1080">
        <v>2002</v>
      </c>
      <c r="L1080" t="s">
        <v>8</v>
      </c>
      <c r="M1080" t="s">
        <v>19</v>
      </c>
      <c r="N1080">
        <v>22</v>
      </c>
      <c r="O1080">
        <v>2</v>
      </c>
      <c r="P1080">
        <v>2</v>
      </c>
      <c r="Q1080">
        <v>4.6705519155663904</v>
      </c>
      <c r="R1080">
        <v>6.5</v>
      </c>
      <c r="T1080" s="340" t="str">
        <f t="shared" si="81"/>
        <v>2001AllSexAllEth22Other</v>
      </c>
      <c r="U1080">
        <v>2001</v>
      </c>
      <c r="V1080" t="s">
        <v>17</v>
      </c>
      <c r="W1080" t="s">
        <v>27</v>
      </c>
      <c r="X1080">
        <v>22</v>
      </c>
      <c r="Y1080" t="s">
        <v>45</v>
      </c>
      <c r="Z1080">
        <v>3</v>
      </c>
      <c r="AA1080">
        <v>110</v>
      </c>
      <c r="AB1080">
        <v>2.7</v>
      </c>
    </row>
    <row r="1081" spans="1:28">
      <c r="A1081" t="str">
        <f t="shared" si="79"/>
        <v>2015MaleAllEth24</v>
      </c>
      <c r="B1081">
        <v>2015</v>
      </c>
      <c r="C1081" t="s">
        <v>20</v>
      </c>
      <c r="D1081" t="s">
        <v>27</v>
      </c>
      <c r="E1081">
        <v>24</v>
      </c>
      <c r="F1081">
        <v>125</v>
      </c>
      <c r="G1081">
        <v>22.1094150733148</v>
      </c>
      <c r="H1081">
        <v>3.9</v>
      </c>
      <c r="J1081" s="340" t="str">
        <f t="shared" si="80"/>
        <v>2002FemaleNon-Maori223</v>
      </c>
      <c r="K1081">
        <v>2002</v>
      </c>
      <c r="L1081" t="s">
        <v>8</v>
      </c>
      <c r="M1081" t="s">
        <v>19</v>
      </c>
      <c r="N1081">
        <v>22</v>
      </c>
      <c r="O1081">
        <v>3</v>
      </c>
      <c r="P1081">
        <v>7</v>
      </c>
      <c r="Q1081">
        <v>15.8212723361762</v>
      </c>
      <c r="R1081">
        <v>11.7</v>
      </c>
      <c r="T1081" s="340" t="str">
        <f t="shared" si="81"/>
        <v>2001AllSexAllEth23Other</v>
      </c>
      <c r="U1081">
        <v>2001</v>
      </c>
      <c r="V1081" t="s">
        <v>17</v>
      </c>
      <c r="W1081" t="s">
        <v>27</v>
      </c>
      <c r="X1081">
        <v>23</v>
      </c>
      <c r="Y1081" t="s">
        <v>45</v>
      </c>
      <c r="Z1081">
        <v>10</v>
      </c>
      <c r="AA1081">
        <v>239</v>
      </c>
      <c r="AB1081">
        <v>4.2</v>
      </c>
    </row>
    <row r="1082" spans="1:28">
      <c r="A1082" t="str">
        <f t="shared" si="79"/>
        <v>2015MaleAllEth25</v>
      </c>
      <c r="B1082">
        <v>2015</v>
      </c>
      <c r="C1082" t="s">
        <v>20</v>
      </c>
      <c r="D1082" t="s">
        <v>27</v>
      </c>
      <c r="E1082">
        <v>25</v>
      </c>
      <c r="F1082">
        <v>49</v>
      </c>
      <c r="G1082">
        <v>15.671474717753499</v>
      </c>
      <c r="H1082">
        <v>4.4000000000000004</v>
      </c>
      <c r="J1082" s="340" t="str">
        <f t="shared" si="80"/>
        <v>2002FemaleNon-Maori224</v>
      </c>
      <c r="K1082">
        <v>2002</v>
      </c>
      <c r="L1082" t="s">
        <v>8</v>
      </c>
      <c r="M1082" t="s">
        <v>19</v>
      </c>
      <c r="N1082">
        <v>22</v>
      </c>
      <c r="O1082">
        <v>4</v>
      </c>
      <c r="P1082">
        <v>5</v>
      </c>
      <c r="Q1082">
        <v>11.033582697514399</v>
      </c>
      <c r="R1082">
        <v>9.6999999999999993</v>
      </c>
      <c r="T1082" s="340" t="str">
        <f t="shared" si="81"/>
        <v>2001AllSexAllEth24Other</v>
      </c>
      <c r="U1082">
        <v>2001</v>
      </c>
      <c r="V1082" t="s">
        <v>17</v>
      </c>
      <c r="W1082" t="s">
        <v>27</v>
      </c>
      <c r="X1082">
        <v>24</v>
      </c>
      <c r="Y1082" t="s">
        <v>45</v>
      </c>
      <c r="Z1082">
        <v>3</v>
      </c>
      <c r="AA1082">
        <v>92</v>
      </c>
      <c r="AB1082">
        <v>3.3</v>
      </c>
    </row>
    <row r="1083" spans="1:28">
      <c r="A1083" t="str">
        <f t="shared" si="79"/>
        <v>2015MaleMaori21</v>
      </c>
      <c r="B1083">
        <v>2015</v>
      </c>
      <c r="C1083" t="s">
        <v>20</v>
      </c>
      <c r="D1083" t="s">
        <v>18</v>
      </c>
      <c r="E1083">
        <v>21</v>
      </c>
      <c r="F1083">
        <v>3</v>
      </c>
      <c r="G1083">
        <v>2.4801587301587298</v>
      </c>
      <c r="H1083">
        <v>2.8</v>
      </c>
      <c r="J1083" s="340" t="str">
        <f t="shared" si="80"/>
        <v>2002FemaleNon-Maori225</v>
      </c>
      <c r="K1083">
        <v>2002</v>
      </c>
      <c r="L1083" t="s">
        <v>8</v>
      </c>
      <c r="M1083" t="s">
        <v>19</v>
      </c>
      <c r="N1083">
        <v>22</v>
      </c>
      <c r="O1083">
        <v>5</v>
      </c>
      <c r="P1083">
        <v>2</v>
      </c>
      <c r="Q1083">
        <v>4.4304369539364297</v>
      </c>
      <c r="R1083">
        <v>6.1</v>
      </c>
      <c r="T1083" s="340" t="str">
        <f t="shared" si="81"/>
        <v>2001AllSexAllEth25Other</v>
      </c>
      <c r="U1083">
        <v>2001</v>
      </c>
      <c r="V1083" t="s">
        <v>17</v>
      </c>
      <c r="W1083" t="s">
        <v>27</v>
      </c>
      <c r="X1083">
        <v>25</v>
      </c>
      <c r="Y1083" t="s">
        <v>45</v>
      </c>
      <c r="Z1083">
        <v>6</v>
      </c>
      <c r="AA1083">
        <v>64</v>
      </c>
      <c r="AB1083">
        <v>9.4</v>
      </c>
    </row>
    <row r="1084" spans="1:28">
      <c r="A1084" t="str">
        <f t="shared" si="79"/>
        <v>2015MaleMaori22</v>
      </c>
      <c r="B1084">
        <v>2015</v>
      </c>
      <c r="C1084" t="s">
        <v>20</v>
      </c>
      <c r="D1084" t="s">
        <v>18</v>
      </c>
      <c r="E1084">
        <v>22</v>
      </c>
      <c r="F1084">
        <v>20</v>
      </c>
      <c r="G1084">
        <v>29.899835550904498</v>
      </c>
      <c r="H1084">
        <v>13.1</v>
      </c>
      <c r="J1084" s="340" t="str">
        <f t="shared" si="80"/>
        <v>2002FemaleNon-Maori231</v>
      </c>
      <c r="K1084">
        <v>2002</v>
      </c>
      <c r="L1084" t="s">
        <v>8</v>
      </c>
      <c r="M1084" t="s">
        <v>19</v>
      </c>
      <c r="N1084">
        <v>23</v>
      </c>
      <c r="O1084">
        <v>1</v>
      </c>
      <c r="P1084">
        <v>5</v>
      </c>
      <c r="Q1084">
        <v>4.3652951544550396</v>
      </c>
      <c r="R1084">
        <v>3.8</v>
      </c>
      <c r="T1084" s="340" t="str">
        <f t="shared" si="81"/>
        <v>2001AllSexAllEth21Poisoning by gases and vapours</v>
      </c>
      <c r="U1084">
        <v>2001</v>
      </c>
      <c r="V1084" t="s">
        <v>17</v>
      </c>
      <c r="W1084" t="s">
        <v>27</v>
      </c>
      <c r="X1084">
        <v>21</v>
      </c>
      <c r="Y1084" t="s">
        <v>46</v>
      </c>
      <c r="Z1084">
        <v>1</v>
      </c>
      <c r="AA1084">
        <v>3</v>
      </c>
      <c r="AB1084">
        <v>33.299999999999997</v>
      </c>
    </row>
    <row r="1085" spans="1:28">
      <c r="A1085" t="str">
        <f t="shared" si="79"/>
        <v>2015MaleMaori23</v>
      </c>
      <c r="B1085">
        <v>2015</v>
      </c>
      <c r="C1085" t="s">
        <v>20</v>
      </c>
      <c r="D1085" t="s">
        <v>18</v>
      </c>
      <c r="E1085">
        <v>23</v>
      </c>
      <c r="F1085">
        <v>40</v>
      </c>
      <c r="G1085">
        <v>51.026916698558502</v>
      </c>
      <c r="H1085">
        <v>15.8</v>
      </c>
      <c r="J1085" s="340" t="str">
        <f t="shared" si="80"/>
        <v>2002FemaleNon-Maori232</v>
      </c>
      <c r="K1085">
        <v>2002</v>
      </c>
      <c r="L1085" t="s">
        <v>8</v>
      </c>
      <c r="M1085" t="s">
        <v>19</v>
      </c>
      <c r="N1085">
        <v>23</v>
      </c>
      <c r="O1085">
        <v>2</v>
      </c>
      <c r="P1085">
        <v>7</v>
      </c>
      <c r="Q1085">
        <v>6.0861361732427701</v>
      </c>
      <c r="R1085">
        <v>4.5</v>
      </c>
      <c r="T1085" s="340" t="str">
        <f t="shared" si="81"/>
        <v>2001AllSexAllEth22Poisoning by gases and vapours</v>
      </c>
      <c r="U1085">
        <v>2001</v>
      </c>
      <c r="V1085" t="s">
        <v>17</v>
      </c>
      <c r="W1085" t="s">
        <v>27</v>
      </c>
      <c r="X1085">
        <v>22</v>
      </c>
      <c r="Y1085" t="s">
        <v>46</v>
      </c>
      <c r="Z1085">
        <v>15</v>
      </c>
      <c r="AA1085">
        <v>110</v>
      </c>
      <c r="AB1085">
        <v>13.6</v>
      </c>
    </row>
    <row r="1086" spans="1:28">
      <c r="A1086" t="str">
        <f t="shared" si="79"/>
        <v>2015MaleMaori24</v>
      </c>
      <c r="B1086">
        <v>2015</v>
      </c>
      <c r="C1086" t="s">
        <v>20</v>
      </c>
      <c r="D1086" t="s">
        <v>18</v>
      </c>
      <c r="E1086">
        <v>24</v>
      </c>
      <c r="F1086">
        <v>15</v>
      </c>
      <c r="G1086">
        <v>23.996160614301701</v>
      </c>
      <c r="H1086">
        <v>12.1</v>
      </c>
      <c r="J1086" s="340" t="str">
        <f t="shared" si="80"/>
        <v>2002FemaleNon-Maori233</v>
      </c>
      <c r="K1086">
        <v>2002</v>
      </c>
      <c r="L1086" t="s">
        <v>8</v>
      </c>
      <c r="M1086" t="s">
        <v>19</v>
      </c>
      <c r="N1086">
        <v>23</v>
      </c>
      <c r="O1086">
        <v>3</v>
      </c>
      <c r="P1086">
        <v>9</v>
      </c>
      <c r="Q1086">
        <v>8.2852932756103606</v>
      </c>
      <c r="R1086">
        <v>5.4</v>
      </c>
      <c r="T1086" s="340" t="str">
        <f t="shared" si="81"/>
        <v>2001AllSexAllEth23Poisoning by gases and vapours</v>
      </c>
      <c r="U1086">
        <v>2001</v>
      </c>
      <c r="V1086" t="s">
        <v>17</v>
      </c>
      <c r="W1086" t="s">
        <v>27</v>
      </c>
      <c r="X1086">
        <v>23</v>
      </c>
      <c r="Y1086" t="s">
        <v>46</v>
      </c>
      <c r="Z1086">
        <v>57</v>
      </c>
      <c r="AA1086">
        <v>239</v>
      </c>
      <c r="AB1086">
        <v>23.8</v>
      </c>
    </row>
    <row r="1087" spans="1:28">
      <c r="A1087" t="str">
        <f t="shared" si="79"/>
        <v>2015MaleMaori25</v>
      </c>
      <c r="B1087">
        <v>2015</v>
      </c>
      <c r="C1087" t="s">
        <v>20</v>
      </c>
      <c r="D1087" t="s">
        <v>18</v>
      </c>
      <c r="E1087">
        <v>25</v>
      </c>
      <c r="F1087">
        <v>0</v>
      </c>
      <c r="G1087">
        <v>0</v>
      </c>
      <c r="J1087" s="340" t="str">
        <f t="shared" si="80"/>
        <v>2002FemaleNon-Maori234</v>
      </c>
      <c r="K1087">
        <v>2002</v>
      </c>
      <c r="L1087" t="s">
        <v>8</v>
      </c>
      <c r="M1087" t="s">
        <v>19</v>
      </c>
      <c r="N1087">
        <v>23</v>
      </c>
      <c r="O1087">
        <v>4</v>
      </c>
      <c r="P1087">
        <v>6</v>
      </c>
      <c r="Q1087">
        <v>6.1544681923863704</v>
      </c>
      <c r="R1087">
        <v>4.9000000000000004</v>
      </c>
      <c r="T1087" s="340" t="str">
        <f t="shared" si="81"/>
        <v>2001AllSexAllEth24Poisoning by gases and vapours</v>
      </c>
      <c r="U1087">
        <v>2001</v>
      </c>
      <c r="V1087" t="s">
        <v>17</v>
      </c>
      <c r="W1087" t="s">
        <v>27</v>
      </c>
      <c r="X1087">
        <v>24</v>
      </c>
      <c r="Y1087" t="s">
        <v>46</v>
      </c>
      <c r="Z1087">
        <v>24</v>
      </c>
      <c r="AA1087">
        <v>92</v>
      </c>
      <c r="AB1087">
        <v>26.1</v>
      </c>
    </row>
    <row r="1088" spans="1:28">
      <c r="A1088" t="str">
        <f t="shared" si="79"/>
        <v>2015MaleNon-Maori21</v>
      </c>
      <c r="B1088">
        <v>2015</v>
      </c>
      <c r="C1088" t="s">
        <v>20</v>
      </c>
      <c r="D1088" t="s">
        <v>19</v>
      </c>
      <c r="E1088">
        <v>21</v>
      </c>
      <c r="F1088">
        <v>2</v>
      </c>
      <c r="G1088">
        <v>0.574960471467587</v>
      </c>
      <c r="H1088">
        <v>0.8</v>
      </c>
      <c r="J1088" s="340" t="str">
        <f t="shared" si="80"/>
        <v>2002FemaleNon-Maori235</v>
      </c>
      <c r="K1088">
        <v>2002</v>
      </c>
      <c r="L1088" t="s">
        <v>8</v>
      </c>
      <c r="M1088" t="s">
        <v>19</v>
      </c>
      <c r="N1088">
        <v>23</v>
      </c>
      <c r="O1088">
        <v>5</v>
      </c>
      <c r="P1088">
        <v>8</v>
      </c>
      <c r="Q1088">
        <v>10.7040090635372</v>
      </c>
      <c r="R1088">
        <v>7.4</v>
      </c>
      <c r="T1088" s="340" t="str">
        <f t="shared" si="81"/>
        <v>2001AllSexAllEth25Poisoning by gases and vapours</v>
      </c>
      <c r="U1088">
        <v>2001</v>
      </c>
      <c r="V1088" t="s">
        <v>17</v>
      </c>
      <c r="W1088" t="s">
        <v>27</v>
      </c>
      <c r="X1088">
        <v>25</v>
      </c>
      <c r="Y1088" t="s">
        <v>46</v>
      </c>
      <c r="Z1088">
        <v>14</v>
      </c>
      <c r="AA1088">
        <v>64</v>
      </c>
      <c r="AB1088">
        <v>21.9</v>
      </c>
    </row>
    <row r="1089" spans="1:28">
      <c r="A1089" t="str">
        <f t="shared" si="79"/>
        <v>2015MaleNon-Maori22</v>
      </c>
      <c r="B1089">
        <v>2015</v>
      </c>
      <c r="C1089" t="s">
        <v>20</v>
      </c>
      <c r="D1089" t="s">
        <v>19</v>
      </c>
      <c r="E1089">
        <v>22</v>
      </c>
      <c r="F1089">
        <v>50</v>
      </c>
      <c r="G1089">
        <v>18.353338472268099</v>
      </c>
      <c r="H1089">
        <v>5.0999999999999996</v>
      </c>
      <c r="J1089" s="340" t="str">
        <f t="shared" si="80"/>
        <v>2002FemaleNon-Maori241</v>
      </c>
      <c r="K1089">
        <v>2002</v>
      </c>
      <c r="L1089" t="s">
        <v>8</v>
      </c>
      <c r="M1089" t="s">
        <v>19</v>
      </c>
      <c r="N1089">
        <v>24</v>
      </c>
      <c r="O1089">
        <v>1</v>
      </c>
      <c r="P1089">
        <v>5</v>
      </c>
      <c r="Q1089">
        <v>4.6434400705157097</v>
      </c>
      <c r="R1089">
        <v>4.0999999999999996</v>
      </c>
      <c r="T1089" s="340" t="str">
        <f t="shared" si="81"/>
        <v>2001AllSexAllEth22Poisoning by solids and liquids</v>
      </c>
      <c r="U1089">
        <v>2001</v>
      </c>
      <c r="V1089" t="s">
        <v>17</v>
      </c>
      <c r="W1089" t="s">
        <v>27</v>
      </c>
      <c r="X1089">
        <v>22</v>
      </c>
      <c r="Y1089" t="s">
        <v>47</v>
      </c>
      <c r="Z1089">
        <v>5</v>
      </c>
      <c r="AA1089">
        <v>110</v>
      </c>
      <c r="AB1089">
        <v>4.5</v>
      </c>
    </row>
    <row r="1090" spans="1:28">
      <c r="A1090" t="str">
        <f t="shared" si="79"/>
        <v>2015MaleNon-Maori23</v>
      </c>
      <c r="B1090">
        <v>2015</v>
      </c>
      <c r="C1090" t="s">
        <v>20</v>
      </c>
      <c r="D1090" t="s">
        <v>19</v>
      </c>
      <c r="E1090">
        <v>23</v>
      </c>
      <c r="F1090">
        <v>97</v>
      </c>
      <c r="G1090">
        <v>19.620931690838798</v>
      </c>
      <c r="H1090">
        <v>3.9</v>
      </c>
      <c r="J1090" s="340" t="str">
        <f t="shared" si="80"/>
        <v>2002FemaleNon-Maori242</v>
      </c>
      <c r="K1090">
        <v>2002</v>
      </c>
      <c r="L1090" t="s">
        <v>8</v>
      </c>
      <c r="M1090" t="s">
        <v>19</v>
      </c>
      <c r="N1090">
        <v>24</v>
      </c>
      <c r="O1090">
        <v>2</v>
      </c>
      <c r="P1090">
        <v>2</v>
      </c>
      <c r="Q1090">
        <v>2.1367264240269601</v>
      </c>
      <c r="R1090">
        <v>3</v>
      </c>
      <c r="T1090" s="340" t="str">
        <f t="shared" si="81"/>
        <v>2001AllSexAllEth23Poisoning by solids and liquids</v>
      </c>
      <c r="U1090">
        <v>2001</v>
      </c>
      <c r="V1090" t="s">
        <v>17</v>
      </c>
      <c r="W1090" t="s">
        <v>27</v>
      </c>
      <c r="X1090">
        <v>23</v>
      </c>
      <c r="Y1090" t="s">
        <v>47</v>
      </c>
      <c r="Z1090">
        <v>23</v>
      </c>
      <c r="AA1090">
        <v>239</v>
      </c>
      <c r="AB1090">
        <v>9.6</v>
      </c>
    </row>
    <row r="1091" spans="1:28">
      <c r="A1091" t="str">
        <f t="shared" si="79"/>
        <v>2015MaleNon-Maori24</v>
      </c>
      <c r="B1091">
        <v>2015</v>
      </c>
      <c r="C1091" t="s">
        <v>20</v>
      </c>
      <c r="D1091" t="s">
        <v>19</v>
      </c>
      <c r="E1091">
        <v>24</v>
      </c>
      <c r="F1091">
        <v>110</v>
      </c>
      <c r="G1091">
        <v>21.874875710933502</v>
      </c>
      <c r="H1091">
        <v>4.0999999999999996</v>
      </c>
      <c r="J1091" s="340" t="str">
        <f t="shared" si="80"/>
        <v>2002FemaleNon-Maori243</v>
      </c>
      <c r="K1091">
        <v>2002</v>
      </c>
      <c r="L1091" t="s">
        <v>8</v>
      </c>
      <c r="M1091" t="s">
        <v>19</v>
      </c>
      <c r="N1091">
        <v>24</v>
      </c>
      <c r="O1091">
        <v>3</v>
      </c>
      <c r="P1091">
        <v>1</v>
      </c>
      <c r="Q1091">
        <v>1.2184423769044299</v>
      </c>
      <c r="R1091">
        <v>2.4</v>
      </c>
      <c r="T1091" s="340" t="str">
        <f t="shared" si="81"/>
        <v>2001AllSexAllEth24Poisoning by solids and liquids</v>
      </c>
      <c r="U1091">
        <v>2001</v>
      </c>
      <c r="V1091" t="s">
        <v>17</v>
      </c>
      <c r="W1091" t="s">
        <v>27</v>
      </c>
      <c r="X1091">
        <v>24</v>
      </c>
      <c r="Y1091" t="s">
        <v>47</v>
      </c>
      <c r="Z1091">
        <v>13</v>
      </c>
      <c r="AA1091">
        <v>92</v>
      </c>
      <c r="AB1091">
        <v>14.1</v>
      </c>
    </row>
    <row r="1092" spans="1:28">
      <c r="A1092" t="str">
        <f t="shared" ref="A1092:A1137" si="82">B1092&amp;C1092&amp;D1092&amp;E1092</f>
        <v>2015MaleNon-Maori25</v>
      </c>
      <c r="B1092">
        <v>2015</v>
      </c>
      <c r="C1092" t="s">
        <v>20</v>
      </c>
      <c r="D1092" t="s">
        <v>19</v>
      </c>
      <c r="E1092">
        <v>25</v>
      </c>
      <c r="F1092">
        <v>49</v>
      </c>
      <c r="G1092">
        <v>16.6547704020937</v>
      </c>
      <c r="H1092">
        <v>4.7</v>
      </c>
      <c r="J1092" s="340" t="str">
        <f t="shared" ref="J1092:J1155" si="83">K1092&amp;L1092&amp;M1092&amp;N1092&amp;O1092</f>
        <v>2002FemaleNon-Maori244</v>
      </c>
      <c r="K1092">
        <v>2002</v>
      </c>
      <c r="L1092" t="s">
        <v>8</v>
      </c>
      <c r="M1092" t="s">
        <v>19</v>
      </c>
      <c r="N1092">
        <v>24</v>
      </c>
      <c r="O1092">
        <v>4</v>
      </c>
      <c r="P1092">
        <v>9</v>
      </c>
      <c r="Q1092">
        <v>12.7703782119531</v>
      </c>
      <c r="R1092">
        <v>8.3000000000000007</v>
      </c>
      <c r="T1092" s="340" t="str">
        <f t="shared" si="81"/>
        <v>2001AllSexAllEth25Poisoning by solids and liquids</v>
      </c>
      <c r="U1092">
        <v>2001</v>
      </c>
      <c r="V1092" t="s">
        <v>17</v>
      </c>
      <c r="W1092" t="s">
        <v>27</v>
      </c>
      <c r="X1092">
        <v>25</v>
      </c>
      <c r="Y1092" t="s">
        <v>47</v>
      </c>
      <c r="Z1092">
        <v>13</v>
      </c>
      <c r="AA1092">
        <v>64</v>
      </c>
      <c r="AB1092">
        <v>20.3</v>
      </c>
    </row>
    <row r="1093" spans="1:28">
      <c r="A1093" t="str">
        <f t="shared" si="82"/>
        <v>2016AllSexAllEth21</v>
      </c>
      <c r="B1093">
        <v>2016</v>
      </c>
      <c r="C1093" t="s">
        <v>17</v>
      </c>
      <c r="D1093" t="s">
        <v>27</v>
      </c>
      <c r="E1093">
        <v>21</v>
      </c>
      <c r="F1093">
        <v>8</v>
      </c>
      <c r="G1093">
        <v>0.86777307734027598</v>
      </c>
      <c r="H1093">
        <v>0.6</v>
      </c>
      <c r="J1093" s="340" t="str">
        <f t="shared" si="83"/>
        <v>2002FemaleNon-Maori245</v>
      </c>
      <c r="K1093">
        <v>2002</v>
      </c>
      <c r="L1093" t="s">
        <v>8</v>
      </c>
      <c r="M1093" t="s">
        <v>19</v>
      </c>
      <c r="N1093">
        <v>24</v>
      </c>
      <c r="O1093">
        <v>5</v>
      </c>
      <c r="P1093">
        <v>4</v>
      </c>
      <c r="Q1093">
        <v>7.8121196313569401</v>
      </c>
      <c r="R1093">
        <v>7.7</v>
      </c>
      <c r="T1093" s="340" t="str">
        <f t="shared" ref="T1093:T1156" si="84">U1093&amp;V1093&amp;W1093&amp;X1093&amp;Y1093</f>
        <v>2001AllSexAllEth22Sharp object</v>
      </c>
      <c r="U1093">
        <v>2001</v>
      </c>
      <c r="V1093" t="s">
        <v>17</v>
      </c>
      <c r="W1093" t="s">
        <v>27</v>
      </c>
      <c r="X1093">
        <v>22</v>
      </c>
      <c r="Y1093" t="s">
        <v>48</v>
      </c>
      <c r="Z1093">
        <v>2</v>
      </c>
      <c r="AA1093">
        <v>110</v>
      </c>
      <c r="AB1093">
        <v>1.8</v>
      </c>
    </row>
    <row r="1094" spans="1:28">
      <c r="A1094" t="str">
        <f t="shared" si="82"/>
        <v>2016AllSexAllEth22</v>
      </c>
      <c r="B1094">
        <v>2016</v>
      </c>
      <c r="C1094" t="s">
        <v>17</v>
      </c>
      <c r="D1094" t="s">
        <v>27</v>
      </c>
      <c r="E1094">
        <v>22</v>
      </c>
      <c r="F1094">
        <v>112</v>
      </c>
      <c r="G1094">
        <v>16.765212184716699</v>
      </c>
      <c r="H1094">
        <v>3.1</v>
      </c>
      <c r="J1094" s="340" t="str">
        <f t="shared" si="83"/>
        <v>2002FemaleNon-Maori251</v>
      </c>
      <c r="K1094">
        <v>2002</v>
      </c>
      <c r="L1094" t="s">
        <v>8</v>
      </c>
      <c r="M1094" t="s">
        <v>19</v>
      </c>
      <c r="N1094">
        <v>25</v>
      </c>
      <c r="O1094">
        <v>1</v>
      </c>
      <c r="P1094">
        <v>3</v>
      </c>
      <c r="Q1094">
        <v>6.28368480158613</v>
      </c>
      <c r="R1094">
        <v>7.1</v>
      </c>
      <c r="T1094" s="340" t="str">
        <f t="shared" si="84"/>
        <v>2001AllSexAllEth23Sharp object</v>
      </c>
      <c r="U1094">
        <v>2001</v>
      </c>
      <c r="V1094" t="s">
        <v>17</v>
      </c>
      <c r="W1094" t="s">
        <v>27</v>
      </c>
      <c r="X1094">
        <v>23</v>
      </c>
      <c r="Y1094" t="s">
        <v>48</v>
      </c>
      <c r="Z1094">
        <v>2</v>
      </c>
      <c r="AA1094">
        <v>239</v>
      </c>
      <c r="AB1094">
        <v>0.8</v>
      </c>
    </row>
    <row r="1095" spans="1:28">
      <c r="A1095" t="str">
        <f t="shared" si="82"/>
        <v>2016AllSexAllEth23</v>
      </c>
      <c r="B1095">
        <v>2016</v>
      </c>
      <c r="C1095" t="s">
        <v>17</v>
      </c>
      <c r="D1095" t="s">
        <v>27</v>
      </c>
      <c r="E1095">
        <v>23</v>
      </c>
      <c r="F1095">
        <v>200</v>
      </c>
      <c r="G1095">
        <v>16.400029520053099</v>
      </c>
      <c r="H1095">
        <v>2.2999999999999998</v>
      </c>
      <c r="J1095" s="340" t="str">
        <f t="shared" si="83"/>
        <v>2002FemaleNon-Maori252</v>
      </c>
      <c r="K1095">
        <v>2002</v>
      </c>
      <c r="L1095" t="s">
        <v>8</v>
      </c>
      <c r="M1095" t="s">
        <v>19</v>
      </c>
      <c r="N1095">
        <v>25</v>
      </c>
      <c r="O1095">
        <v>2</v>
      </c>
      <c r="P1095">
        <v>2</v>
      </c>
      <c r="Q1095">
        <v>3.7771982224837601</v>
      </c>
      <c r="R1095">
        <v>5.2</v>
      </c>
      <c r="T1095" s="340" t="str">
        <f t="shared" si="84"/>
        <v>2001AllSexAllEth24Sharp object</v>
      </c>
      <c r="U1095">
        <v>2001</v>
      </c>
      <c r="V1095" t="s">
        <v>17</v>
      </c>
      <c r="W1095" t="s">
        <v>27</v>
      </c>
      <c r="X1095">
        <v>24</v>
      </c>
      <c r="Y1095" t="s">
        <v>48</v>
      </c>
      <c r="Z1095">
        <v>2</v>
      </c>
      <c r="AA1095">
        <v>92</v>
      </c>
      <c r="AB1095">
        <v>2.2000000000000002</v>
      </c>
    </row>
    <row r="1096" spans="1:28">
      <c r="A1096" t="str">
        <f t="shared" si="82"/>
        <v>2016AllSexAllEth24</v>
      </c>
      <c r="B1096">
        <v>2016</v>
      </c>
      <c r="C1096" t="s">
        <v>17</v>
      </c>
      <c r="D1096" t="s">
        <v>27</v>
      </c>
      <c r="E1096">
        <v>24</v>
      </c>
      <c r="F1096">
        <v>171</v>
      </c>
      <c r="G1096">
        <v>14.3873996668181</v>
      </c>
      <c r="H1096">
        <v>2.2000000000000002</v>
      </c>
      <c r="J1096" s="340" t="str">
        <f t="shared" si="83"/>
        <v>2002FemaleNon-Maori253</v>
      </c>
      <c r="K1096">
        <v>2002</v>
      </c>
      <c r="L1096" t="s">
        <v>8</v>
      </c>
      <c r="M1096" t="s">
        <v>19</v>
      </c>
      <c r="N1096">
        <v>25</v>
      </c>
      <c r="O1096">
        <v>3</v>
      </c>
      <c r="P1096">
        <v>0</v>
      </c>
      <c r="Q1096">
        <v>0</v>
      </c>
      <c r="T1096" s="340" t="str">
        <f t="shared" si="84"/>
        <v>2001AllSexAllEth25Sharp object</v>
      </c>
      <c r="U1096">
        <v>2001</v>
      </c>
      <c r="V1096" t="s">
        <v>17</v>
      </c>
      <c r="W1096" t="s">
        <v>27</v>
      </c>
      <c r="X1096">
        <v>25</v>
      </c>
      <c r="Y1096" t="s">
        <v>48</v>
      </c>
      <c r="Z1096">
        <v>3</v>
      </c>
      <c r="AA1096">
        <v>64</v>
      </c>
      <c r="AB1096">
        <v>4.7</v>
      </c>
    </row>
    <row r="1097" spans="1:28">
      <c r="A1097" t="str">
        <f t="shared" si="82"/>
        <v>2016AllSexAllEth25</v>
      </c>
      <c r="B1097">
        <v>2016</v>
      </c>
      <c r="C1097" t="s">
        <v>17</v>
      </c>
      <c r="D1097" t="s">
        <v>27</v>
      </c>
      <c r="E1097">
        <v>25</v>
      </c>
      <c r="F1097">
        <v>63</v>
      </c>
      <c r="G1097">
        <v>9.0194562556371594</v>
      </c>
      <c r="H1097">
        <v>2.2000000000000002</v>
      </c>
      <c r="J1097" s="340" t="str">
        <f t="shared" si="83"/>
        <v>2002FemaleNon-Maori254</v>
      </c>
      <c r="K1097">
        <v>2002</v>
      </c>
      <c r="L1097" t="s">
        <v>8</v>
      </c>
      <c r="M1097" t="s">
        <v>19</v>
      </c>
      <c r="N1097">
        <v>25</v>
      </c>
      <c r="O1097">
        <v>4</v>
      </c>
      <c r="P1097">
        <v>2</v>
      </c>
      <c r="Q1097">
        <v>3.5664700891791399</v>
      </c>
      <c r="R1097">
        <v>4.9000000000000004</v>
      </c>
      <c r="T1097" s="340" t="str">
        <f t="shared" si="84"/>
        <v>2001AllSexAllEth22Submersion (drowning)</v>
      </c>
      <c r="U1097">
        <v>2001</v>
      </c>
      <c r="V1097" t="s">
        <v>17</v>
      </c>
      <c r="W1097" t="s">
        <v>27</v>
      </c>
      <c r="X1097">
        <v>22</v>
      </c>
      <c r="Y1097" t="s">
        <v>49</v>
      </c>
      <c r="Z1097">
        <v>2</v>
      </c>
      <c r="AA1097">
        <v>110</v>
      </c>
      <c r="AB1097">
        <v>1.8</v>
      </c>
    </row>
    <row r="1098" spans="1:28">
      <c r="A1098" t="str">
        <f t="shared" si="82"/>
        <v>2016AllSexMaori21</v>
      </c>
      <c r="B1098">
        <v>2016</v>
      </c>
      <c r="C1098" t="s">
        <v>17</v>
      </c>
      <c r="D1098" t="s">
        <v>18</v>
      </c>
      <c r="E1098">
        <v>21</v>
      </c>
      <c r="F1098">
        <v>4</v>
      </c>
      <c r="G1098">
        <v>1.6889039013680101</v>
      </c>
      <c r="H1098">
        <v>1.7</v>
      </c>
      <c r="J1098" s="340" t="str">
        <f t="shared" si="83"/>
        <v>2002FemaleNon-Maori255</v>
      </c>
      <c r="K1098">
        <v>2002</v>
      </c>
      <c r="L1098" t="s">
        <v>8</v>
      </c>
      <c r="M1098" t="s">
        <v>19</v>
      </c>
      <c r="N1098">
        <v>25</v>
      </c>
      <c r="O1098">
        <v>5</v>
      </c>
      <c r="P1098">
        <v>5</v>
      </c>
      <c r="Q1098">
        <v>13.004208796894501</v>
      </c>
      <c r="R1098">
        <v>11.4</v>
      </c>
      <c r="T1098" s="340" t="str">
        <f t="shared" si="84"/>
        <v>2001AllSexAllEth24Submersion (drowning)</v>
      </c>
      <c r="U1098">
        <v>2001</v>
      </c>
      <c r="V1098" t="s">
        <v>17</v>
      </c>
      <c r="W1098" t="s">
        <v>27</v>
      </c>
      <c r="X1098">
        <v>24</v>
      </c>
      <c r="Y1098" t="s">
        <v>49</v>
      </c>
      <c r="Z1098">
        <v>3</v>
      </c>
      <c r="AA1098">
        <v>92</v>
      </c>
      <c r="AB1098">
        <v>3.3</v>
      </c>
    </row>
    <row r="1099" spans="1:28">
      <c r="A1099" t="str">
        <f t="shared" si="82"/>
        <v>2016AllSexMaori22</v>
      </c>
      <c r="B1099">
        <v>2016</v>
      </c>
      <c r="C1099" t="s">
        <v>17</v>
      </c>
      <c r="D1099" t="s">
        <v>18</v>
      </c>
      <c r="E1099">
        <v>22</v>
      </c>
      <c r="F1099">
        <v>45</v>
      </c>
      <c r="G1099">
        <v>33.554544776675897</v>
      </c>
      <c r="H1099">
        <v>9.8000000000000007</v>
      </c>
      <c r="J1099" s="340" t="str">
        <f t="shared" si="83"/>
        <v>2002MaleAllEth211</v>
      </c>
      <c r="K1099">
        <v>2002</v>
      </c>
      <c r="L1099" t="s">
        <v>20</v>
      </c>
      <c r="M1099" t="s">
        <v>27</v>
      </c>
      <c r="N1099">
        <v>21</v>
      </c>
      <c r="O1099">
        <v>1</v>
      </c>
      <c r="P1099">
        <v>0</v>
      </c>
      <c r="Q1099">
        <v>0</v>
      </c>
      <c r="T1099" s="340" t="str">
        <f t="shared" si="84"/>
        <v>2001AllSexAllEth25Submersion (drowning)</v>
      </c>
      <c r="U1099">
        <v>2001</v>
      </c>
      <c r="V1099" t="s">
        <v>17</v>
      </c>
      <c r="W1099" t="s">
        <v>27</v>
      </c>
      <c r="X1099">
        <v>25</v>
      </c>
      <c r="Y1099" t="s">
        <v>49</v>
      </c>
      <c r="Z1099">
        <v>2</v>
      </c>
      <c r="AA1099">
        <v>64</v>
      </c>
      <c r="AB1099">
        <v>3.1</v>
      </c>
    </row>
    <row r="1100" spans="1:28">
      <c r="A1100" t="str">
        <f t="shared" si="82"/>
        <v>2016AllSexMaori23</v>
      </c>
      <c r="B1100">
        <v>2016</v>
      </c>
      <c r="C1100" t="s">
        <v>17</v>
      </c>
      <c r="D1100" t="s">
        <v>18</v>
      </c>
      <c r="E1100">
        <v>23</v>
      </c>
      <c r="F1100">
        <v>59</v>
      </c>
      <c r="G1100">
        <v>34.173182739646698</v>
      </c>
      <c r="H1100">
        <v>8.6999999999999993</v>
      </c>
      <c r="J1100" s="340" t="str">
        <f t="shared" si="83"/>
        <v>2002MaleAllEth212</v>
      </c>
      <c r="K1100">
        <v>2002</v>
      </c>
      <c r="L1100" t="s">
        <v>20</v>
      </c>
      <c r="M1100" t="s">
        <v>27</v>
      </c>
      <c r="N1100">
        <v>21</v>
      </c>
      <c r="O1100">
        <v>2</v>
      </c>
      <c r="P1100">
        <v>0</v>
      </c>
      <c r="Q1100">
        <v>0</v>
      </c>
      <c r="T1100" s="340" t="str">
        <f t="shared" si="84"/>
        <v>2001AllSexMaori23Firearms and explosives</v>
      </c>
      <c r="U1100">
        <v>2001</v>
      </c>
      <c r="V1100" t="s">
        <v>17</v>
      </c>
      <c r="W1100" t="s">
        <v>18</v>
      </c>
      <c r="X1100">
        <v>23</v>
      </c>
      <c r="Y1100" t="s">
        <v>42</v>
      </c>
      <c r="Z1100">
        <v>3</v>
      </c>
      <c r="AA1100">
        <v>42</v>
      </c>
      <c r="AB1100">
        <v>7.1</v>
      </c>
    </row>
    <row r="1101" spans="1:28">
      <c r="A1101" t="str">
        <f t="shared" si="82"/>
        <v>2016AllSexMaori24</v>
      </c>
      <c r="B1101">
        <v>2016</v>
      </c>
      <c r="C1101" t="s">
        <v>17</v>
      </c>
      <c r="D1101" t="s">
        <v>18</v>
      </c>
      <c r="E1101">
        <v>24</v>
      </c>
      <c r="F1101">
        <v>24</v>
      </c>
      <c r="G1101">
        <v>17.537449762513699</v>
      </c>
      <c r="H1101">
        <v>7</v>
      </c>
      <c r="J1101" s="340" t="str">
        <f t="shared" si="83"/>
        <v>2002MaleAllEth213</v>
      </c>
      <c r="K1101">
        <v>2002</v>
      </c>
      <c r="L1101" t="s">
        <v>20</v>
      </c>
      <c r="M1101" t="s">
        <v>27</v>
      </c>
      <c r="N1101">
        <v>21</v>
      </c>
      <c r="O1101">
        <v>3</v>
      </c>
      <c r="P1101">
        <v>0</v>
      </c>
      <c r="Q1101">
        <v>0</v>
      </c>
      <c r="T1101" s="340" t="str">
        <f t="shared" si="84"/>
        <v>2001AllSexMaori24Firearms and explosives</v>
      </c>
      <c r="U1101">
        <v>2001</v>
      </c>
      <c r="V1101" t="s">
        <v>17</v>
      </c>
      <c r="W1101" t="s">
        <v>18</v>
      </c>
      <c r="X1101">
        <v>24</v>
      </c>
      <c r="Y1101" t="s">
        <v>42</v>
      </c>
      <c r="Z1101">
        <v>1</v>
      </c>
      <c r="AA1101">
        <v>5</v>
      </c>
      <c r="AB1101">
        <v>20</v>
      </c>
    </row>
    <row r="1102" spans="1:28">
      <c r="A1102" t="str">
        <f t="shared" si="82"/>
        <v>2016AllSexMaori25</v>
      </c>
      <c r="B1102">
        <v>2016</v>
      </c>
      <c r="C1102" t="s">
        <v>17</v>
      </c>
      <c r="D1102" t="s">
        <v>18</v>
      </c>
      <c r="E1102">
        <v>25</v>
      </c>
      <c r="F1102">
        <v>3</v>
      </c>
      <c r="G1102">
        <v>6.9735006973500697</v>
      </c>
      <c r="H1102">
        <v>7.9</v>
      </c>
      <c r="J1102" s="340" t="str">
        <f t="shared" si="83"/>
        <v>2002MaleAllEth214</v>
      </c>
      <c r="K1102">
        <v>2002</v>
      </c>
      <c r="L1102" t="s">
        <v>20</v>
      </c>
      <c r="M1102" t="s">
        <v>27</v>
      </c>
      <c r="N1102">
        <v>21</v>
      </c>
      <c r="O1102">
        <v>4</v>
      </c>
      <c r="P1102">
        <v>0</v>
      </c>
      <c r="Q1102">
        <v>0</v>
      </c>
      <c r="T1102" s="340" t="str">
        <f t="shared" si="84"/>
        <v>2001AllSexMaori21Hanging, strangulation and suffocation</v>
      </c>
      <c r="U1102">
        <v>2001</v>
      </c>
      <c r="V1102" t="s">
        <v>17</v>
      </c>
      <c r="W1102" t="s">
        <v>18</v>
      </c>
      <c r="X1102">
        <v>21</v>
      </c>
      <c r="Y1102" t="s">
        <v>43</v>
      </c>
      <c r="Z1102">
        <v>1</v>
      </c>
      <c r="AA1102">
        <v>1</v>
      </c>
      <c r="AB1102">
        <v>100</v>
      </c>
    </row>
    <row r="1103" spans="1:28">
      <c r="A1103" t="str">
        <f t="shared" si="82"/>
        <v>2016AllSexNon-Maori21</v>
      </c>
      <c r="B1103">
        <v>2016</v>
      </c>
      <c r="C1103" t="s">
        <v>17</v>
      </c>
      <c r="D1103" t="s">
        <v>19</v>
      </c>
      <c r="E1103">
        <v>21</v>
      </c>
      <c r="F1103">
        <v>4</v>
      </c>
      <c r="G1103">
        <v>0.58389046214930096</v>
      </c>
      <c r="H1103">
        <v>0.6</v>
      </c>
      <c r="J1103" s="340" t="str">
        <f t="shared" si="83"/>
        <v>2002MaleAllEth215</v>
      </c>
      <c r="K1103">
        <v>2002</v>
      </c>
      <c r="L1103" t="s">
        <v>20</v>
      </c>
      <c r="M1103" t="s">
        <v>27</v>
      </c>
      <c r="N1103">
        <v>21</v>
      </c>
      <c r="O1103">
        <v>5</v>
      </c>
      <c r="P1103">
        <v>0</v>
      </c>
      <c r="Q1103">
        <v>0</v>
      </c>
      <c r="T1103" s="340" t="str">
        <f t="shared" si="84"/>
        <v>2001AllSexMaori22Hanging, strangulation and suffocation</v>
      </c>
      <c r="U1103">
        <v>2001</v>
      </c>
      <c r="V1103" t="s">
        <v>17</v>
      </c>
      <c r="W1103" t="s">
        <v>18</v>
      </c>
      <c r="X1103">
        <v>22</v>
      </c>
      <c r="Y1103" t="s">
        <v>43</v>
      </c>
      <c r="Z1103">
        <v>25</v>
      </c>
      <c r="AA1103">
        <v>29</v>
      </c>
      <c r="AB1103">
        <v>86.2</v>
      </c>
    </row>
    <row r="1104" spans="1:28">
      <c r="A1104" t="str">
        <f t="shared" si="82"/>
        <v>2016AllSexNon-Maori22</v>
      </c>
      <c r="B1104">
        <v>2016</v>
      </c>
      <c r="C1104" t="s">
        <v>17</v>
      </c>
      <c r="D1104" t="s">
        <v>19</v>
      </c>
      <c r="E1104">
        <v>22</v>
      </c>
      <c r="F1104">
        <v>67</v>
      </c>
      <c r="G1104">
        <v>12.5482263924786</v>
      </c>
      <c r="H1104">
        <v>3</v>
      </c>
      <c r="J1104" s="340" t="str">
        <f t="shared" si="83"/>
        <v>2002MaleAllEth221</v>
      </c>
      <c r="K1104">
        <v>2002</v>
      </c>
      <c r="L1104" t="s">
        <v>20</v>
      </c>
      <c r="M1104" t="s">
        <v>27</v>
      </c>
      <c r="N1104">
        <v>22</v>
      </c>
      <c r="O1104">
        <v>1</v>
      </c>
      <c r="P1104">
        <v>2</v>
      </c>
      <c r="Q1104">
        <v>4.1241705651523199</v>
      </c>
      <c r="R1104">
        <v>5.7</v>
      </c>
      <c r="T1104" s="340" t="str">
        <f t="shared" si="84"/>
        <v>2001AllSexMaori23Hanging, strangulation and suffocation</v>
      </c>
      <c r="U1104">
        <v>2001</v>
      </c>
      <c r="V1104" t="s">
        <v>17</v>
      </c>
      <c r="W1104" t="s">
        <v>18</v>
      </c>
      <c r="X1104">
        <v>23</v>
      </c>
      <c r="Y1104" t="s">
        <v>43</v>
      </c>
      <c r="Z1104">
        <v>28</v>
      </c>
      <c r="AA1104">
        <v>42</v>
      </c>
      <c r="AB1104">
        <v>66.7</v>
      </c>
    </row>
    <row r="1105" spans="1:28">
      <c r="A1105" t="str">
        <f t="shared" si="82"/>
        <v>2016AllSexNon-Maori23</v>
      </c>
      <c r="B1105">
        <v>2016</v>
      </c>
      <c r="C1105" t="s">
        <v>17</v>
      </c>
      <c r="D1105" t="s">
        <v>19</v>
      </c>
      <c r="E1105">
        <v>23</v>
      </c>
      <c r="F1105">
        <v>141</v>
      </c>
      <c r="G1105">
        <v>13.4688497029211</v>
      </c>
      <c r="H1105">
        <v>2.2000000000000002</v>
      </c>
      <c r="J1105" s="340" t="str">
        <f t="shared" si="83"/>
        <v>2002MaleAllEth222</v>
      </c>
      <c r="K1105">
        <v>2002</v>
      </c>
      <c r="L1105" t="s">
        <v>20</v>
      </c>
      <c r="M1105" t="s">
        <v>27</v>
      </c>
      <c r="N1105">
        <v>22</v>
      </c>
      <c r="O1105">
        <v>2</v>
      </c>
      <c r="P1105">
        <v>18</v>
      </c>
      <c r="Q1105">
        <v>35.145667848102903</v>
      </c>
      <c r="R1105">
        <v>16.2</v>
      </c>
      <c r="T1105" s="340" t="str">
        <f t="shared" si="84"/>
        <v>2001AllSexMaori24Hanging, strangulation and suffocation</v>
      </c>
      <c r="U1105">
        <v>2001</v>
      </c>
      <c r="V1105" t="s">
        <v>17</v>
      </c>
      <c r="W1105" t="s">
        <v>18</v>
      </c>
      <c r="X1105">
        <v>24</v>
      </c>
      <c r="Y1105" t="s">
        <v>43</v>
      </c>
      <c r="Z1105">
        <v>2</v>
      </c>
      <c r="AA1105">
        <v>5</v>
      </c>
      <c r="AB1105">
        <v>40</v>
      </c>
    </row>
    <row r="1106" spans="1:28">
      <c r="A1106" t="str">
        <f t="shared" si="82"/>
        <v>2016AllSexNon-Maori24</v>
      </c>
      <c r="B1106">
        <v>2016</v>
      </c>
      <c r="C1106" t="s">
        <v>17</v>
      </c>
      <c r="D1106" t="s">
        <v>19</v>
      </c>
      <c r="E1106">
        <v>24</v>
      </c>
      <c r="F1106">
        <v>147</v>
      </c>
      <c r="G1106">
        <v>13.9775028763229</v>
      </c>
      <c r="H1106">
        <v>2.2999999999999998</v>
      </c>
      <c r="J1106" s="340" t="str">
        <f t="shared" si="83"/>
        <v>2002MaleAllEth223</v>
      </c>
      <c r="K1106">
        <v>2002</v>
      </c>
      <c r="L1106" t="s">
        <v>20</v>
      </c>
      <c r="M1106" t="s">
        <v>27</v>
      </c>
      <c r="N1106">
        <v>22</v>
      </c>
      <c r="O1106">
        <v>3</v>
      </c>
      <c r="P1106">
        <v>9</v>
      </c>
      <c r="Q1106">
        <v>16.526851423118099</v>
      </c>
      <c r="R1106">
        <v>10.8</v>
      </c>
      <c r="T1106" s="340" t="str">
        <f t="shared" si="84"/>
        <v>2001AllSexMaori23Jumping from a high place</v>
      </c>
      <c r="U1106">
        <v>2001</v>
      </c>
      <c r="V1106" t="s">
        <v>17</v>
      </c>
      <c r="W1106" t="s">
        <v>18</v>
      </c>
      <c r="X1106">
        <v>23</v>
      </c>
      <c r="Y1106" t="s">
        <v>44</v>
      </c>
      <c r="Z1106">
        <v>1</v>
      </c>
      <c r="AA1106">
        <v>42</v>
      </c>
      <c r="AB1106">
        <v>2.4</v>
      </c>
    </row>
    <row r="1107" spans="1:28">
      <c r="A1107" t="str">
        <f t="shared" si="82"/>
        <v>2016AllSexNon-Maori25</v>
      </c>
      <c r="B1107">
        <v>2016</v>
      </c>
      <c r="C1107" t="s">
        <v>17</v>
      </c>
      <c r="D1107" t="s">
        <v>19</v>
      </c>
      <c r="E1107">
        <v>25</v>
      </c>
      <c r="F1107">
        <v>60</v>
      </c>
      <c r="G1107">
        <v>9.1537370131356095</v>
      </c>
      <c r="H1107">
        <v>2.2999999999999998</v>
      </c>
      <c r="J1107" s="340" t="str">
        <f t="shared" si="83"/>
        <v>2002MaleAllEth224</v>
      </c>
      <c r="K1107">
        <v>2002</v>
      </c>
      <c r="L1107" t="s">
        <v>20</v>
      </c>
      <c r="M1107" t="s">
        <v>27</v>
      </c>
      <c r="N1107">
        <v>22</v>
      </c>
      <c r="O1107">
        <v>4</v>
      </c>
      <c r="P1107">
        <v>10</v>
      </c>
      <c r="Q1107">
        <v>17.044276527445199</v>
      </c>
      <c r="R1107">
        <v>10.6</v>
      </c>
      <c r="T1107" s="340" t="str">
        <f t="shared" si="84"/>
        <v>2001AllSexMaori23Other</v>
      </c>
      <c r="U1107">
        <v>2001</v>
      </c>
      <c r="V1107" t="s">
        <v>17</v>
      </c>
      <c r="W1107" t="s">
        <v>18</v>
      </c>
      <c r="X1107">
        <v>23</v>
      </c>
      <c r="Y1107" t="s">
        <v>45</v>
      </c>
      <c r="Z1107">
        <v>1</v>
      </c>
      <c r="AA1107">
        <v>42</v>
      </c>
      <c r="AB1107">
        <v>2.4</v>
      </c>
    </row>
    <row r="1108" spans="1:28">
      <c r="A1108" t="str">
        <f t="shared" si="82"/>
        <v>2016FemaleAllEth21</v>
      </c>
      <c r="B1108">
        <v>2016</v>
      </c>
      <c r="C1108" t="s">
        <v>8</v>
      </c>
      <c r="D1108" t="s">
        <v>27</v>
      </c>
      <c r="E1108">
        <v>21</v>
      </c>
      <c r="F1108">
        <v>3</v>
      </c>
      <c r="G1108">
        <v>0.66806217431968995</v>
      </c>
      <c r="H1108">
        <v>0.8</v>
      </c>
      <c r="J1108" s="340" t="str">
        <f t="shared" si="83"/>
        <v>2002MaleAllEth225</v>
      </c>
      <c r="K1108">
        <v>2002</v>
      </c>
      <c r="L1108" t="s">
        <v>20</v>
      </c>
      <c r="M1108" t="s">
        <v>27</v>
      </c>
      <c r="N1108">
        <v>22</v>
      </c>
      <c r="O1108">
        <v>5</v>
      </c>
      <c r="P1108">
        <v>18</v>
      </c>
      <c r="Q1108">
        <v>27.062610991601101</v>
      </c>
      <c r="R1108">
        <v>12.5</v>
      </c>
      <c r="T1108" s="340" t="str">
        <f t="shared" si="84"/>
        <v>2001AllSexMaori25Other</v>
      </c>
      <c r="U1108">
        <v>2001</v>
      </c>
      <c r="V1108" t="s">
        <v>17</v>
      </c>
      <c r="W1108" t="s">
        <v>18</v>
      </c>
      <c r="X1108">
        <v>25</v>
      </c>
      <c r="Y1108" t="s">
        <v>45</v>
      </c>
      <c r="Z1108">
        <v>1</v>
      </c>
      <c r="AA1108">
        <v>2</v>
      </c>
      <c r="AB1108">
        <v>50</v>
      </c>
    </row>
    <row r="1109" spans="1:28">
      <c r="A1109" t="str">
        <f t="shared" si="82"/>
        <v>2016FemaleAllEth22</v>
      </c>
      <c r="B1109">
        <v>2016</v>
      </c>
      <c r="C1109" t="s">
        <v>8</v>
      </c>
      <c r="D1109" t="s">
        <v>27</v>
      </c>
      <c r="E1109">
        <v>22</v>
      </c>
      <c r="F1109">
        <v>26</v>
      </c>
      <c r="G1109">
        <v>8.07930145116684</v>
      </c>
      <c r="H1109">
        <v>3.1</v>
      </c>
      <c r="J1109" s="340" t="str">
        <f t="shared" si="83"/>
        <v>2002MaleAllEth231</v>
      </c>
      <c r="K1109">
        <v>2002</v>
      </c>
      <c r="L1109" t="s">
        <v>20</v>
      </c>
      <c r="M1109" t="s">
        <v>27</v>
      </c>
      <c r="N1109">
        <v>23</v>
      </c>
      <c r="O1109">
        <v>1</v>
      </c>
      <c r="P1109">
        <v>21</v>
      </c>
      <c r="Q1109">
        <v>19.4178712037744</v>
      </c>
      <c r="R1109">
        <v>8.3000000000000007</v>
      </c>
      <c r="T1109" s="340" t="str">
        <f t="shared" si="84"/>
        <v>2001AllSexMaori22Poisoning by gases and vapours</v>
      </c>
      <c r="U1109">
        <v>2001</v>
      </c>
      <c r="V1109" t="s">
        <v>17</v>
      </c>
      <c r="W1109" t="s">
        <v>18</v>
      </c>
      <c r="X1109">
        <v>22</v>
      </c>
      <c r="Y1109" t="s">
        <v>46</v>
      </c>
      <c r="Z1109">
        <v>2</v>
      </c>
      <c r="AA1109">
        <v>29</v>
      </c>
      <c r="AB1109">
        <v>6.9</v>
      </c>
    </row>
    <row r="1110" spans="1:28">
      <c r="A1110" t="str">
        <f t="shared" si="82"/>
        <v>2016FemaleAllEth23</v>
      </c>
      <c r="B1110">
        <v>2016</v>
      </c>
      <c r="C1110" t="s">
        <v>8</v>
      </c>
      <c r="D1110" t="s">
        <v>27</v>
      </c>
      <c r="E1110">
        <v>23</v>
      </c>
      <c r="F1110">
        <v>57</v>
      </c>
      <c r="G1110">
        <v>9.1020870926017601</v>
      </c>
      <c r="H1110">
        <v>2.4</v>
      </c>
      <c r="J1110" s="340" t="str">
        <f t="shared" si="83"/>
        <v>2002MaleAllEth232</v>
      </c>
      <c r="K1110">
        <v>2002</v>
      </c>
      <c r="L1110" t="s">
        <v>20</v>
      </c>
      <c r="M1110" t="s">
        <v>27</v>
      </c>
      <c r="N1110">
        <v>23</v>
      </c>
      <c r="O1110">
        <v>2</v>
      </c>
      <c r="P1110">
        <v>30</v>
      </c>
      <c r="Q1110">
        <v>25.984442981854301</v>
      </c>
      <c r="R1110">
        <v>9.3000000000000007</v>
      </c>
      <c r="T1110" s="340" t="str">
        <f t="shared" si="84"/>
        <v>2001AllSexMaori23Poisoning by gases and vapours</v>
      </c>
      <c r="U1110">
        <v>2001</v>
      </c>
      <c r="V1110" t="s">
        <v>17</v>
      </c>
      <c r="W1110" t="s">
        <v>18</v>
      </c>
      <c r="X1110">
        <v>23</v>
      </c>
      <c r="Y1110" t="s">
        <v>46</v>
      </c>
      <c r="Z1110">
        <v>7</v>
      </c>
      <c r="AA1110">
        <v>42</v>
      </c>
      <c r="AB1110">
        <v>16.7</v>
      </c>
    </row>
    <row r="1111" spans="1:28">
      <c r="A1111" t="str">
        <f t="shared" si="82"/>
        <v>2016FemaleAllEth24</v>
      </c>
      <c r="B1111">
        <v>2016</v>
      </c>
      <c r="C1111" t="s">
        <v>8</v>
      </c>
      <c r="D1111" t="s">
        <v>27</v>
      </c>
      <c r="E1111">
        <v>24</v>
      </c>
      <c r="F1111">
        <v>44</v>
      </c>
      <c r="G1111">
        <v>7.1517968889683496</v>
      </c>
      <c r="H1111">
        <v>2.1</v>
      </c>
      <c r="J1111" s="340" t="str">
        <f t="shared" si="83"/>
        <v>2002MaleAllEth233</v>
      </c>
      <c r="K1111">
        <v>2002</v>
      </c>
      <c r="L1111" t="s">
        <v>20</v>
      </c>
      <c r="M1111" t="s">
        <v>27</v>
      </c>
      <c r="N1111">
        <v>23</v>
      </c>
      <c r="O1111">
        <v>3</v>
      </c>
      <c r="P1111">
        <v>31</v>
      </c>
      <c r="Q1111">
        <v>26.5526224245422</v>
      </c>
      <c r="R1111">
        <v>9.3000000000000007</v>
      </c>
      <c r="T1111" s="340" t="str">
        <f t="shared" si="84"/>
        <v>2001AllSexMaori24Poisoning by gases and vapours</v>
      </c>
      <c r="U1111">
        <v>2001</v>
      </c>
      <c r="V1111" t="s">
        <v>17</v>
      </c>
      <c r="W1111" t="s">
        <v>18</v>
      </c>
      <c r="X1111">
        <v>24</v>
      </c>
      <c r="Y1111" t="s">
        <v>46</v>
      </c>
      <c r="Z1111">
        <v>1</v>
      </c>
      <c r="AA1111">
        <v>5</v>
      </c>
      <c r="AB1111">
        <v>20</v>
      </c>
    </row>
    <row r="1112" spans="1:28">
      <c r="A1112" t="str">
        <f t="shared" si="82"/>
        <v>2016FemaleAllEth25</v>
      </c>
      <c r="B1112">
        <v>2016</v>
      </c>
      <c r="C1112" t="s">
        <v>8</v>
      </c>
      <c r="D1112" t="s">
        <v>27</v>
      </c>
      <c r="E1112">
        <v>25</v>
      </c>
      <c r="F1112">
        <v>12</v>
      </c>
      <c r="G1112">
        <v>3.2110459982339199</v>
      </c>
      <c r="H1112">
        <v>1.8</v>
      </c>
      <c r="J1112" s="340" t="str">
        <f t="shared" si="83"/>
        <v>2002MaleAllEth234</v>
      </c>
      <c r="K1112">
        <v>2002</v>
      </c>
      <c r="L1112" t="s">
        <v>20</v>
      </c>
      <c r="M1112" t="s">
        <v>27</v>
      </c>
      <c r="N1112">
        <v>23</v>
      </c>
      <c r="O1112">
        <v>4</v>
      </c>
      <c r="P1112">
        <v>33</v>
      </c>
      <c r="Q1112">
        <v>28.7247244841559</v>
      </c>
      <c r="R1112">
        <v>9.8000000000000007</v>
      </c>
      <c r="T1112" s="340" t="str">
        <f t="shared" si="84"/>
        <v>2001AllSexMaori25Poisoning by gases and vapours</v>
      </c>
      <c r="U1112">
        <v>2001</v>
      </c>
      <c r="V1112" t="s">
        <v>17</v>
      </c>
      <c r="W1112" t="s">
        <v>18</v>
      </c>
      <c r="X1112">
        <v>25</v>
      </c>
      <c r="Y1112" t="s">
        <v>46</v>
      </c>
      <c r="Z1112">
        <v>1</v>
      </c>
      <c r="AA1112">
        <v>2</v>
      </c>
      <c r="AB1112">
        <v>50</v>
      </c>
    </row>
    <row r="1113" spans="1:28">
      <c r="A1113" t="str">
        <f t="shared" si="82"/>
        <v>2016FemaleMaori21</v>
      </c>
      <c r="B1113">
        <v>2016</v>
      </c>
      <c r="C1113" t="s">
        <v>8</v>
      </c>
      <c r="D1113" t="s">
        <v>18</v>
      </c>
      <c r="E1113">
        <v>21</v>
      </c>
      <c r="F1113">
        <v>2</v>
      </c>
      <c r="G1113">
        <v>1.7376194613379701</v>
      </c>
      <c r="H1113">
        <v>2.4</v>
      </c>
      <c r="J1113" s="340" t="str">
        <f t="shared" si="83"/>
        <v>2002MaleAllEth235</v>
      </c>
      <c r="K1113">
        <v>2002</v>
      </c>
      <c r="L1113" t="s">
        <v>20</v>
      </c>
      <c r="M1113" t="s">
        <v>27</v>
      </c>
      <c r="N1113">
        <v>23</v>
      </c>
      <c r="O1113">
        <v>5</v>
      </c>
      <c r="P1113">
        <v>42</v>
      </c>
      <c r="Q1113">
        <v>39.616810912531498</v>
      </c>
      <c r="R1113">
        <v>12</v>
      </c>
      <c r="T1113" s="340" t="str">
        <f t="shared" si="84"/>
        <v>2001AllSexMaori22Poisoning by solids and liquids</v>
      </c>
      <c r="U1113">
        <v>2001</v>
      </c>
      <c r="V1113" t="s">
        <v>17</v>
      </c>
      <c r="W1113" t="s">
        <v>18</v>
      </c>
      <c r="X1113">
        <v>22</v>
      </c>
      <c r="Y1113" t="s">
        <v>47</v>
      </c>
      <c r="Z1113">
        <v>1</v>
      </c>
      <c r="AA1113">
        <v>29</v>
      </c>
      <c r="AB1113">
        <v>3.4</v>
      </c>
    </row>
    <row r="1114" spans="1:28">
      <c r="A1114" t="str">
        <f t="shared" si="82"/>
        <v>2016FemaleMaori22</v>
      </c>
      <c r="B1114">
        <v>2016</v>
      </c>
      <c r="C1114" t="s">
        <v>8</v>
      </c>
      <c r="D1114" t="s">
        <v>18</v>
      </c>
      <c r="E1114">
        <v>22</v>
      </c>
      <c r="F1114">
        <v>11</v>
      </c>
      <c r="G1114">
        <v>16.714784987083998</v>
      </c>
      <c r="H1114">
        <v>9.9</v>
      </c>
      <c r="J1114" s="340" t="str">
        <f t="shared" si="83"/>
        <v>2002MaleAllEth241</v>
      </c>
      <c r="K1114">
        <v>2002</v>
      </c>
      <c r="L1114" t="s">
        <v>20</v>
      </c>
      <c r="M1114" t="s">
        <v>27</v>
      </c>
      <c r="N1114">
        <v>24</v>
      </c>
      <c r="O1114">
        <v>1</v>
      </c>
      <c r="P1114">
        <v>12</v>
      </c>
      <c r="Q1114">
        <v>10.960328592601201</v>
      </c>
      <c r="R1114">
        <v>6.2</v>
      </c>
      <c r="T1114" s="340" t="str">
        <f t="shared" si="84"/>
        <v>2001AllSexMaori23Poisoning by solids and liquids</v>
      </c>
      <c r="U1114">
        <v>2001</v>
      </c>
      <c r="V1114" t="s">
        <v>17</v>
      </c>
      <c r="W1114" t="s">
        <v>18</v>
      </c>
      <c r="X1114">
        <v>23</v>
      </c>
      <c r="Y1114" t="s">
        <v>47</v>
      </c>
      <c r="Z1114">
        <v>2</v>
      </c>
      <c r="AA1114">
        <v>42</v>
      </c>
      <c r="AB1114">
        <v>4.8</v>
      </c>
    </row>
    <row r="1115" spans="1:28">
      <c r="A1115" t="str">
        <f t="shared" si="82"/>
        <v>2016FemaleMaori23</v>
      </c>
      <c r="B1115">
        <v>2016</v>
      </c>
      <c r="C1115" t="s">
        <v>8</v>
      </c>
      <c r="D1115" t="s">
        <v>18</v>
      </c>
      <c r="E1115">
        <v>23</v>
      </c>
      <c r="F1115">
        <v>15</v>
      </c>
      <c r="G1115">
        <v>16.101331043366301</v>
      </c>
      <c r="H1115">
        <v>8.1</v>
      </c>
      <c r="J1115" s="340" t="str">
        <f t="shared" si="83"/>
        <v>2002MaleAllEth242</v>
      </c>
      <c r="K1115">
        <v>2002</v>
      </c>
      <c r="L1115" t="s">
        <v>20</v>
      </c>
      <c r="M1115" t="s">
        <v>27</v>
      </c>
      <c r="N1115">
        <v>24</v>
      </c>
      <c r="O1115">
        <v>2</v>
      </c>
      <c r="P1115">
        <v>24</v>
      </c>
      <c r="Q1115">
        <v>25.069821834718098</v>
      </c>
      <c r="R1115">
        <v>10</v>
      </c>
      <c r="T1115" s="340" t="str">
        <f t="shared" si="84"/>
        <v>2001AllSexMaori24Poisoning by solids and liquids</v>
      </c>
      <c r="U1115">
        <v>2001</v>
      </c>
      <c r="V1115" t="s">
        <v>17</v>
      </c>
      <c r="W1115" t="s">
        <v>18</v>
      </c>
      <c r="X1115">
        <v>24</v>
      </c>
      <c r="Y1115" t="s">
        <v>47</v>
      </c>
      <c r="Z1115">
        <v>1</v>
      </c>
      <c r="AA1115">
        <v>5</v>
      </c>
      <c r="AB1115">
        <v>20</v>
      </c>
    </row>
    <row r="1116" spans="1:28">
      <c r="A1116" t="str">
        <f t="shared" si="82"/>
        <v>2016FemaleMaori24</v>
      </c>
      <c r="B1116">
        <v>2016</v>
      </c>
      <c r="C1116" t="s">
        <v>8</v>
      </c>
      <c r="D1116" t="s">
        <v>18</v>
      </c>
      <c r="E1116">
        <v>24</v>
      </c>
      <c r="F1116">
        <v>9</v>
      </c>
      <c r="G1116">
        <v>12.337217272104199</v>
      </c>
      <c r="H1116">
        <v>8.1</v>
      </c>
      <c r="J1116" s="340" t="str">
        <f t="shared" si="83"/>
        <v>2002MaleAllEth243</v>
      </c>
      <c r="K1116">
        <v>2002</v>
      </c>
      <c r="L1116" t="s">
        <v>20</v>
      </c>
      <c r="M1116" t="s">
        <v>27</v>
      </c>
      <c r="N1116">
        <v>24</v>
      </c>
      <c r="O1116">
        <v>3</v>
      </c>
      <c r="P1116">
        <v>12</v>
      </c>
      <c r="Q1116">
        <v>14.0389674719501</v>
      </c>
      <c r="R1116">
        <v>7.9</v>
      </c>
      <c r="T1116" s="340" t="str">
        <f t="shared" si="84"/>
        <v>2001AllSexMaori22Sharp object</v>
      </c>
      <c r="U1116">
        <v>2001</v>
      </c>
      <c r="V1116" t="s">
        <v>17</v>
      </c>
      <c r="W1116" t="s">
        <v>18</v>
      </c>
      <c r="X1116">
        <v>22</v>
      </c>
      <c r="Y1116" t="s">
        <v>48</v>
      </c>
      <c r="Z1116">
        <v>1</v>
      </c>
      <c r="AA1116">
        <v>29</v>
      </c>
      <c r="AB1116">
        <v>3.4</v>
      </c>
    </row>
    <row r="1117" spans="1:28">
      <c r="A1117" t="str">
        <f t="shared" si="82"/>
        <v>2016FemaleMaori25</v>
      </c>
      <c r="B1117">
        <v>2016</v>
      </c>
      <c r="C1117" t="s">
        <v>8</v>
      </c>
      <c r="D1117" t="s">
        <v>18</v>
      </c>
      <c r="E1117">
        <v>25</v>
      </c>
      <c r="F1117">
        <v>0</v>
      </c>
      <c r="G1117">
        <v>0</v>
      </c>
      <c r="J1117" s="340" t="str">
        <f t="shared" si="83"/>
        <v>2002MaleAllEth244</v>
      </c>
      <c r="K1117">
        <v>2002</v>
      </c>
      <c r="L1117" t="s">
        <v>20</v>
      </c>
      <c r="M1117" t="s">
        <v>27</v>
      </c>
      <c r="N1117">
        <v>24</v>
      </c>
      <c r="O1117">
        <v>4</v>
      </c>
      <c r="P1117">
        <v>22</v>
      </c>
      <c r="Q1117">
        <v>28.2788312043762</v>
      </c>
      <c r="R1117">
        <v>11.8</v>
      </c>
      <c r="T1117" s="340" t="str">
        <f t="shared" si="84"/>
        <v>2001AllSexNon-Maori22Firearms and explosives</v>
      </c>
      <c r="U1117">
        <v>2001</v>
      </c>
      <c r="V1117" t="s">
        <v>17</v>
      </c>
      <c r="W1117" t="s">
        <v>19</v>
      </c>
      <c r="X1117">
        <v>22</v>
      </c>
      <c r="Y1117" t="s">
        <v>42</v>
      </c>
      <c r="Z1117">
        <v>5</v>
      </c>
      <c r="AA1117">
        <v>81</v>
      </c>
      <c r="AB1117">
        <v>6.2</v>
      </c>
    </row>
    <row r="1118" spans="1:28">
      <c r="A1118" t="str">
        <f t="shared" si="82"/>
        <v>2016FemaleNon-Maori21</v>
      </c>
      <c r="B1118">
        <v>2016</v>
      </c>
      <c r="C1118" t="s">
        <v>8</v>
      </c>
      <c r="D1118" t="s">
        <v>19</v>
      </c>
      <c r="E1118">
        <v>21</v>
      </c>
      <c r="F1118">
        <v>1</v>
      </c>
      <c r="G1118">
        <v>0.29943705833033901</v>
      </c>
      <c r="H1118">
        <v>0.6</v>
      </c>
      <c r="J1118" s="340" t="str">
        <f t="shared" si="83"/>
        <v>2002MaleAllEth245</v>
      </c>
      <c r="K1118">
        <v>2002</v>
      </c>
      <c r="L1118" t="s">
        <v>20</v>
      </c>
      <c r="M1118" t="s">
        <v>27</v>
      </c>
      <c r="N1118">
        <v>24</v>
      </c>
      <c r="O1118">
        <v>5</v>
      </c>
      <c r="P1118">
        <v>11</v>
      </c>
      <c r="Q1118">
        <v>15.8917006528416</v>
      </c>
      <c r="R1118">
        <v>9.4</v>
      </c>
      <c r="T1118" s="340" t="str">
        <f t="shared" si="84"/>
        <v>2001AllSexNon-Maori23Firearms and explosives</v>
      </c>
      <c r="U1118">
        <v>2001</v>
      </c>
      <c r="V1118" t="s">
        <v>17</v>
      </c>
      <c r="W1118" t="s">
        <v>19</v>
      </c>
      <c r="X1118">
        <v>23</v>
      </c>
      <c r="Y1118" t="s">
        <v>42</v>
      </c>
      <c r="Z1118">
        <v>27</v>
      </c>
      <c r="AA1118">
        <v>197</v>
      </c>
      <c r="AB1118">
        <v>13.7</v>
      </c>
    </row>
    <row r="1119" spans="1:28">
      <c r="A1119" t="str">
        <f t="shared" si="82"/>
        <v>2016FemaleNon-Maori22</v>
      </c>
      <c r="B1119">
        <v>2016</v>
      </c>
      <c r="C1119" t="s">
        <v>8</v>
      </c>
      <c r="D1119" t="s">
        <v>19</v>
      </c>
      <c r="E1119">
        <v>22</v>
      </c>
      <c r="F1119">
        <v>15</v>
      </c>
      <c r="G1119">
        <v>5.859375</v>
      </c>
      <c r="H1119">
        <v>3</v>
      </c>
      <c r="J1119" s="340" t="str">
        <f t="shared" si="83"/>
        <v>2002MaleAllEth251</v>
      </c>
      <c r="K1119">
        <v>2002</v>
      </c>
      <c r="L1119" t="s">
        <v>20</v>
      </c>
      <c r="M1119" t="s">
        <v>27</v>
      </c>
      <c r="N1119">
        <v>25</v>
      </c>
      <c r="O1119">
        <v>1</v>
      </c>
      <c r="P1119">
        <v>6</v>
      </c>
      <c r="Q1119">
        <v>14.278242471193</v>
      </c>
      <c r="R1119">
        <v>11.4</v>
      </c>
      <c r="T1119" s="340" t="str">
        <f t="shared" si="84"/>
        <v>2001AllSexNon-Maori24Firearms and explosives</v>
      </c>
      <c r="U1119">
        <v>2001</v>
      </c>
      <c r="V1119" t="s">
        <v>17</v>
      </c>
      <c r="W1119" t="s">
        <v>19</v>
      </c>
      <c r="X1119">
        <v>24</v>
      </c>
      <c r="Y1119" t="s">
        <v>42</v>
      </c>
      <c r="Z1119">
        <v>12</v>
      </c>
      <c r="AA1119">
        <v>87</v>
      </c>
      <c r="AB1119">
        <v>13.8</v>
      </c>
    </row>
    <row r="1120" spans="1:28">
      <c r="A1120" t="str">
        <f t="shared" si="82"/>
        <v>2016FemaleNon-Maori23</v>
      </c>
      <c r="B1120">
        <v>2016</v>
      </c>
      <c r="C1120" t="s">
        <v>8</v>
      </c>
      <c r="D1120" t="s">
        <v>19</v>
      </c>
      <c r="E1120">
        <v>23</v>
      </c>
      <c r="F1120">
        <v>42</v>
      </c>
      <c r="G1120">
        <v>7.87889020203726</v>
      </c>
      <c r="H1120">
        <v>2.4</v>
      </c>
      <c r="J1120" s="340" t="str">
        <f t="shared" si="83"/>
        <v>2002MaleAllEth252</v>
      </c>
      <c r="K1120">
        <v>2002</v>
      </c>
      <c r="L1120" t="s">
        <v>20</v>
      </c>
      <c r="M1120" t="s">
        <v>27</v>
      </c>
      <c r="N1120">
        <v>25</v>
      </c>
      <c r="O1120">
        <v>2</v>
      </c>
      <c r="P1120">
        <v>8</v>
      </c>
      <c r="Q1120">
        <v>18.679179301032502</v>
      </c>
      <c r="R1120">
        <v>12.9</v>
      </c>
      <c r="T1120" s="340" t="str">
        <f t="shared" si="84"/>
        <v>2001AllSexNon-Maori25Firearms and explosives</v>
      </c>
      <c r="U1120">
        <v>2001</v>
      </c>
      <c r="V1120" t="s">
        <v>17</v>
      </c>
      <c r="W1120" t="s">
        <v>19</v>
      </c>
      <c r="X1120">
        <v>25</v>
      </c>
      <c r="Y1120" t="s">
        <v>42</v>
      </c>
      <c r="Z1120">
        <v>3</v>
      </c>
      <c r="AA1120">
        <v>62</v>
      </c>
      <c r="AB1120">
        <v>4.8</v>
      </c>
    </row>
    <row r="1121" spans="1:28">
      <c r="A1121" t="str">
        <f t="shared" si="82"/>
        <v>2016FemaleNon-Maori24</v>
      </c>
      <c r="B1121">
        <v>2016</v>
      </c>
      <c r="C1121" t="s">
        <v>8</v>
      </c>
      <c r="D1121" t="s">
        <v>19</v>
      </c>
      <c r="E1121">
        <v>24</v>
      </c>
      <c r="F1121">
        <v>35</v>
      </c>
      <c r="G1121">
        <v>6.4542302869366397</v>
      </c>
      <c r="H1121">
        <v>2.1</v>
      </c>
      <c r="J1121" s="340" t="str">
        <f t="shared" si="83"/>
        <v>2002MaleAllEth253</v>
      </c>
      <c r="K1121">
        <v>2002</v>
      </c>
      <c r="L1121" t="s">
        <v>20</v>
      </c>
      <c r="M1121" t="s">
        <v>27</v>
      </c>
      <c r="N1121">
        <v>25</v>
      </c>
      <c r="O1121">
        <v>3</v>
      </c>
      <c r="P1121">
        <v>9</v>
      </c>
      <c r="Q1121">
        <v>20.594488443969801</v>
      </c>
      <c r="R1121">
        <v>13.5</v>
      </c>
      <c r="T1121" s="340" t="str">
        <f t="shared" si="84"/>
        <v>2001AllSexNon-Maori21Hanging, strangulation and suffocation</v>
      </c>
      <c r="U1121">
        <v>2001</v>
      </c>
      <c r="V1121" t="s">
        <v>17</v>
      </c>
      <c r="W1121" t="s">
        <v>19</v>
      </c>
      <c r="X1121">
        <v>21</v>
      </c>
      <c r="Y1121" t="s">
        <v>43</v>
      </c>
      <c r="Z1121">
        <v>1</v>
      </c>
      <c r="AA1121">
        <v>2</v>
      </c>
      <c r="AB1121">
        <v>50</v>
      </c>
    </row>
    <row r="1122" spans="1:28">
      <c r="A1122" t="str">
        <f t="shared" si="82"/>
        <v>2016FemaleNon-Maori25</v>
      </c>
      <c r="B1122">
        <v>2016</v>
      </c>
      <c r="C1122" t="s">
        <v>8</v>
      </c>
      <c r="D1122" t="s">
        <v>19</v>
      </c>
      <c r="E1122">
        <v>25</v>
      </c>
      <c r="F1122">
        <v>12</v>
      </c>
      <c r="G1122">
        <v>3.4264176803152302</v>
      </c>
      <c r="H1122">
        <v>1.9</v>
      </c>
      <c r="J1122" s="340" t="str">
        <f t="shared" si="83"/>
        <v>2002MaleAllEth254</v>
      </c>
      <c r="K1122">
        <v>2002</v>
      </c>
      <c r="L1122" t="s">
        <v>20</v>
      </c>
      <c r="M1122" t="s">
        <v>27</v>
      </c>
      <c r="N1122">
        <v>25</v>
      </c>
      <c r="O1122">
        <v>4</v>
      </c>
      <c r="P1122">
        <v>6</v>
      </c>
      <c r="Q1122">
        <v>14.126278141119499</v>
      </c>
      <c r="R1122">
        <v>11.3</v>
      </c>
      <c r="T1122" s="340" t="str">
        <f t="shared" si="84"/>
        <v>2001AllSexNon-Maori22Hanging, strangulation and suffocation</v>
      </c>
      <c r="U1122">
        <v>2001</v>
      </c>
      <c r="V1122" t="s">
        <v>17</v>
      </c>
      <c r="W1122" t="s">
        <v>19</v>
      </c>
      <c r="X1122">
        <v>22</v>
      </c>
      <c r="Y1122" t="s">
        <v>43</v>
      </c>
      <c r="Z1122">
        <v>45</v>
      </c>
      <c r="AA1122">
        <v>81</v>
      </c>
      <c r="AB1122">
        <v>55.6</v>
      </c>
    </row>
    <row r="1123" spans="1:28">
      <c r="A1123" t="str">
        <f t="shared" si="82"/>
        <v>2016MaleAllEth21</v>
      </c>
      <c r="B1123">
        <v>2016</v>
      </c>
      <c r="C1123" t="s">
        <v>20</v>
      </c>
      <c r="D1123" t="s">
        <v>27</v>
      </c>
      <c r="E1123">
        <v>21</v>
      </c>
      <c r="F1123">
        <v>5</v>
      </c>
      <c r="G1123">
        <v>1.0574625129539199</v>
      </c>
      <c r="H1123">
        <v>0.9</v>
      </c>
      <c r="J1123" s="340" t="str">
        <f t="shared" si="83"/>
        <v>2002MaleAllEth255</v>
      </c>
      <c r="K1123">
        <v>2002</v>
      </c>
      <c r="L1123" t="s">
        <v>20</v>
      </c>
      <c r="M1123" t="s">
        <v>27</v>
      </c>
      <c r="N1123">
        <v>25</v>
      </c>
      <c r="O1123">
        <v>5</v>
      </c>
      <c r="P1123">
        <v>6</v>
      </c>
      <c r="Q1123">
        <v>17.5415300699723</v>
      </c>
      <c r="R1123">
        <v>14</v>
      </c>
      <c r="T1123" s="340" t="str">
        <f t="shared" si="84"/>
        <v>2001AllSexNon-Maori23Hanging, strangulation and suffocation</v>
      </c>
      <c r="U1123">
        <v>2001</v>
      </c>
      <c r="V1123" t="s">
        <v>17</v>
      </c>
      <c r="W1123" t="s">
        <v>19</v>
      </c>
      <c r="X1123">
        <v>23</v>
      </c>
      <c r="Y1123" t="s">
        <v>43</v>
      </c>
      <c r="Z1123">
        <v>82</v>
      </c>
      <c r="AA1123">
        <v>197</v>
      </c>
      <c r="AB1123">
        <v>41.6</v>
      </c>
    </row>
    <row r="1124" spans="1:28">
      <c r="A1124" t="str">
        <f t="shared" si="82"/>
        <v>2016MaleAllEth22</v>
      </c>
      <c r="B1124">
        <v>2016</v>
      </c>
      <c r="C1124" t="s">
        <v>20</v>
      </c>
      <c r="D1124" t="s">
        <v>27</v>
      </c>
      <c r="E1124">
        <v>22</v>
      </c>
      <c r="F1124">
        <v>86</v>
      </c>
      <c r="G1124">
        <v>24.838262476894599</v>
      </c>
      <c r="H1124">
        <v>5.2</v>
      </c>
      <c r="J1124" s="340" t="str">
        <f t="shared" si="83"/>
        <v>2002MaleMaori211</v>
      </c>
      <c r="K1124">
        <v>2002</v>
      </c>
      <c r="L1124" t="s">
        <v>20</v>
      </c>
      <c r="M1124" t="s">
        <v>18</v>
      </c>
      <c r="N1124">
        <v>21</v>
      </c>
      <c r="O1124">
        <v>1</v>
      </c>
      <c r="P1124">
        <v>0</v>
      </c>
      <c r="Q1124">
        <v>0</v>
      </c>
      <c r="T1124" s="340" t="str">
        <f t="shared" si="84"/>
        <v>2001AllSexNon-Maori24Hanging, strangulation and suffocation</v>
      </c>
      <c r="U1124">
        <v>2001</v>
      </c>
      <c r="V1124" t="s">
        <v>17</v>
      </c>
      <c r="W1124" t="s">
        <v>19</v>
      </c>
      <c r="X1124">
        <v>24</v>
      </c>
      <c r="Y1124" t="s">
        <v>43</v>
      </c>
      <c r="Z1124">
        <v>30</v>
      </c>
      <c r="AA1124">
        <v>87</v>
      </c>
      <c r="AB1124">
        <v>34.5</v>
      </c>
    </row>
    <row r="1125" spans="1:28">
      <c r="A1125" t="str">
        <f t="shared" si="82"/>
        <v>2016MaleAllEth23</v>
      </c>
      <c r="B1125">
        <v>2016</v>
      </c>
      <c r="C1125" t="s">
        <v>20</v>
      </c>
      <c r="D1125" t="s">
        <v>27</v>
      </c>
      <c r="E1125">
        <v>23</v>
      </c>
      <c r="F1125">
        <v>143</v>
      </c>
      <c r="G1125">
        <v>24.103696461981901</v>
      </c>
      <c r="H1125">
        <v>4</v>
      </c>
      <c r="J1125" s="340" t="str">
        <f t="shared" si="83"/>
        <v>2002MaleMaori212</v>
      </c>
      <c r="K1125">
        <v>2002</v>
      </c>
      <c r="L1125" t="s">
        <v>20</v>
      </c>
      <c r="M1125" t="s">
        <v>18</v>
      </c>
      <c r="N1125">
        <v>21</v>
      </c>
      <c r="O1125">
        <v>2</v>
      </c>
      <c r="P1125">
        <v>0</v>
      </c>
      <c r="Q1125">
        <v>0</v>
      </c>
      <c r="T1125" s="340" t="str">
        <f t="shared" si="84"/>
        <v>2001AllSexNon-Maori25Hanging, strangulation and suffocation</v>
      </c>
      <c r="U1125">
        <v>2001</v>
      </c>
      <c r="V1125" t="s">
        <v>17</v>
      </c>
      <c r="W1125" t="s">
        <v>19</v>
      </c>
      <c r="X1125">
        <v>25</v>
      </c>
      <c r="Y1125" t="s">
        <v>43</v>
      </c>
      <c r="Z1125">
        <v>21</v>
      </c>
      <c r="AA1125">
        <v>62</v>
      </c>
      <c r="AB1125">
        <v>33.9</v>
      </c>
    </row>
    <row r="1126" spans="1:28">
      <c r="A1126" t="str">
        <f t="shared" si="82"/>
        <v>2016MaleAllEth24</v>
      </c>
      <c r="B1126">
        <v>2016</v>
      </c>
      <c r="C1126" t="s">
        <v>20</v>
      </c>
      <c r="D1126" t="s">
        <v>27</v>
      </c>
      <c r="E1126">
        <v>24</v>
      </c>
      <c r="F1126">
        <v>127</v>
      </c>
      <c r="G1126">
        <v>22.152064328199401</v>
      </c>
      <c r="H1126">
        <v>3.9</v>
      </c>
      <c r="J1126" s="340" t="str">
        <f t="shared" si="83"/>
        <v>2002MaleMaori213</v>
      </c>
      <c r="K1126">
        <v>2002</v>
      </c>
      <c r="L1126" t="s">
        <v>20</v>
      </c>
      <c r="M1126" t="s">
        <v>18</v>
      </c>
      <c r="N1126">
        <v>21</v>
      </c>
      <c r="O1126">
        <v>3</v>
      </c>
      <c r="P1126">
        <v>0</v>
      </c>
      <c r="Q1126">
        <v>0</v>
      </c>
      <c r="T1126" s="340" t="str">
        <f t="shared" si="84"/>
        <v>2001AllSexNon-Maori22Jumping from a high place</v>
      </c>
      <c r="U1126">
        <v>2001</v>
      </c>
      <c r="V1126" t="s">
        <v>17</v>
      </c>
      <c r="W1126" t="s">
        <v>19</v>
      </c>
      <c r="X1126">
        <v>22</v>
      </c>
      <c r="Y1126" t="s">
        <v>44</v>
      </c>
      <c r="Z1126">
        <v>8</v>
      </c>
      <c r="AA1126">
        <v>81</v>
      </c>
      <c r="AB1126">
        <v>9.9</v>
      </c>
    </row>
    <row r="1127" spans="1:28">
      <c r="A1127" t="str">
        <f t="shared" si="82"/>
        <v>2016MaleAllEth25</v>
      </c>
      <c r="B1127">
        <v>2016</v>
      </c>
      <c r="C1127" t="s">
        <v>20</v>
      </c>
      <c r="D1127" t="s">
        <v>27</v>
      </c>
      <c r="E1127">
        <v>25</v>
      </c>
      <c r="F1127">
        <v>51</v>
      </c>
      <c r="G1127">
        <v>15.698103915291799</v>
      </c>
      <c r="H1127">
        <v>4.3</v>
      </c>
      <c r="J1127" s="340" t="str">
        <f t="shared" si="83"/>
        <v>2002MaleMaori214</v>
      </c>
      <c r="K1127">
        <v>2002</v>
      </c>
      <c r="L1127" t="s">
        <v>20</v>
      </c>
      <c r="M1127" t="s">
        <v>18</v>
      </c>
      <c r="N1127">
        <v>21</v>
      </c>
      <c r="O1127">
        <v>4</v>
      </c>
      <c r="P1127">
        <v>0</v>
      </c>
      <c r="Q1127">
        <v>0</v>
      </c>
      <c r="T1127" s="340" t="str">
        <f t="shared" si="84"/>
        <v>2001AllSexNon-Maori23Jumping from a high place</v>
      </c>
      <c r="U1127">
        <v>2001</v>
      </c>
      <c r="V1127" t="s">
        <v>17</v>
      </c>
      <c r="W1127" t="s">
        <v>19</v>
      </c>
      <c r="X1127">
        <v>23</v>
      </c>
      <c r="Y1127" t="s">
        <v>44</v>
      </c>
      <c r="Z1127">
        <v>6</v>
      </c>
      <c r="AA1127">
        <v>197</v>
      </c>
      <c r="AB1127">
        <v>3</v>
      </c>
    </row>
    <row r="1128" spans="1:28">
      <c r="A1128" t="str">
        <f t="shared" si="82"/>
        <v>2016MaleMaori21</v>
      </c>
      <c r="B1128">
        <v>2016</v>
      </c>
      <c r="C1128" t="s">
        <v>20</v>
      </c>
      <c r="D1128" t="s">
        <v>18</v>
      </c>
      <c r="E1128">
        <v>21</v>
      </c>
      <c r="F1128">
        <v>2</v>
      </c>
      <c r="G1128">
        <v>1.64284540824708</v>
      </c>
      <c r="H1128">
        <v>2.2999999999999998</v>
      </c>
      <c r="J1128" s="340" t="str">
        <f t="shared" si="83"/>
        <v>2002MaleMaori215</v>
      </c>
      <c r="K1128">
        <v>2002</v>
      </c>
      <c r="L1128" t="s">
        <v>20</v>
      </c>
      <c r="M1128" t="s">
        <v>18</v>
      </c>
      <c r="N1128">
        <v>21</v>
      </c>
      <c r="O1128">
        <v>5</v>
      </c>
      <c r="P1128">
        <v>0</v>
      </c>
      <c r="Q1128">
        <v>0</v>
      </c>
      <c r="T1128" s="340" t="str">
        <f t="shared" si="84"/>
        <v>2001AllSexNon-Maori24Jumping from a high place</v>
      </c>
      <c r="U1128">
        <v>2001</v>
      </c>
      <c r="V1128" t="s">
        <v>17</v>
      </c>
      <c r="W1128" t="s">
        <v>19</v>
      </c>
      <c r="X1128">
        <v>24</v>
      </c>
      <c r="Y1128" t="s">
        <v>44</v>
      </c>
      <c r="Z1128">
        <v>2</v>
      </c>
      <c r="AA1128">
        <v>87</v>
      </c>
      <c r="AB1128">
        <v>2.2999999999999998</v>
      </c>
    </row>
    <row r="1129" spans="1:28">
      <c r="A1129" t="str">
        <f t="shared" si="82"/>
        <v>2016MaleMaori22</v>
      </c>
      <c r="B1129">
        <v>2016</v>
      </c>
      <c r="C1129" t="s">
        <v>20</v>
      </c>
      <c r="D1129" t="s">
        <v>18</v>
      </c>
      <c r="E1129">
        <v>22</v>
      </c>
      <c r="F1129">
        <v>34</v>
      </c>
      <c r="G1129">
        <v>49.773093251354098</v>
      </c>
      <c r="H1129">
        <v>16.7</v>
      </c>
      <c r="J1129" s="340" t="str">
        <f t="shared" si="83"/>
        <v>2002MaleMaori221</v>
      </c>
      <c r="K1129">
        <v>2002</v>
      </c>
      <c r="L1129" t="s">
        <v>20</v>
      </c>
      <c r="M1129" t="s">
        <v>18</v>
      </c>
      <c r="N1129">
        <v>22</v>
      </c>
      <c r="O1129">
        <v>1</v>
      </c>
      <c r="P1129">
        <v>0</v>
      </c>
      <c r="Q1129">
        <v>0</v>
      </c>
      <c r="T1129" s="340" t="str">
        <f t="shared" si="84"/>
        <v>2001AllSexNon-Maori25Jumping from a high place</v>
      </c>
      <c r="U1129">
        <v>2001</v>
      </c>
      <c r="V1129" t="s">
        <v>17</v>
      </c>
      <c r="W1129" t="s">
        <v>19</v>
      </c>
      <c r="X1129">
        <v>25</v>
      </c>
      <c r="Y1129" t="s">
        <v>44</v>
      </c>
      <c r="Z1129">
        <v>2</v>
      </c>
      <c r="AA1129">
        <v>62</v>
      </c>
      <c r="AB1129">
        <v>3.2</v>
      </c>
    </row>
    <row r="1130" spans="1:28">
      <c r="A1130" t="str">
        <f t="shared" si="82"/>
        <v>2016MaleMaori23</v>
      </c>
      <c r="B1130">
        <v>2016</v>
      </c>
      <c r="C1130" t="s">
        <v>20</v>
      </c>
      <c r="D1130" t="s">
        <v>18</v>
      </c>
      <c r="E1130">
        <v>23</v>
      </c>
      <c r="F1130">
        <v>44</v>
      </c>
      <c r="G1130">
        <v>55.352874575418298</v>
      </c>
      <c r="H1130">
        <v>16.399999999999999</v>
      </c>
      <c r="J1130" s="340" t="str">
        <f t="shared" si="83"/>
        <v>2002MaleMaori222</v>
      </c>
      <c r="K1130">
        <v>2002</v>
      </c>
      <c r="L1130" t="s">
        <v>20</v>
      </c>
      <c r="M1130" t="s">
        <v>18</v>
      </c>
      <c r="N1130">
        <v>22</v>
      </c>
      <c r="O1130">
        <v>2</v>
      </c>
      <c r="P1130">
        <v>5</v>
      </c>
      <c r="Q1130">
        <v>86.022241267527093</v>
      </c>
      <c r="R1130">
        <v>75.400000000000006</v>
      </c>
      <c r="T1130" s="340" t="str">
        <f t="shared" si="84"/>
        <v>2001AllSexNon-Maori22Other</v>
      </c>
      <c r="U1130">
        <v>2001</v>
      </c>
      <c r="V1130" t="s">
        <v>17</v>
      </c>
      <c r="W1130" t="s">
        <v>19</v>
      </c>
      <c r="X1130">
        <v>22</v>
      </c>
      <c r="Y1130" t="s">
        <v>45</v>
      </c>
      <c r="Z1130">
        <v>3</v>
      </c>
      <c r="AA1130">
        <v>81</v>
      </c>
      <c r="AB1130">
        <v>3.7</v>
      </c>
    </row>
    <row r="1131" spans="1:28">
      <c r="A1131" t="str">
        <f t="shared" si="82"/>
        <v>2016MaleMaori24</v>
      </c>
      <c r="B1131">
        <v>2016</v>
      </c>
      <c r="C1131" t="s">
        <v>20</v>
      </c>
      <c r="D1131" t="s">
        <v>18</v>
      </c>
      <c r="E1131">
        <v>24</v>
      </c>
      <c r="F1131">
        <v>15</v>
      </c>
      <c r="G1131">
        <v>23.470505398216201</v>
      </c>
      <c r="H1131">
        <v>11.9</v>
      </c>
      <c r="J1131" s="340" t="str">
        <f t="shared" si="83"/>
        <v>2002MaleMaori223</v>
      </c>
      <c r="K1131">
        <v>2002</v>
      </c>
      <c r="L1131" t="s">
        <v>20</v>
      </c>
      <c r="M1131" t="s">
        <v>18</v>
      </c>
      <c r="N1131">
        <v>22</v>
      </c>
      <c r="O1131">
        <v>3</v>
      </c>
      <c r="P1131">
        <v>2</v>
      </c>
      <c r="Q1131">
        <v>23.184762269090701</v>
      </c>
      <c r="R1131">
        <v>32.1</v>
      </c>
      <c r="T1131" s="340" t="str">
        <f t="shared" si="84"/>
        <v>2001AllSexNon-Maori23Other</v>
      </c>
      <c r="U1131">
        <v>2001</v>
      </c>
      <c r="V1131" t="s">
        <v>17</v>
      </c>
      <c r="W1131" t="s">
        <v>19</v>
      </c>
      <c r="X1131">
        <v>23</v>
      </c>
      <c r="Y1131" t="s">
        <v>45</v>
      </c>
      <c r="Z1131">
        <v>9</v>
      </c>
      <c r="AA1131">
        <v>197</v>
      </c>
      <c r="AB1131">
        <v>4.5999999999999996</v>
      </c>
    </row>
    <row r="1132" spans="1:28">
      <c r="A1132" t="str">
        <f t="shared" si="82"/>
        <v>2016MaleMaori25</v>
      </c>
      <c r="B1132">
        <v>2016</v>
      </c>
      <c r="C1132" t="s">
        <v>20</v>
      </c>
      <c r="D1132" t="s">
        <v>18</v>
      </c>
      <c r="E1132">
        <v>25</v>
      </c>
      <c r="F1132">
        <v>3</v>
      </c>
      <c r="G1132">
        <v>15.392508978963599</v>
      </c>
      <c r="H1132">
        <v>17.399999999999999</v>
      </c>
      <c r="J1132" s="340" t="str">
        <f t="shared" si="83"/>
        <v>2002MaleMaori224</v>
      </c>
      <c r="K1132">
        <v>2002</v>
      </c>
      <c r="L1132" t="s">
        <v>20</v>
      </c>
      <c r="M1132" t="s">
        <v>18</v>
      </c>
      <c r="N1132">
        <v>22</v>
      </c>
      <c r="O1132">
        <v>4</v>
      </c>
      <c r="P1132">
        <v>5</v>
      </c>
      <c r="Q1132">
        <v>39.870833922662101</v>
      </c>
      <c r="R1132">
        <v>34.9</v>
      </c>
      <c r="T1132" s="340" t="str">
        <f t="shared" si="84"/>
        <v>2001AllSexNon-Maori24Other</v>
      </c>
      <c r="U1132">
        <v>2001</v>
      </c>
      <c r="V1132" t="s">
        <v>17</v>
      </c>
      <c r="W1132" t="s">
        <v>19</v>
      </c>
      <c r="X1132">
        <v>24</v>
      </c>
      <c r="Y1132" t="s">
        <v>45</v>
      </c>
      <c r="Z1132">
        <v>3</v>
      </c>
      <c r="AA1132">
        <v>87</v>
      </c>
      <c r="AB1132">
        <v>3.4</v>
      </c>
    </row>
    <row r="1133" spans="1:28">
      <c r="A1133" t="str">
        <f t="shared" si="82"/>
        <v>2016MaleNon-Maori21</v>
      </c>
      <c r="B1133">
        <v>2016</v>
      </c>
      <c r="C1133" t="s">
        <v>20</v>
      </c>
      <c r="D1133" t="s">
        <v>19</v>
      </c>
      <c r="E1133">
        <v>21</v>
      </c>
      <c r="F1133">
        <v>3</v>
      </c>
      <c r="G1133">
        <v>0.85448175681449201</v>
      </c>
      <c r="H1133">
        <v>1</v>
      </c>
      <c r="J1133" s="340" t="str">
        <f t="shared" si="83"/>
        <v>2002MaleMaori225</v>
      </c>
      <c r="K1133">
        <v>2002</v>
      </c>
      <c r="L1133" t="s">
        <v>20</v>
      </c>
      <c r="M1133" t="s">
        <v>18</v>
      </c>
      <c r="N1133">
        <v>22</v>
      </c>
      <c r="O1133">
        <v>5</v>
      </c>
      <c r="P1133">
        <v>7</v>
      </c>
      <c r="Q1133">
        <v>32.596449261695497</v>
      </c>
      <c r="R1133">
        <v>24.1</v>
      </c>
      <c r="T1133" s="340" t="str">
        <f t="shared" si="84"/>
        <v>2001AllSexNon-Maori25Other</v>
      </c>
      <c r="U1133">
        <v>2001</v>
      </c>
      <c r="V1133" t="s">
        <v>17</v>
      </c>
      <c r="W1133" t="s">
        <v>19</v>
      </c>
      <c r="X1133">
        <v>25</v>
      </c>
      <c r="Y1133" t="s">
        <v>45</v>
      </c>
      <c r="Z1133">
        <v>5</v>
      </c>
      <c r="AA1133">
        <v>62</v>
      </c>
      <c r="AB1133">
        <v>8.1</v>
      </c>
    </row>
    <row r="1134" spans="1:28">
      <c r="A1134" t="str">
        <f t="shared" si="82"/>
        <v>2016MaleNon-Maori22</v>
      </c>
      <c r="B1134">
        <v>2016</v>
      </c>
      <c r="C1134" t="s">
        <v>20</v>
      </c>
      <c r="D1134" t="s">
        <v>19</v>
      </c>
      <c r="E1134">
        <v>22</v>
      </c>
      <c r="F1134">
        <v>52</v>
      </c>
      <c r="G1134">
        <v>18.709747058611899</v>
      </c>
      <c r="H1134">
        <v>5.0999999999999996</v>
      </c>
      <c r="J1134" s="340" t="str">
        <f t="shared" si="83"/>
        <v>2002MaleMaori231</v>
      </c>
      <c r="K1134">
        <v>2002</v>
      </c>
      <c r="L1134" t="s">
        <v>20</v>
      </c>
      <c r="M1134" t="s">
        <v>18</v>
      </c>
      <c r="N1134">
        <v>23</v>
      </c>
      <c r="O1134">
        <v>1</v>
      </c>
      <c r="P1134">
        <v>3</v>
      </c>
      <c r="Q1134">
        <v>42.340760849337002</v>
      </c>
      <c r="R1134">
        <v>47.9</v>
      </c>
      <c r="T1134" s="340" t="str">
        <f t="shared" si="84"/>
        <v>2001AllSexNon-Maori21Poisoning by gases and vapours</v>
      </c>
      <c r="U1134">
        <v>2001</v>
      </c>
      <c r="V1134" t="s">
        <v>17</v>
      </c>
      <c r="W1134" t="s">
        <v>19</v>
      </c>
      <c r="X1134">
        <v>21</v>
      </c>
      <c r="Y1134" t="s">
        <v>46</v>
      </c>
      <c r="Z1134">
        <v>1</v>
      </c>
      <c r="AA1134">
        <v>2</v>
      </c>
      <c r="AB1134">
        <v>50</v>
      </c>
    </row>
    <row r="1135" spans="1:28">
      <c r="A1135" t="str">
        <f t="shared" si="82"/>
        <v>2016MaleNon-Maori23</v>
      </c>
      <c r="B1135">
        <v>2016</v>
      </c>
      <c r="C1135" t="s">
        <v>20</v>
      </c>
      <c r="D1135" t="s">
        <v>19</v>
      </c>
      <c r="E1135">
        <v>23</v>
      </c>
      <c r="F1135">
        <v>99</v>
      </c>
      <c r="G1135">
        <v>19.268947798668702</v>
      </c>
      <c r="H1135">
        <v>3.8</v>
      </c>
      <c r="J1135" s="340" t="str">
        <f t="shared" si="83"/>
        <v>2002MaleMaori232</v>
      </c>
      <c r="K1135">
        <v>2002</v>
      </c>
      <c r="L1135" t="s">
        <v>20</v>
      </c>
      <c r="M1135" t="s">
        <v>18</v>
      </c>
      <c r="N1135">
        <v>23</v>
      </c>
      <c r="O1135">
        <v>2</v>
      </c>
      <c r="P1135">
        <v>1</v>
      </c>
      <c r="Q1135">
        <v>9.8524452115091297</v>
      </c>
      <c r="R1135">
        <v>19.3</v>
      </c>
      <c r="T1135" s="340" t="str">
        <f t="shared" si="84"/>
        <v>2001AllSexNon-Maori22Poisoning by gases and vapours</v>
      </c>
      <c r="U1135">
        <v>2001</v>
      </c>
      <c r="V1135" t="s">
        <v>17</v>
      </c>
      <c r="W1135" t="s">
        <v>19</v>
      </c>
      <c r="X1135">
        <v>22</v>
      </c>
      <c r="Y1135" t="s">
        <v>46</v>
      </c>
      <c r="Z1135">
        <v>13</v>
      </c>
      <c r="AA1135">
        <v>81</v>
      </c>
      <c r="AB1135">
        <v>16</v>
      </c>
    </row>
    <row r="1136" spans="1:28">
      <c r="A1136" t="str">
        <f t="shared" si="82"/>
        <v>2016MaleNon-Maori24</v>
      </c>
      <c r="B1136">
        <v>2016</v>
      </c>
      <c r="C1136" t="s">
        <v>20</v>
      </c>
      <c r="D1136" t="s">
        <v>19</v>
      </c>
      <c r="E1136">
        <v>24</v>
      </c>
      <c r="F1136">
        <v>112</v>
      </c>
      <c r="G1136">
        <v>21.986650961915998</v>
      </c>
      <c r="H1136">
        <v>4.0999999999999996</v>
      </c>
      <c r="J1136" s="340" t="str">
        <f t="shared" si="83"/>
        <v>2002MaleMaori233</v>
      </c>
      <c r="K1136">
        <v>2002</v>
      </c>
      <c r="L1136" t="s">
        <v>20</v>
      </c>
      <c r="M1136" t="s">
        <v>18</v>
      </c>
      <c r="N1136">
        <v>23</v>
      </c>
      <c r="O1136">
        <v>3</v>
      </c>
      <c r="P1136">
        <v>3</v>
      </c>
      <c r="Q1136">
        <v>21.4049119477692</v>
      </c>
      <c r="R1136">
        <v>24.2</v>
      </c>
      <c r="T1136" s="340" t="str">
        <f t="shared" si="84"/>
        <v>2001AllSexNon-Maori23Poisoning by gases and vapours</v>
      </c>
      <c r="U1136">
        <v>2001</v>
      </c>
      <c r="V1136" t="s">
        <v>17</v>
      </c>
      <c r="W1136" t="s">
        <v>19</v>
      </c>
      <c r="X1136">
        <v>23</v>
      </c>
      <c r="Y1136" t="s">
        <v>46</v>
      </c>
      <c r="Z1136">
        <v>50</v>
      </c>
      <c r="AA1136">
        <v>197</v>
      </c>
      <c r="AB1136">
        <v>25.4</v>
      </c>
    </row>
    <row r="1137" spans="1:28">
      <c r="A1137" t="str">
        <f t="shared" si="82"/>
        <v>2016MaleNon-Maori25</v>
      </c>
      <c r="B1137">
        <v>2016</v>
      </c>
      <c r="C1137" t="s">
        <v>20</v>
      </c>
      <c r="D1137" t="s">
        <v>19</v>
      </c>
      <c r="E1137">
        <v>25</v>
      </c>
      <c r="F1137">
        <v>48</v>
      </c>
      <c r="G1137">
        <v>15.7176069943351</v>
      </c>
      <c r="H1137">
        <v>4.4000000000000004</v>
      </c>
      <c r="J1137" s="340" t="str">
        <f t="shared" si="83"/>
        <v>2002MaleMaori234</v>
      </c>
      <c r="K1137">
        <v>2002</v>
      </c>
      <c r="L1137" t="s">
        <v>20</v>
      </c>
      <c r="M1137" t="s">
        <v>18</v>
      </c>
      <c r="N1137">
        <v>23</v>
      </c>
      <c r="O1137">
        <v>4</v>
      </c>
      <c r="P1137">
        <v>6</v>
      </c>
      <c r="Q1137">
        <v>31.2385769112684</v>
      </c>
      <c r="R1137">
        <v>25</v>
      </c>
      <c r="T1137" s="340" t="str">
        <f t="shared" si="84"/>
        <v>2001AllSexNon-Maori24Poisoning by gases and vapours</v>
      </c>
      <c r="U1137">
        <v>2001</v>
      </c>
      <c r="V1137" t="s">
        <v>17</v>
      </c>
      <c r="W1137" t="s">
        <v>19</v>
      </c>
      <c r="X1137">
        <v>24</v>
      </c>
      <c r="Y1137" t="s">
        <v>46</v>
      </c>
      <c r="Z1137">
        <v>23</v>
      </c>
      <c r="AA1137">
        <v>87</v>
      </c>
      <c r="AB1137">
        <v>26.4</v>
      </c>
    </row>
    <row r="1138" spans="1:28">
      <c r="J1138" s="340" t="str">
        <f t="shared" si="83"/>
        <v>2002MaleMaori235</v>
      </c>
      <c r="K1138">
        <v>2002</v>
      </c>
      <c r="L1138" t="s">
        <v>20</v>
      </c>
      <c r="M1138" t="s">
        <v>18</v>
      </c>
      <c r="N1138">
        <v>23</v>
      </c>
      <c r="O1138">
        <v>5</v>
      </c>
      <c r="P1138">
        <v>16</v>
      </c>
      <c r="Q1138">
        <v>53.525366621877197</v>
      </c>
      <c r="R1138">
        <v>26.2</v>
      </c>
      <c r="T1138" s="340" t="str">
        <f t="shared" si="84"/>
        <v>2001AllSexNon-Maori25Poisoning by gases and vapours</v>
      </c>
      <c r="U1138">
        <v>2001</v>
      </c>
      <c r="V1138" t="s">
        <v>17</v>
      </c>
      <c r="W1138" t="s">
        <v>19</v>
      </c>
      <c r="X1138">
        <v>25</v>
      </c>
      <c r="Y1138" t="s">
        <v>46</v>
      </c>
      <c r="Z1138">
        <v>13</v>
      </c>
      <c r="AA1138">
        <v>62</v>
      </c>
      <c r="AB1138">
        <v>21</v>
      </c>
    </row>
    <row r="1139" spans="1:28">
      <c r="J1139" s="340" t="str">
        <f t="shared" si="83"/>
        <v>2002MaleMaori241</v>
      </c>
      <c r="K1139">
        <v>2002</v>
      </c>
      <c r="L1139" t="s">
        <v>20</v>
      </c>
      <c r="M1139" t="s">
        <v>18</v>
      </c>
      <c r="N1139">
        <v>24</v>
      </c>
      <c r="O1139">
        <v>1</v>
      </c>
      <c r="P1139">
        <v>0</v>
      </c>
      <c r="Q1139">
        <v>0</v>
      </c>
      <c r="T1139" s="340" t="str">
        <f t="shared" si="84"/>
        <v>2001AllSexNon-Maori22Poisoning by solids and liquids</v>
      </c>
      <c r="U1139">
        <v>2001</v>
      </c>
      <c r="V1139" t="s">
        <v>17</v>
      </c>
      <c r="W1139" t="s">
        <v>19</v>
      </c>
      <c r="X1139">
        <v>22</v>
      </c>
      <c r="Y1139" t="s">
        <v>47</v>
      </c>
      <c r="Z1139">
        <v>4</v>
      </c>
      <c r="AA1139">
        <v>81</v>
      </c>
      <c r="AB1139">
        <v>4.9000000000000004</v>
      </c>
    </row>
    <row r="1140" spans="1:28">
      <c r="J1140" s="340" t="str">
        <f t="shared" si="83"/>
        <v>2002MaleMaori242</v>
      </c>
      <c r="K1140">
        <v>2002</v>
      </c>
      <c r="L1140" t="s">
        <v>20</v>
      </c>
      <c r="M1140" t="s">
        <v>18</v>
      </c>
      <c r="N1140">
        <v>24</v>
      </c>
      <c r="O1140">
        <v>2</v>
      </c>
      <c r="P1140">
        <v>1</v>
      </c>
      <c r="Q1140">
        <v>21.0837297817849</v>
      </c>
      <c r="R1140">
        <v>41.3</v>
      </c>
      <c r="T1140" s="340" t="str">
        <f t="shared" si="84"/>
        <v>2001AllSexNon-Maori23Poisoning by solids and liquids</v>
      </c>
      <c r="U1140">
        <v>2001</v>
      </c>
      <c r="V1140" t="s">
        <v>17</v>
      </c>
      <c r="W1140" t="s">
        <v>19</v>
      </c>
      <c r="X1140">
        <v>23</v>
      </c>
      <c r="Y1140" t="s">
        <v>47</v>
      </c>
      <c r="Z1140">
        <v>21</v>
      </c>
      <c r="AA1140">
        <v>197</v>
      </c>
      <c r="AB1140">
        <v>10.7</v>
      </c>
    </row>
    <row r="1141" spans="1:28">
      <c r="J1141" s="340" t="str">
        <f t="shared" si="83"/>
        <v>2002MaleMaori243</v>
      </c>
      <c r="K1141">
        <v>2002</v>
      </c>
      <c r="L1141" t="s">
        <v>20</v>
      </c>
      <c r="M1141" t="s">
        <v>18</v>
      </c>
      <c r="N1141">
        <v>24</v>
      </c>
      <c r="O1141">
        <v>3</v>
      </c>
      <c r="P1141">
        <v>0</v>
      </c>
      <c r="Q1141">
        <v>0</v>
      </c>
      <c r="T1141" s="340" t="str">
        <f t="shared" si="84"/>
        <v>2001AllSexNon-Maori24Poisoning by solids and liquids</v>
      </c>
      <c r="U1141">
        <v>2001</v>
      </c>
      <c r="V1141" t="s">
        <v>17</v>
      </c>
      <c r="W1141" t="s">
        <v>19</v>
      </c>
      <c r="X1141">
        <v>24</v>
      </c>
      <c r="Y1141" t="s">
        <v>47</v>
      </c>
      <c r="Z1141">
        <v>12</v>
      </c>
      <c r="AA1141">
        <v>87</v>
      </c>
      <c r="AB1141">
        <v>13.8</v>
      </c>
    </row>
    <row r="1142" spans="1:28">
      <c r="J1142" s="340" t="str">
        <f t="shared" si="83"/>
        <v>2002MaleMaori244</v>
      </c>
      <c r="K1142">
        <v>2002</v>
      </c>
      <c r="L1142" t="s">
        <v>20</v>
      </c>
      <c r="M1142" t="s">
        <v>18</v>
      </c>
      <c r="N1142">
        <v>24</v>
      </c>
      <c r="O1142">
        <v>4</v>
      </c>
      <c r="P1142">
        <v>4</v>
      </c>
      <c r="Q1142">
        <v>43.866456173238397</v>
      </c>
      <c r="R1142">
        <v>43</v>
      </c>
      <c r="T1142" s="340" t="str">
        <f t="shared" si="84"/>
        <v>2001AllSexNon-Maori25Poisoning by solids and liquids</v>
      </c>
      <c r="U1142">
        <v>2001</v>
      </c>
      <c r="V1142" t="s">
        <v>17</v>
      </c>
      <c r="W1142" t="s">
        <v>19</v>
      </c>
      <c r="X1142">
        <v>25</v>
      </c>
      <c r="Y1142" t="s">
        <v>47</v>
      </c>
      <c r="Z1142">
        <v>13</v>
      </c>
      <c r="AA1142">
        <v>62</v>
      </c>
      <c r="AB1142">
        <v>21</v>
      </c>
    </row>
    <row r="1143" spans="1:28">
      <c r="J1143" s="340" t="str">
        <f t="shared" si="83"/>
        <v>2002MaleMaori245</v>
      </c>
      <c r="K1143">
        <v>2002</v>
      </c>
      <c r="L1143" t="s">
        <v>20</v>
      </c>
      <c r="M1143" t="s">
        <v>18</v>
      </c>
      <c r="N1143">
        <v>24</v>
      </c>
      <c r="O1143">
        <v>5</v>
      </c>
      <c r="P1143">
        <v>1</v>
      </c>
      <c r="Q1143">
        <v>6.3777891111426097</v>
      </c>
      <c r="R1143">
        <v>12.5</v>
      </c>
      <c r="T1143" s="340" t="str">
        <f t="shared" si="84"/>
        <v>2001AllSexNon-Maori22Sharp object</v>
      </c>
      <c r="U1143">
        <v>2001</v>
      </c>
      <c r="V1143" t="s">
        <v>17</v>
      </c>
      <c r="W1143" t="s">
        <v>19</v>
      </c>
      <c r="X1143">
        <v>22</v>
      </c>
      <c r="Y1143" t="s">
        <v>48</v>
      </c>
      <c r="Z1143">
        <v>1</v>
      </c>
      <c r="AA1143">
        <v>81</v>
      </c>
      <c r="AB1143">
        <v>1.2</v>
      </c>
    </row>
    <row r="1144" spans="1:28">
      <c r="J1144" s="340" t="str">
        <f t="shared" si="83"/>
        <v>2002MaleMaori251</v>
      </c>
      <c r="K1144">
        <v>2002</v>
      </c>
      <c r="L1144" t="s">
        <v>20</v>
      </c>
      <c r="M1144" t="s">
        <v>18</v>
      </c>
      <c r="N1144">
        <v>25</v>
      </c>
      <c r="O1144">
        <v>1</v>
      </c>
      <c r="P1144">
        <v>0</v>
      </c>
      <c r="Q1144">
        <v>0</v>
      </c>
      <c r="T1144" s="340" t="str">
        <f t="shared" si="84"/>
        <v>2001AllSexNon-Maori23Sharp object</v>
      </c>
      <c r="U1144">
        <v>2001</v>
      </c>
      <c r="V1144" t="s">
        <v>17</v>
      </c>
      <c r="W1144" t="s">
        <v>19</v>
      </c>
      <c r="X1144">
        <v>23</v>
      </c>
      <c r="Y1144" t="s">
        <v>48</v>
      </c>
      <c r="Z1144">
        <v>2</v>
      </c>
      <c r="AA1144">
        <v>197</v>
      </c>
      <c r="AB1144">
        <v>1</v>
      </c>
    </row>
    <row r="1145" spans="1:28">
      <c r="J1145" s="340" t="str">
        <f t="shared" si="83"/>
        <v>2002MaleMaori252</v>
      </c>
      <c r="K1145">
        <v>2002</v>
      </c>
      <c r="L1145" t="s">
        <v>20</v>
      </c>
      <c r="M1145" t="s">
        <v>18</v>
      </c>
      <c r="N1145">
        <v>25</v>
      </c>
      <c r="O1145">
        <v>2</v>
      </c>
      <c r="P1145">
        <v>0</v>
      </c>
      <c r="Q1145">
        <v>0</v>
      </c>
      <c r="T1145" s="340" t="str">
        <f t="shared" si="84"/>
        <v>2001AllSexNon-Maori24Sharp object</v>
      </c>
      <c r="U1145">
        <v>2001</v>
      </c>
      <c r="V1145" t="s">
        <v>17</v>
      </c>
      <c r="W1145" t="s">
        <v>19</v>
      </c>
      <c r="X1145">
        <v>24</v>
      </c>
      <c r="Y1145" t="s">
        <v>48</v>
      </c>
      <c r="Z1145">
        <v>2</v>
      </c>
      <c r="AA1145">
        <v>87</v>
      </c>
      <c r="AB1145">
        <v>2.2999999999999998</v>
      </c>
    </row>
    <row r="1146" spans="1:28">
      <c r="J1146" s="340" t="str">
        <f t="shared" si="83"/>
        <v>2002MaleMaori253</v>
      </c>
      <c r="K1146">
        <v>2002</v>
      </c>
      <c r="L1146" t="s">
        <v>20</v>
      </c>
      <c r="M1146" t="s">
        <v>18</v>
      </c>
      <c r="N1146">
        <v>25</v>
      </c>
      <c r="O1146">
        <v>3</v>
      </c>
      <c r="P1146">
        <v>0</v>
      </c>
      <c r="Q1146">
        <v>0</v>
      </c>
      <c r="T1146" s="340" t="str">
        <f t="shared" si="84"/>
        <v>2001AllSexNon-Maori25Sharp object</v>
      </c>
      <c r="U1146">
        <v>2001</v>
      </c>
      <c r="V1146" t="s">
        <v>17</v>
      </c>
      <c r="W1146" t="s">
        <v>19</v>
      </c>
      <c r="X1146">
        <v>25</v>
      </c>
      <c r="Y1146" t="s">
        <v>48</v>
      </c>
      <c r="Z1146">
        <v>3</v>
      </c>
      <c r="AA1146">
        <v>62</v>
      </c>
      <c r="AB1146">
        <v>4.8</v>
      </c>
    </row>
    <row r="1147" spans="1:28">
      <c r="J1147" s="340" t="str">
        <f t="shared" si="83"/>
        <v>2002MaleMaori254</v>
      </c>
      <c r="K1147">
        <v>2002</v>
      </c>
      <c r="L1147" t="s">
        <v>20</v>
      </c>
      <c r="M1147" t="s">
        <v>18</v>
      </c>
      <c r="N1147">
        <v>25</v>
      </c>
      <c r="O1147">
        <v>4</v>
      </c>
      <c r="P1147">
        <v>0</v>
      </c>
      <c r="Q1147">
        <v>0</v>
      </c>
      <c r="T1147" s="340" t="str">
        <f t="shared" si="84"/>
        <v>2001AllSexNon-Maori22Submersion (drowning)</v>
      </c>
      <c r="U1147">
        <v>2001</v>
      </c>
      <c r="V1147" t="s">
        <v>17</v>
      </c>
      <c r="W1147" t="s">
        <v>19</v>
      </c>
      <c r="X1147">
        <v>22</v>
      </c>
      <c r="Y1147" t="s">
        <v>49</v>
      </c>
      <c r="Z1147">
        <v>2</v>
      </c>
      <c r="AA1147">
        <v>81</v>
      </c>
      <c r="AB1147">
        <v>2.5</v>
      </c>
    </row>
    <row r="1148" spans="1:28">
      <c r="J1148" s="340" t="str">
        <f t="shared" si="83"/>
        <v>2002MaleMaori255</v>
      </c>
      <c r="K1148">
        <v>2002</v>
      </c>
      <c r="L1148" t="s">
        <v>20</v>
      </c>
      <c r="M1148" t="s">
        <v>18</v>
      </c>
      <c r="N1148">
        <v>25</v>
      </c>
      <c r="O1148">
        <v>5</v>
      </c>
      <c r="P1148">
        <v>0</v>
      </c>
      <c r="Q1148">
        <v>0</v>
      </c>
      <c r="T1148" s="340" t="str">
        <f t="shared" si="84"/>
        <v>2001AllSexNon-Maori24Submersion (drowning)</v>
      </c>
      <c r="U1148">
        <v>2001</v>
      </c>
      <c r="V1148" t="s">
        <v>17</v>
      </c>
      <c r="W1148" t="s">
        <v>19</v>
      </c>
      <c r="X1148">
        <v>24</v>
      </c>
      <c r="Y1148" t="s">
        <v>49</v>
      </c>
      <c r="Z1148">
        <v>3</v>
      </c>
      <c r="AA1148">
        <v>87</v>
      </c>
      <c r="AB1148">
        <v>3.4</v>
      </c>
    </row>
    <row r="1149" spans="1:28">
      <c r="J1149" s="340" t="str">
        <f t="shared" si="83"/>
        <v>2002MaleNon-Maori211</v>
      </c>
      <c r="K1149">
        <v>2002</v>
      </c>
      <c r="L1149" t="s">
        <v>20</v>
      </c>
      <c r="M1149" t="s">
        <v>19</v>
      </c>
      <c r="N1149">
        <v>21</v>
      </c>
      <c r="O1149">
        <v>1</v>
      </c>
      <c r="P1149">
        <v>0</v>
      </c>
      <c r="Q1149">
        <v>0</v>
      </c>
      <c r="T1149" s="340" t="str">
        <f t="shared" si="84"/>
        <v>2001AllSexNon-Maori25Submersion (drowning)</v>
      </c>
      <c r="U1149">
        <v>2001</v>
      </c>
      <c r="V1149" t="s">
        <v>17</v>
      </c>
      <c r="W1149" t="s">
        <v>19</v>
      </c>
      <c r="X1149">
        <v>25</v>
      </c>
      <c r="Y1149" t="s">
        <v>49</v>
      </c>
      <c r="Z1149">
        <v>2</v>
      </c>
      <c r="AA1149">
        <v>62</v>
      </c>
      <c r="AB1149">
        <v>3.2</v>
      </c>
    </row>
    <row r="1150" spans="1:28">
      <c r="J1150" s="340" t="str">
        <f t="shared" si="83"/>
        <v>2002MaleNon-Maori212</v>
      </c>
      <c r="K1150">
        <v>2002</v>
      </c>
      <c r="L1150" t="s">
        <v>20</v>
      </c>
      <c r="M1150" t="s">
        <v>19</v>
      </c>
      <c r="N1150">
        <v>21</v>
      </c>
      <c r="O1150">
        <v>2</v>
      </c>
      <c r="P1150">
        <v>0</v>
      </c>
      <c r="Q1150">
        <v>0</v>
      </c>
      <c r="T1150" s="340" t="str">
        <f t="shared" si="84"/>
        <v>2001FemaleAllEth23Firearms and explosives</v>
      </c>
      <c r="U1150">
        <v>2001</v>
      </c>
      <c r="V1150" t="s">
        <v>8</v>
      </c>
      <c r="W1150" t="s">
        <v>27</v>
      </c>
      <c r="X1150">
        <v>23</v>
      </c>
      <c r="Y1150" t="s">
        <v>42</v>
      </c>
      <c r="Z1150">
        <v>1</v>
      </c>
      <c r="AA1150">
        <v>50</v>
      </c>
      <c r="AB1150">
        <v>2</v>
      </c>
    </row>
    <row r="1151" spans="1:28">
      <c r="J1151" s="340" t="str">
        <f t="shared" si="83"/>
        <v>2002MaleNon-Maori213</v>
      </c>
      <c r="K1151">
        <v>2002</v>
      </c>
      <c r="L1151" t="s">
        <v>20</v>
      </c>
      <c r="M1151" t="s">
        <v>19</v>
      </c>
      <c r="N1151">
        <v>21</v>
      </c>
      <c r="O1151">
        <v>3</v>
      </c>
      <c r="P1151">
        <v>0</v>
      </c>
      <c r="Q1151">
        <v>0</v>
      </c>
      <c r="T1151" s="340" t="str">
        <f t="shared" si="84"/>
        <v>2001FemaleAllEth21Hanging, strangulation and suffocation</v>
      </c>
      <c r="U1151">
        <v>2001</v>
      </c>
      <c r="V1151" t="s">
        <v>8</v>
      </c>
      <c r="W1151" t="s">
        <v>27</v>
      </c>
      <c r="X1151">
        <v>21</v>
      </c>
      <c r="Y1151" t="s">
        <v>43</v>
      </c>
      <c r="Z1151">
        <v>1</v>
      </c>
      <c r="AA1151">
        <v>2</v>
      </c>
      <c r="AB1151">
        <v>50</v>
      </c>
    </row>
    <row r="1152" spans="1:28">
      <c r="J1152" s="340" t="str">
        <f t="shared" si="83"/>
        <v>2002MaleNon-Maori214</v>
      </c>
      <c r="K1152">
        <v>2002</v>
      </c>
      <c r="L1152" t="s">
        <v>20</v>
      </c>
      <c r="M1152" t="s">
        <v>19</v>
      </c>
      <c r="N1152">
        <v>21</v>
      </c>
      <c r="O1152">
        <v>4</v>
      </c>
      <c r="P1152">
        <v>0</v>
      </c>
      <c r="Q1152">
        <v>0</v>
      </c>
      <c r="T1152" s="340" t="str">
        <f t="shared" si="84"/>
        <v>2001FemaleAllEth22Hanging, strangulation and suffocation</v>
      </c>
      <c r="U1152">
        <v>2001</v>
      </c>
      <c r="V1152" t="s">
        <v>8</v>
      </c>
      <c r="W1152" t="s">
        <v>27</v>
      </c>
      <c r="X1152">
        <v>22</v>
      </c>
      <c r="Y1152" t="s">
        <v>43</v>
      </c>
      <c r="Z1152">
        <v>12</v>
      </c>
      <c r="AA1152">
        <v>23</v>
      </c>
      <c r="AB1152">
        <v>52.2</v>
      </c>
    </row>
    <row r="1153" spans="10:28">
      <c r="J1153" s="340" t="str">
        <f t="shared" si="83"/>
        <v>2002MaleNon-Maori215</v>
      </c>
      <c r="K1153">
        <v>2002</v>
      </c>
      <c r="L1153" t="s">
        <v>20</v>
      </c>
      <c r="M1153" t="s">
        <v>19</v>
      </c>
      <c r="N1153">
        <v>21</v>
      </c>
      <c r="O1153">
        <v>5</v>
      </c>
      <c r="P1153">
        <v>0</v>
      </c>
      <c r="Q1153">
        <v>0</v>
      </c>
      <c r="T1153" s="340" t="str">
        <f t="shared" si="84"/>
        <v>2001FemaleAllEth23Hanging, strangulation and suffocation</v>
      </c>
      <c r="U1153">
        <v>2001</v>
      </c>
      <c r="V1153" t="s">
        <v>8</v>
      </c>
      <c r="W1153" t="s">
        <v>27</v>
      </c>
      <c r="X1153">
        <v>23</v>
      </c>
      <c r="Y1153" t="s">
        <v>43</v>
      </c>
      <c r="Z1153">
        <v>20</v>
      </c>
      <c r="AA1153">
        <v>50</v>
      </c>
      <c r="AB1153">
        <v>40</v>
      </c>
    </row>
    <row r="1154" spans="10:28">
      <c r="J1154" s="340" t="str">
        <f t="shared" si="83"/>
        <v>2002MaleNon-Maori221</v>
      </c>
      <c r="K1154">
        <v>2002</v>
      </c>
      <c r="L1154" t="s">
        <v>20</v>
      </c>
      <c r="M1154" t="s">
        <v>19</v>
      </c>
      <c r="N1154">
        <v>22</v>
      </c>
      <c r="O1154">
        <v>1</v>
      </c>
      <c r="P1154">
        <v>2</v>
      </c>
      <c r="Q1154">
        <v>4.3580616398921999</v>
      </c>
      <c r="R1154">
        <v>6</v>
      </c>
      <c r="T1154" s="340" t="str">
        <f t="shared" si="84"/>
        <v>2001FemaleAllEth24Hanging, strangulation and suffocation</v>
      </c>
      <c r="U1154">
        <v>2001</v>
      </c>
      <c r="V1154" t="s">
        <v>8</v>
      </c>
      <c r="W1154" t="s">
        <v>27</v>
      </c>
      <c r="X1154">
        <v>24</v>
      </c>
      <c r="Y1154" t="s">
        <v>43</v>
      </c>
      <c r="Z1154">
        <v>11</v>
      </c>
      <c r="AA1154">
        <v>27</v>
      </c>
      <c r="AB1154">
        <v>40.700000000000003</v>
      </c>
    </row>
    <row r="1155" spans="10:28">
      <c r="J1155" s="340" t="str">
        <f t="shared" si="83"/>
        <v>2002MaleNon-Maori222</v>
      </c>
      <c r="K1155">
        <v>2002</v>
      </c>
      <c r="L1155" t="s">
        <v>20</v>
      </c>
      <c r="M1155" t="s">
        <v>19</v>
      </c>
      <c r="N1155">
        <v>22</v>
      </c>
      <c r="O1155">
        <v>2</v>
      </c>
      <c r="P1155">
        <v>13</v>
      </c>
      <c r="Q1155">
        <v>28.088905745897399</v>
      </c>
      <c r="R1155">
        <v>15.3</v>
      </c>
      <c r="T1155" s="340" t="str">
        <f t="shared" si="84"/>
        <v>2001FemaleAllEth25Hanging, strangulation and suffocation</v>
      </c>
      <c r="U1155">
        <v>2001</v>
      </c>
      <c r="V1155" t="s">
        <v>8</v>
      </c>
      <c r="W1155" t="s">
        <v>27</v>
      </c>
      <c r="X1155">
        <v>25</v>
      </c>
      <c r="Y1155" t="s">
        <v>43</v>
      </c>
      <c r="Z1155">
        <v>7</v>
      </c>
      <c r="AA1155">
        <v>16</v>
      </c>
      <c r="AB1155">
        <v>43.8</v>
      </c>
    </row>
    <row r="1156" spans="10:28">
      <c r="J1156" s="340" t="str">
        <f t="shared" ref="J1156:J1219" si="85">K1156&amp;L1156&amp;M1156&amp;N1156&amp;O1156</f>
        <v>2002MaleNon-Maori223</v>
      </c>
      <c r="K1156">
        <v>2002</v>
      </c>
      <c r="L1156" t="s">
        <v>20</v>
      </c>
      <c r="M1156" t="s">
        <v>19</v>
      </c>
      <c r="N1156">
        <v>22</v>
      </c>
      <c r="O1156">
        <v>3</v>
      </c>
      <c r="P1156">
        <v>7</v>
      </c>
      <c r="Q1156">
        <v>15.153142715968</v>
      </c>
      <c r="R1156">
        <v>11.2</v>
      </c>
      <c r="T1156" s="340" t="str">
        <f t="shared" si="84"/>
        <v>2001FemaleAllEth22Jumping from a high place</v>
      </c>
      <c r="U1156">
        <v>2001</v>
      </c>
      <c r="V1156" t="s">
        <v>8</v>
      </c>
      <c r="W1156" t="s">
        <v>27</v>
      </c>
      <c r="X1156">
        <v>22</v>
      </c>
      <c r="Y1156" t="s">
        <v>44</v>
      </c>
      <c r="Z1156">
        <v>2</v>
      </c>
      <c r="AA1156">
        <v>23</v>
      </c>
      <c r="AB1156">
        <v>8.6999999999999993</v>
      </c>
    </row>
    <row r="1157" spans="10:28">
      <c r="J1157" s="340" t="str">
        <f t="shared" si="85"/>
        <v>2002MaleNon-Maori224</v>
      </c>
      <c r="K1157">
        <v>2002</v>
      </c>
      <c r="L1157" t="s">
        <v>20</v>
      </c>
      <c r="M1157" t="s">
        <v>19</v>
      </c>
      <c r="N1157">
        <v>22</v>
      </c>
      <c r="O1157">
        <v>4</v>
      </c>
      <c r="P1157">
        <v>5</v>
      </c>
      <c r="Q1157">
        <v>10.962519554957501</v>
      </c>
      <c r="R1157">
        <v>9.6</v>
      </c>
      <c r="T1157" s="340" t="str">
        <f t="shared" ref="T1157:T1220" si="86">U1157&amp;V1157&amp;W1157&amp;X1157&amp;Y1157</f>
        <v>2001FemaleAllEth23Jumping from a high place</v>
      </c>
      <c r="U1157">
        <v>2001</v>
      </c>
      <c r="V1157" t="s">
        <v>8</v>
      </c>
      <c r="W1157" t="s">
        <v>27</v>
      </c>
      <c r="X1157">
        <v>23</v>
      </c>
      <c r="Y1157" t="s">
        <v>44</v>
      </c>
      <c r="Z1157">
        <v>4</v>
      </c>
      <c r="AA1157">
        <v>50</v>
      </c>
      <c r="AB1157">
        <v>8</v>
      </c>
    </row>
    <row r="1158" spans="10:28">
      <c r="J1158" s="340" t="str">
        <f t="shared" si="85"/>
        <v>2002MaleNon-Maori225</v>
      </c>
      <c r="K1158">
        <v>2002</v>
      </c>
      <c r="L1158" t="s">
        <v>20</v>
      </c>
      <c r="M1158" t="s">
        <v>19</v>
      </c>
      <c r="N1158">
        <v>22</v>
      </c>
      <c r="O1158">
        <v>5</v>
      </c>
      <c r="P1158">
        <v>11</v>
      </c>
      <c r="Q1158">
        <v>25.574597618693499</v>
      </c>
      <c r="R1158">
        <v>15.1</v>
      </c>
      <c r="T1158" s="340" t="str">
        <f t="shared" si="86"/>
        <v>2001FemaleAllEth24Jumping from a high place</v>
      </c>
      <c r="U1158">
        <v>2001</v>
      </c>
      <c r="V1158" t="s">
        <v>8</v>
      </c>
      <c r="W1158" t="s">
        <v>27</v>
      </c>
      <c r="X1158">
        <v>24</v>
      </c>
      <c r="Y1158" t="s">
        <v>44</v>
      </c>
      <c r="Z1158">
        <v>1</v>
      </c>
      <c r="AA1158">
        <v>27</v>
      </c>
      <c r="AB1158">
        <v>3.7</v>
      </c>
    </row>
    <row r="1159" spans="10:28">
      <c r="J1159" s="340" t="str">
        <f t="shared" si="85"/>
        <v>2002MaleNon-Maori231</v>
      </c>
      <c r="K1159">
        <v>2002</v>
      </c>
      <c r="L1159" t="s">
        <v>20</v>
      </c>
      <c r="M1159" t="s">
        <v>19</v>
      </c>
      <c r="N1159">
        <v>23</v>
      </c>
      <c r="O1159">
        <v>1</v>
      </c>
      <c r="P1159">
        <v>18</v>
      </c>
      <c r="Q1159">
        <v>17.375884351015898</v>
      </c>
      <c r="R1159">
        <v>8</v>
      </c>
      <c r="T1159" s="340" t="str">
        <f t="shared" si="86"/>
        <v>2001FemaleAllEth25Jumping from a high place</v>
      </c>
      <c r="U1159">
        <v>2001</v>
      </c>
      <c r="V1159" t="s">
        <v>8</v>
      </c>
      <c r="W1159" t="s">
        <v>27</v>
      </c>
      <c r="X1159">
        <v>25</v>
      </c>
      <c r="Y1159" t="s">
        <v>44</v>
      </c>
      <c r="Z1159">
        <v>2</v>
      </c>
      <c r="AA1159">
        <v>16</v>
      </c>
      <c r="AB1159">
        <v>12.5</v>
      </c>
    </row>
    <row r="1160" spans="10:28">
      <c r="J1160" s="340" t="str">
        <f t="shared" si="85"/>
        <v>2002MaleNon-Maori232</v>
      </c>
      <c r="K1160">
        <v>2002</v>
      </c>
      <c r="L1160" t="s">
        <v>20</v>
      </c>
      <c r="M1160" t="s">
        <v>19</v>
      </c>
      <c r="N1160">
        <v>23</v>
      </c>
      <c r="O1160">
        <v>2</v>
      </c>
      <c r="P1160">
        <v>29</v>
      </c>
      <c r="Q1160">
        <v>27.094462828832501</v>
      </c>
      <c r="R1160">
        <v>9.9</v>
      </c>
      <c r="T1160" s="340" t="str">
        <f t="shared" si="86"/>
        <v>2001FemaleAllEth22Other</v>
      </c>
      <c r="U1160">
        <v>2001</v>
      </c>
      <c r="V1160" t="s">
        <v>8</v>
      </c>
      <c r="W1160" t="s">
        <v>27</v>
      </c>
      <c r="X1160">
        <v>22</v>
      </c>
      <c r="Y1160" t="s">
        <v>45</v>
      </c>
      <c r="Z1160">
        <v>1</v>
      </c>
      <c r="AA1160">
        <v>23</v>
      </c>
      <c r="AB1160">
        <v>4.3</v>
      </c>
    </row>
    <row r="1161" spans="10:28">
      <c r="J1161" s="340" t="str">
        <f t="shared" si="85"/>
        <v>2002MaleNon-Maori233</v>
      </c>
      <c r="K1161">
        <v>2002</v>
      </c>
      <c r="L1161" t="s">
        <v>20</v>
      </c>
      <c r="M1161" t="s">
        <v>19</v>
      </c>
      <c r="N1161">
        <v>23</v>
      </c>
      <c r="O1161">
        <v>3</v>
      </c>
      <c r="P1161">
        <v>28</v>
      </c>
      <c r="Q1161">
        <v>27.1061212535956</v>
      </c>
      <c r="R1161">
        <v>10</v>
      </c>
      <c r="T1161" s="340" t="str">
        <f t="shared" si="86"/>
        <v>2001FemaleAllEth23Other</v>
      </c>
      <c r="U1161">
        <v>2001</v>
      </c>
      <c r="V1161" t="s">
        <v>8</v>
      </c>
      <c r="W1161" t="s">
        <v>27</v>
      </c>
      <c r="X1161">
        <v>23</v>
      </c>
      <c r="Y1161" t="s">
        <v>45</v>
      </c>
      <c r="Z1161">
        <v>3</v>
      </c>
      <c r="AA1161">
        <v>50</v>
      </c>
      <c r="AB1161">
        <v>6</v>
      </c>
    </row>
    <row r="1162" spans="10:28">
      <c r="J1162" s="340" t="str">
        <f t="shared" si="85"/>
        <v>2002MaleNon-Maori234</v>
      </c>
      <c r="K1162">
        <v>2002</v>
      </c>
      <c r="L1162" t="s">
        <v>20</v>
      </c>
      <c r="M1162" t="s">
        <v>19</v>
      </c>
      <c r="N1162">
        <v>23</v>
      </c>
      <c r="O1162">
        <v>4</v>
      </c>
      <c r="P1162">
        <v>27</v>
      </c>
      <c r="Q1162">
        <v>28.639395011903002</v>
      </c>
      <c r="R1162">
        <v>10.8</v>
      </c>
      <c r="T1162" s="340" t="str">
        <f t="shared" si="86"/>
        <v>2001FemaleAllEth24Other</v>
      </c>
      <c r="U1162">
        <v>2001</v>
      </c>
      <c r="V1162" t="s">
        <v>8</v>
      </c>
      <c r="W1162" t="s">
        <v>27</v>
      </c>
      <c r="X1162">
        <v>24</v>
      </c>
      <c r="Y1162" t="s">
        <v>45</v>
      </c>
      <c r="Z1162">
        <v>1</v>
      </c>
      <c r="AA1162">
        <v>27</v>
      </c>
      <c r="AB1162">
        <v>3.7</v>
      </c>
    </row>
    <row r="1163" spans="10:28">
      <c r="J1163" s="340" t="str">
        <f t="shared" si="85"/>
        <v>2002MaleNon-Maori235</v>
      </c>
      <c r="K1163">
        <v>2002</v>
      </c>
      <c r="L1163" t="s">
        <v>20</v>
      </c>
      <c r="M1163" t="s">
        <v>19</v>
      </c>
      <c r="N1163">
        <v>23</v>
      </c>
      <c r="O1163">
        <v>5</v>
      </c>
      <c r="P1163">
        <v>26</v>
      </c>
      <c r="Q1163">
        <v>35.757619400350599</v>
      </c>
      <c r="R1163">
        <v>13.7</v>
      </c>
      <c r="T1163" s="340" t="str">
        <f t="shared" si="86"/>
        <v>2001FemaleAllEth21Poisoning by gases and vapours</v>
      </c>
      <c r="U1163">
        <v>2001</v>
      </c>
      <c r="V1163" t="s">
        <v>8</v>
      </c>
      <c r="W1163" t="s">
        <v>27</v>
      </c>
      <c r="X1163">
        <v>21</v>
      </c>
      <c r="Y1163" t="s">
        <v>46</v>
      </c>
      <c r="Z1163">
        <v>1</v>
      </c>
      <c r="AA1163">
        <v>2</v>
      </c>
      <c r="AB1163">
        <v>50</v>
      </c>
    </row>
    <row r="1164" spans="10:28">
      <c r="J1164" s="340" t="str">
        <f t="shared" si="85"/>
        <v>2002MaleNon-Maori241</v>
      </c>
      <c r="K1164">
        <v>2002</v>
      </c>
      <c r="L1164" t="s">
        <v>20</v>
      </c>
      <c r="M1164" t="s">
        <v>19</v>
      </c>
      <c r="N1164">
        <v>24</v>
      </c>
      <c r="O1164">
        <v>1</v>
      </c>
      <c r="P1164">
        <v>12</v>
      </c>
      <c r="Q1164">
        <v>11.109868877558601</v>
      </c>
      <c r="R1164">
        <v>6.3</v>
      </c>
      <c r="T1164" s="340" t="str">
        <f t="shared" si="86"/>
        <v>2001FemaleAllEth22Poisoning by gases and vapours</v>
      </c>
      <c r="U1164">
        <v>2001</v>
      </c>
      <c r="V1164" t="s">
        <v>8</v>
      </c>
      <c r="W1164" t="s">
        <v>27</v>
      </c>
      <c r="X1164">
        <v>22</v>
      </c>
      <c r="Y1164" t="s">
        <v>46</v>
      </c>
      <c r="Z1164">
        <v>2</v>
      </c>
      <c r="AA1164">
        <v>23</v>
      </c>
      <c r="AB1164">
        <v>8.6999999999999993</v>
      </c>
    </row>
    <row r="1165" spans="10:28">
      <c r="J1165" s="340" t="str">
        <f t="shared" si="85"/>
        <v>2002MaleNon-Maori242</v>
      </c>
      <c r="K1165">
        <v>2002</v>
      </c>
      <c r="L1165" t="s">
        <v>20</v>
      </c>
      <c r="M1165" t="s">
        <v>19</v>
      </c>
      <c r="N1165">
        <v>24</v>
      </c>
      <c r="O1165">
        <v>2</v>
      </c>
      <c r="P1165">
        <v>23</v>
      </c>
      <c r="Q1165">
        <v>24.970001324542899</v>
      </c>
      <c r="R1165">
        <v>10.199999999999999</v>
      </c>
      <c r="T1165" s="340" t="str">
        <f t="shared" si="86"/>
        <v>2001FemaleAllEth23Poisoning by gases and vapours</v>
      </c>
      <c r="U1165">
        <v>2001</v>
      </c>
      <c r="V1165" t="s">
        <v>8</v>
      </c>
      <c r="W1165" t="s">
        <v>27</v>
      </c>
      <c r="X1165">
        <v>23</v>
      </c>
      <c r="Y1165" t="s">
        <v>46</v>
      </c>
      <c r="Z1165">
        <v>12</v>
      </c>
      <c r="AA1165">
        <v>50</v>
      </c>
      <c r="AB1165">
        <v>24</v>
      </c>
    </row>
    <row r="1166" spans="10:28">
      <c r="J1166" s="340" t="str">
        <f t="shared" si="85"/>
        <v>2002MaleNon-Maori243</v>
      </c>
      <c r="K1166">
        <v>2002</v>
      </c>
      <c r="L1166" t="s">
        <v>20</v>
      </c>
      <c r="M1166" t="s">
        <v>19</v>
      </c>
      <c r="N1166">
        <v>24</v>
      </c>
      <c r="O1166">
        <v>3</v>
      </c>
      <c r="P1166">
        <v>12</v>
      </c>
      <c r="Q1166">
        <v>15.1693509339387</v>
      </c>
      <c r="R1166">
        <v>8.6</v>
      </c>
      <c r="T1166" s="340" t="str">
        <f t="shared" si="86"/>
        <v>2001FemaleAllEth24Poisoning by gases and vapours</v>
      </c>
      <c r="U1166">
        <v>2001</v>
      </c>
      <c r="V1166" t="s">
        <v>8</v>
      </c>
      <c r="W1166" t="s">
        <v>27</v>
      </c>
      <c r="X1166">
        <v>24</v>
      </c>
      <c r="Y1166" t="s">
        <v>46</v>
      </c>
      <c r="Z1166">
        <v>6</v>
      </c>
      <c r="AA1166">
        <v>27</v>
      </c>
      <c r="AB1166">
        <v>22.2</v>
      </c>
    </row>
    <row r="1167" spans="10:28">
      <c r="J1167" s="340" t="str">
        <f t="shared" si="85"/>
        <v>2002MaleNon-Maori244</v>
      </c>
      <c r="K1167">
        <v>2002</v>
      </c>
      <c r="L1167" t="s">
        <v>20</v>
      </c>
      <c r="M1167" t="s">
        <v>19</v>
      </c>
      <c r="N1167">
        <v>24</v>
      </c>
      <c r="O1167">
        <v>4</v>
      </c>
      <c r="P1167">
        <v>18</v>
      </c>
      <c r="Q1167">
        <v>26.536841778563002</v>
      </c>
      <c r="R1167">
        <v>12.3</v>
      </c>
      <c r="T1167" s="340" t="str">
        <f t="shared" si="86"/>
        <v>2001FemaleAllEth22Poisoning by solids and liquids</v>
      </c>
      <c r="U1167">
        <v>2001</v>
      </c>
      <c r="V1167" t="s">
        <v>8</v>
      </c>
      <c r="W1167" t="s">
        <v>27</v>
      </c>
      <c r="X1167">
        <v>22</v>
      </c>
      <c r="Y1167" t="s">
        <v>47</v>
      </c>
      <c r="Z1167">
        <v>5</v>
      </c>
      <c r="AA1167">
        <v>23</v>
      </c>
      <c r="AB1167">
        <v>21.7</v>
      </c>
    </row>
    <row r="1168" spans="10:28">
      <c r="J1168" s="340" t="str">
        <f t="shared" si="85"/>
        <v>2002MaleNon-Maori245</v>
      </c>
      <c r="K1168">
        <v>2002</v>
      </c>
      <c r="L1168" t="s">
        <v>20</v>
      </c>
      <c r="M1168" t="s">
        <v>19</v>
      </c>
      <c r="N1168">
        <v>24</v>
      </c>
      <c r="O1168">
        <v>5</v>
      </c>
      <c r="P1168">
        <v>10</v>
      </c>
      <c r="Q1168">
        <v>19.603887367399501</v>
      </c>
      <c r="R1168">
        <v>12.2</v>
      </c>
      <c r="T1168" s="340" t="str">
        <f t="shared" si="86"/>
        <v>2001FemaleAllEth23Poisoning by solids and liquids</v>
      </c>
      <c r="U1168">
        <v>2001</v>
      </c>
      <c r="V1168" t="s">
        <v>8</v>
      </c>
      <c r="W1168" t="s">
        <v>27</v>
      </c>
      <c r="X1168">
        <v>23</v>
      </c>
      <c r="Y1168" t="s">
        <v>47</v>
      </c>
      <c r="Z1168">
        <v>9</v>
      </c>
      <c r="AA1168">
        <v>50</v>
      </c>
      <c r="AB1168">
        <v>18</v>
      </c>
    </row>
    <row r="1169" spans="10:28">
      <c r="J1169" s="340" t="str">
        <f t="shared" si="85"/>
        <v>2002MaleNon-Maori251</v>
      </c>
      <c r="K1169">
        <v>2002</v>
      </c>
      <c r="L1169" t="s">
        <v>20</v>
      </c>
      <c r="M1169" t="s">
        <v>19</v>
      </c>
      <c r="N1169">
        <v>25</v>
      </c>
      <c r="O1169">
        <v>1</v>
      </c>
      <c r="P1169">
        <v>6</v>
      </c>
      <c r="Q1169">
        <v>14.1834231837356</v>
      </c>
      <c r="R1169">
        <v>11.3</v>
      </c>
      <c r="T1169" s="340" t="str">
        <f t="shared" si="86"/>
        <v>2001FemaleAllEth24Poisoning by solids and liquids</v>
      </c>
      <c r="U1169">
        <v>2001</v>
      </c>
      <c r="V1169" t="s">
        <v>8</v>
      </c>
      <c r="W1169" t="s">
        <v>27</v>
      </c>
      <c r="X1169">
        <v>24</v>
      </c>
      <c r="Y1169" t="s">
        <v>47</v>
      </c>
      <c r="Z1169">
        <v>5</v>
      </c>
      <c r="AA1169">
        <v>27</v>
      </c>
      <c r="AB1169">
        <v>18.5</v>
      </c>
    </row>
    <row r="1170" spans="10:28">
      <c r="J1170" s="340" t="str">
        <f t="shared" si="85"/>
        <v>2002MaleNon-Maori252</v>
      </c>
      <c r="K1170">
        <v>2002</v>
      </c>
      <c r="L1170" t="s">
        <v>20</v>
      </c>
      <c r="M1170" t="s">
        <v>19</v>
      </c>
      <c r="N1170">
        <v>25</v>
      </c>
      <c r="O1170">
        <v>2</v>
      </c>
      <c r="P1170">
        <v>8</v>
      </c>
      <c r="Q1170">
        <v>18.839043373547099</v>
      </c>
      <c r="R1170">
        <v>13.1</v>
      </c>
      <c r="T1170" s="340" t="str">
        <f t="shared" si="86"/>
        <v>2001FemaleAllEth25Poisoning by solids and liquids</v>
      </c>
      <c r="U1170">
        <v>2001</v>
      </c>
      <c r="V1170" t="s">
        <v>8</v>
      </c>
      <c r="W1170" t="s">
        <v>27</v>
      </c>
      <c r="X1170">
        <v>25</v>
      </c>
      <c r="Y1170" t="s">
        <v>47</v>
      </c>
      <c r="Z1170">
        <v>6</v>
      </c>
      <c r="AA1170">
        <v>16</v>
      </c>
      <c r="AB1170">
        <v>37.5</v>
      </c>
    </row>
    <row r="1171" spans="10:28">
      <c r="J1171" s="340" t="str">
        <f t="shared" si="85"/>
        <v>2002MaleNon-Maori253</v>
      </c>
      <c r="K1171">
        <v>2002</v>
      </c>
      <c r="L1171" t="s">
        <v>20</v>
      </c>
      <c r="M1171" t="s">
        <v>19</v>
      </c>
      <c r="N1171">
        <v>25</v>
      </c>
      <c r="O1171">
        <v>3</v>
      </c>
      <c r="P1171">
        <v>9</v>
      </c>
      <c r="Q1171">
        <v>21.223399055947802</v>
      </c>
      <c r="R1171">
        <v>13.9</v>
      </c>
      <c r="T1171" s="340" t="str">
        <f t="shared" si="86"/>
        <v>2001FemaleAllEth23Sharp object</v>
      </c>
      <c r="U1171">
        <v>2001</v>
      </c>
      <c r="V1171" t="s">
        <v>8</v>
      </c>
      <c r="W1171" t="s">
        <v>27</v>
      </c>
      <c r="X1171">
        <v>23</v>
      </c>
      <c r="Y1171" t="s">
        <v>48</v>
      </c>
      <c r="Z1171">
        <v>1</v>
      </c>
      <c r="AA1171">
        <v>50</v>
      </c>
      <c r="AB1171">
        <v>2</v>
      </c>
    </row>
    <row r="1172" spans="10:28">
      <c r="J1172" s="340" t="str">
        <f t="shared" si="85"/>
        <v>2002MaleNon-Maori254</v>
      </c>
      <c r="K1172">
        <v>2002</v>
      </c>
      <c r="L1172" t="s">
        <v>20</v>
      </c>
      <c r="M1172" t="s">
        <v>19</v>
      </c>
      <c r="N1172">
        <v>25</v>
      </c>
      <c r="O1172">
        <v>4</v>
      </c>
      <c r="P1172">
        <v>6</v>
      </c>
      <c r="Q1172">
        <v>15.0314012211342</v>
      </c>
      <c r="R1172">
        <v>12</v>
      </c>
      <c r="T1172" s="340" t="str">
        <f t="shared" si="86"/>
        <v>2001FemaleAllEth22Submersion (drowning)</v>
      </c>
      <c r="U1172">
        <v>2001</v>
      </c>
      <c r="V1172" t="s">
        <v>8</v>
      </c>
      <c r="W1172" t="s">
        <v>27</v>
      </c>
      <c r="X1172">
        <v>22</v>
      </c>
      <c r="Y1172" t="s">
        <v>49</v>
      </c>
      <c r="Z1172">
        <v>1</v>
      </c>
      <c r="AA1172">
        <v>23</v>
      </c>
      <c r="AB1172">
        <v>4.3</v>
      </c>
    </row>
    <row r="1173" spans="10:28">
      <c r="J1173" s="340" t="str">
        <f t="shared" si="85"/>
        <v>2002MaleNon-Maori255</v>
      </c>
      <c r="K1173">
        <v>2002</v>
      </c>
      <c r="L1173" t="s">
        <v>20</v>
      </c>
      <c r="M1173" t="s">
        <v>19</v>
      </c>
      <c r="N1173">
        <v>25</v>
      </c>
      <c r="O1173">
        <v>5</v>
      </c>
      <c r="P1173">
        <v>6</v>
      </c>
      <c r="Q1173">
        <v>20.906192682537799</v>
      </c>
      <c r="R1173">
        <v>16.7</v>
      </c>
      <c r="T1173" s="340" t="str">
        <f t="shared" si="86"/>
        <v>2001FemaleAllEth24Submersion (drowning)</v>
      </c>
      <c r="U1173">
        <v>2001</v>
      </c>
      <c r="V1173" t="s">
        <v>8</v>
      </c>
      <c r="W1173" t="s">
        <v>27</v>
      </c>
      <c r="X1173">
        <v>24</v>
      </c>
      <c r="Y1173" t="s">
        <v>49</v>
      </c>
      <c r="Z1173">
        <v>3</v>
      </c>
      <c r="AA1173">
        <v>27</v>
      </c>
      <c r="AB1173">
        <v>11.1</v>
      </c>
    </row>
    <row r="1174" spans="10:28">
      <c r="J1174" s="340" t="str">
        <f t="shared" si="85"/>
        <v>2003AllSexAllEth211</v>
      </c>
      <c r="K1174">
        <v>2003</v>
      </c>
      <c r="L1174" t="s">
        <v>17</v>
      </c>
      <c r="M1174" t="s">
        <v>27</v>
      </c>
      <c r="N1174">
        <v>21</v>
      </c>
      <c r="O1174">
        <v>1</v>
      </c>
      <c r="P1174">
        <v>0</v>
      </c>
      <c r="Q1174">
        <v>0</v>
      </c>
      <c r="T1174" s="340" t="str">
        <f t="shared" si="86"/>
        <v>2001FemaleAllEth25Submersion (drowning)</v>
      </c>
      <c r="U1174">
        <v>2001</v>
      </c>
      <c r="V1174" t="s">
        <v>8</v>
      </c>
      <c r="W1174" t="s">
        <v>27</v>
      </c>
      <c r="X1174">
        <v>25</v>
      </c>
      <c r="Y1174" t="s">
        <v>49</v>
      </c>
      <c r="Z1174">
        <v>1</v>
      </c>
      <c r="AA1174">
        <v>16</v>
      </c>
      <c r="AB1174">
        <v>6.2</v>
      </c>
    </row>
    <row r="1175" spans="10:28">
      <c r="J1175" s="340" t="str">
        <f t="shared" si="85"/>
        <v>2003AllSexAllEth212</v>
      </c>
      <c r="K1175">
        <v>2003</v>
      </c>
      <c r="L1175" t="s">
        <v>17</v>
      </c>
      <c r="M1175" t="s">
        <v>27</v>
      </c>
      <c r="N1175">
        <v>21</v>
      </c>
      <c r="O1175">
        <v>2</v>
      </c>
      <c r="P1175">
        <v>0</v>
      </c>
      <c r="Q1175">
        <v>0</v>
      </c>
      <c r="T1175" s="340" t="str">
        <f t="shared" si="86"/>
        <v>2001FemaleMaori21Hanging, strangulation and suffocation</v>
      </c>
      <c r="U1175">
        <v>2001</v>
      </c>
      <c r="V1175" t="s">
        <v>8</v>
      </c>
      <c r="W1175" t="s">
        <v>18</v>
      </c>
      <c r="X1175">
        <v>21</v>
      </c>
      <c r="Y1175" t="s">
        <v>43</v>
      </c>
      <c r="Z1175">
        <v>1</v>
      </c>
      <c r="AA1175">
        <v>1</v>
      </c>
      <c r="AB1175">
        <v>100</v>
      </c>
    </row>
    <row r="1176" spans="10:28">
      <c r="J1176" s="340" t="str">
        <f t="shared" si="85"/>
        <v>2003AllSexAllEth213</v>
      </c>
      <c r="K1176">
        <v>2003</v>
      </c>
      <c r="L1176" t="s">
        <v>17</v>
      </c>
      <c r="M1176" t="s">
        <v>27</v>
      </c>
      <c r="N1176">
        <v>21</v>
      </c>
      <c r="O1176">
        <v>3</v>
      </c>
      <c r="P1176">
        <v>0</v>
      </c>
      <c r="Q1176">
        <v>0</v>
      </c>
      <c r="T1176" s="340" t="str">
        <f t="shared" si="86"/>
        <v>2001FemaleMaori22Hanging, strangulation and suffocation</v>
      </c>
      <c r="U1176">
        <v>2001</v>
      </c>
      <c r="V1176" t="s">
        <v>8</v>
      </c>
      <c r="W1176" t="s">
        <v>18</v>
      </c>
      <c r="X1176">
        <v>22</v>
      </c>
      <c r="Y1176" t="s">
        <v>43</v>
      </c>
      <c r="Z1176">
        <v>8</v>
      </c>
      <c r="AA1176">
        <v>9</v>
      </c>
      <c r="AB1176">
        <v>88.9</v>
      </c>
    </row>
    <row r="1177" spans="10:28">
      <c r="J1177" s="340" t="str">
        <f t="shared" si="85"/>
        <v>2003AllSexAllEth214</v>
      </c>
      <c r="K1177">
        <v>2003</v>
      </c>
      <c r="L1177" t="s">
        <v>17</v>
      </c>
      <c r="M1177" t="s">
        <v>27</v>
      </c>
      <c r="N1177">
        <v>21</v>
      </c>
      <c r="O1177">
        <v>4</v>
      </c>
      <c r="P1177">
        <v>1</v>
      </c>
      <c r="Q1177">
        <v>0.60003741297301705</v>
      </c>
      <c r="R1177">
        <v>1.2</v>
      </c>
      <c r="T1177" s="340" t="str">
        <f t="shared" si="86"/>
        <v>2001FemaleMaori23Hanging, strangulation and suffocation</v>
      </c>
      <c r="U1177">
        <v>2001</v>
      </c>
      <c r="V1177" t="s">
        <v>8</v>
      </c>
      <c r="W1177" t="s">
        <v>18</v>
      </c>
      <c r="X1177">
        <v>23</v>
      </c>
      <c r="Y1177" t="s">
        <v>43</v>
      </c>
      <c r="Z1177">
        <v>6</v>
      </c>
      <c r="AA1177">
        <v>11</v>
      </c>
      <c r="AB1177">
        <v>54.5</v>
      </c>
    </row>
    <row r="1178" spans="10:28">
      <c r="J1178" s="340" t="str">
        <f t="shared" si="85"/>
        <v>2003AllSexAllEth215</v>
      </c>
      <c r="K1178">
        <v>2003</v>
      </c>
      <c r="L1178" t="s">
        <v>17</v>
      </c>
      <c r="M1178" t="s">
        <v>27</v>
      </c>
      <c r="N1178">
        <v>21</v>
      </c>
      <c r="O1178">
        <v>5</v>
      </c>
      <c r="P1178">
        <v>4</v>
      </c>
      <c r="Q1178">
        <v>1.89752291151488</v>
      </c>
      <c r="R1178">
        <v>1.9</v>
      </c>
      <c r="T1178" s="340" t="str">
        <f t="shared" si="86"/>
        <v>2001FemaleMaori23Jumping from a high place</v>
      </c>
      <c r="U1178">
        <v>2001</v>
      </c>
      <c r="V1178" t="s">
        <v>8</v>
      </c>
      <c r="W1178" t="s">
        <v>18</v>
      </c>
      <c r="X1178">
        <v>23</v>
      </c>
      <c r="Y1178" t="s">
        <v>44</v>
      </c>
      <c r="Z1178">
        <v>1</v>
      </c>
      <c r="AA1178">
        <v>11</v>
      </c>
      <c r="AB1178">
        <v>9.1</v>
      </c>
    </row>
    <row r="1179" spans="10:28">
      <c r="J1179" s="340" t="str">
        <f t="shared" si="85"/>
        <v>2003AllSexAllEth221</v>
      </c>
      <c r="K1179">
        <v>2003</v>
      </c>
      <c r="L1179" t="s">
        <v>17</v>
      </c>
      <c r="M1179" t="s">
        <v>27</v>
      </c>
      <c r="N1179">
        <v>22</v>
      </c>
      <c r="O1179">
        <v>1</v>
      </c>
      <c r="P1179">
        <v>13</v>
      </c>
      <c r="Q1179">
        <v>13.502506695119999</v>
      </c>
      <c r="R1179">
        <v>7.3</v>
      </c>
      <c r="T1179" s="340" t="str">
        <f t="shared" si="86"/>
        <v>2001FemaleMaori23Other</v>
      </c>
      <c r="U1179">
        <v>2001</v>
      </c>
      <c r="V1179" t="s">
        <v>8</v>
      </c>
      <c r="W1179" t="s">
        <v>18</v>
      </c>
      <c r="X1179">
        <v>23</v>
      </c>
      <c r="Y1179" t="s">
        <v>45</v>
      </c>
      <c r="Z1179">
        <v>1</v>
      </c>
      <c r="AA1179">
        <v>11</v>
      </c>
      <c r="AB1179">
        <v>9.1</v>
      </c>
    </row>
    <row r="1180" spans="10:28">
      <c r="J1180" s="340" t="str">
        <f t="shared" si="85"/>
        <v>2003AllSexAllEth222</v>
      </c>
      <c r="K1180">
        <v>2003</v>
      </c>
      <c r="L1180" t="s">
        <v>17</v>
      </c>
      <c r="M1180" t="s">
        <v>27</v>
      </c>
      <c r="N1180">
        <v>22</v>
      </c>
      <c r="O1180">
        <v>2</v>
      </c>
      <c r="P1180">
        <v>9</v>
      </c>
      <c r="Q1180">
        <v>8.7756368086707308</v>
      </c>
      <c r="R1180">
        <v>5.7</v>
      </c>
      <c r="T1180" s="340" t="str">
        <f t="shared" si="86"/>
        <v>2001FemaleMaori23Poisoning by gases and vapours</v>
      </c>
      <c r="U1180">
        <v>2001</v>
      </c>
      <c r="V1180" t="s">
        <v>8</v>
      </c>
      <c r="W1180" t="s">
        <v>18</v>
      </c>
      <c r="X1180">
        <v>23</v>
      </c>
      <c r="Y1180" t="s">
        <v>46</v>
      </c>
      <c r="Z1180">
        <v>3</v>
      </c>
      <c r="AA1180">
        <v>11</v>
      </c>
      <c r="AB1180">
        <v>27.3</v>
      </c>
    </row>
    <row r="1181" spans="10:28">
      <c r="J1181" s="340" t="str">
        <f t="shared" si="85"/>
        <v>2003AllSexAllEth223</v>
      </c>
      <c r="K1181">
        <v>2003</v>
      </c>
      <c r="L1181" t="s">
        <v>17</v>
      </c>
      <c r="M1181" t="s">
        <v>27</v>
      </c>
      <c r="N1181">
        <v>22</v>
      </c>
      <c r="O1181">
        <v>3</v>
      </c>
      <c r="P1181">
        <v>19</v>
      </c>
      <c r="Q1181">
        <v>17.120572499819101</v>
      </c>
      <c r="R1181">
        <v>7.7</v>
      </c>
      <c r="T1181" s="340" t="str">
        <f t="shared" si="86"/>
        <v>2001FemaleMaori22Poisoning by solids and liquids</v>
      </c>
      <c r="U1181">
        <v>2001</v>
      </c>
      <c r="V1181" t="s">
        <v>8</v>
      </c>
      <c r="W1181" t="s">
        <v>18</v>
      </c>
      <c r="X1181">
        <v>22</v>
      </c>
      <c r="Y1181" t="s">
        <v>47</v>
      </c>
      <c r="Z1181">
        <v>1</v>
      </c>
      <c r="AA1181">
        <v>9</v>
      </c>
      <c r="AB1181">
        <v>11.1</v>
      </c>
    </row>
    <row r="1182" spans="10:28">
      <c r="J1182" s="340" t="str">
        <f t="shared" si="85"/>
        <v>2003AllSexAllEth224</v>
      </c>
      <c r="K1182">
        <v>2003</v>
      </c>
      <c r="L1182" t="s">
        <v>17</v>
      </c>
      <c r="M1182" t="s">
        <v>27</v>
      </c>
      <c r="N1182">
        <v>22</v>
      </c>
      <c r="O1182">
        <v>4</v>
      </c>
      <c r="P1182">
        <v>25</v>
      </c>
      <c r="Q1182">
        <v>20.513394662723002</v>
      </c>
      <c r="R1182">
        <v>8</v>
      </c>
      <c r="T1182" s="340" t="str">
        <f t="shared" si="86"/>
        <v>2001FemaleNon-Maori23Firearms and explosives</v>
      </c>
      <c r="U1182">
        <v>2001</v>
      </c>
      <c r="V1182" t="s">
        <v>8</v>
      </c>
      <c r="W1182" t="s">
        <v>19</v>
      </c>
      <c r="X1182">
        <v>23</v>
      </c>
      <c r="Y1182" t="s">
        <v>42</v>
      </c>
      <c r="Z1182">
        <v>1</v>
      </c>
      <c r="AA1182">
        <v>39</v>
      </c>
      <c r="AB1182">
        <v>2.6</v>
      </c>
    </row>
    <row r="1183" spans="10:28">
      <c r="J1183" s="340" t="str">
        <f t="shared" si="85"/>
        <v>2003AllSexAllEth225</v>
      </c>
      <c r="K1183">
        <v>2003</v>
      </c>
      <c r="L1183" t="s">
        <v>17</v>
      </c>
      <c r="M1183" t="s">
        <v>27</v>
      </c>
      <c r="N1183">
        <v>22</v>
      </c>
      <c r="O1183">
        <v>5</v>
      </c>
      <c r="P1183">
        <v>28</v>
      </c>
      <c r="Q1183">
        <v>19.724458510504601</v>
      </c>
      <c r="R1183">
        <v>7.3</v>
      </c>
      <c r="T1183" s="340" t="str">
        <f t="shared" si="86"/>
        <v>2001FemaleNon-Maori22Hanging, strangulation and suffocation</v>
      </c>
      <c r="U1183">
        <v>2001</v>
      </c>
      <c r="V1183" t="s">
        <v>8</v>
      </c>
      <c r="W1183" t="s">
        <v>19</v>
      </c>
      <c r="X1183">
        <v>22</v>
      </c>
      <c r="Y1183" t="s">
        <v>43</v>
      </c>
      <c r="Z1183">
        <v>4</v>
      </c>
      <c r="AA1183">
        <v>14</v>
      </c>
      <c r="AB1183">
        <v>28.6</v>
      </c>
    </row>
    <row r="1184" spans="10:28">
      <c r="J1184" s="340" t="str">
        <f t="shared" si="85"/>
        <v>2003AllSexAllEth231</v>
      </c>
      <c r="K1184">
        <v>2003</v>
      </c>
      <c r="L1184" t="s">
        <v>17</v>
      </c>
      <c r="M1184" t="s">
        <v>27</v>
      </c>
      <c r="N1184">
        <v>23</v>
      </c>
      <c r="O1184">
        <v>1</v>
      </c>
      <c r="P1184">
        <v>26</v>
      </c>
      <c r="Q1184">
        <v>11.3108267233678</v>
      </c>
      <c r="R1184">
        <v>4.3</v>
      </c>
      <c r="T1184" s="340" t="str">
        <f t="shared" si="86"/>
        <v>2001FemaleNon-Maori23Hanging, strangulation and suffocation</v>
      </c>
      <c r="U1184">
        <v>2001</v>
      </c>
      <c r="V1184" t="s">
        <v>8</v>
      </c>
      <c r="W1184" t="s">
        <v>19</v>
      </c>
      <c r="X1184">
        <v>23</v>
      </c>
      <c r="Y1184" t="s">
        <v>43</v>
      </c>
      <c r="Z1184">
        <v>14</v>
      </c>
      <c r="AA1184">
        <v>39</v>
      </c>
      <c r="AB1184">
        <v>35.9</v>
      </c>
    </row>
    <row r="1185" spans="10:28">
      <c r="J1185" s="340" t="str">
        <f t="shared" si="85"/>
        <v>2003AllSexAllEth232</v>
      </c>
      <c r="K1185">
        <v>2003</v>
      </c>
      <c r="L1185" t="s">
        <v>17</v>
      </c>
      <c r="M1185" t="s">
        <v>27</v>
      </c>
      <c r="N1185">
        <v>23</v>
      </c>
      <c r="O1185">
        <v>2</v>
      </c>
      <c r="P1185">
        <v>30</v>
      </c>
      <c r="Q1185">
        <v>12.4049988306581</v>
      </c>
      <c r="R1185">
        <v>4.4000000000000004</v>
      </c>
      <c r="T1185" s="340" t="str">
        <f t="shared" si="86"/>
        <v>2001FemaleNon-Maori24Hanging, strangulation and suffocation</v>
      </c>
      <c r="U1185">
        <v>2001</v>
      </c>
      <c r="V1185" t="s">
        <v>8</v>
      </c>
      <c r="W1185" t="s">
        <v>19</v>
      </c>
      <c r="X1185">
        <v>24</v>
      </c>
      <c r="Y1185" t="s">
        <v>43</v>
      </c>
      <c r="Z1185">
        <v>11</v>
      </c>
      <c r="AA1185">
        <v>27</v>
      </c>
      <c r="AB1185">
        <v>40.700000000000003</v>
      </c>
    </row>
    <row r="1186" spans="10:28">
      <c r="J1186" s="340" t="str">
        <f t="shared" si="85"/>
        <v>2003AllSexAllEth233</v>
      </c>
      <c r="K1186">
        <v>2003</v>
      </c>
      <c r="L1186" t="s">
        <v>17</v>
      </c>
      <c r="M1186" t="s">
        <v>27</v>
      </c>
      <c r="N1186">
        <v>23</v>
      </c>
      <c r="O1186">
        <v>3</v>
      </c>
      <c r="P1186">
        <v>51</v>
      </c>
      <c r="Q1186">
        <v>21.083701901419602</v>
      </c>
      <c r="R1186">
        <v>5.8</v>
      </c>
      <c r="T1186" s="340" t="str">
        <f t="shared" si="86"/>
        <v>2001FemaleNon-Maori25Hanging, strangulation and suffocation</v>
      </c>
      <c r="U1186">
        <v>2001</v>
      </c>
      <c r="V1186" t="s">
        <v>8</v>
      </c>
      <c r="W1186" t="s">
        <v>19</v>
      </c>
      <c r="X1186">
        <v>25</v>
      </c>
      <c r="Y1186" t="s">
        <v>43</v>
      </c>
      <c r="Z1186">
        <v>7</v>
      </c>
      <c r="AA1186">
        <v>16</v>
      </c>
      <c r="AB1186">
        <v>43.8</v>
      </c>
    </row>
    <row r="1187" spans="10:28">
      <c r="J1187" s="340" t="str">
        <f t="shared" si="85"/>
        <v>2003AllSexAllEth234</v>
      </c>
      <c r="K1187">
        <v>2003</v>
      </c>
      <c r="L1187" t="s">
        <v>17</v>
      </c>
      <c r="M1187" t="s">
        <v>27</v>
      </c>
      <c r="N1187">
        <v>23</v>
      </c>
      <c r="O1187">
        <v>4</v>
      </c>
      <c r="P1187">
        <v>49</v>
      </c>
      <c r="Q1187">
        <v>20.638608417285599</v>
      </c>
      <c r="R1187">
        <v>5.8</v>
      </c>
      <c r="T1187" s="340" t="str">
        <f t="shared" si="86"/>
        <v>2001FemaleNon-Maori22Jumping from a high place</v>
      </c>
      <c r="U1187">
        <v>2001</v>
      </c>
      <c r="V1187" t="s">
        <v>8</v>
      </c>
      <c r="W1187" t="s">
        <v>19</v>
      </c>
      <c r="X1187">
        <v>22</v>
      </c>
      <c r="Y1187" t="s">
        <v>44</v>
      </c>
      <c r="Z1187">
        <v>2</v>
      </c>
      <c r="AA1187">
        <v>14</v>
      </c>
      <c r="AB1187">
        <v>14.3</v>
      </c>
    </row>
    <row r="1188" spans="10:28">
      <c r="J1188" s="340" t="str">
        <f t="shared" si="85"/>
        <v>2003AllSexAllEth235</v>
      </c>
      <c r="K1188">
        <v>2003</v>
      </c>
      <c r="L1188" t="s">
        <v>17</v>
      </c>
      <c r="M1188" t="s">
        <v>27</v>
      </c>
      <c r="N1188">
        <v>23</v>
      </c>
      <c r="O1188">
        <v>5</v>
      </c>
      <c r="P1188">
        <v>51</v>
      </c>
      <c r="Q1188">
        <v>22.8684404374726</v>
      </c>
      <c r="R1188">
        <v>6.3</v>
      </c>
      <c r="T1188" s="340" t="str">
        <f t="shared" si="86"/>
        <v>2001FemaleNon-Maori23Jumping from a high place</v>
      </c>
      <c r="U1188">
        <v>2001</v>
      </c>
      <c r="V1188" t="s">
        <v>8</v>
      </c>
      <c r="W1188" t="s">
        <v>19</v>
      </c>
      <c r="X1188">
        <v>23</v>
      </c>
      <c r="Y1188" t="s">
        <v>44</v>
      </c>
      <c r="Z1188">
        <v>3</v>
      </c>
      <c r="AA1188">
        <v>39</v>
      </c>
      <c r="AB1188">
        <v>7.7</v>
      </c>
    </row>
    <row r="1189" spans="10:28">
      <c r="J1189" s="340" t="str">
        <f t="shared" si="85"/>
        <v>2003AllSexAllEth241</v>
      </c>
      <c r="K1189">
        <v>2003</v>
      </c>
      <c r="L1189" t="s">
        <v>17</v>
      </c>
      <c r="M1189" t="s">
        <v>27</v>
      </c>
      <c r="N1189">
        <v>24</v>
      </c>
      <c r="O1189">
        <v>1</v>
      </c>
      <c r="P1189">
        <v>17</v>
      </c>
      <c r="Q1189">
        <v>7.54019232600458</v>
      </c>
      <c r="R1189">
        <v>3.6</v>
      </c>
      <c r="T1189" s="340" t="str">
        <f t="shared" si="86"/>
        <v>2001FemaleNon-Maori24Jumping from a high place</v>
      </c>
      <c r="U1189">
        <v>2001</v>
      </c>
      <c r="V1189" t="s">
        <v>8</v>
      </c>
      <c r="W1189" t="s">
        <v>19</v>
      </c>
      <c r="X1189">
        <v>24</v>
      </c>
      <c r="Y1189" t="s">
        <v>44</v>
      </c>
      <c r="Z1189">
        <v>1</v>
      </c>
      <c r="AA1189">
        <v>27</v>
      </c>
      <c r="AB1189">
        <v>3.7</v>
      </c>
    </row>
    <row r="1190" spans="10:28">
      <c r="J1190" s="340" t="str">
        <f t="shared" si="85"/>
        <v>2003AllSexAllEth242</v>
      </c>
      <c r="K1190">
        <v>2003</v>
      </c>
      <c r="L1190" t="s">
        <v>17</v>
      </c>
      <c r="M1190" t="s">
        <v>27</v>
      </c>
      <c r="N1190">
        <v>24</v>
      </c>
      <c r="O1190">
        <v>2</v>
      </c>
      <c r="P1190">
        <v>22</v>
      </c>
      <c r="Q1190">
        <v>11.053262406889001</v>
      </c>
      <c r="R1190">
        <v>4.5999999999999996</v>
      </c>
      <c r="T1190" s="340" t="str">
        <f t="shared" si="86"/>
        <v>2001FemaleNon-Maori25Jumping from a high place</v>
      </c>
      <c r="U1190">
        <v>2001</v>
      </c>
      <c r="V1190" t="s">
        <v>8</v>
      </c>
      <c r="W1190" t="s">
        <v>19</v>
      </c>
      <c r="X1190">
        <v>25</v>
      </c>
      <c r="Y1190" t="s">
        <v>44</v>
      </c>
      <c r="Z1190">
        <v>2</v>
      </c>
      <c r="AA1190">
        <v>16</v>
      </c>
      <c r="AB1190">
        <v>12.5</v>
      </c>
    </row>
    <row r="1191" spans="10:28">
      <c r="J1191" s="340" t="str">
        <f t="shared" si="85"/>
        <v>2003AllSexAllEth243</v>
      </c>
      <c r="K1191">
        <v>2003</v>
      </c>
      <c r="L1191" t="s">
        <v>17</v>
      </c>
      <c r="M1191" t="s">
        <v>27</v>
      </c>
      <c r="N1191">
        <v>24</v>
      </c>
      <c r="O1191">
        <v>3</v>
      </c>
      <c r="P1191">
        <v>30</v>
      </c>
      <c r="Q1191">
        <v>16.7202623475719</v>
      </c>
      <c r="R1191">
        <v>6</v>
      </c>
      <c r="T1191" s="340" t="str">
        <f t="shared" si="86"/>
        <v>2001FemaleNon-Maori22Other</v>
      </c>
      <c r="U1191">
        <v>2001</v>
      </c>
      <c r="V1191" t="s">
        <v>8</v>
      </c>
      <c r="W1191" t="s">
        <v>19</v>
      </c>
      <c r="X1191">
        <v>22</v>
      </c>
      <c r="Y1191" t="s">
        <v>45</v>
      </c>
      <c r="Z1191">
        <v>1</v>
      </c>
      <c r="AA1191">
        <v>14</v>
      </c>
      <c r="AB1191">
        <v>7.1</v>
      </c>
    </row>
    <row r="1192" spans="10:28">
      <c r="J1192" s="340" t="str">
        <f t="shared" si="85"/>
        <v>2003AllSexAllEth244</v>
      </c>
      <c r="K1192">
        <v>2003</v>
      </c>
      <c r="L1192" t="s">
        <v>17</v>
      </c>
      <c r="M1192" t="s">
        <v>27</v>
      </c>
      <c r="N1192">
        <v>24</v>
      </c>
      <c r="O1192">
        <v>4</v>
      </c>
      <c r="P1192">
        <v>32</v>
      </c>
      <c r="Q1192">
        <v>19.512740659110399</v>
      </c>
      <c r="R1192">
        <v>6.8</v>
      </c>
      <c r="T1192" s="340" t="str">
        <f t="shared" si="86"/>
        <v>2001FemaleNon-Maori23Other</v>
      </c>
      <c r="U1192">
        <v>2001</v>
      </c>
      <c r="V1192" t="s">
        <v>8</v>
      </c>
      <c r="W1192" t="s">
        <v>19</v>
      </c>
      <c r="X1192">
        <v>23</v>
      </c>
      <c r="Y1192" t="s">
        <v>45</v>
      </c>
      <c r="Z1192">
        <v>2</v>
      </c>
      <c r="AA1192">
        <v>39</v>
      </c>
      <c r="AB1192">
        <v>5.0999999999999996</v>
      </c>
    </row>
    <row r="1193" spans="10:28">
      <c r="J1193" s="340" t="str">
        <f t="shared" si="85"/>
        <v>2003AllSexAllEth245</v>
      </c>
      <c r="K1193">
        <v>2003</v>
      </c>
      <c r="L1193" t="s">
        <v>17</v>
      </c>
      <c r="M1193" t="s">
        <v>27</v>
      </c>
      <c r="N1193">
        <v>24</v>
      </c>
      <c r="O1193">
        <v>5</v>
      </c>
      <c r="P1193">
        <v>27</v>
      </c>
      <c r="Q1193">
        <v>18.498625519725501</v>
      </c>
      <c r="R1193">
        <v>7</v>
      </c>
      <c r="T1193" s="340" t="str">
        <f t="shared" si="86"/>
        <v>2001FemaleNon-Maori24Other</v>
      </c>
      <c r="U1193">
        <v>2001</v>
      </c>
      <c r="V1193" t="s">
        <v>8</v>
      </c>
      <c r="W1193" t="s">
        <v>19</v>
      </c>
      <c r="X1193">
        <v>24</v>
      </c>
      <c r="Y1193" t="s">
        <v>45</v>
      </c>
      <c r="Z1193">
        <v>1</v>
      </c>
      <c r="AA1193">
        <v>27</v>
      </c>
      <c r="AB1193">
        <v>3.7</v>
      </c>
    </row>
    <row r="1194" spans="10:28">
      <c r="J1194" s="340" t="str">
        <f t="shared" si="85"/>
        <v>2003AllSexAllEth251</v>
      </c>
      <c r="K1194">
        <v>2003</v>
      </c>
      <c r="L1194" t="s">
        <v>17</v>
      </c>
      <c r="M1194" t="s">
        <v>27</v>
      </c>
      <c r="N1194">
        <v>25</v>
      </c>
      <c r="O1194">
        <v>1</v>
      </c>
      <c r="P1194">
        <v>7</v>
      </c>
      <c r="Q1194">
        <v>7.670286252506</v>
      </c>
      <c r="R1194">
        <v>5.7</v>
      </c>
      <c r="T1194" s="340" t="str">
        <f t="shared" si="86"/>
        <v>2001FemaleNon-Maori21Poisoning by gases and vapours</v>
      </c>
      <c r="U1194">
        <v>2001</v>
      </c>
      <c r="V1194" t="s">
        <v>8</v>
      </c>
      <c r="W1194" t="s">
        <v>19</v>
      </c>
      <c r="X1194">
        <v>21</v>
      </c>
      <c r="Y1194" t="s">
        <v>46</v>
      </c>
      <c r="Z1194">
        <v>1</v>
      </c>
      <c r="AA1194">
        <v>1</v>
      </c>
      <c r="AB1194">
        <v>100</v>
      </c>
    </row>
    <row r="1195" spans="10:28">
      <c r="J1195" s="340" t="str">
        <f t="shared" si="85"/>
        <v>2003AllSexAllEth252</v>
      </c>
      <c r="K1195">
        <v>2003</v>
      </c>
      <c r="L1195" t="s">
        <v>17</v>
      </c>
      <c r="M1195" t="s">
        <v>27</v>
      </c>
      <c r="N1195">
        <v>25</v>
      </c>
      <c r="O1195">
        <v>2</v>
      </c>
      <c r="P1195">
        <v>11</v>
      </c>
      <c r="Q1195">
        <v>11.2241712388299</v>
      </c>
      <c r="R1195">
        <v>6.6</v>
      </c>
      <c r="T1195" s="340" t="str">
        <f t="shared" si="86"/>
        <v>2001FemaleNon-Maori22Poisoning by gases and vapours</v>
      </c>
      <c r="U1195">
        <v>2001</v>
      </c>
      <c r="V1195" t="s">
        <v>8</v>
      </c>
      <c r="W1195" t="s">
        <v>19</v>
      </c>
      <c r="X1195">
        <v>22</v>
      </c>
      <c r="Y1195" t="s">
        <v>46</v>
      </c>
      <c r="Z1195">
        <v>2</v>
      </c>
      <c r="AA1195">
        <v>14</v>
      </c>
      <c r="AB1195">
        <v>14.3</v>
      </c>
    </row>
    <row r="1196" spans="10:28">
      <c r="J1196" s="340" t="str">
        <f t="shared" si="85"/>
        <v>2003AllSexAllEth253</v>
      </c>
      <c r="K1196">
        <v>2003</v>
      </c>
      <c r="L1196" t="s">
        <v>17</v>
      </c>
      <c r="M1196" t="s">
        <v>27</v>
      </c>
      <c r="N1196">
        <v>25</v>
      </c>
      <c r="O1196">
        <v>3</v>
      </c>
      <c r="P1196">
        <v>19</v>
      </c>
      <c r="Q1196">
        <v>18.547885756350802</v>
      </c>
      <c r="R1196">
        <v>8.3000000000000007</v>
      </c>
      <c r="T1196" s="340" t="str">
        <f t="shared" si="86"/>
        <v>2001FemaleNon-Maori23Poisoning by gases and vapours</v>
      </c>
      <c r="U1196">
        <v>2001</v>
      </c>
      <c r="V1196" t="s">
        <v>8</v>
      </c>
      <c r="W1196" t="s">
        <v>19</v>
      </c>
      <c r="X1196">
        <v>23</v>
      </c>
      <c r="Y1196" t="s">
        <v>46</v>
      </c>
      <c r="Z1196">
        <v>9</v>
      </c>
      <c r="AA1196">
        <v>39</v>
      </c>
      <c r="AB1196">
        <v>23.1</v>
      </c>
    </row>
    <row r="1197" spans="10:28">
      <c r="J1197" s="340" t="str">
        <f t="shared" si="85"/>
        <v>2003AllSexAllEth254</v>
      </c>
      <c r="K1197">
        <v>2003</v>
      </c>
      <c r="L1197" t="s">
        <v>17</v>
      </c>
      <c r="M1197" t="s">
        <v>27</v>
      </c>
      <c r="N1197">
        <v>25</v>
      </c>
      <c r="O1197">
        <v>4</v>
      </c>
      <c r="P1197">
        <v>15</v>
      </c>
      <c r="Q1197">
        <v>14.509078111963101</v>
      </c>
      <c r="R1197">
        <v>7.3</v>
      </c>
      <c r="T1197" s="340" t="str">
        <f t="shared" si="86"/>
        <v>2001FemaleNon-Maori24Poisoning by gases and vapours</v>
      </c>
      <c r="U1197">
        <v>2001</v>
      </c>
      <c r="V1197" t="s">
        <v>8</v>
      </c>
      <c r="W1197" t="s">
        <v>19</v>
      </c>
      <c r="X1197">
        <v>24</v>
      </c>
      <c r="Y1197" t="s">
        <v>46</v>
      </c>
      <c r="Z1197">
        <v>6</v>
      </c>
      <c r="AA1197">
        <v>27</v>
      </c>
      <c r="AB1197">
        <v>22.2</v>
      </c>
    </row>
    <row r="1198" spans="10:28">
      <c r="J1198" s="340" t="str">
        <f t="shared" si="85"/>
        <v>2003AllSexAllEth255</v>
      </c>
      <c r="K1198">
        <v>2003</v>
      </c>
      <c r="L1198" t="s">
        <v>17</v>
      </c>
      <c r="M1198" t="s">
        <v>27</v>
      </c>
      <c r="N1198">
        <v>25</v>
      </c>
      <c r="O1198">
        <v>5</v>
      </c>
      <c r="P1198">
        <v>10</v>
      </c>
      <c r="Q1198">
        <v>12.406251108463399</v>
      </c>
      <c r="R1198">
        <v>7.7</v>
      </c>
      <c r="T1198" s="340" t="str">
        <f t="shared" si="86"/>
        <v>2001FemaleNon-Maori22Poisoning by solids and liquids</v>
      </c>
      <c r="U1198">
        <v>2001</v>
      </c>
      <c r="V1198" t="s">
        <v>8</v>
      </c>
      <c r="W1198" t="s">
        <v>19</v>
      </c>
      <c r="X1198">
        <v>22</v>
      </c>
      <c r="Y1198" t="s">
        <v>47</v>
      </c>
      <c r="Z1198">
        <v>4</v>
      </c>
      <c r="AA1198">
        <v>14</v>
      </c>
      <c r="AB1198">
        <v>28.6</v>
      </c>
    </row>
    <row r="1199" spans="10:28">
      <c r="J1199" s="340" t="str">
        <f t="shared" si="85"/>
        <v>2003AllSexMaori211</v>
      </c>
      <c r="K1199">
        <v>2003</v>
      </c>
      <c r="L1199" t="s">
        <v>17</v>
      </c>
      <c r="M1199" t="s">
        <v>18</v>
      </c>
      <c r="N1199">
        <v>21</v>
      </c>
      <c r="O1199">
        <v>1</v>
      </c>
      <c r="P1199">
        <v>0</v>
      </c>
      <c r="Q1199">
        <v>0</v>
      </c>
      <c r="T1199" s="340" t="str">
        <f t="shared" si="86"/>
        <v>2001FemaleNon-Maori23Poisoning by solids and liquids</v>
      </c>
      <c r="U1199">
        <v>2001</v>
      </c>
      <c r="V1199" t="s">
        <v>8</v>
      </c>
      <c r="W1199" t="s">
        <v>19</v>
      </c>
      <c r="X1199">
        <v>23</v>
      </c>
      <c r="Y1199" t="s">
        <v>47</v>
      </c>
      <c r="Z1199">
        <v>9</v>
      </c>
      <c r="AA1199">
        <v>39</v>
      </c>
      <c r="AB1199">
        <v>23.1</v>
      </c>
    </row>
    <row r="1200" spans="10:28">
      <c r="J1200" s="340" t="str">
        <f t="shared" si="85"/>
        <v>2003AllSexMaori212</v>
      </c>
      <c r="K1200">
        <v>2003</v>
      </c>
      <c r="L1200" t="s">
        <v>17</v>
      </c>
      <c r="M1200" t="s">
        <v>18</v>
      </c>
      <c r="N1200">
        <v>21</v>
      </c>
      <c r="O1200">
        <v>2</v>
      </c>
      <c r="P1200">
        <v>0</v>
      </c>
      <c r="Q1200">
        <v>0</v>
      </c>
      <c r="T1200" s="340" t="str">
        <f t="shared" si="86"/>
        <v>2001FemaleNon-Maori24Poisoning by solids and liquids</v>
      </c>
      <c r="U1200">
        <v>2001</v>
      </c>
      <c r="V1200" t="s">
        <v>8</v>
      </c>
      <c r="W1200" t="s">
        <v>19</v>
      </c>
      <c r="X1200">
        <v>24</v>
      </c>
      <c r="Y1200" t="s">
        <v>47</v>
      </c>
      <c r="Z1200">
        <v>5</v>
      </c>
      <c r="AA1200">
        <v>27</v>
      </c>
      <c r="AB1200">
        <v>18.5</v>
      </c>
    </row>
    <row r="1201" spans="10:28">
      <c r="J1201" s="340" t="str">
        <f t="shared" si="85"/>
        <v>2003AllSexMaori213</v>
      </c>
      <c r="K1201">
        <v>2003</v>
      </c>
      <c r="L1201" t="s">
        <v>17</v>
      </c>
      <c r="M1201" t="s">
        <v>18</v>
      </c>
      <c r="N1201">
        <v>21</v>
      </c>
      <c r="O1201">
        <v>3</v>
      </c>
      <c r="P1201">
        <v>0</v>
      </c>
      <c r="Q1201">
        <v>0</v>
      </c>
      <c r="T1201" s="340" t="str">
        <f t="shared" si="86"/>
        <v>2001FemaleNon-Maori25Poisoning by solids and liquids</v>
      </c>
      <c r="U1201">
        <v>2001</v>
      </c>
      <c r="V1201" t="s">
        <v>8</v>
      </c>
      <c r="W1201" t="s">
        <v>19</v>
      </c>
      <c r="X1201">
        <v>25</v>
      </c>
      <c r="Y1201" t="s">
        <v>47</v>
      </c>
      <c r="Z1201">
        <v>6</v>
      </c>
      <c r="AA1201">
        <v>16</v>
      </c>
      <c r="AB1201">
        <v>37.5</v>
      </c>
    </row>
    <row r="1202" spans="10:28">
      <c r="J1202" s="340" t="str">
        <f t="shared" si="85"/>
        <v>2003AllSexMaori214</v>
      </c>
      <c r="K1202">
        <v>2003</v>
      </c>
      <c r="L1202" t="s">
        <v>17</v>
      </c>
      <c r="M1202" t="s">
        <v>18</v>
      </c>
      <c r="N1202">
        <v>21</v>
      </c>
      <c r="O1202">
        <v>4</v>
      </c>
      <c r="P1202">
        <v>1</v>
      </c>
      <c r="Q1202">
        <v>1.99773278519799</v>
      </c>
      <c r="R1202">
        <v>3.9</v>
      </c>
      <c r="T1202" s="340" t="str">
        <f t="shared" si="86"/>
        <v>2001FemaleNon-Maori23Sharp object</v>
      </c>
      <c r="U1202">
        <v>2001</v>
      </c>
      <c r="V1202" t="s">
        <v>8</v>
      </c>
      <c r="W1202" t="s">
        <v>19</v>
      </c>
      <c r="X1202">
        <v>23</v>
      </c>
      <c r="Y1202" t="s">
        <v>48</v>
      </c>
      <c r="Z1202">
        <v>1</v>
      </c>
      <c r="AA1202">
        <v>39</v>
      </c>
      <c r="AB1202">
        <v>2.6</v>
      </c>
    </row>
    <row r="1203" spans="10:28">
      <c r="J1203" s="340" t="str">
        <f t="shared" si="85"/>
        <v>2003AllSexMaori215</v>
      </c>
      <c r="K1203">
        <v>2003</v>
      </c>
      <c r="L1203" t="s">
        <v>17</v>
      </c>
      <c r="M1203" t="s">
        <v>18</v>
      </c>
      <c r="N1203">
        <v>21</v>
      </c>
      <c r="O1203">
        <v>5</v>
      </c>
      <c r="P1203">
        <v>4</v>
      </c>
      <c r="Q1203">
        <v>4.2620088842008004</v>
      </c>
      <c r="R1203">
        <v>4.2</v>
      </c>
      <c r="T1203" s="340" t="str">
        <f t="shared" si="86"/>
        <v>2001FemaleNon-Maori22Submersion (drowning)</v>
      </c>
      <c r="U1203">
        <v>2001</v>
      </c>
      <c r="V1203" t="s">
        <v>8</v>
      </c>
      <c r="W1203" t="s">
        <v>19</v>
      </c>
      <c r="X1203">
        <v>22</v>
      </c>
      <c r="Y1203" t="s">
        <v>49</v>
      </c>
      <c r="Z1203">
        <v>1</v>
      </c>
      <c r="AA1203">
        <v>14</v>
      </c>
      <c r="AB1203">
        <v>7.1</v>
      </c>
    </row>
    <row r="1204" spans="10:28">
      <c r="J1204" s="340" t="str">
        <f t="shared" si="85"/>
        <v>2003AllSexMaori221</v>
      </c>
      <c r="K1204">
        <v>2003</v>
      </c>
      <c r="L1204" t="s">
        <v>17</v>
      </c>
      <c r="M1204" t="s">
        <v>18</v>
      </c>
      <c r="N1204">
        <v>22</v>
      </c>
      <c r="O1204">
        <v>1</v>
      </c>
      <c r="P1204">
        <v>1</v>
      </c>
      <c r="Q1204">
        <v>12.884348324569</v>
      </c>
      <c r="R1204">
        <v>25.3</v>
      </c>
      <c r="T1204" s="340" t="str">
        <f t="shared" si="86"/>
        <v>2001FemaleNon-Maori24Submersion (drowning)</v>
      </c>
      <c r="U1204">
        <v>2001</v>
      </c>
      <c r="V1204" t="s">
        <v>8</v>
      </c>
      <c r="W1204" t="s">
        <v>19</v>
      </c>
      <c r="X1204">
        <v>24</v>
      </c>
      <c r="Y1204" t="s">
        <v>49</v>
      </c>
      <c r="Z1204">
        <v>3</v>
      </c>
      <c r="AA1204">
        <v>27</v>
      </c>
      <c r="AB1204">
        <v>11.1</v>
      </c>
    </row>
    <row r="1205" spans="10:28">
      <c r="J1205" s="340" t="str">
        <f t="shared" si="85"/>
        <v>2003AllSexMaori222</v>
      </c>
      <c r="K1205">
        <v>2003</v>
      </c>
      <c r="L1205" t="s">
        <v>17</v>
      </c>
      <c r="M1205" t="s">
        <v>18</v>
      </c>
      <c r="N1205">
        <v>22</v>
      </c>
      <c r="O1205">
        <v>2</v>
      </c>
      <c r="P1205">
        <v>2</v>
      </c>
      <c r="Q1205">
        <v>17.361572427494998</v>
      </c>
      <c r="R1205">
        <v>24.1</v>
      </c>
      <c r="T1205" s="340" t="str">
        <f t="shared" si="86"/>
        <v>2001FemaleNon-Maori25Submersion (drowning)</v>
      </c>
      <c r="U1205">
        <v>2001</v>
      </c>
      <c r="V1205" t="s">
        <v>8</v>
      </c>
      <c r="W1205" t="s">
        <v>19</v>
      </c>
      <c r="X1205">
        <v>25</v>
      </c>
      <c r="Y1205" t="s">
        <v>49</v>
      </c>
      <c r="Z1205">
        <v>1</v>
      </c>
      <c r="AA1205">
        <v>16</v>
      </c>
      <c r="AB1205">
        <v>6.2</v>
      </c>
    </row>
    <row r="1206" spans="10:28">
      <c r="J1206" s="340" t="str">
        <f t="shared" si="85"/>
        <v>2003AllSexMaori223</v>
      </c>
      <c r="K1206">
        <v>2003</v>
      </c>
      <c r="L1206" t="s">
        <v>17</v>
      </c>
      <c r="M1206" t="s">
        <v>18</v>
      </c>
      <c r="N1206">
        <v>22</v>
      </c>
      <c r="O1206">
        <v>3</v>
      </c>
      <c r="P1206">
        <v>4</v>
      </c>
      <c r="Q1206">
        <v>22.900103397077402</v>
      </c>
      <c r="R1206">
        <v>22.4</v>
      </c>
      <c r="T1206" s="340" t="str">
        <f t="shared" si="86"/>
        <v>2001MaleAllEth22Firearms and explosives</v>
      </c>
      <c r="U1206">
        <v>2001</v>
      </c>
      <c r="V1206" t="s">
        <v>20</v>
      </c>
      <c r="W1206" t="s">
        <v>27</v>
      </c>
      <c r="X1206">
        <v>22</v>
      </c>
      <c r="Y1206" t="s">
        <v>42</v>
      </c>
      <c r="Z1206">
        <v>5</v>
      </c>
      <c r="AA1206">
        <v>87</v>
      </c>
      <c r="AB1206">
        <v>5.7</v>
      </c>
    </row>
    <row r="1207" spans="10:28">
      <c r="J1207" s="340" t="str">
        <f t="shared" si="85"/>
        <v>2003AllSexMaori224</v>
      </c>
      <c r="K1207">
        <v>2003</v>
      </c>
      <c r="L1207" t="s">
        <v>17</v>
      </c>
      <c r="M1207" t="s">
        <v>18</v>
      </c>
      <c r="N1207">
        <v>22</v>
      </c>
      <c r="O1207">
        <v>4</v>
      </c>
      <c r="P1207">
        <v>7</v>
      </c>
      <c r="Q1207">
        <v>27.017953573362298</v>
      </c>
      <c r="R1207">
        <v>20</v>
      </c>
      <c r="T1207" s="340" t="str">
        <f t="shared" si="86"/>
        <v>2001MaleAllEth23Firearms and explosives</v>
      </c>
      <c r="U1207">
        <v>2001</v>
      </c>
      <c r="V1207" t="s">
        <v>20</v>
      </c>
      <c r="W1207" t="s">
        <v>27</v>
      </c>
      <c r="X1207">
        <v>23</v>
      </c>
      <c r="Y1207" t="s">
        <v>42</v>
      </c>
      <c r="Z1207">
        <v>29</v>
      </c>
      <c r="AA1207">
        <v>189</v>
      </c>
      <c r="AB1207">
        <v>15.3</v>
      </c>
    </row>
    <row r="1208" spans="10:28">
      <c r="J1208" s="340" t="str">
        <f t="shared" si="85"/>
        <v>2003AllSexMaori225</v>
      </c>
      <c r="K1208">
        <v>2003</v>
      </c>
      <c r="L1208" t="s">
        <v>17</v>
      </c>
      <c r="M1208" t="s">
        <v>18</v>
      </c>
      <c r="N1208">
        <v>22</v>
      </c>
      <c r="O1208">
        <v>5</v>
      </c>
      <c r="P1208">
        <v>16</v>
      </c>
      <c r="Q1208">
        <v>35.039245922888497</v>
      </c>
      <c r="R1208">
        <v>17.2</v>
      </c>
      <c r="T1208" s="340" t="str">
        <f t="shared" si="86"/>
        <v>2001MaleAllEth24Firearms and explosives</v>
      </c>
      <c r="U1208">
        <v>2001</v>
      </c>
      <c r="V1208" t="s">
        <v>20</v>
      </c>
      <c r="W1208" t="s">
        <v>27</v>
      </c>
      <c r="X1208">
        <v>24</v>
      </c>
      <c r="Y1208" t="s">
        <v>42</v>
      </c>
      <c r="Z1208">
        <v>13</v>
      </c>
      <c r="AA1208">
        <v>65</v>
      </c>
      <c r="AB1208">
        <v>20</v>
      </c>
    </row>
    <row r="1209" spans="10:28">
      <c r="J1209" s="340" t="str">
        <f t="shared" si="85"/>
        <v>2003AllSexMaori231</v>
      </c>
      <c r="K1209">
        <v>2003</v>
      </c>
      <c r="L1209" t="s">
        <v>17</v>
      </c>
      <c r="M1209" t="s">
        <v>18</v>
      </c>
      <c r="N1209">
        <v>23</v>
      </c>
      <c r="O1209">
        <v>1</v>
      </c>
      <c r="P1209">
        <v>1</v>
      </c>
      <c r="Q1209">
        <v>7.15937107522792</v>
      </c>
      <c r="R1209">
        <v>14</v>
      </c>
      <c r="T1209" s="340" t="str">
        <f t="shared" si="86"/>
        <v>2001MaleAllEth25Firearms and explosives</v>
      </c>
      <c r="U1209">
        <v>2001</v>
      </c>
      <c r="V1209" t="s">
        <v>20</v>
      </c>
      <c r="W1209" t="s">
        <v>27</v>
      </c>
      <c r="X1209">
        <v>25</v>
      </c>
      <c r="Y1209" t="s">
        <v>42</v>
      </c>
      <c r="Z1209">
        <v>3</v>
      </c>
      <c r="AA1209">
        <v>48</v>
      </c>
      <c r="AB1209">
        <v>6.2</v>
      </c>
    </row>
    <row r="1210" spans="10:28">
      <c r="J1210" s="340" t="str">
        <f t="shared" si="85"/>
        <v>2003AllSexMaori232</v>
      </c>
      <c r="K1210">
        <v>2003</v>
      </c>
      <c r="L1210" t="s">
        <v>17</v>
      </c>
      <c r="M1210" t="s">
        <v>18</v>
      </c>
      <c r="N1210">
        <v>23</v>
      </c>
      <c r="O1210">
        <v>2</v>
      </c>
      <c r="P1210">
        <v>3</v>
      </c>
      <c r="Q1210">
        <v>14.789565175356801</v>
      </c>
      <c r="R1210">
        <v>16.7</v>
      </c>
      <c r="T1210" s="340" t="str">
        <f t="shared" si="86"/>
        <v>2001MaleAllEth21Hanging, strangulation and suffocation</v>
      </c>
      <c r="U1210">
        <v>2001</v>
      </c>
      <c r="V1210" t="s">
        <v>20</v>
      </c>
      <c r="W1210" t="s">
        <v>27</v>
      </c>
      <c r="X1210">
        <v>21</v>
      </c>
      <c r="Y1210" t="s">
        <v>43</v>
      </c>
      <c r="Z1210">
        <v>1</v>
      </c>
      <c r="AA1210">
        <v>1</v>
      </c>
      <c r="AB1210">
        <v>100</v>
      </c>
    </row>
    <row r="1211" spans="10:28">
      <c r="J1211" s="340" t="str">
        <f t="shared" si="85"/>
        <v>2003AllSexMaori233</v>
      </c>
      <c r="K1211">
        <v>2003</v>
      </c>
      <c r="L1211" t="s">
        <v>17</v>
      </c>
      <c r="M1211" t="s">
        <v>18</v>
      </c>
      <c r="N1211">
        <v>23</v>
      </c>
      <c r="O1211">
        <v>3</v>
      </c>
      <c r="P1211">
        <v>10</v>
      </c>
      <c r="Q1211">
        <v>35.278889891998297</v>
      </c>
      <c r="R1211">
        <v>21.9</v>
      </c>
      <c r="T1211" s="340" t="str">
        <f t="shared" si="86"/>
        <v>2001MaleAllEth22Hanging, strangulation and suffocation</v>
      </c>
      <c r="U1211">
        <v>2001</v>
      </c>
      <c r="V1211" t="s">
        <v>20</v>
      </c>
      <c r="W1211" t="s">
        <v>27</v>
      </c>
      <c r="X1211">
        <v>22</v>
      </c>
      <c r="Y1211" t="s">
        <v>43</v>
      </c>
      <c r="Z1211">
        <v>58</v>
      </c>
      <c r="AA1211">
        <v>87</v>
      </c>
      <c r="AB1211">
        <v>66.7</v>
      </c>
    </row>
    <row r="1212" spans="10:28">
      <c r="J1212" s="340" t="str">
        <f t="shared" si="85"/>
        <v>2003AllSexMaori234</v>
      </c>
      <c r="K1212">
        <v>2003</v>
      </c>
      <c r="L1212" t="s">
        <v>17</v>
      </c>
      <c r="M1212" t="s">
        <v>18</v>
      </c>
      <c r="N1212">
        <v>23</v>
      </c>
      <c r="O1212">
        <v>4</v>
      </c>
      <c r="P1212">
        <v>10</v>
      </c>
      <c r="Q1212">
        <v>24.668511041854199</v>
      </c>
      <c r="R1212">
        <v>15.3</v>
      </c>
      <c r="T1212" s="340" t="str">
        <f t="shared" si="86"/>
        <v>2001MaleAllEth23Hanging, strangulation and suffocation</v>
      </c>
      <c r="U1212">
        <v>2001</v>
      </c>
      <c r="V1212" t="s">
        <v>20</v>
      </c>
      <c r="W1212" t="s">
        <v>27</v>
      </c>
      <c r="X1212">
        <v>23</v>
      </c>
      <c r="Y1212" t="s">
        <v>43</v>
      </c>
      <c r="Z1212">
        <v>90</v>
      </c>
      <c r="AA1212">
        <v>189</v>
      </c>
      <c r="AB1212">
        <v>47.6</v>
      </c>
    </row>
    <row r="1213" spans="10:28">
      <c r="J1213" s="340" t="str">
        <f t="shared" si="85"/>
        <v>2003AllSexMaori235</v>
      </c>
      <c r="K1213">
        <v>2003</v>
      </c>
      <c r="L1213" t="s">
        <v>17</v>
      </c>
      <c r="M1213" t="s">
        <v>18</v>
      </c>
      <c r="N1213">
        <v>23</v>
      </c>
      <c r="O1213">
        <v>5</v>
      </c>
      <c r="P1213">
        <v>20</v>
      </c>
      <c r="Q1213">
        <v>29.969439545053401</v>
      </c>
      <c r="R1213">
        <v>13.1</v>
      </c>
      <c r="T1213" s="340" t="str">
        <f t="shared" si="86"/>
        <v>2001MaleAllEth24Hanging, strangulation and suffocation</v>
      </c>
      <c r="U1213">
        <v>2001</v>
      </c>
      <c r="V1213" t="s">
        <v>20</v>
      </c>
      <c r="W1213" t="s">
        <v>27</v>
      </c>
      <c r="X1213">
        <v>24</v>
      </c>
      <c r="Y1213" t="s">
        <v>43</v>
      </c>
      <c r="Z1213">
        <v>21</v>
      </c>
      <c r="AA1213">
        <v>65</v>
      </c>
      <c r="AB1213">
        <v>32.299999999999997</v>
      </c>
    </row>
    <row r="1214" spans="10:28">
      <c r="J1214" s="340" t="str">
        <f t="shared" si="85"/>
        <v>2003AllSexMaori241</v>
      </c>
      <c r="K1214">
        <v>2003</v>
      </c>
      <c r="L1214" t="s">
        <v>17</v>
      </c>
      <c r="M1214" t="s">
        <v>18</v>
      </c>
      <c r="N1214">
        <v>24</v>
      </c>
      <c r="O1214">
        <v>1</v>
      </c>
      <c r="P1214">
        <v>2</v>
      </c>
      <c r="Q1214">
        <v>27.568723552744299</v>
      </c>
      <c r="R1214">
        <v>38.200000000000003</v>
      </c>
      <c r="T1214" s="340" t="str">
        <f t="shared" si="86"/>
        <v>2001MaleAllEth25Hanging, strangulation and suffocation</v>
      </c>
      <c r="U1214">
        <v>2001</v>
      </c>
      <c r="V1214" t="s">
        <v>20</v>
      </c>
      <c r="W1214" t="s">
        <v>27</v>
      </c>
      <c r="X1214">
        <v>25</v>
      </c>
      <c r="Y1214" t="s">
        <v>43</v>
      </c>
      <c r="Z1214">
        <v>14</v>
      </c>
      <c r="AA1214">
        <v>48</v>
      </c>
      <c r="AB1214">
        <v>29.2</v>
      </c>
    </row>
    <row r="1215" spans="10:28">
      <c r="J1215" s="340" t="str">
        <f t="shared" si="85"/>
        <v>2003AllSexMaori242</v>
      </c>
      <c r="K1215">
        <v>2003</v>
      </c>
      <c r="L1215" t="s">
        <v>17</v>
      </c>
      <c r="M1215" t="s">
        <v>18</v>
      </c>
      <c r="N1215">
        <v>24</v>
      </c>
      <c r="O1215">
        <v>2</v>
      </c>
      <c r="P1215">
        <v>0</v>
      </c>
      <c r="Q1215">
        <v>0</v>
      </c>
      <c r="T1215" s="340" t="str">
        <f t="shared" si="86"/>
        <v>2001MaleAllEth22Jumping from a high place</v>
      </c>
      <c r="U1215">
        <v>2001</v>
      </c>
      <c r="V1215" t="s">
        <v>20</v>
      </c>
      <c r="W1215" t="s">
        <v>27</v>
      </c>
      <c r="X1215">
        <v>22</v>
      </c>
      <c r="Y1215" t="s">
        <v>44</v>
      </c>
      <c r="Z1215">
        <v>6</v>
      </c>
      <c r="AA1215">
        <v>87</v>
      </c>
      <c r="AB1215">
        <v>6.9</v>
      </c>
    </row>
    <row r="1216" spans="10:28">
      <c r="J1216" s="340" t="str">
        <f t="shared" si="85"/>
        <v>2003AllSexMaori243</v>
      </c>
      <c r="K1216">
        <v>2003</v>
      </c>
      <c r="L1216" t="s">
        <v>17</v>
      </c>
      <c r="M1216" t="s">
        <v>18</v>
      </c>
      <c r="N1216">
        <v>24</v>
      </c>
      <c r="O1216">
        <v>3</v>
      </c>
      <c r="P1216">
        <v>1</v>
      </c>
      <c r="Q1216">
        <v>7.35781917480492</v>
      </c>
      <c r="R1216">
        <v>14.4</v>
      </c>
      <c r="T1216" s="340" t="str">
        <f t="shared" si="86"/>
        <v>2001MaleAllEth23Jumping from a high place</v>
      </c>
      <c r="U1216">
        <v>2001</v>
      </c>
      <c r="V1216" t="s">
        <v>20</v>
      </c>
      <c r="W1216" t="s">
        <v>27</v>
      </c>
      <c r="X1216">
        <v>23</v>
      </c>
      <c r="Y1216" t="s">
        <v>44</v>
      </c>
      <c r="Z1216">
        <v>3</v>
      </c>
      <c r="AA1216">
        <v>189</v>
      </c>
      <c r="AB1216">
        <v>1.6</v>
      </c>
    </row>
    <row r="1217" spans="10:28">
      <c r="J1217" s="340" t="str">
        <f t="shared" si="85"/>
        <v>2003AllSexMaori244</v>
      </c>
      <c r="K1217">
        <v>2003</v>
      </c>
      <c r="L1217" t="s">
        <v>17</v>
      </c>
      <c r="M1217" t="s">
        <v>18</v>
      </c>
      <c r="N1217">
        <v>24</v>
      </c>
      <c r="O1217">
        <v>4</v>
      </c>
      <c r="P1217">
        <v>1</v>
      </c>
      <c r="Q1217">
        <v>5.0693683596903298</v>
      </c>
      <c r="R1217">
        <v>9.9</v>
      </c>
      <c r="T1217" s="340" t="str">
        <f t="shared" si="86"/>
        <v>2001MaleAllEth24Jumping from a high place</v>
      </c>
      <c r="U1217">
        <v>2001</v>
      </c>
      <c r="V1217" t="s">
        <v>20</v>
      </c>
      <c r="W1217" t="s">
        <v>27</v>
      </c>
      <c r="X1217">
        <v>24</v>
      </c>
      <c r="Y1217" t="s">
        <v>44</v>
      </c>
      <c r="Z1217">
        <v>1</v>
      </c>
      <c r="AA1217">
        <v>65</v>
      </c>
      <c r="AB1217">
        <v>1.5</v>
      </c>
    </row>
    <row r="1218" spans="10:28">
      <c r="J1218" s="340" t="str">
        <f t="shared" si="85"/>
        <v>2003AllSexMaori245</v>
      </c>
      <c r="K1218">
        <v>2003</v>
      </c>
      <c r="L1218" t="s">
        <v>17</v>
      </c>
      <c r="M1218" t="s">
        <v>18</v>
      </c>
      <c r="N1218">
        <v>24</v>
      </c>
      <c r="O1218">
        <v>5</v>
      </c>
      <c r="P1218">
        <v>1</v>
      </c>
      <c r="Q1218">
        <v>2.8594886590033899</v>
      </c>
      <c r="R1218">
        <v>5.6</v>
      </c>
      <c r="T1218" s="340" t="str">
        <f t="shared" si="86"/>
        <v>2001MaleAllEth22Other</v>
      </c>
      <c r="U1218">
        <v>2001</v>
      </c>
      <c r="V1218" t="s">
        <v>20</v>
      </c>
      <c r="W1218" t="s">
        <v>27</v>
      </c>
      <c r="X1218">
        <v>22</v>
      </c>
      <c r="Y1218" t="s">
        <v>45</v>
      </c>
      <c r="Z1218">
        <v>2</v>
      </c>
      <c r="AA1218">
        <v>87</v>
      </c>
      <c r="AB1218">
        <v>2.2999999999999998</v>
      </c>
    </row>
    <row r="1219" spans="10:28">
      <c r="J1219" s="340" t="str">
        <f t="shared" si="85"/>
        <v>2003AllSexMaori251</v>
      </c>
      <c r="K1219">
        <v>2003</v>
      </c>
      <c r="L1219" t="s">
        <v>17</v>
      </c>
      <c r="M1219" t="s">
        <v>18</v>
      </c>
      <c r="N1219">
        <v>25</v>
      </c>
      <c r="O1219">
        <v>1</v>
      </c>
      <c r="P1219">
        <v>0</v>
      </c>
      <c r="Q1219">
        <v>0</v>
      </c>
      <c r="T1219" s="340" t="str">
        <f t="shared" si="86"/>
        <v>2001MaleAllEth23Other</v>
      </c>
      <c r="U1219">
        <v>2001</v>
      </c>
      <c r="V1219" t="s">
        <v>20</v>
      </c>
      <c r="W1219" t="s">
        <v>27</v>
      </c>
      <c r="X1219">
        <v>23</v>
      </c>
      <c r="Y1219" t="s">
        <v>45</v>
      </c>
      <c r="Z1219">
        <v>7</v>
      </c>
      <c r="AA1219">
        <v>189</v>
      </c>
      <c r="AB1219">
        <v>3.7</v>
      </c>
    </row>
    <row r="1220" spans="10:28">
      <c r="J1220" s="340" t="str">
        <f t="shared" ref="J1220:J1283" si="87">K1220&amp;L1220&amp;M1220&amp;N1220&amp;O1220</f>
        <v>2003AllSexMaori252</v>
      </c>
      <c r="K1220">
        <v>2003</v>
      </c>
      <c r="L1220" t="s">
        <v>17</v>
      </c>
      <c r="M1220" t="s">
        <v>18</v>
      </c>
      <c r="N1220">
        <v>25</v>
      </c>
      <c r="O1220">
        <v>2</v>
      </c>
      <c r="P1220">
        <v>0</v>
      </c>
      <c r="Q1220">
        <v>0</v>
      </c>
      <c r="T1220" s="340" t="str">
        <f t="shared" si="86"/>
        <v>2001MaleAllEth24Other</v>
      </c>
      <c r="U1220">
        <v>2001</v>
      </c>
      <c r="V1220" t="s">
        <v>20</v>
      </c>
      <c r="W1220" t="s">
        <v>27</v>
      </c>
      <c r="X1220">
        <v>24</v>
      </c>
      <c r="Y1220" t="s">
        <v>45</v>
      </c>
      <c r="Z1220">
        <v>2</v>
      </c>
      <c r="AA1220">
        <v>65</v>
      </c>
      <c r="AB1220">
        <v>3.1</v>
      </c>
    </row>
    <row r="1221" spans="10:28">
      <c r="J1221" s="340" t="str">
        <f t="shared" si="87"/>
        <v>2003AllSexMaori253</v>
      </c>
      <c r="K1221">
        <v>2003</v>
      </c>
      <c r="L1221" t="s">
        <v>17</v>
      </c>
      <c r="M1221" t="s">
        <v>18</v>
      </c>
      <c r="N1221">
        <v>25</v>
      </c>
      <c r="O1221">
        <v>3</v>
      </c>
      <c r="P1221">
        <v>0</v>
      </c>
      <c r="Q1221">
        <v>0</v>
      </c>
      <c r="T1221" s="340" t="str">
        <f t="shared" ref="T1221:T1284" si="88">U1221&amp;V1221&amp;W1221&amp;X1221&amp;Y1221</f>
        <v>2001MaleAllEth25Other</v>
      </c>
      <c r="U1221">
        <v>2001</v>
      </c>
      <c r="V1221" t="s">
        <v>20</v>
      </c>
      <c r="W1221" t="s">
        <v>27</v>
      </c>
      <c r="X1221">
        <v>25</v>
      </c>
      <c r="Y1221" t="s">
        <v>45</v>
      </c>
      <c r="Z1221">
        <v>6</v>
      </c>
      <c r="AA1221">
        <v>48</v>
      </c>
      <c r="AB1221">
        <v>12.5</v>
      </c>
    </row>
    <row r="1222" spans="10:28">
      <c r="J1222" s="340" t="str">
        <f t="shared" si="87"/>
        <v>2003AllSexMaori254</v>
      </c>
      <c r="K1222">
        <v>2003</v>
      </c>
      <c r="L1222" t="s">
        <v>17</v>
      </c>
      <c r="M1222" t="s">
        <v>18</v>
      </c>
      <c r="N1222">
        <v>25</v>
      </c>
      <c r="O1222">
        <v>4</v>
      </c>
      <c r="P1222">
        <v>0</v>
      </c>
      <c r="Q1222">
        <v>0</v>
      </c>
      <c r="T1222" s="340" t="str">
        <f t="shared" si="88"/>
        <v>2001MaleAllEth22Poisoning by gases and vapours</v>
      </c>
      <c r="U1222">
        <v>2001</v>
      </c>
      <c r="V1222" t="s">
        <v>20</v>
      </c>
      <c r="W1222" t="s">
        <v>27</v>
      </c>
      <c r="X1222">
        <v>22</v>
      </c>
      <c r="Y1222" t="s">
        <v>46</v>
      </c>
      <c r="Z1222">
        <v>13</v>
      </c>
      <c r="AA1222">
        <v>87</v>
      </c>
      <c r="AB1222">
        <v>14.9</v>
      </c>
    </row>
    <row r="1223" spans="10:28">
      <c r="J1223" s="340" t="str">
        <f t="shared" si="87"/>
        <v>2003AllSexMaori255</v>
      </c>
      <c r="K1223">
        <v>2003</v>
      </c>
      <c r="L1223" t="s">
        <v>17</v>
      </c>
      <c r="M1223" t="s">
        <v>18</v>
      </c>
      <c r="N1223">
        <v>25</v>
      </c>
      <c r="O1223">
        <v>5</v>
      </c>
      <c r="P1223">
        <v>0</v>
      </c>
      <c r="Q1223">
        <v>0</v>
      </c>
      <c r="T1223" s="340" t="str">
        <f t="shared" si="88"/>
        <v>2001MaleAllEth23Poisoning by gases and vapours</v>
      </c>
      <c r="U1223">
        <v>2001</v>
      </c>
      <c r="V1223" t="s">
        <v>20</v>
      </c>
      <c r="W1223" t="s">
        <v>27</v>
      </c>
      <c r="X1223">
        <v>23</v>
      </c>
      <c r="Y1223" t="s">
        <v>46</v>
      </c>
      <c r="Z1223">
        <v>45</v>
      </c>
      <c r="AA1223">
        <v>189</v>
      </c>
      <c r="AB1223">
        <v>23.8</v>
      </c>
    </row>
    <row r="1224" spans="10:28">
      <c r="J1224" s="340" t="str">
        <f t="shared" si="87"/>
        <v>2003AllSexNon-Maori211</v>
      </c>
      <c r="K1224">
        <v>2003</v>
      </c>
      <c r="L1224" t="s">
        <v>17</v>
      </c>
      <c r="M1224" t="s">
        <v>19</v>
      </c>
      <c r="N1224">
        <v>21</v>
      </c>
      <c r="O1224">
        <v>1</v>
      </c>
      <c r="P1224">
        <v>0</v>
      </c>
      <c r="Q1224">
        <v>0</v>
      </c>
      <c r="T1224" s="340" t="str">
        <f t="shared" si="88"/>
        <v>2001MaleAllEth24Poisoning by gases and vapours</v>
      </c>
      <c r="U1224">
        <v>2001</v>
      </c>
      <c r="V1224" t="s">
        <v>20</v>
      </c>
      <c r="W1224" t="s">
        <v>27</v>
      </c>
      <c r="X1224">
        <v>24</v>
      </c>
      <c r="Y1224" t="s">
        <v>46</v>
      </c>
      <c r="Z1224">
        <v>18</v>
      </c>
      <c r="AA1224">
        <v>65</v>
      </c>
      <c r="AB1224">
        <v>27.7</v>
      </c>
    </row>
    <row r="1225" spans="10:28">
      <c r="J1225" s="340" t="str">
        <f t="shared" si="87"/>
        <v>2003AllSexNon-Maori212</v>
      </c>
      <c r="K1225">
        <v>2003</v>
      </c>
      <c r="L1225" t="s">
        <v>17</v>
      </c>
      <c r="M1225" t="s">
        <v>19</v>
      </c>
      <c r="N1225">
        <v>21</v>
      </c>
      <c r="O1225">
        <v>2</v>
      </c>
      <c r="P1225">
        <v>0</v>
      </c>
      <c r="Q1225">
        <v>0</v>
      </c>
      <c r="T1225" s="340" t="str">
        <f t="shared" si="88"/>
        <v>2001MaleAllEth25Poisoning by gases and vapours</v>
      </c>
      <c r="U1225">
        <v>2001</v>
      </c>
      <c r="V1225" t="s">
        <v>20</v>
      </c>
      <c r="W1225" t="s">
        <v>27</v>
      </c>
      <c r="X1225">
        <v>25</v>
      </c>
      <c r="Y1225" t="s">
        <v>46</v>
      </c>
      <c r="Z1225">
        <v>14</v>
      </c>
      <c r="AA1225">
        <v>48</v>
      </c>
      <c r="AB1225">
        <v>29.2</v>
      </c>
    </row>
    <row r="1226" spans="10:28">
      <c r="J1226" s="340" t="str">
        <f t="shared" si="87"/>
        <v>2003AllSexNon-Maori213</v>
      </c>
      <c r="K1226">
        <v>2003</v>
      </c>
      <c r="L1226" t="s">
        <v>17</v>
      </c>
      <c r="M1226" t="s">
        <v>19</v>
      </c>
      <c r="N1226">
        <v>21</v>
      </c>
      <c r="O1226">
        <v>3</v>
      </c>
      <c r="P1226">
        <v>0</v>
      </c>
      <c r="Q1226">
        <v>0</v>
      </c>
      <c r="T1226" s="340" t="str">
        <f t="shared" si="88"/>
        <v>2001MaleAllEth23Poisoning by solids and liquids</v>
      </c>
      <c r="U1226">
        <v>2001</v>
      </c>
      <c r="V1226" t="s">
        <v>20</v>
      </c>
      <c r="W1226" t="s">
        <v>27</v>
      </c>
      <c r="X1226">
        <v>23</v>
      </c>
      <c r="Y1226" t="s">
        <v>47</v>
      </c>
      <c r="Z1226">
        <v>14</v>
      </c>
      <c r="AA1226">
        <v>189</v>
      </c>
      <c r="AB1226">
        <v>7.4</v>
      </c>
    </row>
    <row r="1227" spans="10:28">
      <c r="J1227" s="340" t="str">
        <f t="shared" si="87"/>
        <v>2003AllSexNon-Maori214</v>
      </c>
      <c r="K1227">
        <v>2003</v>
      </c>
      <c r="L1227" t="s">
        <v>17</v>
      </c>
      <c r="M1227" t="s">
        <v>19</v>
      </c>
      <c r="N1227">
        <v>21</v>
      </c>
      <c r="O1227">
        <v>4</v>
      </c>
      <c r="P1227">
        <v>0</v>
      </c>
      <c r="Q1227">
        <v>0</v>
      </c>
      <c r="T1227" s="340" t="str">
        <f t="shared" si="88"/>
        <v>2001MaleAllEth24Poisoning by solids and liquids</v>
      </c>
      <c r="U1227">
        <v>2001</v>
      </c>
      <c r="V1227" t="s">
        <v>20</v>
      </c>
      <c r="W1227" t="s">
        <v>27</v>
      </c>
      <c r="X1227">
        <v>24</v>
      </c>
      <c r="Y1227" t="s">
        <v>47</v>
      </c>
      <c r="Z1227">
        <v>8</v>
      </c>
      <c r="AA1227">
        <v>65</v>
      </c>
      <c r="AB1227">
        <v>12.3</v>
      </c>
    </row>
    <row r="1228" spans="10:28">
      <c r="J1228" s="340" t="str">
        <f t="shared" si="87"/>
        <v>2003AllSexNon-Maori215</v>
      </c>
      <c r="K1228">
        <v>2003</v>
      </c>
      <c r="L1228" t="s">
        <v>17</v>
      </c>
      <c r="M1228" t="s">
        <v>19</v>
      </c>
      <c r="N1228">
        <v>21</v>
      </c>
      <c r="O1228">
        <v>5</v>
      </c>
      <c r="P1228">
        <v>0</v>
      </c>
      <c r="Q1228">
        <v>0</v>
      </c>
      <c r="T1228" s="340" t="str">
        <f t="shared" si="88"/>
        <v>2001MaleAllEth25Poisoning by solids and liquids</v>
      </c>
      <c r="U1228">
        <v>2001</v>
      </c>
      <c r="V1228" t="s">
        <v>20</v>
      </c>
      <c r="W1228" t="s">
        <v>27</v>
      </c>
      <c r="X1228">
        <v>25</v>
      </c>
      <c r="Y1228" t="s">
        <v>47</v>
      </c>
      <c r="Z1228">
        <v>7</v>
      </c>
      <c r="AA1228">
        <v>48</v>
      </c>
      <c r="AB1228">
        <v>14.6</v>
      </c>
    </row>
    <row r="1229" spans="10:28">
      <c r="J1229" s="340" t="str">
        <f t="shared" si="87"/>
        <v>2003AllSexNon-Maori221</v>
      </c>
      <c r="K1229">
        <v>2003</v>
      </c>
      <c r="L1229" t="s">
        <v>17</v>
      </c>
      <c r="M1229" t="s">
        <v>19</v>
      </c>
      <c r="N1229">
        <v>22</v>
      </c>
      <c r="O1229">
        <v>1</v>
      </c>
      <c r="P1229">
        <v>12</v>
      </c>
      <c r="Q1229">
        <v>13.217438170758101</v>
      </c>
      <c r="R1229">
        <v>7.5</v>
      </c>
      <c r="T1229" s="340" t="str">
        <f t="shared" si="88"/>
        <v>2001MaleAllEth22Sharp object</v>
      </c>
      <c r="U1229">
        <v>2001</v>
      </c>
      <c r="V1229" t="s">
        <v>20</v>
      </c>
      <c r="W1229" t="s">
        <v>27</v>
      </c>
      <c r="X1229">
        <v>22</v>
      </c>
      <c r="Y1229" t="s">
        <v>48</v>
      </c>
      <c r="Z1229">
        <v>2</v>
      </c>
      <c r="AA1229">
        <v>87</v>
      </c>
      <c r="AB1229">
        <v>2.2999999999999998</v>
      </c>
    </row>
    <row r="1230" spans="10:28">
      <c r="J1230" s="340" t="str">
        <f t="shared" si="87"/>
        <v>2003AllSexNon-Maori222</v>
      </c>
      <c r="K1230">
        <v>2003</v>
      </c>
      <c r="L1230" t="s">
        <v>17</v>
      </c>
      <c r="M1230" t="s">
        <v>19</v>
      </c>
      <c r="N1230">
        <v>22</v>
      </c>
      <c r="O1230">
        <v>2</v>
      </c>
      <c r="P1230">
        <v>7</v>
      </c>
      <c r="Q1230">
        <v>7.5510544548882796</v>
      </c>
      <c r="R1230">
        <v>5.6</v>
      </c>
      <c r="T1230" s="340" t="str">
        <f t="shared" si="88"/>
        <v>2001MaleAllEth23Sharp object</v>
      </c>
      <c r="U1230">
        <v>2001</v>
      </c>
      <c r="V1230" t="s">
        <v>20</v>
      </c>
      <c r="W1230" t="s">
        <v>27</v>
      </c>
      <c r="X1230">
        <v>23</v>
      </c>
      <c r="Y1230" t="s">
        <v>48</v>
      </c>
      <c r="Z1230">
        <v>1</v>
      </c>
      <c r="AA1230">
        <v>189</v>
      </c>
      <c r="AB1230">
        <v>0.5</v>
      </c>
    </row>
    <row r="1231" spans="10:28">
      <c r="J1231" s="340" t="str">
        <f t="shared" si="87"/>
        <v>2003AllSexNon-Maori223</v>
      </c>
      <c r="K1231">
        <v>2003</v>
      </c>
      <c r="L1231" t="s">
        <v>17</v>
      </c>
      <c r="M1231" t="s">
        <v>19</v>
      </c>
      <c r="N1231">
        <v>22</v>
      </c>
      <c r="O1231">
        <v>3</v>
      </c>
      <c r="P1231">
        <v>15</v>
      </c>
      <c r="Q1231">
        <v>15.889628929397199</v>
      </c>
      <c r="R1231">
        <v>8</v>
      </c>
      <c r="T1231" s="340" t="str">
        <f t="shared" si="88"/>
        <v>2001MaleAllEth24Sharp object</v>
      </c>
      <c r="U1231">
        <v>2001</v>
      </c>
      <c r="V1231" t="s">
        <v>20</v>
      </c>
      <c r="W1231" t="s">
        <v>27</v>
      </c>
      <c r="X1231">
        <v>24</v>
      </c>
      <c r="Y1231" t="s">
        <v>48</v>
      </c>
      <c r="Z1231">
        <v>2</v>
      </c>
      <c r="AA1231">
        <v>65</v>
      </c>
      <c r="AB1231">
        <v>3.1</v>
      </c>
    </row>
    <row r="1232" spans="10:28">
      <c r="J1232" s="340" t="str">
        <f t="shared" si="87"/>
        <v>2003AllSexNon-Maori224</v>
      </c>
      <c r="K1232">
        <v>2003</v>
      </c>
      <c r="L1232" t="s">
        <v>17</v>
      </c>
      <c r="M1232" t="s">
        <v>19</v>
      </c>
      <c r="N1232">
        <v>22</v>
      </c>
      <c r="O1232">
        <v>4</v>
      </c>
      <c r="P1232">
        <v>18</v>
      </c>
      <c r="Q1232">
        <v>18.9140109745437</v>
      </c>
      <c r="R1232">
        <v>8.6999999999999993</v>
      </c>
      <c r="T1232" s="340" t="str">
        <f t="shared" si="88"/>
        <v>2001MaleAllEth25Sharp object</v>
      </c>
      <c r="U1232">
        <v>2001</v>
      </c>
      <c r="V1232" t="s">
        <v>20</v>
      </c>
      <c r="W1232" t="s">
        <v>27</v>
      </c>
      <c r="X1232">
        <v>25</v>
      </c>
      <c r="Y1232" t="s">
        <v>48</v>
      </c>
      <c r="Z1232">
        <v>3</v>
      </c>
      <c r="AA1232">
        <v>48</v>
      </c>
      <c r="AB1232">
        <v>6.2</v>
      </c>
    </row>
    <row r="1233" spans="10:28">
      <c r="J1233" s="340" t="str">
        <f t="shared" si="87"/>
        <v>2003AllSexNon-Maori225</v>
      </c>
      <c r="K1233">
        <v>2003</v>
      </c>
      <c r="L1233" t="s">
        <v>17</v>
      </c>
      <c r="M1233" t="s">
        <v>19</v>
      </c>
      <c r="N1233">
        <v>22</v>
      </c>
      <c r="O1233">
        <v>5</v>
      </c>
      <c r="P1233">
        <v>12</v>
      </c>
      <c r="Q1233">
        <v>13.0053358102956</v>
      </c>
      <c r="R1233">
        <v>7.4</v>
      </c>
      <c r="T1233" s="340" t="str">
        <f t="shared" si="88"/>
        <v>2001MaleAllEth22Submersion (drowning)</v>
      </c>
      <c r="U1233">
        <v>2001</v>
      </c>
      <c r="V1233" t="s">
        <v>20</v>
      </c>
      <c r="W1233" t="s">
        <v>27</v>
      </c>
      <c r="X1233">
        <v>22</v>
      </c>
      <c r="Y1233" t="s">
        <v>49</v>
      </c>
      <c r="Z1233">
        <v>1</v>
      </c>
      <c r="AA1233">
        <v>87</v>
      </c>
      <c r="AB1233">
        <v>1.1000000000000001</v>
      </c>
    </row>
    <row r="1234" spans="10:28">
      <c r="J1234" s="340" t="str">
        <f t="shared" si="87"/>
        <v>2003AllSexNon-Maori231</v>
      </c>
      <c r="K1234">
        <v>2003</v>
      </c>
      <c r="L1234" t="s">
        <v>17</v>
      </c>
      <c r="M1234" t="s">
        <v>19</v>
      </c>
      <c r="N1234">
        <v>23</v>
      </c>
      <c r="O1234">
        <v>1</v>
      </c>
      <c r="P1234">
        <v>25</v>
      </c>
      <c r="Q1234">
        <v>11.3541230151272</v>
      </c>
      <c r="R1234">
        <v>4.5</v>
      </c>
      <c r="T1234" s="340" t="str">
        <f t="shared" si="88"/>
        <v>2001MaleAllEth25Submersion (drowning)</v>
      </c>
      <c r="U1234">
        <v>2001</v>
      </c>
      <c r="V1234" t="s">
        <v>20</v>
      </c>
      <c r="W1234" t="s">
        <v>27</v>
      </c>
      <c r="X1234">
        <v>25</v>
      </c>
      <c r="Y1234" t="s">
        <v>49</v>
      </c>
      <c r="Z1234">
        <v>1</v>
      </c>
      <c r="AA1234">
        <v>48</v>
      </c>
      <c r="AB1234">
        <v>2.1</v>
      </c>
    </row>
    <row r="1235" spans="10:28">
      <c r="J1235" s="340" t="str">
        <f t="shared" si="87"/>
        <v>2003AllSexNon-Maori232</v>
      </c>
      <c r="K1235">
        <v>2003</v>
      </c>
      <c r="L1235" t="s">
        <v>17</v>
      </c>
      <c r="M1235" t="s">
        <v>19</v>
      </c>
      <c r="N1235">
        <v>23</v>
      </c>
      <c r="O1235">
        <v>2</v>
      </c>
      <c r="P1235">
        <v>27</v>
      </c>
      <c r="Q1235">
        <v>12.029784483588999</v>
      </c>
      <c r="R1235">
        <v>4.5</v>
      </c>
      <c r="T1235" s="340" t="str">
        <f t="shared" si="88"/>
        <v>2001MaleMaori23Firearms and explosives</v>
      </c>
      <c r="U1235">
        <v>2001</v>
      </c>
      <c r="V1235" t="s">
        <v>20</v>
      </c>
      <c r="W1235" t="s">
        <v>18</v>
      </c>
      <c r="X1235">
        <v>23</v>
      </c>
      <c r="Y1235" t="s">
        <v>42</v>
      </c>
      <c r="Z1235">
        <v>3</v>
      </c>
      <c r="AA1235">
        <v>31</v>
      </c>
      <c r="AB1235">
        <v>9.6999999999999993</v>
      </c>
    </row>
    <row r="1236" spans="10:28">
      <c r="J1236" s="340" t="str">
        <f t="shared" si="87"/>
        <v>2003AllSexNon-Maori233</v>
      </c>
      <c r="K1236">
        <v>2003</v>
      </c>
      <c r="L1236" t="s">
        <v>17</v>
      </c>
      <c r="M1236" t="s">
        <v>19</v>
      </c>
      <c r="N1236">
        <v>23</v>
      </c>
      <c r="O1236">
        <v>3</v>
      </c>
      <c r="P1236">
        <v>41</v>
      </c>
      <c r="Q1236">
        <v>19.105677770045599</v>
      </c>
      <c r="R1236">
        <v>5.8</v>
      </c>
      <c r="T1236" s="340" t="str">
        <f t="shared" si="88"/>
        <v>2001MaleMaori24Firearms and explosives</v>
      </c>
      <c r="U1236">
        <v>2001</v>
      </c>
      <c r="V1236" t="s">
        <v>20</v>
      </c>
      <c r="W1236" t="s">
        <v>18</v>
      </c>
      <c r="X1236">
        <v>24</v>
      </c>
      <c r="Y1236" t="s">
        <v>42</v>
      </c>
      <c r="Z1236">
        <v>1</v>
      </c>
      <c r="AA1236">
        <v>5</v>
      </c>
      <c r="AB1236">
        <v>20</v>
      </c>
    </row>
    <row r="1237" spans="10:28">
      <c r="J1237" s="340" t="str">
        <f t="shared" si="87"/>
        <v>2003AllSexNon-Maori234</v>
      </c>
      <c r="K1237">
        <v>2003</v>
      </c>
      <c r="L1237" t="s">
        <v>17</v>
      </c>
      <c r="M1237" t="s">
        <v>19</v>
      </c>
      <c r="N1237">
        <v>23</v>
      </c>
      <c r="O1237">
        <v>4</v>
      </c>
      <c r="P1237">
        <v>39</v>
      </c>
      <c r="Q1237">
        <v>20.024576517766601</v>
      </c>
      <c r="R1237">
        <v>6.3</v>
      </c>
      <c r="T1237" s="340" t="str">
        <f t="shared" si="88"/>
        <v>2001MaleMaori22Hanging, strangulation and suffocation</v>
      </c>
      <c r="U1237">
        <v>2001</v>
      </c>
      <c r="V1237" t="s">
        <v>20</v>
      </c>
      <c r="W1237" t="s">
        <v>18</v>
      </c>
      <c r="X1237">
        <v>22</v>
      </c>
      <c r="Y1237" t="s">
        <v>43</v>
      </c>
      <c r="Z1237">
        <v>17</v>
      </c>
      <c r="AA1237">
        <v>20</v>
      </c>
      <c r="AB1237">
        <v>85</v>
      </c>
    </row>
    <row r="1238" spans="10:28">
      <c r="J1238" s="340" t="str">
        <f t="shared" si="87"/>
        <v>2003AllSexNon-Maori235</v>
      </c>
      <c r="K1238">
        <v>2003</v>
      </c>
      <c r="L1238" t="s">
        <v>17</v>
      </c>
      <c r="M1238" t="s">
        <v>19</v>
      </c>
      <c r="N1238">
        <v>23</v>
      </c>
      <c r="O1238">
        <v>5</v>
      </c>
      <c r="P1238">
        <v>31</v>
      </c>
      <c r="Q1238">
        <v>20.642421911894999</v>
      </c>
      <c r="R1238">
        <v>7.3</v>
      </c>
      <c r="T1238" s="340" t="str">
        <f t="shared" si="88"/>
        <v>2001MaleMaori23Hanging, strangulation and suffocation</v>
      </c>
      <c r="U1238">
        <v>2001</v>
      </c>
      <c r="V1238" t="s">
        <v>20</v>
      </c>
      <c r="W1238" t="s">
        <v>18</v>
      </c>
      <c r="X1238">
        <v>23</v>
      </c>
      <c r="Y1238" t="s">
        <v>43</v>
      </c>
      <c r="Z1238">
        <v>22</v>
      </c>
      <c r="AA1238">
        <v>31</v>
      </c>
      <c r="AB1238">
        <v>71</v>
      </c>
    </row>
    <row r="1239" spans="10:28">
      <c r="J1239" s="340" t="str">
        <f t="shared" si="87"/>
        <v>2003AllSexNon-Maori241</v>
      </c>
      <c r="K1239">
        <v>2003</v>
      </c>
      <c r="L1239" t="s">
        <v>17</v>
      </c>
      <c r="M1239" t="s">
        <v>19</v>
      </c>
      <c r="N1239">
        <v>24</v>
      </c>
      <c r="O1239">
        <v>1</v>
      </c>
      <c r="P1239">
        <v>15</v>
      </c>
      <c r="Q1239">
        <v>6.7567570900277802</v>
      </c>
      <c r="R1239">
        <v>3.4</v>
      </c>
      <c r="T1239" s="340" t="str">
        <f t="shared" si="88"/>
        <v>2001MaleMaori24Hanging, strangulation and suffocation</v>
      </c>
      <c r="U1239">
        <v>2001</v>
      </c>
      <c r="V1239" t="s">
        <v>20</v>
      </c>
      <c r="W1239" t="s">
        <v>18</v>
      </c>
      <c r="X1239">
        <v>24</v>
      </c>
      <c r="Y1239" t="s">
        <v>43</v>
      </c>
      <c r="Z1239">
        <v>2</v>
      </c>
      <c r="AA1239">
        <v>5</v>
      </c>
      <c r="AB1239">
        <v>40</v>
      </c>
    </row>
    <row r="1240" spans="10:28">
      <c r="J1240" s="340" t="str">
        <f t="shared" si="87"/>
        <v>2003AllSexNon-Maori242</v>
      </c>
      <c r="K1240">
        <v>2003</v>
      </c>
      <c r="L1240" t="s">
        <v>17</v>
      </c>
      <c r="M1240" t="s">
        <v>19</v>
      </c>
      <c r="N1240">
        <v>24</v>
      </c>
      <c r="O1240">
        <v>2</v>
      </c>
      <c r="P1240">
        <v>22</v>
      </c>
      <c r="Q1240">
        <v>11.492128953530999</v>
      </c>
      <c r="R1240">
        <v>4.8</v>
      </c>
      <c r="T1240" s="340" t="str">
        <f t="shared" si="88"/>
        <v>2001MaleMaori25Other</v>
      </c>
      <c r="U1240">
        <v>2001</v>
      </c>
      <c r="V1240" t="s">
        <v>20</v>
      </c>
      <c r="W1240" t="s">
        <v>18</v>
      </c>
      <c r="X1240">
        <v>25</v>
      </c>
      <c r="Y1240" t="s">
        <v>45</v>
      </c>
      <c r="Z1240">
        <v>1</v>
      </c>
      <c r="AA1240">
        <v>2</v>
      </c>
      <c r="AB1240">
        <v>50</v>
      </c>
    </row>
    <row r="1241" spans="10:28">
      <c r="J1241" s="340" t="str">
        <f t="shared" si="87"/>
        <v>2003AllSexNon-Maori243</v>
      </c>
      <c r="K1241">
        <v>2003</v>
      </c>
      <c r="L1241" t="s">
        <v>17</v>
      </c>
      <c r="M1241" t="s">
        <v>19</v>
      </c>
      <c r="N1241">
        <v>24</v>
      </c>
      <c r="O1241">
        <v>3</v>
      </c>
      <c r="P1241">
        <v>29</v>
      </c>
      <c r="Q1241">
        <v>17.4370571795261</v>
      </c>
      <c r="R1241">
        <v>6.3</v>
      </c>
      <c r="T1241" s="340" t="str">
        <f t="shared" si="88"/>
        <v>2001MaleMaori22Poisoning by gases and vapours</v>
      </c>
      <c r="U1241">
        <v>2001</v>
      </c>
      <c r="V1241" t="s">
        <v>20</v>
      </c>
      <c r="W1241" t="s">
        <v>18</v>
      </c>
      <c r="X1241">
        <v>22</v>
      </c>
      <c r="Y1241" t="s">
        <v>46</v>
      </c>
      <c r="Z1241">
        <v>2</v>
      </c>
      <c r="AA1241">
        <v>20</v>
      </c>
      <c r="AB1241">
        <v>10</v>
      </c>
    </row>
    <row r="1242" spans="10:28">
      <c r="J1242" s="340" t="str">
        <f t="shared" si="87"/>
        <v>2003AllSexNon-Maori244</v>
      </c>
      <c r="K1242">
        <v>2003</v>
      </c>
      <c r="L1242" t="s">
        <v>17</v>
      </c>
      <c r="M1242" t="s">
        <v>19</v>
      </c>
      <c r="N1242">
        <v>24</v>
      </c>
      <c r="O1242">
        <v>4</v>
      </c>
      <c r="P1242">
        <v>31</v>
      </c>
      <c r="Q1242">
        <v>21.6916993713021</v>
      </c>
      <c r="R1242">
        <v>7.6</v>
      </c>
      <c r="T1242" s="340" t="str">
        <f t="shared" si="88"/>
        <v>2001MaleMaori23Poisoning by gases and vapours</v>
      </c>
      <c r="U1242">
        <v>2001</v>
      </c>
      <c r="V1242" t="s">
        <v>20</v>
      </c>
      <c r="W1242" t="s">
        <v>18</v>
      </c>
      <c r="X1242">
        <v>23</v>
      </c>
      <c r="Y1242" t="s">
        <v>46</v>
      </c>
      <c r="Z1242">
        <v>4</v>
      </c>
      <c r="AA1242">
        <v>31</v>
      </c>
      <c r="AB1242">
        <v>12.9</v>
      </c>
    </row>
    <row r="1243" spans="10:28">
      <c r="J1243" s="340" t="str">
        <f t="shared" si="87"/>
        <v>2003AllSexNon-Maori245</v>
      </c>
      <c r="K1243">
        <v>2003</v>
      </c>
      <c r="L1243" t="s">
        <v>17</v>
      </c>
      <c r="M1243" t="s">
        <v>19</v>
      </c>
      <c r="N1243">
        <v>24</v>
      </c>
      <c r="O1243">
        <v>5</v>
      </c>
      <c r="P1243">
        <v>26</v>
      </c>
      <c r="Q1243">
        <v>24.5467441295452</v>
      </c>
      <c r="R1243">
        <v>9.4</v>
      </c>
      <c r="T1243" s="340" t="str">
        <f t="shared" si="88"/>
        <v>2001MaleMaori24Poisoning by gases and vapours</v>
      </c>
      <c r="U1243">
        <v>2001</v>
      </c>
      <c r="V1243" t="s">
        <v>20</v>
      </c>
      <c r="W1243" t="s">
        <v>18</v>
      </c>
      <c r="X1243">
        <v>24</v>
      </c>
      <c r="Y1243" t="s">
        <v>46</v>
      </c>
      <c r="Z1243">
        <v>1</v>
      </c>
      <c r="AA1243">
        <v>5</v>
      </c>
      <c r="AB1243">
        <v>20</v>
      </c>
    </row>
    <row r="1244" spans="10:28">
      <c r="J1244" s="340" t="str">
        <f t="shared" si="87"/>
        <v>2003AllSexNon-Maori251</v>
      </c>
      <c r="K1244">
        <v>2003</v>
      </c>
      <c r="L1244" t="s">
        <v>17</v>
      </c>
      <c r="M1244" t="s">
        <v>19</v>
      </c>
      <c r="N1244">
        <v>25</v>
      </c>
      <c r="O1244">
        <v>1</v>
      </c>
      <c r="P1244">
        <v>7</v>
      </c>
      <c r="Q1244">
        <v>7.6587608789528803</v>
      </c>
      <c r="R1244">
        <v>5.7</v>
      </c>
      <c r="T1244" s="340" t="str">
        <f t="shared" si="88"/>
        <v>2001MaleMaori25Poisoning by gases and vapours</v>
      </c>
      <c r="U1244">
        <v>2001</v>
      </c>
      <c r="V1244" t="s">
        <v>20</v>
      </c>
      <c r="W1244" t="s">
        <v>18</v>
      </c>
      <c r="X1244">
        <v>25</v>
      </c>
      <c r="Y1244" t="s">
        <v>46</v>
      </c>
      <c r="Z1244">
        <v>1</v>
      </c>
      <c r="AA1244">
        <v>2</v>
      </c>
      <c r="AB1244">
        <v>50</v>
      </c>
    </row>
    <row r="1245" spans="10:28">
      <c r="J1245" s="340" t="str">
        <f t="shared" si="87"/>
        <v>2003AllSexNon-Maori252</v>
      </c>
      <c r="K1245">
        <v>2003</v>
      </c>
      <c r="L1245" t="s">
        <v>17</v>
      </c>
      <c r="M1245" t="s">
        <v>19</v>
      </c>
      <c r="N1245">
        <v>25</v>
      </c>
      <c r="O1245">
        <v>2</v>
      </c>
      <c r="P1245">
        <v>11</v>
      </c>
      <c r="Q1245">
        <v>11.353790910808</v>
      </c>
      <c r="R1245">
        <v>6.7</v>
      </c>
      <c r="T1245" s="340" t="str">
        <f t="shared" si="88"/>
        <v>2001MaleMaori23Poisoning by solids and liquids</v>
      </c>
      <c r="U1245">
        <v>2001</v>
      </c>
      <c r="V1245" t="s">
        <v>20</v>
      </c>
      <c r="W1245" t="s">
        <v>18</v>
      </c>
      <c r="X1245">
        <v>23</v>
      </c>
      <c r="Y1245" t="s">
        <v>47</v>
      </c>
      <c r="Z1245">
        <v>2</v>
      </c>
      <c r="AA1245">
        <v>31</v>
      </c>
      <c r="AB1245">
        <v>6.5</v>
      </c>
    </row>
    <row r="1246" spans="10:28">
      <c r="J1246" s="340" t="str">
        <f t="shared" si="87"/>
        <v>2003AllSexNon-Maori253</v>
      </c>
      <c r="K1246">
        <v>2003</v>
      </c>
      <c r="L1246" t="s">
        <v>17</v>
      </c>
      <c r="M1246" t="s">
        <v>19</v>
      </c>
      <c r="N1246">
        <v>25</v>
      </c>
      <c r="O1246">
        <v>3</v>
      </c>
      <c r="P1246">
        <v>19</v>
      </c>
      <c r="Q1246">
        <v>19.0946724380399</v>
      </c>
      <c r="R1246">
        <v>8.6</v>
      </c>
      <c r="T1246" s="340" t="str">
        <f t="shared" si="88"/>
        <v>2001MaleMaori24Poisoning by solids and liquids</v>
      </c>
      <c r="U1246">
        <v>2001</v>
      </c>
      <c r="V1246" t="s">
        <v>20</v>
      </c>
      <c r="W1246" t="s">
        <v>18</v>
      </c>
      <c r="X1246">
        <v>24</v>
      </c>
      <c r="Y1246" t="s">
        <v>47</v>
      </c>
      <c r="Z1246">
        <v>1</v>
      </c>
      <c r="AA1246">
        <v>5</v>
      </c>
      <c r="AB1246">
        <v>20</v>
      </c>
    </row>
    <row r="1247" spans="10:28">
      <c r="J1247" s="340" t="str">
        <f t="shared" si="87"/>
        <v>2003AllSexNon-Maori254</v>
      </c>
      <c r="K1247">
        <v>2003</v>
      </c>
      <c r="L1247" t="s">
        <v>17</v>
      </c>
      <c r="M1247" t="s">
        <v>19</v>
      </c>
      <c r="N1247">
        <v>25</v>
      </c>
      <c r="O1247">
        <v>4</v>
      </c>
      <c r="P1247">
        <v>15</v>
      </c>
      <c r="Q1247">
        <v>15.376849409639201</v>
      </c>
      <c r="R1247">
        <v>7.8</v>
      </c>
      <c r="T1247" s="340" t="str">
        <f t="shared" si="88"/>
        <v>2001MaleMaori22Sharp object</v>
      </c>
      <c r="U1247">
        <v>2001</v>
      </c>
      <c r="V1247" t="s">
        <v>20</v>
      </c>
      <c r="W1247" t="s">
        <v>18</v>
      </c>
      <c r="X1247">
        <v>22</v>
      </c>
      <c r="Y1247" t="s">
        <v>48</v>
      </c>
      <c r="Z1247">
        <v>1</v>
      </c>
      <c r="AA1247">
        <v>20</v>
      </c>
      <c r="AB1247">
        <v>5</v>
      </c>
    </row>
    <row r="1248" spans="10:28">
      <c r="J1248" s="340" t="str">
        <f t="shared" si="87"/>
        <v>2003AllSexNon-Maori255</v>
      </c>
      <c r="K1248">
        <v>2003</v>
      </c>
      <c r="L1248" t="s">
        <v>17</v>
      </c>
      <c r="M1248" t="s">
        <v>19</v>
      </c>
      <c r="N1248">
        <v>25</v>
      </c>
      <c r="O1248">
        <v>5</v>
      </c>
      <c r="P1248">
        <v>10</v>
      </c>
      <c r="Q1248">
        <v>14.6104788401662</v>
      </c>
      <c r="R1248">
        <v>9.1</v>
      </c>
      <c r="T1248" s="340" t="str">
        <f t="shared" si="88"/>
        <v>2001MaleNon-Maori22Firearms and explosives</v>
      </c>
      <c r="U1248">
        <v>2001</v>
      </c>
      <c r="V1248" t="s">
        <v>20</v>
      </c>
      <c r="W1248" t="s">
        <v>19</v>
      </c>
      <c r="X1248">
        <v>22</v>
      </c>
      <c r="Y1248" t="s">
        <v>42</v>
      </c>
      <c r="Z1248">
        <v>5</v>
      </c>
      <c r="AA1248">
        <v>67</v>
      </c>
      <c r="AB1248">
        <v>7.5</v>
      </c>
    </row>
    <row r="1249" spans="10:28">
      <c r="J1249" s="340" t="str">
        <f t="shared" si="87"/>
        <v>2003FemaleAllEth211</v>
      </c>
      <c r="K1249">
        <v>2003</v>
      </c>
      <c r="L1249" t="s">
        <v>8</v>
      </c>
      <c r="M1249" t="s">
        <v>27</v>
      </c>
      <c r="N1249">
        <v>21</v>
      </c>
      <c r="O1249">
        <v>1</v>
      </c>
      <c r="P1249">
        <v>0</v>
      </c>
      <c r="Q1249">
        <v>0</v>
      </c>
      <c r="T1249" s="340" t="str">
        <f t="shared" si="88"/>
        <v>2001MaleNon-Maori23Firearms and explosives</v>
      </c>
      <c r="U1249">
        <v>2001</v>
      </c>
      <c r="V1249" t="s">
        <v>20</v>
      </c>
      <c r="W1249" t="s">
        <v>19</v>
      </c>
      <c r="X1249">
        <v>23</v>
      </c>
      <c r="Y1249" t="s">
        <v>42</v>
      </c>
      <c r="Z1249">
        <v>26</v>
      </c>
      <c r="AA1249">
        <v>158</v>
      </c>
      <c r="AB1249">
        <v>16.5</v>
      </c>
    </row>
    <row r="1250" spans="10:28">
      <c r="J1250" s="340" t="str">
        <f t="shared" si="87"/>
        <v>2003FemaleAllEth212</v>
      </c>
      <c r="K1250">
        <v>2003</v>
      </c>
      <c r="L1250" t="s">
        <v>8</v>
      </c>
      <c r="M1250" t="s">
        <v>27</v>
      </c>
      <c r="N1250">
        <v>21</v>
      </c>
      <c r="O1250">
        <v>2</v>
      </c>
      <c r="P1250">
        <v>0</v>
      </c>
      <c r="Q1250">
        <v>0</v>
      </c>
      <c r="T1250" s="340" t="str">
        <f t="shared" si="88"/>
        <v>2001MaleNon-Maori24Firearms and explosives</v>
      </c>
      <c r="U1250">
        <v>2001</v>
      </c>
      <c r="V1250" t="s">
        <v>20</v>
      </c>
      <c r="W1250" t="s">
        <v>19</v>
      </c>
      <c r="X1250">
        <v>24</v>
      </c>
      <c r="Y1250" t="s">
        <v>42</v>
      </c>
      <c r="Z1250">
        <v>12</v>
      </c>
      <c r="AA1250">
        <v>60</v>
      </c>
      <c r="AB1250">
        <v>20</v>
      </c>
    </row>
    <row r="1251" spans="10:28">
      <c r="J1251" s="340" t="str">
        <f t="shared" si="87"/>
        <v>2003FemaleAllEth213</v>
      </c>
      <c r="K1251">
        <v>2003</v>
      </c>
      <c r="L1251" t="s">
        <v>8</v>
      </c>
      <c r="M1251" t="s">
        <v>27</v>
      </c>
      <c r="N1251">
        <v>21</v>
      </c>
      <c r="O1251">
        <v>3</v>
      </c>
      <c r="P1251">
        <v>0</v>
      </c>
      <c r="Q1251">
        <v>0</v>
      </c>
      <c r="T1251" s="340" t="str">
        <f t="shared" si="88"/>
        <v>2001MaleNon-Maori25Firearms and explosives</v>
      </c>
      <c r="U1251">
        <v>2001</v>
      </c>
      <c r="V1251" t="s">
        <v>20</v>
      </c>
      <c r="W1251" t="s">
        <v>19</v>
      </c>
      <c r="X1251">
        <v>25</v>
      </c>
      <c r="Y1251" t="s">
        <v>42</v>
      </c>
      <c r="Z1251">
        <v>3</v>
      </c>
      <c r="AA1251">
        <v>46</v>
      </c>
      <c r="AB1251">
        <v>6.5</v>
      </c>
    </row>
    <row r="1252" spans="10:28">
      <c r="J1252" s="340" t="str">
        <f t="shared" si="87"/>
        <v>2003FemaleAllEth214</v>
      </c>
      <c r="K1252">
        <v>2003</v>
      </c>
      <c r="L1252" t="s">
        <v>8</v>
      </c>
      <c r="M1252" t="s">
        <v>27</v>
      </c>
      <c r="N1252">
        <v>21</v>
      </c>
      <c r="O1252">
        <v>4</v>
      </c>
      <c r="P1252">
        <v>0</v>
      </c>
      <c r="Q1252">
        <v>0</v>
      </c>
      <c r="T1252" s="340" t="str">
        <f t="shared" si="88"/>
        <v>2001MaleNon-Maori21Hanging, strangulation and suffocation</v>
      </c>
      <c r="U1252">
        <v>2001</v>
      </c>
      <c r="V1252" t="s">
        <v>20</v>
      </c>
      <c r="W1252" t="s">
        <v>19</v>
      </c>
      <c r="X1252">
        <v>21</v>
      </c>
      <c r="Y1252" t="s">
        <v>43</v>
      </c>
      <c r="Z1252">
        <v>1</v>
      </c>
      <c r="AA1252">
        <v>1</v>
      </c>
      <c r="AB1252">
        <v>100</v>
      </c>
    </row>
    <row r="1253" spans="10:28">
      <c r="J1253" s="340" t="str">
        <f t="shared" si="87"/>
        <v>2003FemaleAllEth215</v>
      </c>
      <c r="K1253">
        <v>2003</v>
      </c>
      <c r="L1253" t="s">
        <v>8</v>
      </c>
      <c r="M1253" t="s">
        <v>27</v>
      </c>
      <c r="N1253">
        <v>21</v>
      </c>
      <c r="O1253">
        <v>5</v>
      </c>
      <c r="P1253">
        <v>1</v>
      </c>
      <c r="Q1253">
        <v>0.97254864596013202</v>
      </c>
      <c r="R1253">
        <v>1.9</v>
      </c>
      <c r="T1253" s="340" t="str">
        <f t="shared" si="88"/>
        <v>2001MaleNon-Maori22Hanging, strangulation and suffocation</v>
      </c>
      <c r="U1253">
        <v>2001</v>
      </c>
      <c r="V1253" t="s">
        <v>20</v>
      </c>
      <c r="W1253" t="s">
        <v>19</v>
      </c>
      <c r="X1253">
        <v>22</v>
      </c>
      <c r="Y1253" t="s">
        <v>43</v>
      </c>
      <c r="Z1253">
        <v>41</v>
      </c>
      <c r="AA1253">
        <v>67</v>
      </c>
      <c r="AB1253">
        <v>61.2</v>
      </c>
    </row>
    <row r="1254" spans="10:28">
      <c r="J1254" s="340" t="str">
        <f t="shared" si="87"/>
        <v>2003FemaleAllEth221</v>
      </c>
      <c r="K1254">
        <v>2003</v>
      </c>
      <c r="L1254" t="s">
        <v>8</v>
      </c>
      <c r="M1254" t="s">
        <v>27</v>
      </c>
      <c r="N1254">
        <v>22</v>
      </c>
      <c r="O1254">
        <v>1</v>
      </c>
      <c r="P1254">
        <v>4</v>
      </c>
      <c r="Q1254">
        <v>8.7049561983799801</v>
      </c>
      <c r="R1254">
        <v>8.5</v>
      </c>
      <c r="T1254" s="340" t="str">
        <f t="shared" si="88"/>
        <v>2001MaleNon-Maori23Hanging, strangulation and suffocation</v>
      </c>
      <c r="U1254">
        <v>2001</v>
      </c>
      <c r="V1254" t="s">
        <v>20</v>
      </c>
      <c r="W1254" t="s">
        <v>19</v>
      </c>
      <c r="X1254">
        <v>23</v>
      </c>
      <c r="Y1254" t="s">
        <v>43</v>
      </c>
      <c r="Z1254">
        <v>68</v>
      </c>
      <c r="AA1254">
        <v>158</v>
      </c>
      <c r="AB1254">
        <v>43</v>
      </c>
    </row>
    <row r="1255" spans="10:28">
      <c r="J1255" s="340" t="str">
        <f t="shared" si="87"/>
        <v>2003FemaleAllEth222</v>
      </c>
      <c r="K1255">
        <v>2003</v>
      </c>
      <c r="L1255" t="s">
        <v>8</v>
      </c>
      <c r="M1255" t="s">
        <v>27</v>
      </c>
      <c r="N1255">
        <v>22</v>
      </c>
      <c r="O1255">
        <v>2</v>
      </c>
      <c r="P1255">
        <v>1</v>
      </c>
      <c r="Q1255">
        <v>2.0274634064134802</v>
      </c>
      <c r="R1255">
        <v>4</v>
      </c>
      <c r="T1255" s="340" t="str">
        <f t="shared" si="88"/>
        <v>2001MaleNon-Maori24Hanging, strangulation and suffocation</v>
      </c>
      <c r="U1255">
        <v>2001</v>
      </c>
      <c r="V1255" t="s">
        <v>20</v>
      </c>
      <c r="W1255" t="s">
        <v>19</v>
      </c>
      <c r="X1255">
        <v>24</v>
      </c>
      <c r="Y1255" t="s">
        <v>43</v>
      </c>
      <c r="Z1255">
        <v>19</v>
      </c>
      <c r="AA1255">
        <v>60</v>
      </c>
      <c r="AB1255">
        <v>31.7</v>
      </c>
    </row>
    <row r="1256" spans="10:28">
      <c r="J1256" s="340" t="str">
        <f t="shared" si="87"/>
        <v>2003FemaleAllEth223</v>
      </c>
      <c r="K1256">
        <v>2003</v>
      </c>
      <c r="L1256" t="s">
        <v>8</v>
      </c>
      <c r="M1256" t="s">
        <v>27</v>
      </c>
      <c r="N1256">
        <v>22</v>
      </c>
      <c r="O1256">
        <v>3</v>
      </c>
      <c r="P1256">
        <v>6</v>
      </c>
      <c r="Q1256">
        <v>11.048993296613199</v>
      </c>
      <c r="R1256">
        <v>8.8000000000000007</v>
      </c>
      <c r="T1256" s="340" t="str">
        <f t="shared" si="88"/>
        <v>2001MaleNon-Maori25Hanging, strangulation and suffocation</v>
      </c>
      <c r="U1256">
        <v>2001</v>
      </c>
      <c r="V1256" t="s">
        <v>20</v>
      </c>
      <c r="W1256" t="s">
        <v>19</v>
      </c>
      <c r="X1256">
        <v>25</v>
      </c>
      <c r="Y1256" t="s">
        <v>43</v>
      </c>
      <c r="Z1256">
        <v>14</v>
      </c>
      <c r="AA1256">
        <v>46</v>
      </c>
      <c r="AB1256">
        <v>30.4</v>
      </c>
    </row>
    <row r="1257" spans="10:28">
      <c r="J1257" s="340" t="str">
        <f t="shared" si="87"/>
        <v>2003FemaleAllEth224</v>
      </c>
      <c r="K1257">
        <v>2003</v>
      </c>
      <c r="L1257" t="s">
        <v>8</v>
      </c>
      <c r="M1257" t="s">
        <v>27</v>
      </c>
      <c r="N1257">
        <v>22</v>
      </c>
      <c r="O1257">
        <v>4</v>
      </c>
      <c r="P1257">
        <v>6</v>
      </c>
      <c r="Q1257">
        <v>9.8755228542466593</v>
      </c>
      <c r="R1257">
        <v>7.9</v>
      </c>
      <c r="T1257" s="340" t="str">
        <f t="shared" si="88"/>
        <v>2001MaleNon-Maori22Jumping from a high place</v>
      </c>
      <c r="U1257">
        <v>2001</v>
      </c>
      <c r="V1257" t="s">
        <v>20</v>
      </c>
      <c r="W1257" t="s">
        <v>19</v>
      </c>
      <c r="X1257">
        <v>22</v>
      </c>
      <c r="Y1257" t="s">
        <v>44</v>
      </c>
      <c r="Z1257">
        <v>6</v>
      </c>
      <c r="AA1257">
        <v>67</v>
      </c>
      <c r="AB1257">
        <v>9</v>
      </c>
    </row>
    <row r="1258" spans="10:28">
      <c r="J1258" s="340" t="str">
        <f t="shared" si="87"/>
        <v>2003FemaleAllEth225</v>
      </c>
      <c r="K1258">
        <v>2003</v>
      </c>
      <c r="L1258" t="s">
        <v>8</v>
      </c>
      <c r="M1258" t="s">
        <v>27</v>
      </c>
      <c r="N1258">
        <v>22</v>
      </c>
      <c r="O1258">
        <v>5</v>
      </c>
      <c r="P1258">
        <v>12</v>
      </c>
      <c r="Q1258">
        <v>16.504695102336399</v>
      </c>
      <c r="R1258">
        <v>9.3000000000000007</v>
      </c>
      <c r="T1258" s="340" t="str">
        <f t="shared" si="88"/>
        <v>2001MaleNon-Maori23Jumping from a high place</v>
      </c>
      <c r="U1258">
        <v>2001</v>
      </c>
      <c r="V1258" t="s">
        <v>20</v>
      </c>
      <c r="W1258" t="s">
        <v>19</v>
      </c>
      <c r="X1258">
        <v>23</v>
      </c>
      <c r="Y1258" t="s">
        <v>44</v>
      </c>
      <c r="Z1258">
        <v>3</v>
      </c>
      <c r="AA1258">
        <v>158</v>
      </c>
      <c r="AB1258">
        <v>1.9</v>
      </c>
    </row>
    <row r="1259" spans="10:28">
      <c r="J1259" s="340" t="str">
        <f t="shared" si="87"/>
        <v>2003FemaleAllEth231</v>
      </c>
      <c r="K1259">
        <v>2003</v>
      </c>
      <c r="L1259" t="s">
        <v>8</v>
      </c>
      <c r="M1259" t="s">
        <v>27</v>
      </c>
      <c r="N1259">
        <v>23</v>
      </c>
      <c r="O1259">
        <v>1</v>
      </c>
      <c r="P1259">
        <v>7</v>
      </c>
      <c r="Q1259">
        <v>5.8152509545933304</v>
      </c>
      <c r="R1259">
        <v>4.3</v>
      </c>
      <c r="T1259" s="340" t="str">
        <f t="shared" si="88"/>
        <v>2001MaleNon-Maori24Jumping from a high place</v>
      </c>
      <c r="U1259">
        <v>2001</v>
      </c>
      <c r="V1259" t="s">
        <v>20</v>
      </c>
      <c r="W1259" t="s">
        <v>19</v>
      </c>
      <c r="X1259">
        <v>24</v>
      </c>
      <c r="Y1259" t="s">
        <v>44</v>
      </c>
      <c r="Z1259">
        <v>1</v>
      </c>
      <c r="AA1259">
        <v>60</v>
      </c>
      <c r="AB1259">
        <v>1.7</v>
      </c>
    </row>
    <row r="1260" spans="10:28">
      <c r="J1260" s="340" t="str">
        <f t="shared" si="87"/>
        <v>2003FemaleAllEth232</v>
      </c>
      <c r="K1260">
        <v>2003</v>
      </c>
      <c r="L1260" t="s">
        <v>8</v>
      </c>
      <c r="M1260" t="s">
        <v>27</v>
      </c>
      <c r="N1260">
        <v>23</v>
      </c>
      <c r="O1260">
        <v>2</v>
      </c>
      <c r="P1260">
        <v>5</v>
      </c>
      <c r="Q1260">
        <v>3.99619094531212</v>
      </c>
      <c r="R1260">
        <v>3.5</v>
      </c>
      <c r="T1260" s="340" t="str">
        <f t="shared" si="88"/>
        <v>2001MaleNon-Maori22Other</v>
      </c>
      <c r="U1260">
        <v>2001</v>
      </c>
      <c r="V1260" t="s">
        <v>20</v>
      </c>
      <c r="W1260" t="s">
        <v>19</v>
      </c>
      <c r="X1260">
        <v>22</v>
      </c>
      <c r="Y1260" t="s">
        <v>45</v>
      </c>
      <c r="Z1260">
        <v>2</v>
      </c>
      <c r="AA1260">
        <v>67</v>
      </c>
      <c r="AB1260">
        <v>3</v>
      </c>
    </row>
    <row r="1261" spans="10:28">
      <c r="J1261" s="340" t="str">
        <f t="shared" si="87"/>
        <v>2003FemaleAllEth233</v>
      </c>
      <c r="K1261">
        <v>2003</v>
      </c>
      <c r="L1261" t="s">
        <v>8</v>
      </c>
      <c r="M1261" t="s">
        <v>27</v>
      </c>
      <c r="N1261">
        <v>23</v>
      </c>
      <c r="O1261">
        <v>3</v>
      </c>
      <c r="P1261">
        <v>14</v>
      </c>
      <c r="Q1261">
        <v>11.294620745217999</v>
      </c>
      <c r="R1261">
        <v>5.9</v>
      </c>
      <c r="T1261" s="340" t="str">
        <f t="shared" si="88"/>
        <v>2001MaleNon-Maori23Other</v>
      </c>
      <c r="U1261">
        <v>2001</v>
      </c>
      <c r="V1261" t="s">
        <v>20</v>
      </c>
      <c r="W1261" t="s">
        <v>19</v>
      </c>
      <c r="X1261">
        <v>23</v>
      </c>
      <c r="Y1261" t="s">
        <v>45</v>
      </c>
      <c r="Z1261">
        <v>7</v>
      </c>
      <c r="AA1261">
        <v>158</v>
      </c>
      <c r="AB1261">
        <v>4.4000000000000004</v>
      </c>
    </row>
    <row r="1262" spans="10:28">
      <c r="J1262" s="340" t="str">
        <f t="shared" si="87"/>
        <v>2003FemaleAllEth234</v>
      </c>
      <c r="K1262">
        <v>2003</v>
      </c>
      <c r="L1262" t="s">
        <v>8</v>
      </c>
      <c r="M1262" t="s">
        <v>27</v>
      </c>
      <c r="N1262">
        <v>23</v>
      </c>
      <c r="O1262">
        <v>4</v>
      </c>
      <c r="P1262">
        <v>8</v>
      </c>
      <c r="Q1262">
        <v>6.5890670562718601</v>
      </c>
      <c r="R1262">
        <v>4.5999999999999996</v>
      </c>
      <c r="T1262" s="340" t="str">
        <f t="shared" si="88"/>
        <v>2001MaleNon-Maori24Other</v>
      </c>
      <c r="U1262">
        <v>2001</v>
      </c>
      <c r="V1262" t="s">
        <v>20</v>
      </c>
      <c r="W1262" t="s">
        <v>19</v>
      </c>
      <c r="X1262">
        <v>24</v>
      </c>
      <c r="Y1262" t="s">
        <v>45</v>
      </c>
      <c r="Z1262">
        <v>2</v>
      </c>
      <c r="AA1262">
        <v>60</v>
      </c>
      <c r="AB1262">
        <v>3.3</v>
      </c>
    </row>
    <row r="1263" spans="10:28">
      <c r="J1263" s="340" t="str">
        <f t="shared" si="87"/>
        <v>2003FemaleAllEth235</v>
      </c>
      <c r="K1263">
        <v>2003</v>
      </c>
      <c r="L1263" t="s">
        <v>8</v>
      </c>
      <c r="M1263" t="s">
        <v>27</v>
      </c>
      <c r="N1263">
        <v>23</v>
      </c>
      <c r="O1263">
        <v>5</v>
      </c>
      <c r="P1263">
        <v>15</v>
      </c>
      <c r="Q1263">
        <v>12.938656950589399</v>
      </c>
      <c r="R1263">
        <v>6.5</v>
      </c>
      <c r="T1263" s="340" t="str">
        <f t="shared" si="88"/>
        <v>2001MaleNon-Maori25Other</v>
      </c>
      <c r="U1263">
        <v>2001</v>
      </c>
      <c r="V1263" t="s">
        <v>20</v>
      </c>
      <c r="W1263" t="s">
        <v>19</v>
      </c>
      <c r="X1263">
        <v>25</v>
      </c>
      <c r="Y1263" t="s">
        <v>45</v>
      </c>
      <c r="Z1263">
        <v>5</v>
      </c>
      <c r="AA1263">
        <v>46</v>
      </c>
      <c r="AB1263">
        <v>10.9</v>
      </c>
    </row>
    <row r="1264" spans="10:28">
      <c r="J1264" s="340" t="str">
        <f t="shared" si="87"/>
        <v>2003FemaleAllEth241</v>
      </c>
      <c r="K1264">
        <v>2003</v>
      </c>
      <c r="L1264" t="s">
        <v>8</v>
      </c>
      <c r="M1264" t="s">
        <v>27</v>
      </c>
      <c r="N1264">
        <v>24</v>
      </c>
      <c r="O1264">
        <v>1</v>
      </c>
      <c r="P1264">
        <v>2</v>
      </c>
      <c r="Q1264">
        <v>1.7779981221259999</v>
      </c>
      <c r="R1264">
        <v>2.5</v>
      </c>
      <c r="T1264" s="340" t="str">
        <f t="shared" si="88"/>
        <v>2001MaleNon-Maori22Poisoning by gases and vapours</v>
      </c>
      <c r="U1264">
        <v>2001</v>
      </c>
      <c r="V1264" t="s">
        <v>20</v>
      </c>
      <c r="W1264" t="s">
        <v>19</v>
      </c>
      <c r="X1264">
        <v>22</v>
      </c>
      <c r="Y1264" t="s">
        <v>46</v>
      </c>
      <c r="Z1264">
        <v>11</v>
      </c>
      <c r="AA1264">
        <v>67</v>
      </c>
      <c r="AB1264">
        <v>16.399999999999999</v>
      </c>
    </row>
    <row r="1265" spans="10:28">
      <c r="J1265" s="340" t="str">
        <f t="shared" si="87"/>
        <v>2003FemaleAllEth242</v>
      </c>
      <c r="K1265">
        <v>2003</v>
      </c>
      <c r="L1265" t="s">
        <v>8</v>
      </c>
      <c r="M1265" t="s">
        <v>27</v>
      </c>
      <c r="N1265">
        <v>24</v>
      </c>
      <c r="O1265">
        <v>2</v>
      </c>
      <c r="P1265">
        <v>6</v>
      </c>
      <c r="Q1265">
        <v>5.9849058301859603</v>
      </c>
      <c r="R1265">
        <v>4.8</v>
      </c>
      <c r="T1265" s="340" t="str">
        <f t="shared" si="88"/>
        <v>2001MaleNon-Maori23Poisoning by gases and vapours</v>
      </c>
      <c r="U1265">
        <v>2001</v>
      </c>
      <c r="V1265" t="s">
        <v>20</v>
      </c>
      <c r="W1265" t="s">
        <v>19</v>
      </c>
      <c r="X1265">
        <v>23</v>
      </c>
      <c r="Y1265" t="s">
        <v>46</v>
      </c>
      <c r="Z1265">
        <v>41</v>
      </c>
      <c r="AA1265">
        <v>158</v>
      </c>
      <c r="AB1265">
        <v>25.9</v>
      </c>
    </row>
    <row r="1266" spans="10:28">
      <c r="J1266" s="340" t="str">
        <f t="shared" si="87"/>
        <v>2003FemaleAllEth243</v>
      </c>
      <c r="K1266">
        <v>2003</v>
      </c>
      <c r="L1266" t="s">
        <v>8</v>
      </c>
      <c r="M1266" t="s">
        <v>27</v>
      </c>
      <c r="N1266">
        <v>24</v>
      </c>
      <c r="O1266">
        <v>3</v>
      </c>
      <c r="P1266">
        <v>9</v>
      </c>
      <c r="Q1266">
        <v>9.8663479615906802</v>
      </c>
      <c r="R1266">
        <v>6.4</v>
      </c>
      <c r="T1266" s="340" t="str">
        <f t="shared" si="88"/>
        <v>2001MaleNon-Maori24Poisoning by gases and vapours</v>
      </c>
      <c r="U1266">
        <v>2001</v>
      </c>
      <c r="V1266" t="s">
        <v>20</v>
      </c>
      <c r="W1266" t="s">
        <v>19</v>
      </c>
      <c r="X1266">
        <v>24</v>
      </c>
      <c r="Y1266" t="s">
        <v>46</v>
      </c>
      <c r="Z1266">
        <v>17</v>
      </c>
      <c r="AA1266">
        <v>60</v>
      </c>
      <c r="AB1266">
        <v>28.3</v>
      </c>
    </row>
    <row r="1267" spans="10:28">
      <c r="J1267" s="340" t="str">
        <f t="shared" si="87"/>
        <v>2003FemaleAllEth244</v>
      </c>
      <c r="K1267">
        <v>2003</v>
      </c>
      <c r="L1267" t="s">
        <v>8</v>
      </c>
      <c r="M1267" t="s">
        <v>27</v>
      </c>
      <c r="N1267">
        <v>24</v>
      </c>
      <c r="O1267">
        <v>4</v>
      </c>
      <c r="P1267">
        <v>8</v>
      </c>
      <c r="Q1267">
        <v>9.5546244713928097</v>
      </c>
      <c r="R1267">
        <v>6.6</v>
      </c>
      <c r="T1267" s="340" t="str">
        <f t="shared" si="88"/>
        <v>2001MaleNon-Maori25Poisoning by gases and vapours</v>
      </c>
      <c r="U1267">
        <v>2001</v>
      </c>
      <c r="V1267" t="s">
        <v>20</v>
      </c>
      <c r="W1267" t="s">
        <v>19</v>
      </c>
      <c r="X1267">
        <v>25</v>
      </c>
      <c r="Y1267" t="s">
        <v>46</v>
      </c>
      <c r="Z1267">
        <v>13</v>
      </c>
      <c r="AA1267">
        <v>46</v>
      </c>
      <c r="AB1267">
        <v>28.3</v>
      </c>
    </row>
    <row r="1268" spans="10:28">
      <c r="J1268" s="340" t="str">
        <f t="shared" si="87"/>
        <v>2003FemaleAllEth245</v>
      </c>
      <c r="K1268">
        <v>2003</v>
      </c>
      <c r="L1268" t="s">
        <v>8</v>
      </c>
      <c r="M1268" t="s">
        <v>27</v>
      </c>
      <c r="N1268">
        <v>24</v>
      </c>
      <c r="O1268">
        <v>5</v>
      </c>
      <c r="P1268">
        <v>7</v>
      </c>
      <c r="Q1268">
        <v>9.39049181031071</v>
      </c>
      <c r="R1268">
        <v>7</v>
      </c>
      <c r="T1268" s="340" t="str">
        <f t="shared" si="88"/>
        <v>2001MaleNon-Maori23Poisoning by solids and liquids</v>
      </c>
      <c r="U1268">
        <v>2001</v>
      </c>
      <c r="V1268" t="s">
        <v>20</v>
      </c>
      <c r="W1268" t="s">
        <v>19</v>
      </c>
      <c r="X1268">
        <v>23</v>
      </c>
      <c r="Y1268" t="s">
        <v>47</v>
      </c>
      <c r="Z1268">
        <v>12</v>
      </c>
      <c r="AA1268">
        <v>158</v>
      </c>
      <c r="AB1268">
        <v>7.6</v>
      </c>
    </row>
    <row r="1269" spans="10:28">
      <c r="J1269" s="340" t="str">
        <f t="shared" si="87"/>
        <v>2003FemaleAllEth251</v>
      </c>
      <c r="K1269">
        <v>2003</v>
      </c>
      <c r="L1269" t="s">
        <v>8</v>
      </c>
      <c r="M1269" t="s">
        <v>27</v>
      </c>
      <c r="N1269">
        <v>25</v>
      </c>
      <c r="O1269">
        <v>1</v>
      </c>
      <c r="P1269">
        <v>2</v>
      </c>
      <c r="Q1269">
        <v>4.1449910022713103</v>
      </c>
      <c r="R1269">
        <v>5.7</v>
      </c>
      <c r="T1269" s="340" t="str">
        <f t="shared" si="88"/>
        <v>2001MaleNon-Maori24Poisoning by solids and liquids</v>
      </c>
      <c r="U1269">
        <v>2001</v>
      </c>
      <c r="V1269" t="s">
        <v>20</v>
      </c>
      <c r="W1269" t="s">
        <v>19</v>
      </c>
      <c r="X1269">
        <v>24</v>
      </c>
      <c r="Y1269" t="s">
        <v>47</v>
      </c>
      <c r="Z1269">
        <v>7</v>
      </c>
      <c r="AA1269">
        <v>60</v>
      </c>
      <c r="AB1269">
        <v>11.7</v>
      </c>
    </row>
    <row r="1270" spans="10:28">
      <c r="J1270" s="340" t="str">
        <f t="shared" si="87"/>
        <v>2003FemaleAllEth252</v>
      </c>
      <c r="K1270">
        <v>2003</v>
      </c>
      <c r="L1270" t="s">
        <v>8</v>
      </c>
      <c r="M1270" t="s">
        <v>27</v>
      </c>
      <c r="N1270">
        <v>25</v>
      </c>
      <c r="O1270">
        <v>2</v>
      </c>
      <c r="P1270">
        <v>4</v>
      </c>
      <c r="Q1270">
        <v>7.3801070298046101</v>
      </c>
      <c r="R1270">
        <v>7.2</v>
      </c>
      <c r="T1270" s="340" t="str">
        <f t="shared" si="88"/>
        <v>2001MaleNon-Maori25Poisoning by solids and liquids</v>
      </c>
      <c r="U1270">
        <v>2001</v>
      </c>
      <c r="V1270" t="s">
        <v>20</v>
      </c>
      <c r="W1270" t="s">
        <v>19</v>
      </c>
      <c r="X1270">
        <v>25</v>
      </c>
      <c r="Y1270" t="s">
        <v>47</v>
      </c>
      <c r="Z1270">
        <v>7</v>
      </c>
      <c r="AA1270">
        <v>46</v>
      </c>
      <c r="AB1270">
        <v>15.2</v>
      </c>
    </row>
    <row r="1271" spans="10:28">
      <c r="J1271" s="340" t="str">
        <f t="shared" si="87"/>
        <v>2003FemaleAllEth253</v>
      </c>
      <c r="K1271">
        <v>2003</v>
      </c>
      <c r="L1271" t="s">
        <v>8</v>
      </c>
      <c r="M1271" t="s">
        <v>27</v>
      </c>
      <c r="N1271">
        <v>25</v>
      </c>
      <c r="O1271">
        <v>3</v>
      </c>
      <c r="P1271">
        <v>4</v>
      </c>
      <c r="Q1271">
        <v>6.9248512735535703</v>
      </c>
      <c r="R1271">
        <v>6.8</v>
      </c>
      <c r="T1271" s="340" t="str">
        <f t="shared" si="88"/>
        <v>2001MaleNon-Maori22Sharp object</v>
      </c>
      <c r="U1271">
        <v>2001</v>
      </c>
      <c r="V1271" t="s">
        <v>20</v>
      </c>
      <c r="W1271" t="s">
        <v>19</v>
      </c>
      <c r="X1271">
        <v>22</v>
      </c>
      <c r="Y1271" t="s">
        <v>48</v>
      </c>
      <c r="Z1271">
        <v>1</v>
      </c>
      <c r="AA1271">
        <v>67</v>
      </c>
      <c r="AB1271">
        <v>1.5</v>
      </c>
    </row>
    <row r="1272" spans="10:28">
      <c r="J1272" s="340" t="str">
        <f t="shared" si="87"/>
        <v>2003FemaleAllEth254</v>
      </c>
      <c r="K1272">
        <v>2003</v>
      </c>
      <c r="L1272" t="s">
        <v>8</v>
      </c>
      <c r="M1272" t="s">
        <v>27</v>
      </c>
      <c r="N1272">
        <v>25</v>
      </c>
      <c r="O1272">
        <v>4</v>
      </c>
      <c r="P1272">
        <v>5</v>
      </c>
      <c r="Q1272">
        <v>8.3359225339486898</v>
      </c>
      <c r="R1272">
        <v>7.3</v>
      </c>
      <c r="T1272" s="340" t="str">
        <f t="shared" si="88"/>
        <v>2001MaleNon-Maori23Sharp object</v>
      </c>
      <c r="U1272">
        <v>2001</v>
      </c>
      <c r="V1272" t="s">
        <v>20</v>
      </c>
      <c r="W1272" t="s">
        <v>19</v>
      </c>
      <c r="X1272">
        <v>23</v>
      </c>
      <c r="Y1272" t="s">
        <v>48</v>
      </c>
      <c r="Z1272">
        <v>1</v>
      </c>
      <c r="AA1272">
        <v>158</v>
      </c>
      <c r="AB1272">
        <v>0.6</v>
      </c>
    </row>
    <row r="1273" spans="10:28">
      <c r="J1273" s="340" t="str">
        <f t="shared" si="87"/>
        <v>2003FemaleAllEth255</v>
      </c>
      <c r="K1273">
        <v>2003</v>
      </c>
      <c r="L1273" t="s">
        <v>8</v>
      </c>
      <c r="M1273" t="s">
        <v>27</v>
      </c>
      <c r="N1273">
        <v>25</v>
      </c>
      <c r="O1273">
        <v>5</v>
      </c>
      <c r="P1273">
        <v>4</v>
      </c>
      <c r="Q1273">
        <v>8.7594634113698397</v>
      </c>
      <c r="R1273">
        <v>8.6</v>
      </c>
      <c r="T1273" s="340" t="str">
        <f t="shared" si="88"/>
        <v>2001MaleNon-Maori24Sharp object</v>
      </c>
      <c r="U1273">
        <v>2001</v>
      </c>
      <c r="V1273" t="s">
        <v>20</v>
      </c>
      <c r="W1273" t="s">
        <v>19</v>
      </c>
      <c r="X1273">
        <v>24</v>
      </c>
      <c r="Y1273" t="s">
        <v>48</v>
      </c>
      <c r="Z1273">
        <v>2</v>
      </c>
      <c r="AA1273">
        <v>60</v>
      </c>
      <c r="AB1273">
        <v>3.3</v>
      </c>
    </row>
    <row r="1274" spans="10:28">
      <c r="J1274" s="340" t="str">
        <f t="shared" si="87"/>
        <v>2003FemaleMaori211</v>
      </c>
      <c r="K1274">
        <v>2003</v>
      </c>
      <c r="L1274" t="s">
        <v>8</v>
      </c>
      <c r="M1274" t="s">
        <v>18</v>
      </c>
      <c r="N1274">
        <v>21</v>
      </c>
      <c r="O1274">
        <v>1</v>
      </c>
      <c r="P1274">
        <v>0</v>
      </c>
      <c r="Q1274">
        <v>0</v>
      </c>
      <c r="T1274" s="340" t="str">
        <f t="shared" si="88"/>
        <v>2001MaleNon-Maori25Sharp object</v>
      </c>
      <c r="U1274">
        <v>2001</v>
      </c>
      <c r="V1274" t="s">
        <v>20</v>
      </c>
      <c r="W1274" t="s">
        <v>19</v>
      </c>
      <c r="X1274">
        <v>25</v>
      </c>
      <c r="Y1274" t="s">
        <v>48</v>
      </c>
      <c r="Z1274">
        <v>3</v>
      </c>
      <c r="AA1274">
        <v>46</v>
      </c>
      <c r="AB1274">
        <v>6.5</v>
      </c>
    </row>
    <row r="1275" spans="10:28">
      <c r="J1275" s="340" t="str">
        <f t="shared" si="87"/>
        <v>2003FemaleMaori212</v>
      </c>
      <c r="K1275">
        <v>2003</v>
      </c>
      <c r="L1275" t="s">
        <v>8</v>
      </c>
      <c r="M1275" t="s">
        <v>18</v>
      </c>
      <c r="N1275">
        <v>21</v>
      </c>
      <c r="O1275">
        <v>2</v>
      </c>
      <c r="P1275">
        <v>0</v>
      </c>
      <c r="Q1275">
        <v>0</v>
      </c>
      <c r="T1275" s="340" t="str">
        <f t="shared" si="88"/>
        <v>2001MaleNon-Maori22Submersion (drowning)</v>
      </c>
      <c r="U1275">
        <v>2001</v>
      </c>
      <c r="V1275" t="s">
        <v>20</v>
      </c>
      <c r="W1275" t="s">
        <v>19</v>
      </c>
      <c r="X1275">
        <v>22</v>
      </c>
      <c r="Y1275" t="s">
        <v>49</v>
      </c>
      <c r="Z1275">
        <v>1</v>
      </c>
      <c r="AA1275">
        <v>67</v>
      </c>
      <c r="AB1275">
        <v>1.5</v>
      </c>
    </row>
    <row r="1276" spans="10:28">
      <c r="J1276" s="340" t="str">
        <f t="shared" si="87"/>
        <v>2003FemaleMaori213</v>
      </c>
      <c r="K1276">
        <v>2003</v>
      </c>
      <c r="L1276" t="s">
        <v>8</v>
      </c>
      <c r="M1276" t="s">
        <v>18</v>
      </c>
      <c r="N1276">
        <v>21</v>
      </c>
      <c r="O1276">
        <v>3</v>
      </c>
      <c r="P1276">
        <v>0</v>
      </c>
      <c r="Q1276">
        <v>0</v>
      </c>
      <c r="T1276" s="340" t="str">
        <f t="shared" si="88"/>
        <v>2001MaleNon-Maori25Submersion (drowning)</v>
      </c>
      <c r="U1276">
        <v>2001</v>
      </c>
      <c r="V1276" t="s">
        <v>20</v>
      </c>
      <c r="W1276" t="s">
        <v>19</v>
      </c>
      <c r="X1276">
        <v>25</v>
      </c>
      <c r="Y1276" t="s">
        <v>49</v>
      </c>
      <c r="Z1276">
        <v>1</v>
      </c>
      <c r="AA1276">
        <v>46</v>
      </c>
      <c r="AB1276">
        <v>2.2000000000000002</v>
      </c>
    </row>
    <row r="1277" spans="10:28">
      <c r="J1277" s="340" t="str">
        <f t="shared" si="87"/>
        <v>2003FemaleMaori214</v>
      </c>
      <c r="K1277">
        <v>2003</v>
      </c>
      <c r="L1277" t="s">
        <v>8</v>
      </c>
      <c r="M1277" t="s">
        <v>18</v>
      </c>
      <c r="N1277">
        <v>21</v>
      </c>
      <c r="O1277">
        <v>4</v>
      </c>
      <c r="P1277">
        <v>0</v>
      </c>
      <c r="Q1277">
        <v>0</v>
      </c>
      <c r="T1277" s="340" t="str">
        <f t="shared" si="88"/>
        <v>2002AllSexAllEth22Firearms and explosives</v>
      </c>
      <c r="U1277">
        <v>2002</v>
      </c>
      <c r="V1277" t="s">
        <v>17</v>
      </c>
      <c r="W1277" t="s">
        <v>27</v>
      </c>
      <c r="X1277">
        <v>22</v>
      </c>
      <c r="Y1277" t="s">
        <v>42</v>
      </c>
      <c r="Z1277">
        <v>6</v>
      </c>
      <c r="AA1277">
        <v>96</v>
      </c>
      <c r="AB1277">
        <v>6.2</v>
      </c>
    </row>
    <row r="1278" spans="10:28">
      <c r="J1278" s="340" t="str">
        <f t="shared" si="87"/>
        <v>2003FemaleMaori215</v>
      </c>
      <c r="K1278">
        <v>2003</v>
      </c>
      <c r="L1278" t="s">
        <v>8</v>
      </c>
      <c r="M1278" t="s">
        <v>18</v>
      </c>
      <c r="N1278">
        <v>21</v>
      </c>
      <c r="O1278">
        <v>5</v>
      </c>
      <c r="P1278">
        <v>1</v>
      </c>
      <c r="Q1278">
        <v>2.1912695310426602</v>
      </c>
      <c r="R1278">
        <v>4.3</v>
      </c>
      <c r="T1278" s="340" t="str">
        <f t="shared" si="88"/>
        <v>2002AllSexAllEth23Firearms and explosives</v>
      </c>
      <c r="U1278">
        <v>2002</v>
      </c>
      <c r="V1278" t="s">
        <v>17</v>
      </c>
      <c r="W1278" t="s">
        <v>27</v>
      </c>
      <c r="X1278">
        <v>23</v>
      </c>
      <c r="Y1278" t="s">
        <v>42</v>
      </c>
      <c r="Z1278">
        <v>19</v>
      </c>
      <c r="AA1278">
        <v>213</v>
      </c>
      <c r="AB1278">
        <v>8.9</v>
      </c>
    </row>
    <row r="1279" spans="10:28">
      <c r="J1279" s="340" t="str">
        <f t="shared" si="87"/>
        <v>2003FemaleMaori221</v>
      </c>
      <c r="K1279">
        <v>2003</v>
      </c>
      <c r="L1279" t="s">
        <v>8</v>
      </c>
      <c r="M1279" t="s">
        <v>18</v>
      </c>
      <c r="N1279">
        <v>22</v>
      </c>
      <c r="O1279">
        <v>1</v>
      </c>
      <c r="P1279">
        <v>0</v>
      </c>
      <c r="Q1279">
        <v>0</v>
      </c>
      <c r="T1279" s="340" t="str">
        <f t="shared" si="88"/>
        <v>2002AllSexAllEth24Firearms and explosives</v>
      </c>
      <c r="U1279">
        <v>2002</v>
      </c>
      <c r="V1279" t="s">
        <v>17</v>
      </c>
      <c r="W1279" t="s">
        <v>27</v>
      </c>
      <c r="X1279">
        <v>24</v>
      </c>
      <c r="Y1279" t="s">
        <v>42</v>
      </c>
      <c r="Z1279">
        <v>17</v>
      </c>
      <c r="AA1279">
        <v>113</v>
      </c>
      <c r="AB1279">
        <v>15</v>
      </c>
    </row>
    <row r="1280" spans="10:28">
      <c r="J1280" s="340" t="str">
        <f t="shared" si="87"/>
        <v>2003FemaleMaori222</v>
      </c>
      <c r="K1280">
        <v>2003</v>
      </c>
      <c r="L1280" t="s">
        <v>8</v>
      </c>
      <c r="M1280" t="s">
        <v>18</v>
      </c>
      <c r="N1280">
        <v>22</v>
      </c>
      <c r="O1280">
        <v>2</v>
      </c>
      <c r="P1280">
        <v>0</v>
      </c>
      <c r="Q1280">
        <v>0</v>
      </c>
      <c r="T1280" s="340" t="str">
        <f t="shared" si="88"/>
        <v>2002AllSexAllEth25Firearms and explosives</v>
      </c>
      <c r="U1280">
        <v>2002</v>
      </c>
      <c r="V1280" t="s">
        <v>17</v>
      </c>
      <c r="W1280" t="s">
        <v>27</v>
      </c>
      <c r="X1280">
        <v>25</v>
      </c>
      <c r="Y1280" t="s">
        <v>42</v>
      </c>
      <c r="Z1280">
        <v>7</v>
      </c>
      <c r="AA1280">
        <v>48</v>
      </c>
      <c r="AB1280">
        <v>14.6</v>
      </c>
    </row>
    <row r="1281" spans="10:28">
      <c r="J1281" s="340" t="str">
        <f t="shared" si="87"/>
        <v>2003FemaleMaori223</v>
      </c>
      <c r="K1281">
        <v>2003</v>
      </c>
      <c r="L1281" t="s">
        <v>8</v>
      </c>
      <c r="M1281" t="s">
        <v>18</v>
      </c>
      <c r="N1281">
        <v>22</v>
      </c>
      <c r="O1281">
        <v>3</v>
      </c>
      <c r="P1281">
        <v>0</v>
      </c>
      <c r="Q1281">
        <v>0</v>
      </c>
      <c r="T1281" s="340" t="str">
        <f t="shared" si="88"/>
        <v>2002AllSexAllEth22Hanging, strangulation and suffocation</v>
      </c>
      <c r="U1281">
        <v>2002</v>
      </c>
      <c r="V1281" t="s">
        <v>17</v>
      </c>
      <c r="W1281" t="s">
        <v>27</v>
      </c>
      <c r="X1281">
        <v>22</v>
      </c>
      <c r="Y1281" t="s">
        <v>43</v>
      </c>
      <c r="Z1281">
        <v>61</v>
      </c>
      <c r="AA1281">
        <v>96</v>
      </c>
      <c r="AB1281">
        <v>63.5</v>
      </c>
    </row>
    <row r="1282" spans="10:28">
      <c r="J1282" s="340" t="str">
        <f t="shared" si="87"/>
        <v>2003FemaleMaori224</v>
      </c>
      <c r="K1282">
        <v>2003</v>
      </c>
      <c r="L1282" t="s">
        <v>8</v>
      </c>
      <c r="M1282" t="s">
        <v>18</v>
      </c>
      <c r="N1282">
        <v>22</v>
      </c>
      <c r="O1282">
        <v>4</v>
      </c>
      <c r="P1282">
        <v>3</v>
      </c>
      <c r="Q1282">
        <v>22.908825611188099</v>
      </c>
      <c r="R1282">
        <v>25.9</v>
      </c>
      <c r="T1282" s="340" t="str">
        <f t="shared" si="88"/>
        <v>2002AllSexAllEth23Hanging, strangulation and suffocation</v>
      </c>
      <c r="U1282">
        <v>2002</v>
      </c>
      <c r="V1282" t="s">
        <v>17</v>
      </c>
      <c r="W1282" t="s">
        <v>27</v>
      </c>
      <c r="X1282">
        <v>23</v>
      </c>
      <c r="Y1282" t="s">
        <v>43</v>
      </c>
      <c r="Z1282">
        <v>98</v>
      </c>
      <c r="AA1282">
        <v>213</v>
      </c>
      <c r="AB1282">
        <v>46</v>
      </c>
    </row>
    <row r="1283" spans="10:28">
      <c r="J1283" s="340" t="str">
        <f t="shared" si="87"/>
        <v>2003FemaleMaori225</v>
      </c>
      <c r="K1283">
        <v>2003</v>
      </c>
      <c r="L1283" t="s">
        <v>8</v>
      </c>
      <c r="M1283" t="s">
        <v>18</v>
      </c>
      <c r="N1283">
        <v>22</v>
      </c>
      <c r="O1283">
        <v>5</v>
      </c>
      <c r="P1283">
        <v>7</v>
      </c>
      <c r="Q1283">
        <v>29.5787148804725</v>
      </c>
      <c r="R1283">
        <v>21.9</v>
      </c>
      <c r="T1283" s="340" t="str">
        <f t="shared" si="88"/>
        <v>2002AllSexAllEth24Hanging, strangulation and suffocation</v>
      </c>
      <c r="U1283">
        <v>2002</v>
      </c>
      <c r="V1283" t="s">
        <v>17</v>
      </c>
      <c r="W1283" t="s">
        <v>27</v>
      </c>
      <c r="X1283">
        <v>24</v>
      </c>
      <c r="Y1283" t="s">
        <v>43</v>
      </c>
      <c r="Z1283">
        <v>50</v>
      </c>
      <c r="AA1283">
        <v>113</v>
      </c>
      <c r="AB1283">
        <v>44.2</v>
      </c>
    </row>
    <row r="1284" spans="10:28">
      <c r="J1284" s="340" t="str">
        <f t="shared" ref="J1284:J1347" si="89">K1284&amp;L1284&amp;M1284&amp;N1284&amp;O1284</f>
        <v>2003FemaleMaori231</v>
      </c>
      <c r="K1284">
        <v>2003</v>
      </c>
      <c r="L1284" t="s">
        <v>8</v>
      </c>
      <c r="M1284" t="s">
        <v>18</v>
      </c>
      <c r="N1284">
        <v>23</v>
      </c>
      <c r="O1284">
        <v>1</v>
      </c>
      <c r="P1284">
        <v>0</v>
      </c>
      <c r="Q1284">
        <v>0</v>
      </c>
      <c r="T1284" s="340" t="str">
        <f t="shared" si="88"/>
        <v>2002AllSexAllEth25Hanging, strangulation and suffocation</v>
      </c>
      <c r="U1284">
        <v>2002</v>
      </c>
      <c r="V1284" t="s">
        <v>17</v>
      </c>
      <c r="W1284" t="s">
        <v>27</v>
      </c>
      <c r="X1284">
        <v>25</v>
      </c>
      <c r="Y1284" t="s">
        <v>43</v>
      </c>
      <c r="Z1284">
        <v>13</v>
      </c>
      <c r="AA1284">
        <v>48</v>
      </c>
      <c r="AB1284">
        <v>27.1</v>
      </c>
    </row>
    <row r="1285" spans="10:28">
      <c r="J1285" s="340" t="str">
        <f t="shared" si="89"/>
        <v>2003FemaleMaori232</v>
      </c>
      <c r="K1285">
        <v>2003</v>
      </c>
      <c r="L1285" t="s">
        <v>8</v>
      </c>
      <c r="M1285" t="s">
        <v>18</v>
      </c>
      <c r="N1285">
        <v>23</v>
      </c>
      <c r="O1285">
        <v>2</v>
      </c>
      <c r="P1285">
        <v>1</v>
      </c>
      <c r="Q1285">
        <v>9.8459522818496801</v>
      </c>
      <c r="R1285">
        <v>19.3</v>
      </c>
      <c r="T1285" s="340" t="str">
        <f t="shared" ref="T1285:T1348" si="90">U1285&amp;V1285&amp;W1285&amp;X1285&amp;Y1285</f>
        <v>2002AllSexAllEth22Jumping from a high place</v>
      </c>
      <c r="U1285">
        <v>2002</v>
      </c>
      <c r="V1285" t="s">
        <v>17</v>
      </c>
      <c r="W1285" t="s">
        <v>27</v>
      </c>
      <c r="X1285">
        <v>22</v>
      </c>
      <c r="Y1285" t="s">
        <v>44</v>
      </c>
      <c r="Z1285">
        <v>3</v>
      </c>
      <c r="AA1285">
        <v>96</v>
      </c>
      <c r="AB1285">
        <v>3.1</v>
      </c>
    </row>
    <row r="1286" spans="10:28">
      <c r="J1286" s="340" t="str">
        <f t="shared" si="89"/>
        <v>2003FemaleMaori233</v>
      </c>
      <c r="K1286">
        <v>2003</v>
      </c>
      <c r="L1286" t="s">
        <v>8</v>
      </c>
      <c r="M1286" t="s">
        <v>18</v>
      </c>
      <c r="N1286">
        <v>23</v>
      </c>
      <c r="O1286">
        <v>3</v>
      </c>
      <c r="P1286">
        <v>1</v>
      </c>
      <c r="Q1286">
        <v>6.9629182348313003</v>
      </c>
      <c r="R1286">
        <v>13.6</v>
      </c>
      <c r="T1286" s="340" t="str">
        <f t="shared" si="90"/>
        <v>2002AllSexAllEth23Jumping from a high place</v>
      </c>
      <c r="U1286">
        <v>2002</v>
      </c>
      <c r="V1286" t="s">
        <v>17</v>
      </c>
      <c r="W1286" t="s">
        <v>27</v>
      </c>
      <c r="X1286">
        <v>23</v>
      </c>
      <c r="Y1286" t="s">
        <v>44</v>
      </c>
      <c r="Z1286">
        <v>10</v>
      </c>
      <c r="AA1286">
        <v>213</v>
      </c>
      <c r="AB1286">
        <v>4.7</v>
      </c>
    </row>
    <row r="1287" spans="10:28">
      <c r="J1287" s="340" t="str">
        <f t="shared" si="89"/>
        <v>2003FemaleMaori234</v>
      </c>
      <c r="K1287">
        <v>2003</v>
      </c>
      <c r="L1287" t="s">
        <v>8</v>
      </c>
      <c r="M1287" t="s">
        <v>18</v>
      </c>
      <c r="N1287">
        <v>23</v>
      </c>
      <c r="O1287">
        <v>4</v>
      </c>
      <c r="P1287">
        <v>2</v>
      </c>
      <c r="Q1287">
        <v>9.3730104596023693</v>
      </c>
      <c r="R1287">
        <v>13</v>
      </c>
      <c r="T1287" s="340" t="str">
        <f t="shared" si="90"/>
        <v>2002AllSexAllEth24Jumping from a high place</v>
      </c>
      <c r="U1287">
        <v>2002</v>
      </c>
      <c r="V1287" t="s">
        <v>17</v>
      </c>
      <c r="W1287" t="s">
        <v>27</v>
      </c>
      <c r="X1287">
        <v>24</v>
      </c>
      <c r="Y1287" t="s">
        <v>44</v>
      </c>
      <c r="Z1287">
        <v>1</v>
      </c>
      <c r="AA1287">
        <v>113</v>
      </c>
      <c r="AB1287">
        <v>0.9</v>
      </c>
    </row>
    <row r="1288" spans="10:28">
      <c r="J1288" s="340" t="str">
        <f t="shared" si="89"/>
        <v>2003FemaleMaori235</v>
      </c>
      <c r="K1288">
        <v>2003</v>
      </c>
      <c r="L1288" t="s">
        <v>8</v>
      </c>
      <c r="M1288" t="s">
        <v>18</v>
      </c>
      <c r="N1288">
        <v>23</v>
      </c>
      <c r="O1288">
        <v>5</v>
      </c>
      <c r="P1288">
        <v>3</v>
      </c>
      <c r="Q1288">
        <v>8.1606911925166905</v>
      </c>
      <c r="R1288">
        <v>9.1999999999999993</v>
      </c>
      <c r="T1288" s="340" t="str">
        <f t="shared" si="90"/>
        <v>2002AllSexAllEth25Jumping from a high place</v>
      </c>
      <c r="U1288">
        <v>2002</v>
      </c>
      <c r="V1288" t="s">
        <v>17</v>
      </c>
      <c r="W1288" t="s">
        <v>27</v>
      </c>
      <c r="X1288">
        <v>25</v>
      </c>
      <c r="Y1288" t="s">
        <v>44</v>
      </c>
      <c r="Z1288">
        <v>5</v>
      </c>
      <c r="AA1288">
        <v>48</v>
      </c>
      <c r="AB1288">
        <v>10.4</v>
      </c>
    </row>
    <row r="1289" spans="10:28">
      <c r="J1289" s="340" t="str">
        <f t="shared" si="89"/>
        <v>2003FemaleMaori241</v>
      </c>
      <c r="K1289">
        <v>2003</v>
      </c>
      <c r="L1289" t="s">
        <v>8</v>
      </c>
      <c r="M1289" t="s">
        <v>18</v>
      </c>
      <c r="N1289">
        <v>24</v>
      </c>
      <c r="O1289">
        <v>1</v>
      </c>
      <c r="P1289">
        <v>1</v>
      </c>
      <c r="Q1289">
        <v>28.112012238976501</v>
      </c>
      <c r="R1289">
        <v>55.1</v>
      </c>
      <c r="T1289" s="340" t="str">
        <f t="shared" si="90"/>
        <v>2002AllSexAllEth22Other</v>
      </c>
      <c r="U1289">
        <v>2002</v>
      </c>
      <c r="V1289" t="s">
        <v>17</v>
      </c>
      <c r="W1289" t="s">
        <v>27</v>
      </c>
      <c r="X1289">
        <v>22</v>
      </c>
      <c r="Y1289" t="s">
        <v>45</v>
      </c>
      <c r="Z1289">
        <v>4</v>
      </c>
      <c r="AA1289">
        <v>96</v>
      </c>
      <c r="AB1289">
        <v>4.2</v>
      </c>
    </row>
    <row r="1290" spans="10:28">
      <c r="J1290" s="340" t="str">
        <f t="shared" si="89"/>
        <v>2003FemaleMaori242</v>
      </c>
      <c r="K1290">
        <v>2003</v>
      </c>
      <c r="L1290" t="s">
        <v>8</v>
      </c>
      <c r="M1290" t="s">
        <v>18</v>
      </c>
      <c r="N1290">
        <v>24</v>
      </c>
      <c r="O1290">
        <v>2</v>
      </c>
      <c r="P1290">
        <v>0</v>
      </c>
      <c r="Q1290">
        <v>0</v>
      </c>
      <c r="T1290" s="340" t="str">
        <f t="shared" si="90"/>
        <v>2002AllSexAllEth23Other</v>
      </c>
      <c r="U1290">
        <v>2002</v>
      </c>
      <c r="V1290" t="s">
        <v>17</v>
      </c>
      <c r="W1290" t="s">
        <v>27</v>
      </c>
      <c r="X1290">
        <v>23</v>
      </c>
      <c r="Y1290" t="s">
        <v>45</v>
      </c>
      <c r="Z1290">
        <v>2</v>
      </c>
      <c r="AA1290">
        <v>213</v>
      </c>
      <c r="AB1290">
        <v>0.9</v>
      </c>
    </row>
    <row r="1291" spans="10:28">
      <c r="J1291" s="340" t="str">
        <f t="shared" si="89"/>
        <v>2003FemaleMaori243</v>
      </c>
      <c r="K1291">
        <v>2003</v>
      </c>
      <c r="L1291" t="s">
        <v>8</v>
      </c>
      <c r="M1291" t="s">
        <v>18</v>
      </c>
      <c r="N1291">
        <v>24</v>
      </c>
      <c r="O1291">
        <v>3</v>
      </c>
      <c r="P1291">
        <v>0</v>
      </c>
      <c r="Q1291">
        <v>0</v>
      </c>
      <c r="T1291" s="340" t="str">
        <f t="shared" si="90"/>
        <v>2002AllSexAllEth24Other</v>
      </c>
      <c r="U1291">
        <v>2002</v>
      </c>
      <c r="V1291" t="s">
        <v>17</v>
      </c>
      <c r="W1291" t="s">
        <v>27</v>
      </c>
      <c r="X1291">
        <v>24</v>
      </c>
      <c r="Y1291" t="s">
        <v>45</v>
      </c>
      <c r="Z1291">
        <v>9</v>
      </c>
      <c r="AA1291">
        <v>113</v>
      </c>
      <c r="AB1291">
        <v>8</v>
      </c>
    </row>
    <row r="1292" spans="10:28">
      <c r="J1292" s="340" t="str">
        <f t="shared" si="89"/>
        <v>2003FemaleMaori244</v>
      </c>
      <c r="K1292">
        <v>2003</v>
      </c>
      <c r="L1292" t="s">
        <v>8</v>
      </c>
      <c r="M1292" t="s">
        <v>18</v>
      </c>
      <c r="N1292">
        <v>24</v>
      </c>
      <c r="O1292">
        <v>4</v>
      </c>
      <c r="P1292">
        <v>0</v>
      </c>
      <c r="Q1292">
        <v>0</v>
      </c>
      <c r="T1292" s="340" t="str">
        <f t="shared" si="90"/>
        <v>2002AllSexAllEth25Other</v>
      </c>
      <c r="U1292">
        <v>2002</v>
      </c>
      <c r="V1292" t="s">
        <v>17</v>
      </c>
      <c r="W1292" t="s">
        <v>27</v>
      </c>
      <c r="X1292">
        <v>25</v>
      </c>
      <c r="Y1292" t="s">
        <v>45</v>
      </c>
      <c r="Z1292">
        <v>1</v>
      </c>
      <c r="AA1292">
        <v>48</v>
      </c>
      <c r="AB1292">
        <v>2.1</v>
      </c>
    </row>
    <row r="1293" spans="10:28">
      <c r="J1293" s="340" t="str">
        <f t="shared" si="89"/>
        <v>2003FemaleMaori245</v>
      </c>
      <c r="K1293">
        <v>2003</v>
      </c>
      <c r="L1293" t="s">
        <v>8</v>
      </c>
      <c r="M1293" t="s">
        <v>18</v>
      </c>
      <c r="N1293">
        <v>24</v>
      </c>
      <c r="O1293">
        <v>5</v>
      </c>
      <c r="P1293">
        <v>0</v>
      </c>
      <c r="Q1293">
        <v>0</v>
      </c>
      <c r="T1293" s="340" t="str">
        <f t="shared" si="90"/>
        <v>2002AllSexAllEth22Poisoning by gases and vapours</v>
      </c>
      <c r="U1293">
        <v>2002</v>
      </c>
      <c r="V1293" t="s">
        <v>17</v>
      </c>
      <c r="W1293" t="s">
        <v>27</v>
      </c>
      <c r="X1293">
        <v>22</v>
      </c>
      <c r="Y1293" t="s">
        <v>46</v>
      </c>
      <c r="Z1293">
        <v>13</v>
      </c>
      <c r="AA1293">
        <v>96</v>
      </c>
      <c r="AB1293">
        <v>13.5</v>
      </c>
    </row>
    <row r="1294" spans="10:28">
      <c r="J1294" s="340" t="str">
        <f t="shared" si="89"/>
        <v>2003FemaleMaori251</v>
      </c>
      <c r="K1294">
        <v>2003</v>
      </c>
      <c r="L1294" t="s">
        <v>8</v>
      </c>
      <c r="M1294" t="s">
        <v>18</v>
      </c>
      <c r="N1294">
        <v>25</v>
      </c>
      <c r="O1294">
        <v>1</v>
      </c>
      <c r="P1294">
        <v>0</v>
      </c>
      <c r="Q1294">
        <v>0</v>
      </c>
      <c r="T1294" s="340" t="str">
        <f t="shared" si="90"/>
        <v>2002AllSexAllEth23Poisoning by gases and vapours</v>
      </c>
      <c r="U1294">
        <v>2002</v>
      </c>
      <c r="V1294" t="s">
        <v>17</v>
      </c>
      <c r="W1294" t="s">
        <v>27</v>
      </c>
      <c r="X1294">
        <v>23</v>
      </c>
      <c r="Y1294" t="s">
        <v>46</v>
      </c>
      <c r="Z1294">
        <v>53</v>
      </c>
      <c r="AA1294">
        <v>213</v>
      </c>
      <c r="AB1294">
        <v>24.9</v>
      </c>
    </row>
    <row r="1295" spans="10:28">
      <c r="J1295" s="340" t="str">
        <f t="shared" si="89"/>
        <v>2003FemaleMaori252</v>
      </c>
      <c r="K1295">
        <v>2003</v>
      </c>
      <c r="L1295" t="s">
        <v>8</v>
      </c>
      <c r="M1295" t="s">
        <v>18</v>
      </c>
      <c r="N1295">
        <v>25</v>
      </c>
      <c r="O1295">
        <v>2</v>
      </c>
      <c r="P1295">
        <v>0</v>
      </c>
      <c r="Q1295">
        <v>0</v>
      </c>
      <c r="T1295" s="340" t="str">
        <f t="shared" si="90"/>
        <v>2002AllSexAllEth24Poisoning by gases and vapours</v>
      </c>
      <c r="U1295">
        <v>2002</v>
      </c>
      <c r="V1295" t="s">
        <v>17</v>
      </c>
      <c r="W1295" t="s">
        <v>27</v>
      </c>
      <c r="X1295">
        <v>24</v>
      </c>
      <c r="Y1295" t="s">
        <v>46</v>
      </c>
      <c r="Z1295">
        <v>24</v>
      </c>
      <c r="AA1295">
        <v>113</v>
      </c>
      <c r="AB1295">
        <v>21.2</v>
      </c>
    </row>
    <row r="1296" spans="10:28">
      <c r="J1296" s="340" t="str">
        <f t="shared" si="89"/>
        <v>2003FemaleMaori253</v>
      </c>
      <c r="K1296">
        <v>2003</v>
      </c>
      <c r="L1296" t="s">
        <v>8</v>
      </c>
      <c r="M1296" t="s">
        <v>18</v>
      </c>
      <c r="N1296">
        <v>25</v>
      </c>
      <c r="O1296">
        <v>3</v>
      </c>
      <c r="P1296">
        <v>0</v>
      </c>
      <c r="Q1296">
        <v>0</v>
      </c>
      <c r="T1296" s="340" t="str">
        <f t="shared" si="90"/>
        <v>2002AllSexAllEth25Poisoning by gases and vapours</v>
      </c>
      <c r="U1296">
        <v>2002</v>
      </c>
      <c r="V1296" t="s">
        <v>17</v>
      </c>
      <c r="W1296" t="s">
        <v>27</v>
      </c>
      <c r="X1296">
        <v>25</v>
      </c>
      <c r="Y1296" t="s">
        <v>46</v>
      </c>
      <c r="Z1296">
        <v>9</v>
      </c>
      <c r="AA1296">
        <v>48</v>
      </c>
      <c r="AB1296">
        <v>18.8</v>
      </c>
    </row>
    <row r="1297" spans="10:28">
      <c r="J1297" s="340" t="str">
        <f t="shared" si="89"/>
        <v>2003FemaleMaori254</v>
      </c>
      <c r="K1297">
        <v>2003</v>
      </c>
      <c r="L1297" t="s">
        <v>8</v>
      </c>
      <c r="M1297" t="s">
        <v>18</v>
      </c>
      <c r="N1297">
        <v>25</v>
      </c>
      <c r="O1297">
        <v>4</v>
      </c>
      <c r="P1297">
        <v>0</v>
      </c>
      <c r="Q1297">
        <v>0</v>
      </c>
      <c r="T1297" s="340" t="str">
        <f t="shared" si="90"/>
        <v>2002AllSexAllEth22Poisoning by solids and liquids</v>
      </c>
      <c r="U1297">
        <v>2002</v>
      </c>
      <c r="V1297" t="s">
        <v>17</v>
      </c>
      <c r="W1297" t="s">
        <v>27</v>
      </c>
      <c r="X1297">
        <v>22</v>
      </c>
      <c r="Y1297" t="s">
        <v>47</v>
      </c>
      <c r="Z1297">
        <v>5</v>
      </c>
      <c r="AA1297">
        <v>96</v>
      </c>
      <c r="AB1297">
        <v>5.2</v>
      </c>
    </row>
    <row r="1298" spans="10:28">
      <c r="J1298" s="340" t="str">
        <f t="shared" si="89"/>
        <v>2003FemaleMaori255</v>
      </c>
      <c r="K1298">
        <v>2003</v>
      </c>
      <c r="L1298" t="s">
        <v>8</v>
      </c>
      <c r="M1298" t="s">
        <v>18</v>
      </c>
      <c r="N1298">
        <v>25</v>
      </c>
      <c r="O1298">
        <v>5</v>
      </c>
      <c r="P1298">
        <v>0</v>
      </c>
      <c r="Q1298">
        <v>0</v>
      </c>
      <c r="T1298" s="340" t="str">
        <f t="shared" si="90"/>
        <v>2002AllSexAllEth23Poisoning by solids and liquids</v>
      </c>
      <c r="U1298">
        <v>2002</v>
      </c>
      <c r="V1298" t="s">
        <v>17</v>
      </c>
      <c r="W1298" t="s">
        <v>27</v>
      </c>
      <c r="X1298">
        <v>23</v>
      </c>
      <c r="Y1298" t="s">
        <v>47</v>
      </c>
      <c r="Z1298">
        <v>22</v>
      </c>
      <c r="AA1298">
        <v>213</v>
      </c>
      <c r="AB1298">
        <v>10.3</v>
      </c>
    </row>
    <row r="1299" spans="10:28">
      <c r="J1299" s="340" t="str">
        <f t="shared" si="89"/>
        <v>2003FemaleNon-Maori211</v>
      </c>
      <c r="K1299">
        <v>2003</v>
      </c>
      <c r="L1299" t="s">
        <v>8</v>
      </c>
      <c r="M1299" t="s">
        <v>19</v>
      </c>
      <c r="N1299">
        <v>21</v>
      </c>
      <c r="O1299">
        <v>1</v>
      </c>
      <c r="P1299">
        <v>0</v>
      </c>
      <c r="Q1299">
        <v>0</v>
      </c>
      <c r="T1299" s="340" t="str">
        <f t="shared" si="90"/>
        <v>2002AllSexAllEth24Poisoning by solids and liquids</v>
      </c>
      <c r="U1299">
        <v>2002</v>
      </c>
      <c r="V1299" t="s">
        <v>17</v>
      </c>
      <c r="W1299" t="s">
        <v>27</v>
      </c>
      <c r="X1299">
        <v>24</v>
      </c>
      <c r="Y1299" t="s">
        <v>47</v>
      </c>
      <c r="Z1299">
        <v>11</v>
      </c>
      <c r="AA1299">
        <v>113</v>
      </c>
      <c r="AB1299">
        <v>9.6999999999999993</v>
      </c>
    </row>
    <row r="1300" spans="10:28">
      <c r="J1300" s="340" t="str">
        <f t="shared" si="89"/>
        <v>2003FemaleNon-Maori212</v>
      </c>
      <c r="K1300">
        <v>2003</v>
      </c>
      <c r="L1300" t="s">
        <v>8</v>
      </c>
      <c r="M1300" t="s">
        <v>19</v>
      </c>
      <c r="N1300">
        <v>21</v>
      </c>
      <c r="O1300">
        <v>2</v>
      </c>
      <c r="P1300">
        <v>0</v>
      </c>
      <c r="Q1300">
        <v>0</v>
      </c>
      <c r="T1300" s="340" t="str">
        <f t="shared" si="90"/>
        <v>2002AllSexAllEth25Poisoning by solids and liquids</v>
      </c>
      <c r="U1300">
        <v>2002</v>
      </c>
      <c r="V1300" t="s">
        <v>17</v>
      </c>
      <c r="W1300" t="s">
        <v>27</v>
      </c>
      <c r="X1300">
        <v>25</v>
      </c>
      <c r="Y1300" t="s">
        <v>47</v>
      </c>
      <c r="Z1300">
        <v>9</v>
      </c>
      <c r="AA1300">
        <v>48</v>
      </c>
      <c r="AB1300">
        <v>18.8</v>
      </c>
    </row>
    <row r="1301" spans="10:28">
      <c r="J1301" s="340" t="str">
        <f t="shared" si="89"/>
        <v>2003FemaleNon-Maori213</v>
      </c>
      <c r="K1301">
        <v>2003</v>
      </c>
      <c r="L1301" t="s">
        <v>8</v>
      </c>
      <c r="M1301" t="s">
        <v>19</v>
      </c>
      <c r="N1301">
        <v>21</v>
      </c>
      <c r="O1301">
        <v>3</v>
      </c>
      <c r="P1301">
        <v>0</v>
      </c>
      <c r="Q1301">
        <v>0</v>
      </c>
      <c r="T1301" s="340" t="str">
        <f t="shared" si="90"/>
        <v>2002AllSexAllEth22Sharp object</v>
      </c>
      <c r="U1301">
        <v>2002</v>
      </c>
      <c r="V1301" t="s">
        <v>17</v>
      </c>
      <c r="W1301" t="s">
        <v>27</v>
      </c>
      <c r="X1301">
        <v>22</v>
      </c>
      <c r="Y1301" t="s">
        <v>48</v>
      </c>
      <c r="Z1301">
        <v>1</v>
      </c>
      <c r="AA1301">
        <v>96</v>
      </c>
      <c r="AB1301">
        <v>1</v>
      </c>
    </row>
    <row r="1302" spans="10:28">
      <c r="J1302" s="340" t="str">
        <f t="shared" si="89"/>
        <v>2003FemaleNon-Maori214</v>
      </c>
      <c r="K1302">
        <v>2003</v>
      </c>
      <c r="L1302" t="s">
        <v>8</v>
      </c>
      <c r="M1302" t="s">
        <v>19</v>
      </c>
      <c r="N1302">
        <v>21</v>
      </c>
      <c r="O1302">
        <v>4</v>
      </c>
      <c r="P1302">
        <v>0</v>
      </c>
      <c r="Q1302">
        <v>0</v>
      </c>
      <c r="T1302" s="340" t="str">
        <f t="shared" si="90"/>
        <v>2002AllSexAllEth23Sharp object</v>
      </c>
      <c r="U1302">
        <v>2002</v>
      </c>
      <c r="V1302" t="s">
        <v>17</v>
      </c>
      <c r="W1302" t="s">
        <v>27</v>
      </c>
      <c r="X1302">
        <v>23</v>
      </c>
      <c r="Y1302" t="s">
        <v>48</v>
      </c>
      <c r="Z1302">
        <v>4</v>
      </c>
      <c r="AA1302">
        <v>213</v>
      </c>
      <c r="AB1302">
        <v>1.9</v>
      </c>
    </row>
    <row r="1303" spans="10:28">
      <c r="J1303" s="340" t="str">
        <f t="shared" si="89"/>
        <v>2003FemaleNon-Maori215</v>
      </c>
      <c r="K1303">
        <v>2003</v>
      </c>
      <c r="L1303" t="s">
        <v>8</v>
      </c>
      <c r="M1303" t="s">
        <v>19</v>
      </c>
      <c r="N1303">
        <v>21</v>
      </c>
      <c r="O1303">
        <v>5</v>
      </c>
      <c r="P1303">
        <v>0</v>
      </c>
      <c r="Q1303">
        <v>0</v>
      </c>
      <c r="T1303" s="340" t="str">
        <f t="shared" si="90"/>
        <v>2002AllSexAllEth22Submersion (drowning)</v>
      </c>
      <c r="U1303">
        <v>2002</v>
      </c>
      <c r="V1303" t="s">
        <v>17</v>
      </c>
      <c r="W1303" t="s">
        <v>27</v>
      </c>
      <c r="X1303">
        <v>22</v>
      </c>
      <c r="Y1303" t="s">
        <v>49</v>
      </c>
      <c r="Z1303">
        <v>3</v>
      </c>
      <c r="AA1303">
        <v>96</v>
      </c>
      <c r="AB1303">
        <v>3.1</v>
      </c>
    </row>
    <row r="1304" spans="10:28">
      <c r="J1304" s="340" t="str">
        <f t="shared" si="89"/>
        <v>2003FemaleNon-Maori221</v>
      </c>
      <c r="K1304">
        <v>2003</v>
      </c>
      <c r="L1304" t="s">
        <v>8</v>
      </c>
      <c r="M1304" t="s">
        <v>19</v>
      </c>
      <c r="N1304">
        <v>22</v>
      </c>
      <c r="O1304">
        <v>1</v>
      </c>
      <c r="P1304">
        <v>4</v>
      </c>
      <c r="Q1304">
        <v>9.2553767876907909</v>
      </c>
      <c r="R1304">
        <v>9.1</v>
      </c>
      <c r="T1304" s="340" t="str">
        <f t="shared" si="90"/>
        <v>2002AllSexAllEth23Submersion (drowning)</v>
      </c>
      <c r="U1304">
        <v>2002</v>
      </c>
      <c r="V1304" t="s">
        <v>17</v>
      </c>
      <c r="W1304" t="s">
        <v>27</v>
      </c>
      <c r="X1304">
        <v>23</v>
      </c>
      <c r="Y1304" t="s">
        <v>49</v>
      </c>
      <c r="Z1304">
        <v>5</v>
      </c>
      <c r="AA1304">
        <v>213</v>
      </c>
      <c r="AB1304">
        <v>2.2999999999999998</v>
      </c>
    </row>
    <row r="1305" spans="10:28">
      <c r="J1305" s="340" t="str">
        <f t="shared" si="89"/>
        <v>2003FemaleNon-Maori222</v>
      </c>
      <c r="K1305">
        <v>2003</v>
      </c>
      <c r="L1305" t="s">
        <v>8</v>
      </c>
      <c r="M1305" t="s">
        <v>19</v>
      </c>
      <c r="N1305">
        <v>22</v>
      </c>
      <c r="O1305">
        <v>2</v>
      </c>
      <c r="P1305">
        <v>1</v>
      </c>
      <c r="Q1305">
        <v>2.2465732570241501</v>
      </c>
      <c r="R1305">
        <v>4.4000000000000004</v>
      </c>
      <c r="T1305" s="340" t="str">
        <f t="shared" si="90"/>
        <v>2002AllSexAllEth24Submersion (drowning)</v>
      </c>
      <c r="U1305">
        <v>2002</v>
      </c>
      <c r="V1305" t="s">
        <v>17</v>
      </c>
      <c r="W1305" t="s">
        <v>27</v>
      </c>
      <c r="X1305">
        <v>24</v>
      </c>
      <c r="Y1305" t="s">
        <v>49</v>
      </c>
      <c r="Z1305">
        <v>1</v>
      </c>
      <c r="AA1305">
        <v>113</v>
      </c>
      <c r="AB1305">
        <v>0.9</v>
      </c>
    </row>
    <row r="1306" spans="10:28">
      <c r="J1306" s="340" t="str">
        <f t="shared" si="89"/>
        <v>2003FemaleNon-Maori223</v>
      </c>
      <c r="K1306">
        <v>2003</v>
      </c>
      <c r="L1306" t="s">
        <v>8</v>
      </c>
      <c r="M1306" t="s">
        <v>19</v>
      </c>
      <c r="N1306">
        <v>22</v>
      </c>
      <c r="O1306">
        <v>3</v>
      </c>
      <c r="P1306">
        <v>6</v>
      </c>
      <c r="Q1306">
        <v>13.01249573922</v>
      </c>
      <c r="R1306">
        <v>10.4</v>
      </c>
      <c r="T1306" s="340" t="str">
        <f t="shared" si="90"/>
        <v>2002AllSexAllEth25Submersion (drowning)</v>
      </c>
      <c r="U1306">
        <v>2002</v>
      </c>
      <c r="V1306" t="s">
        <v>17</v>
      </c>
      <c r="W1306" t="s">
        <v>27</v>
      </c>
      <c r="X1306">
        <v>25</v>
      </c>
      <c r="Y1306" t="s">
        <v>49</v>
      </c>
      <c r="Z1306">
        <v>4</v>
      </c>
      <c r="AA1306">
        <v>48</v>
      </c>
      <c r="AB1306">
        <v>8.3000000000000007</v>
      </c>
    </row>
    <row r="1307" spans="10:28">
      <c r="J1307" s="340" t="str">
        <f t="shared" si="89"/>
        <v>2003FemaleNon-Maori224</v>
      </c>
      <c r="K1307">
        <v>2003</v>
      </c>
      <c r="L1307" t="s">
        <v>8</v>
      </c>
      <c r="M1307" t="s">
        <v>19</v>
      </c>
      <c r="N1307">
        <v>22</v>
      </c>
      <c r="O1307">
        <v>4</v>
      </c>
      <c r="P1307">
        <v>3</v>
      </c>
      <c r="Q1307">
        <v>6.3391228418276899</v>
      </c>
      <c r="R1307">
        <v>7.2</v>
      </c>
      <c r="T1307" s="340" t="str">
        <f t="shared" si="90"/>
        <v>2002AllSexMaori22Firearms and explosives</v>
      </c>
      <c r="U1307">
        <v>2002</v>
      </c>
      <c r="V1307" t="s">
        <v>17</v>
      </c>
      <c r="W1307" t="s">
        <v>18</v>
      </c>
      <c r="X1307">
        <v>22</v>
      </c>
      <c r="Y1307" t="s">
        <v>42</v>
      </c>
      <c r="Z1307">
        <v>2</v>
      </c>
      <c r="AA1307">
        <v>33</v>
      </c>
      <c r="AB1307">
        <v>6.1</v>
      </c>
    </row>
    <row r="1308" spans="10:28">
      <c r="J1308" s="340" t="str">
        <f t="shared" si="89"/>
        <v>2003FemaleNon-Maori225</v>
      </c>
      <c r="K1308">
        <v>2003</v>
      </c>
      <c r="L1308" t="s">
        <v>8</v>
      </c>
      <c r="M1308" t="s">
        <v>19</v>
      </c>
      <c r="N1308">
        <v>22</v>
      </c>
      <c r="O1308">
        <v>5</v>
      </c>
      <c r="P1308">
        <v>5</v>
      </c>
      <c r="Q1308">
        <v>10.6100892232317</v>
      </c>
      <c r="R1308">
        <v>9.3000000000000007</v>
      </c>
      <c r="T1308" s="340" t="str">
        <f t="shared" si="90"/>
        <v>2002AllSexMaori23Firearms and explosives</v>
      </c>
      <c r="U1308">
        <v>2002</v>
      </c>
      <c r="V1308" t="s">
        <v>17</v>
      </c>
      <c r="W1308" t="s">
        <v>18</v>
      </c>
      <c r="X1308">
        <v>23</v>
      </c>
      <c r="Y1308" t="s">
        <v>42</v>
      </c>
      <c r="Z1308">
        <v>1</v>
      </c>
      <c r="AA1308">
        <v>40</v>
      </c>
      <c r="AB1308">
        <v>2.5</v>
      </c>
    </row>
    <row r="1309" spans="10:28">
      <c r="J1309" s="340" t="str">
        <f t="shared" si="89"/>
        <v>2003FemaleNon-Maori231</v>
      </c>
      <c r="K1309">
        <v>2003</v>
      </c>
      <c r="L1309" t="s">
        <v>8</v>
      </c>
      <c r="M1309" t="s">
        <v>19</v>
      </c>
      <c r="N1309">
        <v>23</v>
      </c>
      <c r="O1309">
        <v>1</v>
      </c>
      <c r="P1309">
        <v>7</v>
      </c>
      <c r="Q1309">
        <v>6.0506246746549701</v>
      </c>
      <c r="R1309">
        <v>4.5</v>
      </c>
      <c r="T1309" s="340" t="str">
        <f t="shared" si="90"/>
        <v>2002AllSexMaori24Firearms and explosives</v>
      </c>
      <c r="U1309">
        <v>2002</v>
      </c>
      <c r="V1309" t="s">
        <v>17</v>
      </c>
      <c r="W1309" t="s">
        <v>18</v>
      </c>
      <c r="X1309">
        <v>24</v>
      </c>
      <c r="Y1309" t="s">
        <v>42</v>
      </c>
      <c r="Z1309">
        <v>1</v>
      </c>
      <c r="AA1309">
        <v>7</v>
      </c>
      <c r="AB1309">
        <v>14.3</v>
      </c>
    </row>
    <row r="1310" spans="10:28">
      <c r="J1310" s="340" t="str">
        <f t="shared" si="89"/>
        <v>2003FemaleNon-Maori232</v>
      </c>
      <c r="K1310">
        <v>2003</v>
      </c>
      <c r="L1310" t="s">
        <v>8</v>
      </c>
      <c r="M1310" t="s">
        <v>19</v>
      </c>
      <c r="N1310">
        <v>23</v>
      </c>
      <c r="O1310">
        <v>2</v>
      </c>
      <c r="P1310">
        <v>4</v>
      </c>
      <c r="Q1310">
        <v>3.43760947197371</v>
      </c>
      <c r="R1310">
        <v>3.4</v>
      </c>
      <c r="T1310" s="340" t="str">
        <f t="shared" si="90"/>
        <v>2002AllSexMaori22Hanging, strangulation and suffocation</v>
      </c>
      <c r="U1310">
        <v>2002</v>
      </c>
      <c r="V1310" t="s">
        <v>17</v>
      </c>
      <c r="W1310" t="s">
        <v>18</v>
      </c>
      <c r="X1310">
        <v>22</v>
      </c>
      <c r="Y1310" t="s">
        <v>43</v>
      </c>
      <c r="Z1310">
        <v>27</v>
      </c>
      <c r="AA1310">
        <v>33</v>
      </c>
      <c r="AB1310">
        <v>81.8</v>
      </c>
    </row>
    <row r="1311" spans="10:28">
      <c r="J1311" s="340" t="str">
        <f t="shared" si="89"/>
        <v>2003FemaleNon-Maori233</v>
      </c>
      <c r="K1311">
        <v>2003</v>
      </c>
      <c r="L1311" t="s">
        <v>8</v>
      </c>
      <c r="M1311" t="s">
        <v>19</v>
      </c>
      <c r="N1311">
        <v>23</v>
      </c>
      <c r="O1311">
        <v>3</v>
      </c>
      <c r="P1311">
        <v>13</v>
      </c>
      <c r="Q1311">
        <v>11.8108285731804</v>
      </c>
      <c r="R1311">
        <v>6.4</v>
      </c>
      <c r="T1311" s="340" t="str">
        <f t="shared" si="90"/>
        <v>2002AllSexMaori23Hanging, strangulation and suffocation</v>
      </c>
      <c r="U1311">
        <v>2002</v>
      </c>
      <c r="V1311" t="s">
        <v>17</v>
      </c>
      <c r="W1311" t="s">
        <v>18</v>
      </c>
      <c r="X1311">
        <v>23</v>
      </c>
      <c r="Y1311" t="s">
        <v>43</v>
      </c>
      <c r="Z1311">
        <v>29</v>
      </c>
      <c r="AA1311">
        <v>40</v>
      </c>
      <c r="AB1311">
        <v>72.5</v>
      </c>
    </row>
    <row r="1312" spans="10:28">
      <c r="J1312" s="340" t="str">
        <f t="shared" si="89"/>
        <v>2003FemaleNon-Maori234</v>
      </c>
      <c r="K1312">
        <v>2003</v>
      </c>
      <c r="L1312" t="s">
        <v>8</v>
      </c>
      <c r="M1312" t="s">
        <v>19</v>
      </c>
      <c r="N1312">
        <v>23</v>
      </c>
      <c r="O1312">
        <v>4</v>
      </c>
      <c r="P1312">
        <v>6</v>
      </c>
      <c r="Q1312">
        <v>6.0576619915856202</v>
      </c>
      <c r="R1312">
        <v>4.8</v>
      </c>
      <c r="T1312" s="340" t="str">
        <f t="shared" si="90"/>
        <v>2002AllSexMaori24Hanging, strangulation and suffocation</v>
      </c>
      <c r="U1312">
        <v>2002</v>
      </c>
      <c r="V1312" t="s">
        <v>17</v>
      </c>
      <c r="W1312" t="s">
        <v>18</v>
      </c>
      <c r="X1312">
        <v>24</v>
      </c>
      <c r="Y1312" t="s">
        <v>43</v>
      </c>
      <c r="Z1312">
        <v>5</v>
      </c>
      <c r="AA1312">
        <v>7</v>
      </c>
      <c r="AB1312">
        <v>71.400000000000006</v>
      </c>
    </row>
    <row r="1313" spans="10:28">
      <c r="J1313" s="340" t="str">
        <f t="shared" si="89"/>
        <v>2003FemaleNon-Maori235</v>
      </c>
      <c r="K1313">
        <v>2003</v>
      </c>
      <c r="L1313" t="s">
        <v>8</v>
      </c>
      <c r="M1313" t="s">
        <v>19</v>
      </c>
      <c r="N1313">
        <v>23</v>
      </c>
      <c r="O1313">
        <v>5</v>
      </c>
      <c r="P1313">
        <v>12</v>
      </c>
      <c r="Q1313">
        <v>15.759833557935099</v>
      </c>
      <c r="R1313">
        <v>8.9</v>
      </c>
      <c r="T1313" s="340" t="str">
        <f t="shared" si="90"/>
        <v>2002AllSexMaori22Jumping from a high place</v>
      </c>
      <c r="U1313">
        <v>2002</v>
      </c>
      <c r="V1313" t="s">
        <v>17</v>
      </c>
      <c r="W1313" t="s">
        <v>18</v>
      </c>
      <c r="X1313">
        <v>22</v>
      </c>
      <c r="Y1313" t="s">
        <v>44</v>
      </c>
      <c r="Z1313">
        <v>1</v>
      </c>
      <c r="AA1313">
        <v>33</v>
      </c>
      <c r="AB1313">
        <v>3</v>
      </c>
    </row>
    <row r="1314" spans="10:28">
      <c r="J1314" s="340" t="str">
        <f t="shared" si="89"/>
        <v>2003FemaleNon-Maori241</v>
      </c>
      <c r="K1314">
        <v>2003</v>
      </c>
      <c r="L1314" t="s">
        <v>8</v>
      </c>
      <c r="M1314" t="s">
        <v>19</v>
      </c>
      <c r="N1314">
        <v>24</v>
      </c>
      <c r="O1314">
        <v>1</v>
      </c>
      <c r="P1314">
        <v>1</v>
      </c>
      <c r="Q1314">
        <v>0.90161786772076902</v>
      </c>
      <c r="R1314">
        <v>1.8</v>
      </c>
      <c r="T1314" s="340" t="str">
        <f t="shared" si="90"/>
        <v>2002AllSexMaori22Poisoning by gases and vapours</v>
      </c>
      <c r="U1314">
        <v>2002</v>
      </c>
      <c r="V1314" t="s">
        <v>17</v>
      </c>
      <c r="W1314" t="s">
        <v>18</v>
      </c>
      <c r="X1314">
        <v>22</v>
      </c>
      <c r="Y1314" t="s">
        <v>46</v>
      </c>
      <c r="Z1314">
        <v>2</v>
      </c>
      <c r="AA1314">
        <v>33</v>
      </c>
      <c r="AB1314">
        <v>6.1</v>
      </c>
    </row>
    <row r="1315" spans="10:28">
      <c r="J1315" s="340" t="str">
        <f t="shared" si="89"/>
        <v>2003FemaleNon-Maori242</v>
      </c>
      <c r="K1315">
        <v>2003</v>
      </c>
      <c r="L1315" t="s">
        <v>8</v>
      </c>
      <c r="M1315" t="s">
        <v>19</v>
      </c>
      <c r="N1315">
        <v>24</v>
      </c>
      <c r="O1315">
        <v>2</v>
      </c>
      <c r="P1315">
        <v>6</v>
      </c>
      <c r="Q1315">
        <v>6.2144533950877401</v>
      </c>
      <c r="R1315">
        <v>5</v>
      </c>
      <c r="T1315" s="340" t="str">
        <f t="shared" si="90"/>
        <v>2002AllSexMaori23Poisoning by gases and vapours</v>
      </c>
      <c r="U1315">
        <v>2002</v>
      </c>
      <c r="V1315" t="s">
        <v>17</v>
      </c>
      <c r="W1315" t="s">
        <v>18</v>
      </c>
      <c r="X1315">
        <v>23</v>
      </c>
      <c r="Y1315" t="s">
        <v>46</v>
      </c>
      <c r="Z1315">
        <v>5</v>
      </c>
      <c r="AA1315">
        <v>40</v>
      </c>
      <c r="AB1315">
        <v>12.5</v>
      </c>
    </row>
    <row r="1316" spans="10:28">
      <c r="J1316" s="340" t="str">
        <f t="shared" si="89"/>
        <v>2003FemaleNon-Maori243</v>
      </c>
      <c r="K1316">
        <v>2003</v>
      </c>
      <c r="L1316" t="s">
        <v>8</v>
      </c>
      <c r="M1316" t="s">
        <v>19</v>
      </c>
      <c r="N1316">
        <v>24</v>
      </c>
      <c r="O1316">
        <v>3</v>
      </c>
      <c r="P1316">
        <v>9</v>
      </c>
      <c r="Q1316">
        <v>10.619885980690601</v>
      </c>
      <c r="R1316">
        <v>6.9</v>
      </c>
      <c r="T1316" s="340" t="str">
        <f t="shared" si="90"/>
        <v>2002AllSexMaori24Poisoning by gases and vapours</v>
      </c>
      <c r="U1316">
        <v>2002</v>
      </c>
      <c r="V1316" t="s">
        <v>17</v>
      </c>
      <c r="W1316" t="s">
        <v>18</v>
      </c>
      <c r="X1316">
        <v>24</v>
      </c>
      <c r="Y1316" t="s">
        <v>46</v>
      </c>
      <c r="Z1316">
        <v>1</v>
      </c>
      <c r="AA1316">
        <v>7</v>
      </c>
      <c r="AB1316">
        <v>14.3</v>
      </c>
    </row>
    <row r="1317" spans="10:28">
      <c r="J1317" s="340" t="str">
        <f t="shared" si="89"/>
        <v>2003FemaleNon-Maori244</v>
      </c>
      <c r="K1317">
        <v>2003</v>
      </c>
      <c r="L1317" t="s">
        <v>8</v>
      </c>
      <c r="M1317" t="s">
        <v>19</v>
      </c>
      <c r="N1317">
        <v>24</v>
      </c>
      <c r="O1317">
        <v>4</v>
      </c>
      <c r="P1317">
        <v>8</v>
      </c>
      <c r="Q1317">
        <v>10.9759282329843</v>
      </c>
      <c r="R1317">
        <v>7.6</v>
      </c>
      <c r="T1317" s="340" t="str">
        <f t="shared" si="90"/>
        <v>2002AllSexMaori22Poisoning by solids and liquids</v>
      </c>
      <c r="U1317">
        <v>2002</v>
      </c>
      <c r="V1317" t="s">
        <v>17</v>
      </c>
      <c r="W1317" t="s">
        <v>18</v>
      </c>
      <c r="X1317">
        <v>22</v>
      </c>
      <c r="Y1317" t="s">
        <v>47</v>
      </c>
      <c r="Z1317">
        <v>1</v>
      </c>
      <c r="AA1317">
        <v>33</v>
      </c>
      <c r="AB1317">
        <v>3</v>
      </c>
    </row>
    <row r="1318" spans="10:28">
      <c r="J1318" s="340" t="str">
        <f t="shared" si="89"/>
        <v>2003FemaleNon-Maori245</v>
      </c>
      <c r="K1318">
        <v>2003</v>
      </c>
      <c r="L1318" t="s">
        <v>8</v>
      </c>
      <c r="M1318" t="s">
        <v>19</v>
      </c>
      <c r="N1318">
        <v>24</v>
      </c>
      <c r="O1318">
        <v>5</v>
      </c>
      <c r="P1318">
        <v>7</v>
      </c>
      <c r="Q1318">
        <v>13.1738167878763</v>
      </c>
      <c r="R1318">
        <v>9.8000000000000007</v>
      </c>
      <c r="T1318" s="340" t="str">
        <f t="shared" si="90"/>
        <v>2002AllSexMaori23Poisoning by solids and liquids</v>
      </c>
      <c r="U1318">
        <v>2002</v>
      </c>
      <c r="V1318" t="s">
        <v>17</v>
      </c>
      <c r="W1318" t="s">
        <v>18</v>
      </c>
      <c r="X1318">
        <v>23</v>
      </c>
      <c r="Y1318" t="s">
        <v>47</v>
      </c>
      <c r="Z1318">
        <v>4</v>
      </c>
      <c r="AA1318">
        <v>40</v>
      </c>
      <c r="AB1318">
        <v>10</v>
      </c>
    </row>
    <row r="1319" spans="10:28">
      <c r="J1319" s="340" t="str">
        <f t="shared" si="89"/>
        <v>2003FemaleNon-Maori251</v>
      </c>
      <c r="K1319">
        <v>2003</v>
      </c>
      <c r="L1319" t="s">
        <v>8</v>
      </c>
      <c r="M1319" t="s">
        <v>19</v>
      </c>
      <c r="N1319">
        <v>25</v>
      </c>
      <c r="O1319">
        <v>1</v>
      </c>
      <c r="P1319">
        <v>2</v>
      </c>
      <c r="Q1319">
        <v>4.1450005921513302</v>
      </c>
      <c r="R1319">
        <v>5.7</v>
      </c>
      <c r="T1319" s="340" t="str">
        <f t="shared" si="90"/>
        <v>2002AllSexMaori23Sharp object</v>
      </c>
      <c r="U1319">
        <v>2002</v>
      </c>
      <c r="V1319" t="s">
        <v>17</v>
      </c>
      <c r="W1319" t="s">
        <v>18</v>
      </c>
      <c r="X1319">
        <v>23</v>
      </c>
      <c r="Y1319" t="s">
        <v>48</v>
      </c>
      <c r="Z1319">
        <v>1</v>
      </c>
      <c r="AA1319">
        <v>40</v>
      </c>
      <c r="AB1319">
        <v>2.5</v>
      </c>
    </row>
    <row r="1320" spans="10:28">
      <c r="J1320" s="340" t="str">
        <f t="shared" si="89"/>
        <v>2003FemaleNon-Maori252</v>
      </c>
      <c r="K1320">
        <v>2003</v>
      </c>
      <c r="L1320" t="s">
        <v>8</v>
      </c>
      <c r="M1320" t="s">
        <v>19</v>
      </c>
      <c r="N1320">
        <v>25</v>
      </c>
      <c r="O1320">
        <v>2</v>
      </c>
      <c r="P1320">
        <v>4</v>
      </c>
      <c r="Q1320">
        <v>7.4694403438872703</v>
      </c>
      <c r="R1320">
        <v>7.3</v>
      </c>
      <c r="T1320" s="340" t="str">
        <f t="shared" si="90"/>
        <v>2002AllSexNon-Maori22Firearms and explosives</v>
      </c>
      <c r="U1320">
        <v>2002</v>
      </c>
      <c r="V1320" t="s">
        <v>17</v>
      </c>
      <c r="W1320" t="s">
        <v>19</v>
      </c>
      <c r="X1320">
        <v>22</v>
      </c>
      <c r="Y1320" t="s">
        <v>42</v>
      </c>
      <c r="Z1320">
        <v>4</v>
      </c>
      <c r="AA1320">
        <v>63</v>
      </c>
      <c r="AB1320">
        <v>6.3</v>
      </c>
    </row>
    <row r="1321" spans="10:28">
      <c r="J1321" s="340" t="str">
        <f t="shared" si="89"/>
        <v>2003FemaleNon-Maori253</v>
      </c>
      <c r="K1321">
        <v>2003</v>
      </c>
      <c r="L1321" t="s">
        <v>8</v>
      </c>
      <c r="M1321" t="s">
        <v>19</v>
      </c>
      <c r="N1321">
        <v>25</v>
      </c>
      <c r="O1321">
        <v>3</v>
      </c>
      <c r="P1321">
        <v>4</v>
      </c>
      <c r="Q1321">
        <v>7.1125740812695</v>
      </c>
      <c r="R1321">
        <v>7</v>
      </c>
      <c r="T1321" s="340" t="str">
        <f t="shared" si="90"/>
        <v>2002AllSexNon-Maori23Firearms and explosives</v>
      </c>
      <c r="U1321">
        <v>2002</v>
      </c>
      <c r="V1321" t="s">
        <v>17</v>
      </c>
      <c r="W1321" t="s">
        <v>19</v>
      </c>
      <c r="X1321">
        <v>23</v>
      </c>
      <c r="Y1321" t="s">
        <v>42</v>
      </c>
      <c r="Z1321">
        <v>18</v>
      </c>
      <c r="AA1321">
        <v>173</v>
      </c>
      <c r="AB1321">
        <v>10.4</v>
      </c>
    </row>
    <row r="1322" spans="10:28">
      <c r="J1322" s="340" t="str">
        <f t="shared" si="89"/>
        <v>2003FemaleNon-Maori254</v>
      </c>
      <c r="K1322">
        <v>2003</v>
      </c>
      <c r="L1322" t="s">
        <v>8</v>
      </c>
      <c r="M1322" t="s">
        <v>19</v>
      </c>
      <c r="N1322">
        <v>25</v>
      </c>
      <c r="O1322">
        <v>4</v>
      </c>
      <c r="P1322">
        <v>5</v>
      </c>
      <c r="Q1322">
        <v>8.8061010644599307</v>
      </c>
      <c r="R1322">
        <v>7.7</v>
      </c>
      <c r="T1322" s="340" t="str">
        <f t="shared" si="90"/>
        <v>2002AllSexNon-Maori24Firearms and explosives</v>
      </c>
      <c r="U1322">
        <v>2002</v>
      </c>
      <c r="V1322" t="s">
        <v>17</v>
      </c>
      <c r="W1322" t="s">
        <v>19</v>
      </c>
      <c r="X1322">
        <v>24</v>
      </c>
      <c r="Y1322" t="s">
        <v>42</v>
      </c>
      <c r="Z1322">
        <v>16</v>
      </c>
      <c r="AA1322">
        <v>106</v>
      </c>
      <c r="AB1322">
        <v>15.1</v>
      </c>
    </row>
    <row r="1323" spans="10:28">
      <c r="J1323" s="340" t="str">
        <f t="shared" si="89"/>
        <v>2003FemaleNon-Maori255</v>
      </c>
      <c r="K1323">
        <v>2003</v>
      </c>
      <c r="L1323" t="s">
        <v>8</v>
      </c>
      <c r="M1323" t="s">
        <v>19</v>
      </c>
      <c r="N1323">
        <v>25</v>
      </c>
      <c r="O1323">
        <v>5</v>
      </c>
      <c r="P1323">
        <v>4</v>
      </c>
      <c r="Q1323">
        <v>10.2510692680682</v>
      </c>
      <c r="R1323">
        <v>10</v>
      </c>
      <c r="T1323" s="340" t="str">
        <f t="shared" si="90"/>
        <v>2002AllSexNon-Maori25Firearms and explosives</v>
      </c>
      <c r="U1323">
        <v>2002</v>
      </c>
      <c r="V1323" t="s">
        <v>17</v>
      </c>
      <c r="W1323" t="s">
        <v>19</v>
      </c>
      <c r="X1323">
        <v>25</v>
      </c>
      <c r="Y1323" t="s">
        <v>42</v>
      </c>
      <c r="Z1323">
        <v>7</v>
      </c>
      <c r="AA1323">
        <v>48</v>
      </c>
      <c r="AB1323">
        <v>14.6</v>
      </c>
    </row>
    <row r="1324" spans="10:28">
      <c r="J1324" s="340" t="str">
        <f t="shared" si="89"/>
        <v>2003MaleAllEth211</v>
      </c>
      <c r="K1324">
        <v>2003</v>
      </c>
      <c r="L1324" t="s">
        <v>20</v>
      </c>
      <c r="M1324" t="s">
        <v>27</v>
      </c>
      <c r="N1324">
        <v>21</v>
      </c>
      <c r="O1324">
        <v>1</v>
      </c>
      <c r="P1324">
        <v>0</v>
      </c>
      <c r="Q1324">
        <v>0</v>
      </c>
      <c r="T1324" s="340" t="str">
        <f t="shared" si="90"/>
        <v>2002AllSexNon-Maori22Hanging, strangulation and suffocation</v>
      </c>
      <c r="U1324">
        <v>2002</v>
      </c>
      <c r="V1324" t="s">
        <v>17</v>
      </c>
      <c r="W1324" t="s">
        <v>19</v>
      </c>
      <c r="X1324">
        <v>22</v>
      </c>
      <c r="Y1324" t="s">
        <v>43</v>
      </c>
      <c r="Z1324">
        <v>34</v>
      </c>
      <c r="AA1324">
        <v>63</v>
      </c>
      <c r="AB1324">
        <v>54</v>
      </c>
    </row>
    <row r="1325" spans="10:28">
      <c r="J1325" s="340" t="str">
        <f t="shared" si="89"/>
        <v>2003MaleAllEth212</v>
      </c>
      <c r="K1325">
        <v>2003</v>
      </c>
      <c r="L1325" t="s">
        <v>20</v>
      </c>
      <c r="M1325" t="s">
        <v>27</v>
      </c>
      <c r="N1325">
        <v>21</v>
      </c>
      <c r="O1325">
        <v>2</v>
      </c>
      <c r="P1325">
        <v>0</v>
      </c>
      <c r="Q1325">
        <v>0</v>
      </c>
      <c r="T1325" s="340" t="str">
        <f t="shared" si="90"/>
        <v>2002AllSexNon-Maori23Hanging, strangulation and suffocation</v>
      </c>
      <c r="U1325">
        <v>2002</v>
      </c>
      <c r="V1325" t="s">
        <v>17</v>
      </c>
      <c r="W1325" t="s">
        <v>19</v>
      </c>
      <c r="X1325">
        <v>23</v>
      </c>
      <c r="Y1325" t="s">
        <v>43</v>
      </c>
      <c r="Z1325">
        <v>69</v>
      </c>
      <c r="AA1325">
        <v>173</v>
      </c>
      <c r="AB1325">
        <v>39.9</v>
      </c>
    </row>
    <row r="1326" spans="10:28">
      <c r="J1326" s="340" t="str">
        <f t="shared" si="89"/>
        <v>2003MaleAllEth213</v>
      </c>
      <c r="K1326">
        <v>2003</v>
      </c>
      <c r="L1326" t="s">
        <v>20</v>
      </c>
      <c r="M1326" t="s">
        <v>27</v>
      </c>
      <c r="N1326">
        <v>21</v>
      </c>
      <c r="O1326">
        <v>3</v>
      </c>
      <c r="P1326">
        <v>0</v>
      </c>
      <c r="Q1326">
        <v>0</v>
      </c>
      <c r="T1326" s="340" t="str">
        <f t="shared" si="90"/>
        <v>2002AllSexNon-Maori24Hanging, strangulation and suffocation</v>
      </c>
      <c r="U1326">
        <v>2002</v>
      </c>
      <c r="V1326" t="s">
        <v>17</v>
      </c>
      <c r="W1326" t="s">
        <v>19</v>
      </c>
      <c r="X1326">
        <v>24</v>
      </c>
      <c r="Y1326" t="s">
        <v>43</v>
      </c>
      <c r="Z1326">
        <v>45</v>
      </c>
      <c r="AA1326">
        <v>106</v>
      </c>
      <c r="AB1326">
        <v>42.5</v>
      </c>
    </row>
    <row r="1327" spans="10:28">
      <c r="J1327" s="340" t="str">
        <f t="shared" si="89"/>
        <v>2003MaleAllEth214</v>
      </c>
      <c r="K1327">
        <v>2003</v>
      </c>
      <c r="L1327" t="s">
        <v>20</v>
      </c>
      <c r="M1327" t="s">
        <v>27</v>
      </c>
      <c r="N1327">
        <v>21</v>
      </c>
      <c r="O1327">
        <v>4</v>
      </c>
      <c r="P1327">
        <v>1</v>
      </c>
      <c r="Q1327">
        <v>1.1671342099136901</v>
      </c>
      <c r="R1327">
        <v>2.2999999999999998</v>
      </c>
      <c r="T1327" s="340" t="str">
        <f t="shared" si="90"/>
        <v>2002AllSexNon-Maori25Hanging, strangulation and suffocation</v>
      </c>
      <c r="U1327">
        <v>2002</v>
      </c>
      <c r="V1327" t="s">
        <v>17</v>
      </c>
      <c r="W1327" t="s">
        <v>19</v>
      </c>
      <c r="X1327">
        <v>25</v>
      </c>
      <c r="Y1327" t="s">
        <v>43</v>
      </c>
      <c r="Z1327">
        <v>13</v>
      </c>
      <c r="AA1327">
        <v>48</v>
      </c>
      <c r="AB1327">
        <v>27.1</v>
      </c>
    </row>
    <row r="1328" spans="10:28">
      <c r="J1328" s="340" t="str">
        <f t="shared" si="89"/>
        <v>2003MaleAllEth215</v>
      </c>
      <c r="K1328">
        <v>2003</v>
      </c>
      <c r="L1328" t="s">
        <v>20</v>
      </c>
      <c r="M1328" t="s">
        <v>27</v>
      </c>
      <c r="N1328">
        <v>21</v>
      </c>
      <c r="O1328">
        <v>5</v>
      </c>
      <c r="P1328">
        <v>3</v>
      </c>
      <c r="Q1328">
        <v>2.7781243179623698</v>
      </c>
      <c r="R1328">
        <v>3.1</v>
      </c>
      <c r="T1328" s="340" t="str">
        <f t="shared" si="90"/>
        <v>2002AllSexNon-Maori22Jumping from a high place</v>
      </c>
      <c r="U1328">
        <v>2002</v>
      </c>
      <c r="V1328" t="s">
        <v>17</v>
      </c>
      <c r="W1328" t="s">
        <v>19</v>
      </c>
      <c r="X1328">
        <v>22</v>
      </c>
      <c r="Y1328" t="s">
        <v>44</v>
      </c>
      <c r="Z1328">
        <v>2</v>
      </c>
      <c r="AA1328">
        <v>63</v>
      </c>
      <c r="AB1328">
        <v>3.2</v>
      </c>
    </row>
    <row r="1329" spans="10:28">
      <c r="J1329" s="340" t="str">
        <f t="shared" si="89"/>
        <v>2003MaleAllEth221</v>
      </c>
      <c r="K1329">
        <v>2003</v>
      </c>
      <c r="L1329" t="s">
        <v>20</v>
      </c>
      <c r="M1329" t="s">
        <v>27</v>
      </c>
      <c r="N1329">
        <v>22</v>
      </c>
      <c r="O1329">
        <v>1</v>
      </c>
      <c r="P1329">
        <v>9</v>
      </c>
      <c r="Q1329">
        <v>17.874208127810501</v>
      </c>
      <c r="R1329">
        <v>11.7</v>
      </c>
      <c r="T1329" s="340" t="str">
        <f t="shared" si="90"/>
        <v>2002AllSexNon-Maori23Jumping from a high place</v>
      </c>
      <c r="U1329">
        <v>2002</v>
      </c>
      <c r="V1329" t="s">
        <v>17</v>
      </c>
      <c r="W1329" t="s">
        <v>19</v>
      </c>
      <c r="X1329">
        <v>23</v>
      </c>
      <c r="Y1329" t="s">
        <v>44</v>
      </c>
      <c r="Z1329">
        <v>10</v>
      </c>
      <c r="AA1329">
        <v>173</v>
      </c>
      <c r="AB1329">
        <v>5.8</v>
      </c>
    </row>
    <row r="1330" spans="10:28">
      <c r="J1330" s="340" t="str">
        <f t="shared" si="89"/>
        <v>2003MaleAllEth222</v>
      </c>
      <c r="K1330">
        <v>2003</v>
      </c>
      <c r="L1330" t="s">
        <v>20</v>
      </c>
      <c r="M1330" t="s">
        <v>27</v>
      </c>
      <c r="N1330">
        <v>22</v>
      </c>
      <c r="O1330">
        <v>2</v>
      </c>
      <c r="P1330">
        <v>8</v>
      </c>
      <c r="Q1330">
        <v>15.0232020855308</v>
      </c>
      <c r="R1330">
        <v>10.4</v>
      </c>
      <c r="T1330" s="340" t="str">
        <f t="shared" si="90"/>
        <v>2002AllSexNon-Maori24Jumping from a high place</v>
      </c>
      <c r="U1330">
        <v>2002</v>
      </c>
      <c r="V1330" t="s">
        <v>17</v>
      </c>
      <c r="W1330" t="s">
        <v>19</v>
      </c>
      <c r="X1330">
        <v>24</v>
      </c>
      <c r="Y1330" t="s">
        <v>44</v>
      </c>
      <c r="Z1330">
        <v>1</v>
      </c>
      <c r="AA1330">
        <v>106</v>
      </c>
      <c r="AB1330">
        <v>0.9</v>
      </c>
    </row>
    <row r="1331" spans="10:28">
      <c r="J1331" s="340" t="str">
        <f t="shared" si="89"/>
        <v>2003MaleAllEth223</v>
      </c>
      <c r="K1331">
        <v>2003</v>
      </c>
      <c r="L1331" t="s">
        <v>20</v>
      </c>
      <c r="M1331" t="s">
        <v>27</v>
      </c>
      <c r="N1331">
        <v>22</v>
      </c>
      <c r="O1331">
        <v>3</v>
      </c>
      <c r="P1331">
        <v>13</v>
      </c>
      <c r="Q1331">
        <v>22.9354311334816</v>
      </c>
      <c r="R1331">
        <v>12.5</v>
      </c>
      <c r="T1331" s="340" t="str">
        <f t="shared" si="90"/>
        <v>2002AllSexNon-Maori25Jumping from a high place</v>
      </c>
      <c r="U1331">
        <v>2002</v>
      </c>
      <c r="V1331" t="s">
        <v>17</v>
      </c>
      <c r="W1331" t="s">
        <v>19</v>
      </c>
      <c r="X1331">
        <v>25</v>
      </c>
      <c r="Y1331" t="s">
        <v>44</v>
      </c>
      <c r="Z1331">
        <v>5</v>
      </c>
      <c r="AA1331">
        <v>48</v>
      </c>
      <c r="AB1331">
        <v>10.4</v>
      </c>
    </row>
    <row r="1332" spans="10:28">
      <c r="J1332" s="340" t="str">
        <f t="shared" si="89"/>
        <v>2003MaleAllEth224</v>
      </c>
      <c r="K1332">
        <v>2003</v>
      </c>
      <c r="L1332" t="s">
        <v>20</v>
      </c>
      <c r="M1332" t="s">
        <v>27</v>
      </c>
      <c r="N1332">
        <v>22</v>
      </c>
      <c r="O1332">
        <v>4</v>
      </c>
      <c r="P1332">
        <v>19</v>
      </c>
      <c r="Q1332">
        <v>31.095434792089002</v>
      </c>
      <c r="R1332">
        <v>14</v>
      </c>
      <c r="T1332" s="340" t="str">
        <f t="shared" si="90"/>
        <v>2002AllSexNon-Maori22Other</v>
      </c>
      <c r="U1332">
        <v>2002</v>
      </c>
      <c r="V1332" t="s">
        <v>17</v>
      </c>
      <c r="W1332" t="s">
        <v>19</v>
      </c>
      <c r="X1332">
        <v>22</v>
      </c>
      <c r="Y1332" t="s">
        <v>45</v>
      </c>
      <c r="Z1332">
        <v>4</v>
      </c>
      <c r="AA1332">
        <v>63</v>
      </c>
      <c r="AB1332">
        <v>6.3</v>
      </c>
    </row>
    <row r="1333" spans="10:28">
      <c r="J1333" s="340" t="str">
        <f t="shared" si="89"/>
        <v>2003MaleAllEth225</v>
      </c>
      <c r="K1333">
        <v>2003</v>
      </c>
      <c r="L1333" t="s">
        <v>20</v>
      </c>
      <c r="M1333" t="s">
        <v>27</v>
      </c>
      <c r="N1333">
        <v>22</v>
      </c>
      <c r="O1333">
        <v>5</v>
      </c>
      <c r="P1333">
        <v>16</v>
      </c>
      <c r="Q1333">
        <v>23.116685094872501</v>
      </c>
      <c r="R1333">
        <v>11.3</v>
      </c>
      <c r="T1333" s="340" t="str">
        <f t="shared" si="90"/>
        <v>2002AllSexNon-Maori23Other</v>
      </c>
      <c r="U1333">
        <v>2002</v>
      </c>
      <c r="V1333" t="s">
        <v>17</v>
      </c>
      <c r="W1333" t="s">
        <v>19</v>
      </c>
      <c r="X1333">
        <v>23</v>
      </c>
      <c r="Y1333" t="s">
        <v>45</v>
      </c>
      <c r="Z1333">
        <v>2</v>
      </c>
      <c r="AA1333">
        <v>173</v>
      </c>
      <c r="AB1333">
        <v>1.2</v>
      </c>
    </row>
    <row r="1334" spans="10:28">
      <c r="J1334" s="340" t="str">
        <f t="shared" si="89"/>
        <v>2003MaleAllEth231</v>
      </c>
      <c r="K1334">
        <v>2003</v>
      </c>
      <c r="L1334" t="s">
        <v>20</v>
      </c>
      <c r="M1334" t="s">
        <v>27</v>
      </c>
      <c r="N1334">
        <v>23</v>
      </c>
      <c r="O1334">
        <v>1</v>
      </c>
      <c r="P1334">
        <v>19</v>
      </c>
      <c r="Q1334">
        <v>17.3582992540648</v>
      </c>
      <c r="R1334">
        <v>7.8</v>
      </c>
      <c r="T1334" s="340" t="str">
        <f t="shared" si="90"/>
        <v>2002AllSexNon-Maori24Other</v>
      </c>
      <c r="U1334">
        <v>2002</v>
      </c>
      <c r="V1334" t="s">
        <v>17</v>
      </c>
      <c r="W1334" t="s">
        <v>19</v>
      </c>
      <c r="X1334">
        <v>24</v>
      </c>
      <c r="Y1334" t="s">
        <v>45</v>
      </c>
      <c r="Z1334">
        <v>9</v>
      </c>
      <c r="AA1334">
        <v>106</v>
      </c>
      <c r="AB1334">
        <v>8.5</v>
      </c>
    </row>
    <row r="1335" spans="10:28">
      <c r="J1335" s="340" t="str">
        <f t="shared" si="89"/>
        <v>2003MaleAllEth232</v>
      </c>
      <c r="K1335">
        <v>2003</v>
      </c>
      <c r="L1335" t="s">
        <v>20</v>
      </c>
      <c r="M1335" t="s">
        <v>27</v>
      </c>
      <c r="N1335">
        <v>23</v>
      </c>
      <c r="O1335">
        <v>2</v>
      </c>
      <c r="P1335">
        <v>25</v>
      </c>
      <c r="Q1335">
        <v>21.418207955490601</v>
      </c>
      <c r="R1335">
        <v>8.4</v>
      </c>
      <c r="T1335" s="340" t="str">
        <f t="shared" si="90"/>
        <v>2002AllSexNon-Maori25Other</v>
      </c>
      <c r="U1335">
        <v>2002</v>
      </c>
      <c r="V1335" t="s">
        <v>17</v>
      </c>
      <c r="W1335" t="s">
        <v>19</v>
      </c>
      <c r="X1335">
        <v>25</v>
      </c>
      <c r="Y1335" t="s">
        <v>45</v>
      </c>
      <c r="Z1335">
        <v>1</v>
      </c>
      <c r="AA1335">
        <v>48</v>
      </c>
      <c r="AB1335">
        <v>2.1</v>
      </c>
    </row>
    <row r="1336" spans="10:28">
      <c r="J1336" s="340" t="str">
        <f t="shared" si="89"/>
        <v>2003MaleAllEth233</v>
      </c>
      <c r="K1336">
        <v>2003</v>
      </c>
      <c r="L1336" t="s">
        <v>20</v>
      </c>
      <c r="M1336" t="s">
        <v>27</v>
      </c>
      <c r="N1336">
        <v>23</v>
      </c>
      <c r="O1336">
        <v>3</v>
      </c>
      <c r="P1336">
        <v>37</v>
      </c>
      <c r="Q1336">
        <v>31.366144997546499</v>
      </c>
      <c r="R1336">
        <v>10.1</v>
      </c>
      <c r="T1336" s="340" t="str">
        <f t="shared" si="90"/>
        <v>2002AllSexNon-Maori22Poisoning by gases and vapours</v>
      </c>
      <c r="U1336">
        <v>2002</v>
      </c>
      <c r="V1336" t="s">
        <v>17</v>
      </c>
      <c r="W1336" t="s">
        <v>19</v>
      </c>
      <c r="X1336">
        <v>22</v>
      </c>
      <c r="Y1336" t="s">
        <v>46</v>
      </c>
      <c r="Z1336">
        <v>11</v>
      </c>
      <c r="AA1336">
        <v>63</v>
      </c>
      <c r="AB1336">
        <v>17.5</v>
      </c>
    </row>
    <row r="1337" spans="10:28">
      <c r="J1337" s="340" t="str">
        <f t="shared" si="89"/>
        <v>2003MaleAllEth234</v>
      </c>
      <c r="K1337">
        <v>2003</v>
      </c>
      <c r="L1337" t="s">
        <v>20</v>
      </c>
      <c r="M1337" t="s">
        <v>27</v>
      </c>
      <c r="N1337">
        <v>23</v>
      </c>
      <c r="O1337">
        <v>4</v>
      </c>
      <c r="P1337">
        <v>41</v>
      </c>
      <c r="Q1337">
        <v>35.333909825779799</v>
      </c>
      <c r="R1337">
        <v>10.8</v>
      </c>
      <c r="T1337" s="340" t="str">
        <f t="shared" si="90"/>
        <v>2002AllSexNon-Maori23Poisoning by gases and vapours</v>
      </c>
      <c r="U1337">
        <v>2002</v>
      </c>
      <c r="V1337" t="s">
        <v>17</v>
      </c>
      <c r="W1337" t="s">
        <v>19</v>
      </c>
      <c r="X1337">
        <v>23</v>
      </c>
      <c r="Y1337" t="s">
        <v>46</v>
      </c>
      <c r="Z1337">
        <v>48</v>
      </c>
      <c r="AA1337">
        <v>173</v>
      </c>
      <c r="AB1337">
        <v>27.7</v>
      </c>
    </row>
    <row r="1338" spans="10:28">
      <c r="J1338" s="340" t="str">
        <f t="shared" si="89"/>
        <v>2003MaleAllEth235</v>
      </c>
      <c r="K1338">
        <v>2003</v>
      </c>
      <c r="L1338" t="s">
        <v>20</v>
      </c>
      <c r="M1338" t="s">
        <v>27</v>
      </c>
      <c r="N1338">
        <v>23</v>
      </c>
      <c r="O1338">
        <v>5</v>
      </c>
      <c r="P1338">
        <v>36</v>
      </c>
      <c r="Q1338">
        <v>33.622319452056502</v>
      </c>
      <c r="R1338">
        <v>11</v>
      </c>
      <c r="T1338" s="340" t="str">
        <f t="shared" si="90"/>
        <v>2002AllSexNon-Maori24Poisoning by gases and vapours</v>
      </c>
      <c r="U1338">
        <v>2002</v>
      </c>
      <c r="V1338" t="s">
        <v>17</v>
      </c>
      <c r="W1338" t="s">
        <v>19</v>
      </c>
      <c r="X1338">
        <v>24</v>
      </c>
      <c r="Y1338" t="s">
        <v>46</v>
      </c>
      <c r="Z1338">
        <v>23</v>
      </c>
      <c r="AA1338">
        <v>106</v>
      </c>
      <c r="AB1338">
        <v>21.7</v>
      </c>
    </row>
    <row r="1339" spans="10:28">
      <c r="J1339" s="340" t="str">
        <f t="shared" si="89"/>
        <v>2003MaleAllEth241</v>
      </c>
      <c r="K1339">
        <v>2003</v>
      </c>
      <c r="L1339" t="s">
        <v>20</v>
      </c>
      <c r="M1339" t="s">
        <v>27</v>
      </c>
      <c r="N1339">
        <v>24</v>
      </c>
      <c r="O1339">
        <v>1</v>
      </c>
      <c r="P1339">
        <v>15</v>
      </c>
      <c r="Q1339">
        <v>13.275318637210299</v>
      </c>
      <c r="R1339">
        <v>6.7</v>
      </c>
      <c r="T1339" s="340" t="str">
        <f t="shared" si="90"/>
        <v>2002AllSexNon-Maori25Poisoning by gases and vapours</v>
      </c>
      <c r="U1339">
        <v>2002</v>
      </c>
      <c r="V1339" t="s">
        <v>17</v>
      </c>
      <c r="W1339" t="s">
        <v>19</v>
      </c>
      <c r="X1339">
        <v>25</v>
      </c>
      <c r="Y1339" t="s">
        <v>46</v>
      </c>
      <c r="Z1339">
        <v>9</v>
      </c>
      <c r="AA1339">
        <v>48</v>
      </c>
      <c r="AB1339">
        <v>18.8</v>
      </c>
    </row>
    <row r="1340" spans="10:28">
      <c r="J1340" s="340" t="str">
        <f t="shared" si="89"/>
        <v>2003MaleAllEth242</v>
      </c>
      <c r="K1340">
        <v>2003</v>
      </c>
      <c r="L1340" t="s">
        <v>20</v>
      </c>
      <c r="M1340" t="s">
        <v>27</v>
      </c>
      <c r="N1340">
        <v>24</v>
      </c>
      <c r="O1340">
        <v>2</v>
      </c>
      <c r="P1340">
        <v>16</v>
      </c>
      <c r="Q1340">
        <v>16.195515790066299</v>
      </c>
      <c r="R1340">
        <v>7.9</v>
      </c>
      <c r="T1340" s="340" t="str">
        <f t="shared" si="90"/>
        <v>2002AllSexNon-Maori22Poisoning by solids and liquids</v>
      </c>
      <c r="U1340">
        <v>2002</v>
      </c>
      <c r="V1340" t="s">
        <v>17</v>
      </c>
      <c r="W1340" t="s">
        <v>19</v>
      </c>
      <c r="X1340">
        <v>22</v>
      </c>
      <c r="Y1340" t="s">
        <v>47</v>
      </c>
      <c r="Z1340">
        <v>4</v>
      </c>
      <c r="AA1340">
        <v>63</v>
      </c>
      <c r="AB1340">
        <v>6.3</v>
      </c>
    </row>
    <row r="1341" spans="10:28">
      <c r="J1341" s="340" t="str">
        <f t="shared" si="89"/>
        <v>2003MaleAllEth243</v>
      </c>
      <c r="K1341">
        <v>2003</v>
      </c>
      <c r="L1341" t="s">
        <v>20</v>
      </c>
      <c r="M1341" t="s">
        <v>27</v>
      </c>
      <c r="N1341">
        <v>24</v>
      </c>
      <c r="O1341">
        <v>3</v>
      </c>
      <c r="P1341">
        <v>21</v>
      </c>
      <c r="Q1341">
        <v>23.809541340536398</v>
      </c>
      <c r="R1341">
        <v>10.199999999999999</v>
      </c>
      <c r="T1341" s="340" t="str">
        <f t="shared" si="90"/>
        <v>2002AllSexNon-Maori23Poisoning by solids and liquids</v>
      </c>
      <c r="U1341">
        <v>2002</v>
      </c>
      <c r="V1341" t="s">
        <v>17</v>
      </c>
      <c r="W1341" t="s">
        <v>19</v>
      </c>
      <c r="X1341">
        <v>23</v>
      </c>
      <c r="Y1341" t="s">
        <v>47</v>
      </c>
      <c r="Z1341">
        <v>18</v>
      </c>
      <c r="AA1341">
        <v>173</v>
      </c>
      <c r="AB1341">
        <v>10.4</v>
      </c>
    </row>
    <row r="1342" spans="10:28">
      <c r="J1342" s="340" t="str">
        <f t="shared" si="89"/>
        <v>2003MaleAllEth244</v>
      </c>
      <c r="K1342">
        <v>2003</v>
      </c>
      <c r="L1342" t="s">
        <v>20</v>
      </c>
      <c r="M1342" t="s">
        <v>27</v>
      </c>
      <c r="N1342">
        <v>24</v>
      </c>
      <c r="O1342">
        <v>4</v>
      </c>
      <c r="P1342">
        <v>24</v>
      </c>
      <c r="Q1342">
        <v>29.901430243741</v>
      </c>
      <c r="R1342">
        <v>12</v>
      </c>
      <c r="T1342" s="340" t="str">
        <f t="shared" si="90"/>
        <v>2002AllSexNon-Maori24Poisoning by solids and liquids</v>
      </c>
      <c r="U1342">
        <v>2002</v>
      </c>
      <c r="V1342" t="s">
        <v>17</v>
      </c>
      <c r="W1342" t="s">
        <v>19</v>
      </c>
      <c r="X1342">
        <v>24</v>
      </c>
      <c r="Y1342" t="s">
        <v>47</v>
      </c>
      <c r="Z1342">
        <v>11</v>
      </c>
      <c r="AA1342">
        <v>106</v>
      </c>
      <c r="AB1342">
        <v>10.4</v>
      </c>
    </row>
    <row r="1343" spans="10:28">
      <c r="J1343" s="340" t="str">
        <f t="shared" si="89"/>
        <v>2003MaleAllEth245</v>
      </c>
      <c r="K1343">
        <v>2003</v>
      </c>
      <c r="L1343" t="s">
        <v>20</v>
      </c>
      <c r="M1343" t="s">
        <v>27</v>
      </c>
      <c r="N1343">
        <v>24</v>
      </c>
      <c r="O1343">
        <v>5</v>
      </c>
      <c r="P1343">
        <v>20</v>
      </c>
      <c r="Q1343">
        <v>28.010447589059002</v>
      </c>
      <c r="R1343">
        <v>12.3</v>
      </c>
      <c r="T1343" s="340" t="str">
        <f t="shared" si="90"/>
        <v>2002AllSexNon-Maori25Poisoning by solids and liquids</v>
      </c>
      <c r="U1343">
        <v>2002</v>
      </c>
      <c r="V1343" t="s">
        <v>17</v>
      </c>
      <c r="W1343" t="s">
        <v>19</v>
      </c>
      <c r="X1343">
        <v>25</v>
      </c>
      <c r="Y1343" t="s">
        <v>47</v>
      </c>
      <c r="Z1343">
        <v>9</v>
      </c>
      <c r="AA1343">
        <v>48</v>
      </c>
      <c r="AB1343">
        <v>18.8</v>
      </c>
    </row>
    <row r="1344" spans="10:28">
      <c r="J1344" s="340" t="str">
        <f t="shared" si="89"/>
        <v>2003MaleAllEth251</v>
      </c>
      <c r="K1344">
        <v>2003</v>
      </c>
      <c r="L1344" t="s">
        <v>20</v>
      </c>
      <c r="M1344" t="s">
        <v>27</v>
      </c>
      <c r="N1344">
        <v>25</v>
      </c>
      <c r="O1344">
        <v>1</v>
      </c>
      <c r="P1344">
        <v>5</v>
      </c>
      <c r="Q1344">
        <v>11.6451049297856</v>
      </c>
      <c r="R1344">
        <v>10.199999999999999</v>
      </c>
      <c r="T1344" s="340" t="str">
        <f t="shared" si="90"/>
        <v>2002AllSexNon-Maori22Sharp object</v>
      </c>
      <c r="U1344">
        <v>2002</v>
      </c>
      <c r="V1344" t="s">
        <v>17</v>
      </c>
      <c r="W1344" t="s">
        <v>19</v>
      </c>
      <c r="X1344">
        <v>22</v>
      </c>
      <c r="Y1344" t="s">
        <v>48</v>
      </c>
      <c r="Z1344">
        <v>1</v>
      </c>
      <c r="AA1344">
        <v>63</v>
      </c>
      <c r="AB1344">
        <v>1.6</v>
      </c>
    </row>
    <row r="1345" spans="10:28">
      <c r="J1345" s="340" t="str">
        <f t="shared" si="89"/>
        <v>2003MaleAllEth252</v>
      </c>
      <c r="K1345">
        <v>2003</v>
      </c>
      <c r="L1345" t="s">
        <v>20</v>
      </c>
      <c r="M1345" t="s">
        <v>27</v>
      </c>
      <c r="N1345">
        <v>25</v>
      </c>
      <c r="O1345">
        <v>2</v>
      </c>
      <c r="P1345">
        <v>7</v>
      </c>
      <c r="Q1345">
        <v>15.9876401211278</v>
      </c>
      <c r="R1345">
        <v>11.8</v>
      </c>
      <c r="T1345" s="340" t="str">
        <f t="shared" si="90"/>
        <v>2002AllSexNon-Maori23Sharp object</v>
      </c>
      <c r="U1345">
        <v>2002</v>
      </c>
      <c r="V1345" t="s">
        <v>17</v>
      </c>
      <c r="W1345" t="s">
        <v>19</v>
      </c>
      <c r="X1345">
        <v>23</v>
      </c>
      <c r="Y1345" t="s">
        <v>48</v>
      </c>
      <c r="Z1345">
        <v>3</v>
      </c>
      <c r="AA1345">
        <v>173</v>
      </c>
      <c r="AB1345">
        <v>1.7</v>
      </c>
    </row>
    <row r="1346" spans="10:28">
      <c r="J1346" s="340" t="str">
        <f t="shared" si="89"/>
        <v>2003MaleAllEth253</v>
      </c>
      <c r="K1346">
        <v>2003</v>
      </c>
      <c r="L1346" t="s">
        <v>20</v>
      </c>
      <c r="M1346" t="s">
        <v>27</v>
      </c>
      <c r="N1346">
        <v>25</v>
      </c>
      <c r="O1346">
        <v>3</v>
      </c>
      <c r="P1346">
        <v>15</v>
      </c>
      <c r="Q1346">
        <v>33.570558682418699</v>
      </c>
      <c r="R1346">
        <v>17</v>
      </c>
      <c r="T1346" s="340" t="str">
        <f t="shared" si="90"/>
        <v>2002AllSexNon-Maori22Submersion (drowning)</v>
      </c>
      <c r="U1346">
        <v>2002</v>
      </c>
      <c r="V1346" t="s">
        <v>17</v>
      </c>
      <c r="W1346" t="s">
        <v>19</v>
      </c>
      <c r="X1346">
        <v>22</v>
      </c>
      <c r="Y1346" t="s">
        <v>49</v>
      </c>
      <c r="Z1346">
        <v>3</v>
      </c>
      <c r="AA1346">
        <v>63</v>
      </c>
      <c r="AB1346">
        <v>4.8</v>
      </c>
    </row>
    <row r="1347" spans="10:28">
      <c r="J1347" s="340" t="str">
        <f t="shared" si="89"/>
        <v>2003MaleAllEth254</v>
      </c>
      <c r="K1347">
        <v>2003</v>
      </c>
      <c r="L1347" t="s">
        <v>20</v>
      </c>
      <c r="M1347" t="s">
        <v>27</v>
      </c>
      <c r="N1347">
        <v>25</v>
      </c>
      <c r="O1347">
        <v>4</v>
      </c>
      <c r="P1347">
        <v>10</v>
      </c>
      <c r="Q1347">
        <v>23.012393443493899</v>
      </c>
      <c r="R1347">
        <v>14.3</v>
      </c>
      <c r="T1347" s="340" t="str">
        <f t="shared" si="90"/>
        <v>2002AllSexNon-Maori23Submersion (drowning)</v>
      </c>
      <c r="U1347">
        <v>2002</v>
      </c>
      <c r="V1347" t="s">
        <v>17</v>
      </c>
      <c r="W1347" t="s">
        <v>19</v>
      </c>
      <c r="X1347">
        <v>23</v>
      </c>
      <c r="Y1347" t="s">
        <v>49</v>
      </c>
      <c r="Z1347">
        <v>5</v>
      </c>
      <c r="AA1347">
        <v>173</v>
      </c>
      <c r="AB1347">
        <v>2.9</v>
      </c>
    </row>
    <row r="1348" spans="10:28">
      <c r="J1348" s="340" t="str">
        <f t="shared" ref="J1348:J1411" si="91">K1348&amp;L1348&amp;M1348&amp;N1348&amp;O1348</f>
        <v>2003MaleAllEth255</v>
      </c>
      <c r="K1348">
        <v>2003</v>
      </c>
      <c r="L1348" t="s">
        <v>20</v>
      </c>
      <c r="M1348" t="s">
        <v>27</v>
      </c>
      <c r="N1348">
        <v>25</v>
      </c>
      <c r="O1348">
        <v>5</v>
      </c>
      <c r="P1348">
        <v>6</v>
      </c>
      <c r="Q1348">
        <v>17.161083605283601</v>
      </c>
      <c r="R1348">
        <v>13.7</v>
      </c>
      <c r="T1348" s="340" t="str">
        <f t="shared" si="90"/>
        <v>2002AllSexNon-Maori24Submersion (drowning)</v>
      </c>
      <c r="U1348">
        <v>2002</v>
      </c>
      <c r="V1348" t="s">
        <v>17</v>
      </c>
      <c r="W1348" t="s">
        <v>19</v>
      </c>
      <c r="X1348">
        <v>24</v>
      </c>
      <c r="Y1348" t="s">
        <v>49</v>
      </c>
      <c r="Z1348">
        <v>1</v>
      </c>
      <c r="AA1348">
        <v>106</v>
      </c>
      <c r="AB1348">
        <v>0.9</v>
      </c>
    </row>
    <row r="1349" spans="10:28">
      <c r="J1349" s="340" t="str">
        <f t="shared" si="91"/>
        <v>2003MaleMaori211</v>
      </c>
      <c r="K1349">
        <v>2003</v>
      </c>
      <c r="L1349" t="s">
        <v>20</v>
      </c>
      <c r="M1349" t="s">
        <v>18</v>
      </c>
      <c r="N1349">
        <v>21</v>
      </c>
      <c r="O1349">
        <v>1</v>
      </c>
      <c r="P1349">
        <v>0</v>
      </c>
      <c r="Q1349">
        <v>0</v>
      </c>
      <c r="T1349" s="340" t="str">
        <f t="shared" ref="T1349:T1412" si="92">U1349&amp;V1349&amp;W1349&amp;X1349&amp;Y1349</f>
        <v>2002AllSexNon-Maori25Submersion (drowning)</v>
      </c>
      <c r="U1349">
        <v>2002</v>
      </c>
      <c r="V1349" t="s">
        <v>17</v>
      </c>
      <c r="W1349" t="s">
        <v>19</v>
      </c>
      <c r="X1349">
        <v>25</v>
      </c>
      <c r="Y1349" t="s">
        <v>49</v>
      </c>
      <c r="Z1349">
        <v>4</v>
      </c>
      <c r="AA1349">
        <v>48</v>
      </c>
      <c r="AB1349">
        <v>8.3000000000000007</v>
      </c>
    </row>
    <row r="1350" spans="10:28">
      <c r="J1350" s="340" t="str">
        <f t="shared" si="91"/>
        <v>2003MaleMaori212</v>
      </c>
      <c r="K1350">
        <v>2003</v>
      </c>
      <c r="L1350" t="s">
        <v>20</v>
      </c>
      <c r="M1350" t="s">
        <v>18</v>
      </c>
      <c r="N1350">
        <v>21</v>
      </c>
      <c r="O1350">
        <v>2</v>
      </c>
      <c r="P1350">
        <v>0</v>
      </c>
      <c r="Q1350">
        <v>0</v>
      </c>
      <c r="T1350" s="340" t="str">
        <f t="shared" si="92"/>
        <v>2002FemaleAllEth22Firearms and explosives</v>
      </c>
      <c r="U1350">
        <v>2002</v>
      </c>
      <c r="V1350" t="s">
        <v>8</v>
      </c>
      <c r="W1350" t="s">
        <v>27</v>
      </c>
      <c r="X1350">
        <v>22</v>
      </c>
      <c r="Y1350" t="s">
        <v>42</v>
      </c>
      <c r="Z1350">
        <v>1</v>
      </c>
      <c r="AA1350">
        <v>30</v>
      </c>
      <c r="AB1350">
        <v>3.3</v>
      </c>
    </row>
    <row r="1351" spans="10:28">
      <c r="J1351" s="340" t="str">
        <f t="shared" si="91"/>
        <v>2003MaleMaori213</v>
      </c>
      <c r="K1351">
        <v>2003</v>
      </c>
      <c r="L1351" t="s">
        <v>20</v>
      </c>
      <c r="M1351" t="s">
        <v>18</v>
      </c>
      <c r="N1351">
        <v>21</v>
      </c>
      <c r="O1351">
        <v>3</v>
      </c>
      <c r="P1351">
        <v>0</v>
      </c>
      <c r="Q1351">
        <v>0</v>
      </c>
      <c r="T1351" s="340" t="str">
        <f t="shared" si="92"/>
        <v>2002FemaleAllEth23Firearms and explosives</v>
      </c>
      <c r="U1351">
        <v>2002</v>
      </c>
      <c r="V1351" t="s">
        <v>8</v>
      </c>
      <c r="W1351" t="s">
        <v>27</v>
      </c>
      <c r="X1351">
        <v>23</v>
      </c>
      <c r="Y1351" t="s">
        <v>42</v>
      </c>
      <c r="Z1351">
        <v>2</v>
      </c>
      <c r="AA1351">
        <v>47</v>
      </c>
      <c r="AB1351">
        <v>4.3</v>
      </c>
    </row>
    <row r="1352" spans="10:28">
      <c r="J1352" s="340" t="str">
        <f t="shared" si="91"/>
        <v>2003MaleMaori214</v>
      </c>
      <c r="K1352">
        <v>2003</v>
      </c>
      <c r="L1352" t="s">
        <v>20</v>
      </c>
      <c r="M1352" t="s">
        <v>18</v>
      </c>
      <c r="N1352">
        <v>21</v>
      </c>
      <c r="O1352">
        <v>4</v>
      </c>
      <c r="P1352">
        <v>1</v>
      </c>
      <c r="Q1352">
        <v>3.8988336720663099</v>
      </c>
      <c r="R1352">
        <v>7.6</v>
      </c>
      <c r="T1352" s="340" t="str">
        <f t="shared" si="92"/>
        <v>2002FemaleAllEth22Hanging, strangulation and suffocation</v>
      </c>
      <c r="U1352">
        <v>2002</v>
      </c>
      <c r="V1352" t="s">
        <v>8</v>
      </c>
      <c r="W1352" t="s">
        <v>27</v>
      </c>
      <c r="X1352">
        <v>22</v>
      </c>
      <c r="Y1352" t="s">
        <v>43</v>
      </c>
      <c r="Z1352">
        <v>19</v>
      </c>
      <c r="AA1352">
        <v>30</v>
      </c>
      <c r="AB1352">
        <v>63.3</v>
      </c>
    </row>
    <row r="1353" spans="10:28">
      <c r="J1353" s="340" t="str">
        <f t="shared" si="91"/>
        <v>2003MaleMaori215</v>
      </c>
      <c r="K1353">
        <v>2003</v>
      </c>
      <c r="L1353" t="s">
        <v>20</v>
      </c>
      <c r="M1353" t="s">
        <v>18</v>
      </c>
      <c r="N1353">
        <v>21</v>
      </c>
      <c r="O1353">
        <v>5</v>
      </c>
      <c r="P1353">
        <v>3</v>
      </c>
      <c r="Q1353">
        <v>6.2214812979085403</v>
      </c>
      <c r="R1353">
        <v>7</v>
      </c>
      <c r="T1353" s="340" t="str">
        <f t="shared" si="92"/>
        <v>2002FemaleAllEth23Hanging, strangulation and suffocation</v>
      </c>
      <c r="U1353">
        <v>2002</v>
      </c>
      <c r="V1353" t="s">
        <v>8</v>
      </c>
      <c r="W1353" t="s">
        <v>27</v>
      </c>
      <c r="X1353">
        <v>23</v>
      </c>
      <c r="Y1353" t="s">
        <v>43</v>
      </c>
      <c r="Z1353">
        <v>16</v>
      </c>
      <c r="AA1353">
        <v>47</v>
      </c>
      <c r="AB1353">
        <v>34</v>
      </c>
    </row>
    <row r="1354" spans="10:28">
      <c r="J1354" s="340" t="str">
        <f t="shared" si="91"/>
        <v>2003MaleMaori221</v>
      </c>
      <c r="K1354">
        <v>2003</v>
      </c>
      <c r="L1354" t="s">
        <v>20</v>
      </c>
      <c r="M1354" t="s">
        <v>18</v>
      </c>
      <c r="N1354">
        <v>22</v>
      </c>
      <c r="O1354">
        <v>1</v>
      </c>
      <c r="P1354">
        <v>1</v>
      </c>
      <c r="Q1354">
        <v>24.8029512673521</v>
      </c>
      <c r="R1354">
        <v>48.6</v>
      </c>
      <c r="T1354" s="340" t="str">
        <f t="shared" si="92"/>
        <v>2002FemaleAllEth24Hanging, strangulation and suffocation</v>
      </c>
      <c r="U1354">
        <v>2002</v>
      </c>
      <c r="V1354" t="s">
        <v>8</v>
      </c>
      <c r="W1354" t="s">
        <v>27</v>
      </c>
      <c r="X1354">
        <v>24</v>
      </c>
      <c r="Y1354" t="s">
        <v>43</v>
      </c>
      <c r="Z1354">
        <v>13</v>
      </c>
      <c r="AA1354">
        <v>25</v>
      </c>
      <c r="AB1354">
        <v>52</v>
      </c>
    </row>
    <row r="1355" spans="10:28">
      <c r="J1355" s="340" t="str">
        <f t="shared" si="91"/>
        <v>2003MaleMaori222</v>
      </c>
      <c r="K1355">
        <v>2003</v>
      </c>
      <c r="L1355" t="s">
        <v>20</v>
      </c>
      <c r="M1355" t="s">
        <v>18</v>
      </c>
      <c r="N1355">
        <v>22</v>
      </c>
      <c r="O1355">
        <v>2</v>
      </c>
      <c r="P1355">
        <v>2</v>
      </c>
      <c r="Q1355">
        <v>33.628358856186097</v>
      </c>
      <c r="R1355">
        <v>46.6</v>
      </c>
      <c r="T1355" s="340" t="str">
        <f t="shared" si="92"/>
        <v>2002FemaleAllEth25Hanging, strangulation and suffocation</v>
      </c>
      <c r="U1355">
        <v>2002</v>
      </c>
      <c r="V1355" t="s">
        <v>8</v>
      </c>
      <c r="W1355" t="s">
        <v>27</v>
      </c>
      <c r="X1355">
        <v>25</v>
      </c>
      <c r="Y1355" t="s">
        <v>43</v>
      </c>
      <c r="Z1355">
        <v>3</v>
      </c>
      <c r="AA1355">
        <v>12</v>
      </c>
      <c r="AB1355">
        <v>25</v>
      </c>
    </row>
    <row r="1356" spans="10:28">
      <c r="J1356" s="340" t="str">
        <f t="shared" si="91"/>
        <v>2003MaleMaori223</v>
      </c>
      <c r="K1356">
        <v>2003</v>
      </c>
      <c r="L1356" t="s">
        <v>20</v>
      </c>
      <c r="M1356" t="s">
        <v>18</v>
      </c>
      <c r="N1356">
        <v>22</v>
      </c>
      <c r="O1356">
        <v>3</v>
      </c>
      <c r="P1356">
        <v>4</v>
      </c>
      <c r="Q1356">
        <v>45.386410378450002</v>
      </c>
      <c r="R1356">
        <v>44.5</v>
      </c>
      <c r="T1356" s="340" t="str">
        <f t="shared" si="92"/>
        <v>2002FemaleAllEth22Jumping from a high place</v>
      </c>
      <c r="U1356">
        <v>2002</v>
      </c>
      <c r="V1356" t="s">
        <v>8</v>
      </c>
      <c r="W1356" t="s">
        <v>27</v>
      </c>
      <c r="X1356">
        <v>22</v>
      </c>
      <c r="Y1356" t="s">
        <v>44</v>
      </c>
      <c r="Z1356">
        <v>1</v>
      </c>
      <c r="AA1356">
        <v>30</v>
      </c>
      <c r="AB1356">
        <v>3.3</v>
      </c>
    </row>
    <row r="1357" spans="10:28">
      <c r="J1357" s="340" t="str">
        <f t="shared" si="91"/>
        <v>2003MaleMaori224</v>
      </c>
      <c r="K1357">
        <v>2003</v>
      </c>
      <c r="L1357" t="s">
        <v>20</v>
      </c>
      <c r="M1357" t="s">
        <v>18</v>
      </c>
      <c r="N1357">
        <v>22</v>
      </c>
      <c r="O1357">
        <v>4</v>
      </c>
      <c r="P1357">
        <v>4</v>
      </c>
      <c r="Q1357">
        <v>31.214506571327899</v>
      </c>
      <c r="R1357">
        <v>30.6</v>
      </c>
      <c r="T1357" s="340" t="str">
        <f t="shared" si="92"/>
        <v>2002FemaleAllEth23Jumping from a high place</v>
      </c>
      <c r="U1357">
        <v>2002</v>
      </c>
      <c r="V1357" t="s">
        <v>8</v>
      </c>
      <c r="W1357" t="s">
        <v>27</v>
      </c>
      <c r="X1357">
        <v>23</v>
      </c>
      <c r="Y1357" t="s">
        <v>44</v>
      </c>
      <c r="Z1357">
        <v>5</v>
      </c>
      <c r="AA1357">
        <v>47</v>
      </c>
      <c r="AB1357">
        <v>10.6</v>
      </c>
    </row>
    <row r="1358" spans="10:28">
      <c r="J1358" s="340" t="str">
        <f t="shared" si="91"/>
        <v>2003MaleMaori225</v>
      </c>
      <c r="K1358">
        <v>2003</v>
      </c>
      <c r="L1358" t="s">
        <v>20</v>
      </c>
      <c r="M1358" t="s">
        <v>18</v>
      </c>
      <c r="N1358">
        <v>22</v>
      </c>
      <c r="O1358">
        <v>5</v>
      </c>
      <c r="P1358">
        <v>9</v>
      </c>
      <c r="Q1358">
        <v>40.959182058679097</v>
      </c>
      <c r="R1358">
        <v>26.8</v>
      </c>
      <c r="T1358" s="340" t="str">
        <f t="shared" si="92"/>
        <v>2002FemaleAllEth24Jumping from a high place</v>
      </c>
      <c r="U1358">
        <v>2002</v>
      </c>
      <c r="V1358" t="s">
        <v>8</v>
      </c>
      <c r="W1358" t="s">
        <v>27</v>
      </c>
      <c r="X1358">
        <v>24</v>
      </c>
      <c r="Y1358" t="s">
        <v>44</v>
      </c>
      <c r="Z1358">
        <v>1</v>
      </c>
      <c r="AA1358">
        <v>25</v>
      </c>
      <c r="AB1358">
        <v>4</v>
      </c>
    </row>
    <row r="1359" spans="10:28">
      <c r="J1359" s="340" t="str">
        <f t="shared" si="91"/>
        <v>2003MaleMaori231</v>
      </c>
      <c r="K1359">
        <v>2003</v>
      </c>
      <c r="L1359" t="s">
        <v>20</v>
      </c>
      <c r="M1359" t="s">
        <v>18</v>
      </c>
      <c r="N1359">
        <v>23</v>
      </c>
      <c r="O1359">
        <v>1</v>
      </c>
      <c r="P1359">
        <v>1</v>
      </c>
      <c r="Q1359">
        <v>14.0764177553172</v>
      </c>
      <c r="R1359">
        <v>27.6</v>
      </c>
      <c r="T1359" s="340" t="str">
        <f t="shared" si="92"/>
        <v>2002FemaleAllEth23Other</v>
      </c>
      <c r="U1359">
        <v>2002</v>
      </c>
      <c r="V1359" t="s">
        <v>8</v>
      </c>
      <c r="W1359" t="s">
        <v>27</v>
      </c>
      <c r="X1359">
        <v>23</v>
      </c>
      <c r="Y1359" t="s">
        <v>45</v>
      </c>
      <c r="Z1359">
        <v>1</v>
      </c>
      <c r="AA1359">
        <v>47</v>
      </c>
      <c r="AB1359">
        <v>2.1</v>
      </c>
    </row>
    <row r="1360" spans="10:28">
      <c r="J1360" s="340" t="str">
        <f t="shared" si="91"/>
        <v>2003MaleMaori232</v>
      </c>
      <c r="K1360">
        <v>2003</v>
      </c>
      <c r="L1360" t="s">
        <v>20</v>
      </c>
      <c r="M1360" t="s">
        <v>18</v>
      </c>
      <c r="N1360">
        <v>23</v>
      </c>
      <c r="O1360">
        <v>2</v>
      </c>
      <c r="P1360">
        <v>2</v>
      </c>
      <c r="Q1360">
        <v>19.696416240395799</v>
      </c>
      <c r="R1360">
        <v>27.3</v>
      </c>
      <c r="T1360" s="340" t="str">
        <f t="shared" si="92"/>
        <v>2002FemaleAllEth24Other</v>
      </c>
      <c r="U1360">
        <v>2002</v>
      </c>
      <c r="V1360" t="s">
        <v>8</v>
      </c>
      <c r="W1360" t="s">
        <v>27</v>
      </c>
      <c r="X1360">
        <v>24</v>
      </c>
      <c r="Y1360" t="s">
        <v>45</v>
      </c>
      <c r="Z1360">
        <v>2</v>
      </c>
      <c r="AA1360">
        <v>25</v>
      </c>
      <c r="AB1360">
        <v>8</v>
      </c>
    </row>
    <row r="1361" spans="10:28">
      <c r="J1361" s="340" t="str">
        <f t="shared" si="91"/>
        <v>2003MaleMaori233</v>
      </c>
      <c r="K1361">
        <v>2003</v>
      </c>
      <c r="L1361" t="s">
        <v>20</v>
      </c>
      <c r="M1361" t="s">
        <v>18</v>
      </c>
      <c r="N1361">
        <v>23</v>
      </c>
      <c r="O1361">
        <v>3</v>
      </c>
      <c r="P1361">
        <v>9</v>
      </c>
      <c r="Q1361">
        <v>64.243261648849199</v>
      </c>
      <c r="R1361">
        <v>42</v>
      </c>
      <c r="T1361" s="340" t="str">
        <f t="shared" si="92"/>
        <v>2002FemaleAllEth25Other</v>
      </c>
      <c r="U1361">
        <v>2002</v>
      </c>
      <c r="V1361" t="s">
        <v>8</v>
      </c>
      <c r="W1361" t="s">
        <v>27</v>
      </c>
      <c r="X1361">
        <v>25</v>
      </c>
      <c r="Y1361" t="s">
        <v>45</v>
      </c>
      <c r="Z1361">
        <v>1</v>
      </c>
      <c r="AA1361">
        <v>12</v>
      </c>
      <c r="AB1361">
        <v>8.3000000000000007</v>
      </c>
    </row>
    <row r="1362" spans="10:28">
      <c r="J1362" s="340" t="str">
        <f t="shared" si="91"/>
        <v>2003MaleMaori234</v>
      </c>
      <c r="K1362">
        <v>2003</v>
      </c>
      <c r="L1362" t="s">
        <v>20</v>
      </c>
      <c r="M1362" t="s">
        <v>18</v>
      </c>
      <c r="N1362">
        <v>23</v>
      </c>
      <c r="O1362">
        <v>4</v>
      </c>
      <c r="P1362">
        <v>8</v>
      </c>
      <c r="Q1362">
        <v>41.661178969329299</v>
      </c>
      <c r="R1362">
        <v>28.9</v>
      </c>
      <c r="T1362" s="340" t="str">
        <f t="shared" si="92"/>
        <v>2002FemaleAllEth22Poisoning by gases and vapours</v>
      </c>
      <c r="U1362">
        <v>2002</v>
      </c>
      <c r="V1362" t="s">
        <v>8</v>
      </c>
      <c r="W1362" t="s">
        <v>27</v>
      </c>
      <c r="X1362">
        <v>22</v>
      </c>
      <c r="Y1362" t="s">
        <v>46</v>
      </c>
      <c r="Z1362">
        <v>5</v>
      </c>
      <c r="AA1362">
        <v>30</v>
      </c>
      <c r="AB1362">
        <v>16.7</v>
      </c>
    </row>
    <row r="1363" spans="10:28">
      <c r="J1363" s="340" t="str">
        <f t="shared" si="91"/>
        <v>2003MaleMaori235</v>
      </c>
      <c r="K1363">
        <v>2003</v>
      </c>
      <c r="L1363" t="s">
        <v>20</v>
      </c>
      <c r="M1363" t="s">
        <v>18</v>
      </c>
      <c r="N1363">
        <v>23</v>
      </c>
      <c r="O1363">
        <v>5</v>
      </c>
      <c r="P1363">
        <v>17</v>
      </c>
      <c r="Q1363">
        <v>56.856172150106602</v>
      </c>
      <c r="R1363">
        <v>27</v>
      </c>
      <c r="T1363" s="340" t="str">
        <f t="shared" si="92"/>
        <v>2002FemaleAllEth23Poisoning by gases and vapours</v>
      </c>
      <c r="U1363">
        <v>2002</v>
      </c>
      <c r="V1363" t="s">
        <v>8</v>
      </c>
      <c r="W1363" t="s">
        <v>27</v>
      </c>
      <c r="X1363">
        <v>23</v>
      </c>
      <c r="Y1363" t="s">
        <v>46</v>
      </c>
      <c r="Z1363">
        <v>12</v>
      </c>
      <c r="AA1363">
        <v>47</v>
      </c>
      <c r="AB1363">
        <v>25.5</v>
      </c>
    </row>
    <row r="1364" spans="10:28">
      <c r="J1364" s="340" t="str">
        <f t="shared" si="91"/>
        <v>2003MaleMaori241</v>
      </c>
      <c r="K1364">
        <v>2003</v>
      </c>
      <c r="L1364" t="s">
        <v>20</v>
      </c>
      <c r="M1364" t="s">
        <v>18</v>
      </c>
      <c r="N1364">
        <v>24</v>
      </c>
      <c r="O1364">
        <v>1</v>
      </c>
      <c r="P1364">
        <v>1</v>
      </c>
      <c r="Q1364">
        <v>27.019910432317602</v>
      </c>
      <c r="R1364">
        <v>53</v>
      </c>
      <c r="T1364" s="340" t="str">
        <f t="shared" si="92"/>
        <v>2002FemaleAllEth24Poisoning by gases and vapours</v>
      </c>
      <c r="U1364">
        <v>2002</v>
      </c>
      <c r="V1364" t="s">
        <v>8</v>
      </c>
      <c r="W1364" t="s">
        <v>27</v>
      </c>
      <c r="X1364">
        <v>24</v>
      </c>
      <c r="Y1364" t="s">
        <v>46</v>
      </c>
      <c r="Z1364">
        <v>2</v>
      </c>
      <c r="AA1364">
        <v>25</v>
      </c>
      <c r="AB1364">
        <v>8</v>
      </c>
    </row>
    <row r="1365" spans="10:28">
      <c r="J1365" s="340" t="str">
        <f t="shared" si="91"/>
        <v>2003MaleMaori242</v>
      </c>
      <c r="K1365">
        <v>2003</v>
      </c>
      <c r="L1365" t="s">
        <v>20</v>
      </c>
      <c r="M1365" t="s">
        <v>18</v>
      </c>
      <c r="N1365">
        <v>24</v>
      </c>
      <c r="O1365">
        <v>2</v>
      </c>
      <c r="P1365">
        <v>0</v>
      </c>
      <c r="Q1365">
        <v>0</v>
      </c>
      <c r="T1365" s="340" t="str">
        <f t="shared" si="92"/>
        <v>2002FemaleAllEth25Poisoning by gases and vapours</v>
      </c>
      <c r="U1365">
        <v>2002</v>
      </c>
      <c r="V1365" t="s">
        <v>8</v>
      </c>
      <c r="W1365" t="s">
        <v>27</v>
      </c>
      <c r="X1365">
        <v>25</v>
      </c>
      <c r="Y1365" t="s">
        <v>46</v>
      </c>
      <c r="Z1365">
        <v>2</v>
      </c>
      <c r="AA1365">
        <v>12</v>
      </c>
      <c r="AB1365">
        <v>16.7</v>
      </c>
    </row>
    <row r="1366" spans="10:28">
      <c r="J1366" s="340" t="str">
        <f t="shared" si="91"/>
        <v>2003MaleMaori243</v>
      </c>
      <c r="K1366">
        <v>2003</v>
      </c>
      <c r="L1366" t="s">
        <v>20</v>
      </c>
      <c r="M1366" t="s">
        <v>18</v>
      </c>
      <c r="N1366">
        <v>24</v>
      </c>
      <c r="O1366">
        <v>3</v>
      </c>
      <c r="P1366">
        <v>1</v>
      </c>
      <c r="Q1366">
        <v>14.6558065743888</v>
      </c>
      <c r="R1366">
        <v>28.7</v>
      </c>
      <c r="T1366" s="340" t="str">
        <f t="shared" si="92"/>
        <v>2002FemaleAllEth22Poisoning by solids and liquids</v>
      </c>
      <c r="U1366">
        <v>2002</v>
      </c>
      <c r="V1366" t="s">
        <v>8</v>
      </c>
      <c r="W1366" t="s">
        <v>27</v>
      </c>
      <c r="X1366">
        <v>22</v>
      </c>
      <c r="Y1366" t="s">
        <v>47</v>
      </c>
      <c r="Z1366">
        <v>3</v>
      </c>
      <c r="AA1366">
        <v>30</v>
      </c>
      <c r="AB1366">
        <v>10</v>
      </c>
    </row>
    <row r="1367" spans="10:28">
      <c r="J1367" s="340" t="str">
        <f t="shared" si="91"/>
        <v>2003MaleMaori244</v>
      </c>
      <c r="K1367">
        <v>2003</v>
      </c>
      <c r="L1367" t="s">
        <v>20</v>
      </c>
      <c r="M1367" t="s">
        <v>18</v>
      </c>
      <c r="N1367">
        <v>24</v>
      </c>
      <c r="O1367">
        <v>4</v>
      </c>
      <c r="P1367">
        <v>1</v>
      </c>
      <c r="Q1367">
        <v>10.5297124395235</v>
      </c>
      <c r="R1367">
        <v>20.6</v>
      </c>
      <c r="T1367" s="340" t="str">
        <f t="shared" si="92"/>
        <v>2002FemaleAllEth23Poisoning by solids and liquids</v>
      </c>
      <c r="U1367">
        <v>2002</v>
      </c>
      <c r="V1367" t="s">
        <v>8</v>
      </c>
      <c r="W1367" t="s">
        <v>27</v>
      </c>
      <c r="X1367">
        <v>23</v>
      </c>
      <c r="Y1367" t="s">
        <v>47</v>
      </c>
      <c r="Z1367">
        <v>10</v>
      </c>
      <c r="AA1367">
        <v>47</v>
      </c>
      <c r="AB1367">
        <v>21.3</v>
      </c>
    </row>
    <row r="1368" spans="10:28">
      <c r="J1368" s="340" t="str">
        <f t="shared" si="91"/>
        <v>2003MaleMaori245</v>
      </c>
      <c r="K1368">
        <v>2003</v>
      </c>
      <c r="L1368" t="s">
        <v>20</v>
      </c>
      <c r="M1368" t="s">
        <v>18</v>
      </c>
      <c r="N1368">
        <v>24</v>
      </c>
      <c r="O1368">
        <v>5</v>
      </c>
      <c r="P1368">
        <v>1</v>
      </c>
      <c r="Q1368">
        <v>6.1240968965764502</v>
      </c>
      <c r="R1368">
        <v>12</v>
      </c>
      <c r="T1368" s="340" t="str">
        <f t="shared" si="92"/>
        <v>2002FemaleAllEth24Poisoning by solids and liquids</v>
      </c>
      <c r="U1368">
        <v>2002</v>
      </c>
      <c r="V1368" t="s">
        <v>8</v>
      </c>
      <c r="W1368" t="s">
        <v>27</v>
      </c>
      <c r="X1368">
        <v>24</v>
      </c>
      <c r="Y1368" t="s">
        <v>47</v>
      </c>
      <c r="Z1368">
        <v>7</v>
      </c>
      <c r="AA1368">
        <v>25</v>
      </c>
      <c r="AB1368">
        <v>28</v>
      </c>
    </row>
    <row r="1369" spans="10:28">
      <c r="J1369" s="340" t="str">
        <f t="shared" si="91"/>
        <v>2003MaleMaori251</v>
      </c>
      <c r="K1369">
        <v>2003</v>
      </c>
      <c r="L1369" t="s">
        <v>20</v>
      </c>
      <c r="M1369" t="s">
        <v>18</v>
      </c>
      <c r="N1369">
        <v>25</v>
      </c>
      <c r="O1369">
        <v>1</v>
      </c>
      <c r="P1369">
        <v>0</v>
      </c>
      <c r="Q1369">
        <v>0</v>
      </c>
      <c r="T1369" s="340" t="str">
        <f t="shared" si="92"/>
        <v>2002FemaleAllEth25Poisoning by solids and liquids</v>
      </c>
      <c r="U1369">
        <v>2002</v>
      </c>
      <c r="V1369" t="s">
        <v>8</v>
      </c>
      <c r="W1369" t="s">
        <v>27</v>
      </c>
      <c r="X1369">
        <v>25</v>
      </c>
      <c r="Y1369" t="s">
        <v>47</v>
      </c>
      <c r="Z1369">
        <v>3</v>
      </c>
      <c r="AA1369">
        <v>12</v>
      </c>
      <c r="AB1369">
        <v>25</v>
      </c>
    </row>
    <row r="1370" spans="10:28">
      <c r="J1370" s="340" t="str">
        <f t="shared" si="91"/>
        <v>2003MaleMaori252</v>
      </c>
      <c r="K1370">
        <v>2003</v>
      </c>
      <c r="L1370" t="s">
        <v>20</v>
      </c>
      <c r="M1370" t="s">
        <v>18</v>
      </c>
      <c r="N1370">
        <v>25</v>
      </c>
      <c r="O1370">
        <v>2</v>
      </c>
      <c r="P1370">
        <v>0</v>
      </c>
      <c r="Q1370">
        <v>0</v>
      </c>
      <c r="T1370" s="340" t="str">
        <f t="shared" si="92"/>
        <v>2002FemaleAllEth22Submersion (drowning)</v>
      </c>
      <c r="U1370">
        <v>2002</v>
      </c>
      <c r="V1370" t="s">
        <v>8</v>
      </c>
      <c r="W1370" t="s">
        <v>27</v>
      </c>
      <c r="X1370">
        <v>22</v>
      </c>
      <c r="Y1370" t="s">
        <v>49</v>
      </c>
      <c r="Z1370">
        <v>1</v>
      </c>
      <c r="AA1370">
        <v>30</v>
      </c>
      <c r="AB1370">
        <v>3.3</v>
      </c>
    </row>
    <row r="1371" spans="10:28">
      <c r="J1371" s="340" t="str">
        <f t="shared" si="91"/>
        <v>2003MaleMaori253</v>
      </c>
      <c r="K1371">
        <v>2003</v>
      </c>
      <c r="L1371" t="s">
        <v>20</v>
      </c>
      <c r="M1371" t="s">
        <v>18</v>
      </c>
      <c r="N1371">
        <v>25</v>
      </c>
      <c r="O1371">
        <v>3</v>
      </c>
      <c r="P1371">
        <v>0</v>
      </c>
      <c r="Q1371">
        <v>0</v>
      </c>
      <c r="T1371" s="340" t="str">
        <f t="shared" si="92"/>
        <v>2002FemaleAllEth23Submersion (drowning)</v>
      </c>
      <c r="U1371">
        <v>2002</v>
      </c>
      <c r="V1371" t="s">
        <v>8</v>
      </c>
      <c r="W1371" t="s">
        <v>27</v>
      </c>
      <c r="X1371">
        <v>23</v>
      </c>
      <c r="Y1371" t="s">
        <v>49</v>
      </c>
      <c r="Z1371">
        <v>1</v>
      </c>
      <c r="AA1371">
        <v>47</v>
      </c>
      <c r="AB1371">
        <v>2.1</v>
      </c>
    </row>
    <row r="1372" spans="10:28">
      <c r="J1372" s="340" t="str">
        <f t="shared" si="91"/>
        <v>2003MaleMaori254</v>
      </c>
      <c r="K1372">
        <v>2003</v>
      </c>
      <c r="L1372" t="s">
        <v>20</v>
      </c>
      <c r="M1372" t="s">
        <v>18</v>
      </c>
      <c r="N1372">
        <v>25</v>
      </c>
      <c r="O1372">
        <v>4</v>
      </c>
      <c r="P1372">
        <v>0</v>
      </c>
      <c r="Q1372">
        <v>0</v>
      </c>
      <c r="T1372" s="340" t="str">
        <f t="shared" si="92"/>
        <v>2002FemaleAllEth25Submersion (drowning)</v>
      </c>
      <c r="U1372">
        <v>2002</v>
      </c>
      <c r="V1372" t="s">
        <v>8</v>
      </c>
      <c r="W1372" t="s">
        <v>27</v>
      </c>
      <c r="X1372">
        <v>25</v>
      </c>
      <c r="Y1372" t="s">
        <v>49</v>
      </c>
      <c r="Z1372">
        <v>3</v>
      </c>
      <c r="AA1372">
        <v>12</v>
      </c>
      <c r="AB1372">
        <v>25</v>
      </c>
    </row>
    <row r="1373" spans="10:28">
      <c r="J1373" s="340" t="str">
        <f t="shared" si="91"/>
        <v>2003MaleMaori255</v>
      </c>
      <c r="K1373">
        <v>2003</v>
      </c>
      <c r="L1373" t="s">
        <v>20</v>
      </c>
      <c r="M1373" t="s">
        <v>18</v>
      </c>
      <c r="N1373">
        <v>25</v>
      </c>
      <c r="O1373">
        <v>5</v>
      </c>
      <c r="P1373">
        <v>0</v>
      </c>
      <c r="Q1373">
        <v>0</v>
      </c>
      <c r="T1373" s="340" t="str">
        <f t="shared" si="92"/>
        <v>2002FemaleMaori22Hanging, strangulation and suffocation</v>
      </c>
      <c r="U1373">
        <v>2002</v>
      </c>
      <c r="V1373" t="s">
        <v>8</v>
      </c>
      <c r="W1373" t="s">
        <v>18</v>
      </c>
      <c r="X1373">
        <v>22</v>
      </c>
      <c r="Y1373" t="s">
        <v>43</v>
      </c>
      <c r="Z1373">
        <v>7</v>
      </c>
      <c r="AA1373">
        <v>10</v>
      </c>
      <c r="AB1373">
        <v>70</v>
      </c>
    </row>
    <row r="1374" spans="10:28">
      <c r="J1374" s="340" t="str">
        <f t="shared" si="91"/>
        <v>2003MaleNon-Maori211</v>
      </c>
      <c r="K1374">
        <v>2003</v>
      </c>
      <c r="L1374" t="s">
        <v>20</v>
      </c>
      <c r="M1374" t="s">
        <v>19</v>
      </c>
      <c r="N1374">
        <v>21</v>
      </c>
      <c r="O1374">
        <v>1</v>
      </c>
      <c r="P1374">
        <v>0</v>
      </c>
      <c r="Q1374">
        <v>0</v>
      </c>
      <c r="T1374" s="340" t="str">
        <f t="shared" si="92"/>
        <v>2002FemaleMaori23Hanging, strangulation and suffocation</v>
      </c>
      <c r="U1374">
        <v>2002</v>
      </c>
      <c r="V1374" t="s">
        <v>8</v>
      </c>
      <c r="W1374" t="s">
        <v>18</v>
      </c>
      <c r="X1374">
        <v>23</v>
      </c>
      <c r="Y1374" t="s">
        <v>43</v>
      </c>
      <c r="Z1374">
        <v>4</v>
      </c>
      <c r="AA1374">
        <v>9</v>
      </c>
      <c r="AB1374">
        <v>44.4</v>
      </c>
    </row>
    <row r="1375" spans="10:28">
      <c r="J1375" s="340" t="str">
        <f t="shared" si="91"/>
        <v>2003MaleNon-Maori212</v>
      </c>
      <c r="K1375">
        <v>2003</v>
      </c>
      <c r="L1375" t="s">
        <v>20</v>
      </c>
      <c r="M1375" t="s">
        <v>19</v>
      </c>
      <c r="N1375">
        <v>21</v>
      </c>
      <c r="O1375">
        <v>2</v>
      </c>
      <c r="P1375">
        <v>0</v>
      </c>
      <c r="Q1375">
        <v>0</v>
      </c>
      <c r="T1375" s="340" t="str">
        <f t="shared" si="92"/>
        <v>2002FemaleMaori24Hanging, strangulation and suffocation</v>
      </c>
      <c r="U1375">
        <v>2002</v>
      </c>
      <c r="V1375" t="s">
        <v>8</v>
      </c>
      <c r="W1375" t="s">
        <v>18</v>
      </c>
      <c r="X1375">
        <v>24</v>
      </c>
      <c r="Y1375" t="s">
        <v>43</v>
      </c>
      <c r="Z1375">
        <v>1</v>
      </c>
      <c r="AA1375">
        <v>1</v>
      </c>
      <c r="AB1375">
        <v>100</v>
      </c>
    </row>
    <row r="1376" spans="10:28">
      <c r="J1376" s="340" t="str">
        <f t="shared" si="91"/>
        <v>2003MaleNon-Maori213</v>
      </c>
      <c r="K1376">
        <v>2003</v>
      </c>
      <c r="L1376" t="s">
        <v>20</v>
      </c>
      <c r="M1376" t="s">
        <v>19</v>
      </c>
      <c r="N1376">
        <v>21</v>
      </c>
      <c r="O1376">
        <v>3</v>
      </c>
      <c r="P1376">
        <v>0</v>
      </c>
      <c r="Q1376">
        <v>0</v>
      </c>
      <c r="T1376" s="340" t="str">
        <f t="shared" si="92"/>
        <v>2002FemaleMaori22Jumping from a high place</v>
      </c>
      <c r="U1376">
        <v>2002</v>
      </c>
      <c r="V1376" t="s">
        <v>8</v>
      </c>
      <c r="W1376" t="s">
        <v>18</v>
      </c>
      <c r="X1376">
        <v>22</v>
      </c>
      <c r="Y1376" t="s">
        <v>44</v>
      </c>
      <c r="Z1376">
        <v>1</v>
      </c>
      <c r="AA1376">
        <v>10</v>
      </c>
      <c r="AB1376">
        <v>10</v>
      </c>
    </row>
    <row r="1377" spans="10:28">
      <c r="J1377" s="340" t="str">
        <f t="shared" si="91"/>
        <v>2003MaleNon-Maori214</v>
      </c>
      <c r="K1377">
        <v>2003</v>
      </c>
      <c r="L1377" t="s">
        <v>20</v>
      </c>
      <c r="M1377" t="s">
        <v>19</v>
      </c>
      <c r="N1377">
        <v>21</v>
      </c>
      <c r="O1377">
        <v>4</v>
      </c>
      <c r="P1377">
        <v>0</v>
      </c>
      <c r="Q1377">
        <v>0</v>
      </c>
      <c r="T1377" s="340" t="str">
        <f t="shared" si="92"/>
        <v>2002FemaleMaori22Poisoning by gases and vapours</v>
      </c>
      <c r="U1377">
        <v>2002</v>
      </c>
      <c r="V1377" t="s">
        <v>8</v>
      </c>
      <c r="W1377" t="s">
        <v>18</v>
      </c>
      <c r="X1377">
        <v>22</v>
      </c>
      <c r="Y1377" t="s">
        <v>46</v>
      </c>
      <c r="Z1377">
        <v>1</v>
      </c>
      <c r="AA1377">
        <v>10</v>
      </c>
      <c r="AB1377">
        <v>10</v>
      </c>
    </row>
    <row r="1378" spans="10:28">
      <c r="J1378" s="340" t="str">
        <f t="shared" si="91"/>
        <v>2003MaleNon-Maori215</v>
      </c>
      <c r="K1378">
        <v>2003</v>
      </c>
      <c r="L1378" t="s">
        <v>20</v>
      </c>
      <c r="M1378" t="s">
        <v>19</v>
      </c>
      <c r="N1378">
        <v>21</v>
      </c>
      <c r="O1378">
        <v>5</v>
      </c>
      <c r="P1378">
        <v>0</v>
      </c>
      <c r="Q1378">
        <v>0</v>
      </c>
      <c r="T1378" s="340" t="str">
        <f t="shared" si="92"/>
        <v>2002FemaleMaori23Poisoning by gases and vapours</v>
      </c>
      <c r="U1378">
        <v>2002</v>
      </c>
      <c r="V1378" t="s">
        <v>8</v>
      </c>
      <c r="W1378" t="s">
        <v>18</v>
      </c>
      <c r="X1378">
        <v>23</v>
      </c>
      <c r="Y1378" t="s">
        <v>46</v>
      </c>
      <c r="Z1378">
        <v>1</v>
      </c>
      <c r="AA1378">
        <v>9</v>
      </c>
      <c r="AB1378">
        <v>11.1</v>
      </c>
    </row>
    <row r="1379" spans="10:28">
      <c r="J1379" s="340" t="str">
        <f t="shared" si="91"/>
        <v>2003MaleNon-Maori221</v>
      </c>
      <c r="K1379">
        <v>2003</v>
      </c>
      <c r="L1379" t="s">
        <v>20</v>
      </c>
      <c r="M1379" t="s">
        <v>19</v>
      </c>
      <c r="N1379">
        <v>22</v>
      </c>
      <c r="O1379">
        <v>1</v>
      </c>
      <c r="P1379">
        <v>8</v>
      </c>
      <c r="Q1379">
        <v>16.8099520142625</v>
      </c>
      <c r="R1379">
        <v>11.6</v>
      </c>
      <c r="T1379" s="340" t="str">
        <f t="shared" si="92"/>
        <v>2002FemaleMaori22Poisoning by solids and liquids</v>
      </c>
      <c r="U1379">
        <v>2002</v>
      </c>
      <c r="V1379" t="s">
        <v>8</v>
      </c>
      <c r="W1379" t="s">
        <v>18</v>
      </c>
      <c r="X1379">
        <v>22</v>
      </c>
      <c r="Y1379" t="s">
        <v>47</v>
      </c>
      <c r="Z1379">
        <v>1</v>
      </c>
      <c r="AA1379">
        <v>10</v>
      </c>
      <c r="AB1379">
        <v>10</v>
      </c>
    </row>
    <row r="1380" spans="10:28">
      <c r="J1380" s="340" t="str">
        <f t="shared" si="91"/>
        <v>2003MaleNon-Maori222</v>
      </c>
      <c r="K1380">
        <v>2003</v>
      </c>
      <c r="L1380" t="s">
        <v>20</v>
      </c>
      <c r="M1380" t="s">
        <v>19</v>
      </c>
      <c r="N1380">
        <v>22</v>
      </c>
      <c r="O1380">
        <v>2</v>
      </c>
      <c r="P1380">
        <v>6</v>
      </c>
      <c r="Q1380">
        <v>12.447454922511699</v>
      </c>
      <c r="R1380">
        <v>10</v>
      </c>
      <c r="T1380" s="340" t="str">
        <f t="shared" si="92"/>
        <v>2002FemaleMaori23Poisoning by solids and liquids</v>
      </c>
      <c r="U1380">
        <v>2002</v>
      </c>
      <c r="V1380" t="s">
        <v>8</v>
      </c>
      <c r="W1380" t="s">
        <v>18</v>
      </c>
      <c r="X1380">
        <v>23</v>
      </c>
      <c r="Y1380" t="s">
        <v>47</v>
      </c>
      <c r="Z1380">
        <v>4</v>
      </c>
      <c r="AA1380">
        <v>9</v>
      </c>
      <c r="AB1380">
        <v>44.4</v>
      </c>
    </row>
    <row r="1381" spans="10:28">
      <c r="J1381" s="340" t="str">
        <f t="shared" si="91"/>
        <v>2003MaleNon-Maori223</v>
      </c>
      <c r="K1381">
        <v>2003</v>
      </c>
      <c r="L1381" t="s">
        <v>20</v>
      </c>
      <c r="M1381" t="s">
        <v>19</v>
      </c>
      <c r="N1381">
        <v>22</v>
      </c>
      <c r="O1381">
        <v>3</v>
      </c>
      <c r="P1381">
        <v>9</v>
      </c>
      <c r="Q1381">
        <v>18.635731886987401</v>
      </c>
      <c r="R1381">
        <v>12.2</v>
      </c>
      <c r="T1381" s="340" t="str">
        <f t="shared" si="92"/>
        <v>2002FemaleNon-Maori22Firearms and explosives</v>
      </c>
      <c r="U1381">
        <v>2002</v>
      </c>
      <c r="V1381" t="s">
        <v>8</v>
      </c>
      <c r="W1381" t="s">
        <v>19</v>
      </c>
      <c r="X1381">
        <v>22</v>
      </c>
      <c r="Y1381" t="s">
        <v>42</v>
      </c>
      <c r="Z1381">
        <v>1</v>
      </c>
      <c r="AA1381">
        <v>20</v>
      </c>
      <c r="AB1381">
        <v>5</v>
      </c>
    </row>
    <row r="1382" spans="10:28">
      <c r="J1382" s="340" t="str">
        <f t="shared" si="91"/>
        <v>2003MaleNon-Maori224</v>
      </c>
      <c r="K1382">
        <v>2003</v>
      </c>
      <c r="L1382" t="s">
        <v>20</v>
      </c>
      <c r="M1382" t="s">
        <v>19</v>
      </c>
      <c r="N1382">
        <v>22</v>
      </c>
      <c r="O1382">
        <v>4</v>
      </c>
      <c r="P1382">
        <v>15</v>
      </c>
      <c r="Q1382">
        <v>31.371184591640301</v>
      </c>
      <c r="R1382">
        <v>15.9</v>
      </c>
      <c r="T1382" s="340" t="str">
        <f t="shared" si="92"/>
        <v>2002FemaleNon-Maori23Firearms and explosives</v>
      </c>
      <c r="U1382">
        <v>2002</v>
      </c>
      <c r="V1382" t="s">
        <v>8</v>
      </c>
      <c r="W1382" t="s">
        <v>19</v>
      </c>
      <c r="X1382">
        <v>23</v>
      </c>
      <c r="Y1382" t="s">
        <v>42</v>
      </c>
      <c r="Z1382">
        <v>2</v>
      </c>
      <c r="AA1382">
        <v>38</v>
      </c>
      <c r="AB1382">
        <v>5.3</v>
      </c>
    </row>
    <row r="1383" spans="10:28">
      <c r="J1383" s="340" t="str">
        <f t="shared" si="91"/>
        <v>2003MaleNon-Maori225</v>
      </c>
      <c r="K1383">
        <v>2003</v>
      </c>
      <c r="L1383" t="s">
        <v>20</v>
      </c>
      <c r="M1383" t="s">
        <v>19</v>
      </c>
      <c r="N1383">
        <v>22</v>
      </c>
      <c r="O1383">
        <v>5</v>
      </c>
      <c r="P1383">
        <v>7</v>
      </c>
      <c r="Q1383">
        <v>15.5150028098797</v>
      </c>
      <c r="R1383">
        <v>11.5</v>
      </c>
      <c r="T1383" s="340" t="str">
        <f t="shared" si="92"/>
        <v>2002FemaleNon-Maori22Hanging, strangulation and suffocation</v>
      </c>
      <c r="U1383">
        <v>2002</v>
      </c>
      <c r="V1383" t="s">
        <v>8</v>
      </c>
      <c r="W1383" t="s">
        <v>19</v>
      </c>
      <c r="X1383">
        <v>22</v>
      </c>
      <c r="Y1383" t="s">
        <v>43</v>
      </c>
      <c r="Z1383">
        <v>12</v>
      </c>
      <c r="AA1383">
        <v>20</v>
      </c>
      <c r="AB1383">
        <v>60</v>
      </c>
    </row>
    <row r="1384" spans="10:28">
      <c r="J1384" s="340" t="str">
        <f t="shared" si="91"/>
        <v>2003MaleNon-Maori231</v>
      </c>
      <c r="K1384">
        <v>2003</v>
      </c>
      <c r="L1384" t="s">
        <v>20</v>
      </c>
      <c r="M1384" t="s">
        <v>19</v>
      </c>
      <c r="N1384">
        <v>23</v>
      </c>
      <c r="O1384">
        <v>1</v>
      </c>
      <c r="P1384">
        <v>18</v>
      </c>
      <c r="Q1384">
        <v>17.2388736853339</v>
      </c>
      <c r="R1384">
        <v>8</v>
      </c>
      <c r="T1384" s="340" t="str">
        <f t="shared" si="92"/>
        <v>2002FemaleNon-Maori23Hanging, strangulation and suffocation</v>
      </c>
      <c r="U1384">
        <v>2002</v>
      </c>
      <c r="V1384" t="s">
        <v>8</v>
      </c>
      <c r="W1384" t="s">
        <v>19</v>
      </c>
      <c r="X1384">
        <v>23</v>
      </c>
      <c r="Y1384" t="s">
        <v>43</v>
      </c>
      <c r="Z1384">
        <v>12</v>
      </c>
      <c r="AA1384">
        <v>38</v>
      </c>
      <c r="AB1384">
        <v>31.6</v>
      </c>
    </row>
    <row r="1385" spans="10:28">
      <c r="J1385" s="340" t="str">
        <f t="shared" si="91"/>
        <v>2003MaleNon-Maori232</v>
      </c>
      <c r="K1385">
        <v>2003</v>
      </c>
      <c r="L1385" t="s">
        <v>20</v>
      </c>
      <c r="M1385" t="s">
        <v>19</v>
      </c>
      <c r="N1385">
        <v>23</v>
      </c>
      <c r="O1385">
        <v>2</v>
      </c>
      <c r="P1385">
        <v>23</v>
      </c>
      <c r="Q1385">
        <v>21.283200850540801</v>
      </c>
      <c r="R1385">
        <v>8.6999999999999993</v>
      </c>
      <c r="T1385" s="340" t="str">
        <f t="shared" si="92"/>
        <v>2002FemaleNon-Maori24Hanging, strangulation and suffocation</v>
      </c>
      <c r="U1385">
        <v>2002</v>
      </c>
      <c r="V1385" t="s">
        <v>8</v>
      </c>
      <c r="W1385" t="s">
        <v>19</v>
      </c>
      <c r="X1385">
        <v>24</v>
      </c>
      <c r="Y1385" t="s">
        <v>43</v>
      </c>
      <c r="Z1385">
        <v>12</v>
      </c>
      <c r="AA1385">
        <v>24</v>
      </c>
      <c r="AB1385">
        <v>50</v>
      </c>
    </row>
    <row r="1386" spans="10:28">
      <c r="J1386" s="340" t="str">
        <f t="shared" si="91"/>
        <v>2003MaleNon-Maori233</v>
      </c>
      <c r="K1386">
        <v>2003</v>
      </c>
      <c r="L1386" t="s">
        <v>20</v>
      </c>
      <c r="M1386" t="s">
        <v>19</v>
      </c>
      <c r="N1386">
        <v>23</v>
      </c>
      <c r="O1386">
        <v>3</v>
      </c>
      <c r="P1386">
        <v>28</v>
      </c>
      <c r="Q1386">
        <v>26.782668856865001</v>
      </c>
      <c r="R1386">
        <v>9.9</v>
      </c>
      <c r="T1386" s="340" t="str">
        <f t="shared" si="92"/>
        <v>2002FemaleNon-Maori25Hanging, strangulation and suffocation</v>
      </c>
      <c r="U1386">
        <v>2002</v>
      </c>
      <c r="V1386" t="s">
        <v>8</v>
      </c>
      <c r="W1386" t="s">
        <v>19</v>
      </c>
      <c r="X1386">
        <v>25</v>
      </c>
      <c r="Y1386" t="s">
        <v>43</v>
      </c>
      <c r="Z1386">
        <v>3</v>
      </c>
      <c r="AA1386">
        <v>12</v>
      </c>
      <c r="AB1386">
        <v>25</v>
      </c>
    </row>
    <row r="1387" spans="10:28">
      <c r="J1387" s="340" t="str">
        <f t="shared" si="91"/>
        <v>2003MaleNon-Maori234</v>
      </c>
      <c r="K1387">
        <v>2003</v>
      </c>
      <c r="L1387" t="s">
        <v>20</v>
      </c>
      <c r="M1387" t="s">
        <v>19</v>
      </c>
      <c r="N1387">
        <v>23</v>
      </c>
      <c r="O1387">
        <v>4</v>
      </c>
      <c r="P1387">
        <v>33</v>
      </c>
      <c r="Q1387">
        <v>34.4651895550791</v>
      </c>
      <c r="R1387">
        <v>11.8</v>
      </c>
      <c r="T1387" s="340" t="str">
        <f t="shared" si="92"/>
        <v>2002FemaleNon-Maori23Jumping from a high place</v>
      </c>
      <c r="U1387">
        <v>2002</v>
      </c>
      <c r="V1387" t="s">
        <v>8</v>
      </c>
      <c r="W1387" t="s">
        <v>19</v>
      </c>
      <c r="X1387">
        <v>23</v>
      </c>
      <c r="Y1387" t="s">
        <v>44</v>
      </c>
      <c r="Z1387">
        <v>5</v>
      </c>
      <c r="AA1387">
        <v>38</v>
      </c>
      <c r="AB1387">
        <v>13.2</v>
      </c>
    </row>
    <row r="1388" spans="10:28">
      <c r="J1388" s="340" t="str">
        <f t="shared" si="91"/>
        <v>2003MaleNon-Maori235</v>
      </c>
      <c r="K1388">
        <v>2003</v>
      </c>
      <c r="L1388" t="s">
        <v>20</v>
      </c>
      <c r="M1388" t="s">
        <v>19</v>
      </c>
      <c r="N1388">
        <v>23</v>
      </c>
      <c r="O1388">
        <v>5</v>
      </c>
      <c r="P1388">
        <v>19</v>
      </c>
      <c r="Q1388">
        <v>25.642973991548999</v>
      </c>
      <c r="R1388">
        <v>11.5</v>
      </c>
      <c r="T1388" s="340" t="str">
        <f t="shared" si="92"/>
        <v>2002FemaleNon-Maori24Jumping from a high place</v>
      </c>
      <c r="U1388">
        <v>2002</v>
      </c>
      <c r="V1388" t="s">
        <v>8</v>
      </c>
      <c r="W1388" t="s">
        <v>19</v>
      </c>
      <c r="X1388">
        <v>24</v>
      </c>
      <c r="Y1388" t="s">
        <v>44</v>
      </c>
      <c r="Z1388">
        <v>1</v>
      </c>
      <c r="AA1388">
        <v>24</v>
      </c>
      <c r="AB1388">
        <v>4.2</v>
      </c>
    </row>
    <row r="1389" spans="10:28">
      <c r="J1389" s="340" t="str">
        <f t="shared" si="91"/>
        <v>2003MaleNon-Maori241</v>
      </c>
      <c r="K1389">
        <v>2003</v>
      </c>
      <c r="L1389" t="s">
        <v>20</v>
      </c>
      <c r="M1389" t="s">
        <v>19</v>
      </c>
      <c r="N1389">
        <v>24</v>
      </c>
      <c r="O1389">
        <v>1</v>
      </c>
      <c r="P1389">
        <v>14</v>
      </c>
      <c r="Q1389">
        <v>12.6015951682579</v>
      </c>
      <c r="R1389">
        <v>6.6</v>
      </c>
      <c r="T1389" s="340" t="str">
        <f t="shared" si="92"/>
        <v>2002FemaleNon-Maori23Other</v>
      </c>
      <c r="U1389">
        <v>2002</v>
      </c>
      <c r="V1389" t="s">
        <v>8</v>
      </c>
      <c r="W1389" t="s">
        <v>19</v>
      </c>
      <c r="X1389">
        <v>23</v>
      </c>
      <c r="Y1389" t="s">
        <v>45</v>
      </c>
      <c r="Z1389">
        <v>1</v>
      </c>
      <c r="AA1389">
        <v>38</v>
      </c>
      <c r="AB1389">
        <v>2.6</v>
      </c>
    </row>
    <row r="1390" spans="10:28">
      <c r="J1390" s="340" t="str">
        <f t="shared" si="91"/>
        <v>2003MaleNon-Maori242</v>
      </c>
      <c r="K1390">
        <v>2003</v>
      </c>
      <c r="L1390" t="s">
        <v>20</v>
      </c>
      <c r="M1390" t="s">
        <v>19</v>
      </c>
      <c r="N1390">
        <v>24</v>
      </c>
      <c r="O1390">
        <v>2</v>
      </c>
      <c r="P1390">
        <v>16</v>
      </c>
      <c r="Q1390">
        <v>16.863244480318698</v>
      </c>
      <c r="R1390">
        <v>8.3000000000000007</v>
      </c>
      <c r="T1390" s="340" t="str">
        <f t="shared" si="92"/>
        <v>2002FemaleNon-Maori24Other</v>
      </c>
      <c r="U1390">
        <v>2002</v>
      </c>
      <c r="V1390" t="s">
        <v>8</v>
      </c>
      <c r="W1390" t="s">
        <v>19</v>
      </c>
      <c r="X1390">
        <v>24</v>
      </c>
      <c r="Y1390" t="s">
        <v>45</v>
      </c>
      <c r="Z1390">
        <v>2</v>
      </c>
      <c r="AA1390">
        <v>24</v>
      </c>
      <c r="AB1390">
        <v>8.3000000000000007</v>
      </c>
    </row>
    <row r="1391" spans="10:28">
      <c r="J1391" s="340" t="str">
        <f t="shared" si="91"/>
        <v>2003MaleNon-Maori243</v>
      </c>
      <c r="K1391">
        <v>2003</v>
      </c>
      <c r="L1391" t="s">
        <v>20</v>
      </c>
      <c r="M1391" t="s">
        <v>19</v>
      </c>
      <c r="N1391">
        <v>24</v>
      </c>
      <c r="O1391">
        <v>3</v>
      </c>
      <c r="P1391">
        <v>20</v>
      </c>
      <c r="Q1391">
        <v>24.523728282829101</v>
      </c>
      <c r="R1391">
        <v>10.7</v>
      </c>
      <c r="T1391" s="340" t="str">
        <f t="shared" si="92"/>
        <v>2002FemaleNon-Maori25Other</v>
      </c>
      <c r="U1391">
        <v>2002</v>
      </c>
      <c r="V1391" t="s">
        <v>8</v>
      </c>
      <c r="W1391" t="s">
        <v>19</v>
      </c>
      <c r="X1391">
        <v>25</v>
      </c>
      <c r="Y1391" t="s">
        <v>45</v>
      </c>
      <c r="Z1391">
        <v>1</v>
      </c>
      <c r="AA1391">
        <v>12</v>
      </c>
      <c r="AB1391">
        <v>8.3000000000000007</v>
      </c>
    </row>
    <row r="1392" spans="10:28">
      <c r="J1392" s="340" t="str">
        <f t="shared" si="91"/>
        <v>2003MaleNon-Maori244</v>
      </c>
      <c r="K1392">
        <v>2003</v>
      </c>
      <c r="L1392" t="s">
        <v>20</v>
      </c>
      <c r="M1392" t="s">
        <v>19</v>
      </c>
      <c r="N1392">
        <v>24</v>
      </c>
      <c r="O1392">
        <v>4</v>
      </c>
      <c r="P1392">
        <v>23</v>
      </c>
      <c r="Q1392">
        <v>32.850745106865801</v>
      </c>
      <c r="R1392">
        <v>13.4</v>
      </c>
      <c r="T1392" s="340" t="str">
        <f t="shared" si="92"/>
        <v>2002FemaleNon-Maori22Poisoning by gases and vapours</v>
      </c>
      <c r="U1392">
        <v>2002</v>
      </c>
      <c r="V1392" t="s">
        <v>8</v>
      </c>
      <c r="W1392" t="s">
        <v>19</v>
      </c>
      <c r="X1392">
        <v>22</v>
      </c>
      <c r="Y1392" t="s">
        <v>46</v>
      </c>
      <c r="Z1392">
        <v>4</v>
      </c>
      <c r="AA1392">
        <v>20</v>
      </c>
      <c r="AB1392">
        <v>20</v>
      </c>
    </row>
    <row r="1393" spans="10:28">
      <c r="J1393" s="340" t="str">
        <f t="shared" si="91"/>
        <v>2003MaleNon-Maori245</v>
      </c>
      <c r="K1393">
        <v>2003</v>
      </c>
      <c r="L1393" t="s">
        <v>20</v>
      </c>
      <c r="M1393" t="s">
        <v>19</v>
      </c>
      <c r="N1393">
        <v>24</v>
      </c>
      <c r="O1393">
        <v>5</v>
      </c>
      <c r="P1393">
        <v>19</v>
      </c>
      <c r="Q1393">
        <v>35.995250360469001</v>
      </c>
      <c r="R1393">
        <v>16.2</v>
      </c>
      <c r="T1393" s="340" t="str">
        <f t="shared" si="92"/>
        <v>2002FemaleNon-Maori23Poisoning by gases and vapours</v>
      </c>
      <c r="U1393">
        <v>2002</v>
      </c>
      <c r="V1393" t="s">
        <v>8</v>
      </c>
      <c r="W1393" t="s">
        <v>19</v>
      </c>
      <c r="X1393">
        <v>23</v>
      </c>
      <c r="Y1393" t="s">
        <v>46</v>
      </c>
      <c r="Z1393">
        <v>11</v>
      </c>
      <c r="AA1393">
        <v>38</v>
      </c>
      <c r="AB1393">
        <v>28.9</v>
      </c>
    </row>
    <row r="1394" spans="10:28">
      <c r="J1394" s="340" t="str">
        <f t="shared" si="91"/>
        <v>2003MaleNon-Maori251</v>
      </c>
      <c r="K1394">
        <v>2003</v>
      </c>
      <c r="L1394" t="s">
        <v>20</v>
      </c>
      <c r="M1394" t="s">
        <v>19</v>
      </c>
      <c r="N1394">
        <v>25</v>
      </c>
      <c r="O1394">
        <v>1</v>
      </c>
      <c r="P1394">
        <v>5</v>
      </c>
      <c r="Q1394">
        <v>11.605227396569999</v>
      </c>
      <c r="R1394">
        <v>10.199999999999999</v>
      </c>
      <c r="T1394" s="340" t="str">
        <f t="shared" si="92"/>
        <v>2002FemaleNon-Maori24Poisoning by gases and vapours</v>
      </c>
      <c r="U1394">
        <v>2002</v>
      </c>
      <c r="V1394" t="s">
        <v>8</v>
      </c>
      <c r="W1394" t="s">
        <v>19</v>
      </c>
      <c r="X1394">
        <v>24</v>
      </c>
      <c r="Y1394" t="s">
        <v>46</v>
      </c>
      <c r="Z1394">
        <v>2</v>
      </c>
      <c r="AA1394">
        <v>24</v>
      </c>
      <c r="AB1394">
        <v>8.3000000000000007</v>
      </c>
    </row>
    <row r="1395" spans="10:28">
      <c r="J1395" s="340" t="str">
        <f t="shared" si="91"/>
        <v>2003MaleNon-Maori252</v>
      </c>
      <c r="K1395">
        <v>2003</v>
      </c>
      <c r="L1395" t="s">
        <v>20</v>
      </c>
      <c r="M1395" t="s">
        <v>19</v>
      </c>
      <c r="N1395">
        <v>25</v>
      </c>
      <c r="O1395">
        <v>2</v>
      </c>
      <c r="P1395">
        <v>7</v>
      </c>
      <c r="Q1395">
        <v>16.161459163569699</v>
      </c>
      <c r="R1395">
        <v>12</v>
      </c>
      <c r="T1395" s="340" t="str">
        <f t="shared" si="92"/>
        <v>2002FemaleNon-Maori25Poisoning by gases and vapours</v>
      </c>
      <c r="U1395">
        <v>2002</v>
      </c>
      <c r="V1395" t="s">
        <v>8</v>
      </c>
      <c r="W1395" t="s">
        <v>19</v>
      </c>
      <c r="X1395">
        <v>25</v>
      </c>
      <c r="Y1395" t="s">
        <v>46</v>
      </c>
      <c r="Z1395">
        <v>2</v>
      </c>
      <c r="AA1395">
        <v>12</v>
      </c>
      <c r="AB1395">
        <v>16.7</v>
      </c>
    </row>
    <row r="1396" spans="10:28">
      <c r="J1396" s="340" t="str">
        <f t="shared" si="91"/>
        <v>2003MaleNon-Maori253</v>
      </c>
      <c r="K1396">
        <v>2003</v>
      </c>
      <c r="L1396" t="s">
        <v>20</v>
      </c>
      <c r="M1396" t="s">
        <v>19</v>
      </c>
      <c r="N1396">
        <v>25</v>
      </c>
      <c r="O1396">
        <v>3</v>
      </c>
      <c r="P1396">
        <v>15</v>
      </c>
      <c r="Q1396">
        <v>34.651222726453703</v>
      </c>
      <c r="R1396">
        <v>17.5</v>
      </c>
      <c r="T1396" s="340" t="str">
        <f t="shared" si="92"/>
        <v>2002FemaleNon-Maori22Poisoning by solids and liquids</v>
      </c>
      <c r="U1396">
        <v>2002</v>
      </c>
      <c r="V1396" t="s">
        <v>8</v>
      </c>
      <c r="W1396" t="s">
        <v>19</v>
      </c>
      <c r="X1396">
        <v>22</v>
      </c>
      <c r="Y1396" t="s">
        <v>47</v>
      </c>
      <c r="Z1396">
        <v>2</v>
      </c>
      <c r="AA1396">
        <v>20</v>
      </c>
      <c r="AB1396">
        <v>10</v>
      </c>
    </row>
    <row r="1397" spans="10:28">
      <c r="J1397" s="340" t="str">
        <f t="shared" si="91"/>
        <v>2003MaleNon-Maori254</v>
      </c>
      <c r="K1397">
        <v>2003</v>
      </c>
      <c r="L1397" t="s">
        <v>20</v>
      </c>
      <c r="M1397" t="s">
        <v>19</v>
      </c>
      <c r="N1397">
        <v>25</v>
      </c>
      <c r="O1397">
        <v>4</v>
      </c>
      <c r="P1397">
        <v>10</v>
      </c>
      <c r="Q1397">
        <v>24.500380520160601</v>
      </c>
      <c r="R1397">
        <v>15.2</v>
      </c>
      <c r="T1397" s="340" t="str">
        <f t="shared" si="92"/>
        <v>2002FemaleNon-Maori23Poisoning by solids and liquids</v>
      </c>
      <c r="U1397">
        <v>2002</v>
      </c>
      <c r="V1397" t="s">
        <v>8</v>
      </c>
      <c r="W1397" t="s">
        <v>19</v>
      </c>
      <c r="X1397">
        <v>23</v>
      </c>
      <c r="Y1397" t="s">
        <v>47</v>
      </c>
      <c r="Z1397">
        <v>6</v>
      </c>
      <c r="AA1397">
        <v>38</v>
      </c>
      <c r="AB1397">
        <v>15.8</v>
      </c>
    </row>
    <row r="1398" spans="10:28">
      <c r="J1398" s="340" t="str">
        <f t="shared" si="91"/>
        <v>2003MaleNon-Maori255</v>
      </c>
      <c r="K1398">
        <v>2003</v>
      </c>
      <c r="L1398" t="s">
        <v>20</v>
      </c>
      <c r="M1398" t="s">
        <v>19</v>
      </c>
      <c r="N1398">
        <v>25</v>
      </c>
      <c r="O1398">
        <v>5</v>
      </c>
      <c r="P1398">
        <v>6</v>
      </c>
      <c r="Q1398">
        <v>20.388164885029902</v>
      </c>
      <c r="R1398">
        <v>16.3</v>
      </c>
      <c r="T1398" s="340" t="str">
        <f t="shared" si="92"/>
        <v>2002FemaleNon-Maori24Poisoning by solids and liquids</v>
      </c>
      <c r="U1398">
        <v>2002</v>
      </c>
      <c r="V1398" t="s">
        <v>8</v>
      </c>
      <c r="W1398" t="s">
        <v>19</v>
      </c>
      <c r="X1398">
        <v>24</v>
      </c>
      <c r="Y1398" t="s">
        <v>47</v>
      </c>
      <c r="Z1398">
        <v>7</v>
      </c>
      <c r="AA1398">
        <v>24</v>
      </c>
      <c r="AB1398">
        <v>29.2</v>
      </c>
    </row>
    <row r="1399" spans="10:28">
      <c r="J1399" s="340" t="str">
        <f t="shared" si="91"/>
        <v>2004AllSexAllEth211</v>
      </c>
      <c r="K1399">
        <v>2004</v>
      </c>
      <c r="L1399" t="s">
        <v>17</v>
      </c>
      <c r="M1399" t="s">
        <v>27</v>
      </c>
      <c r="N1399">
        <v>21</v>
      </c>
      <c r="O1399">
        <v>1</v>
      </c>
      <c r="P1399">
        <v>0</v>
      </c>
      <c r="Q1399">
        <v>0</v>
      </c>
      <c r="T1399" s="340" t="str">
        <f t="shared" si="92"/>
        <v>2002FemaleNon-Maori25Poisoning by solids and liquids</v>
      </c>
      <c r="U1399">
        <v>2002</v>
      </c>
      <c r="V1399" t="s">
        <v>8</v>
      </c>
      <c r="W1399" t="s">
        <v>19</v>
      </c>
      <c r="X1399">
        <v>25</v>
      </c>
      <c r="Y1399" t="s">
        <v>47</v>
      </c>
      <c r="Z1399">
        <v>3</v>
      </c>
      <c r="AA1399">
        <v>12</v>
      </c>
      <c r="AB1399">
        <v>25</v>
      </c>
    </row>
    <row r="1400" spans="10:28">
      <c r="J1400" s="340" t="str">
        <f t="shared" si="91"/>
        <v>2004AllSexAllEth212</v>
      </c>
      <c r="K1400">
        <v>2004</v>
      </c>
      <c r="L1400" t="s">
        <v>17</v>
      </c>
      <c r="M1400" t="s">
        <v>27</v>
      </c>
      <c r="N1400">
        <v>21</v>
      </c>
      <c r="O1400">
        <v>2</v>
      </c>
      <c r="P1400">
        <v>1</v>
      </c>
      <c r="Q1400">
        <v>0.58956280731977195</v>
      </c>
      <c r="R1400">
        <v>1.2</v>
      </c>
      <c r="T1400" s="340" t="str">
        <f t="shared" si="92"/>
        <v>2002FemaleNon-Maori22Submersion (drowning)</v>
      </c>
      <c r="U1400">
        <v>2002</v>
      </c>
      <c r="V1400" t="s">
        <v>8</v>
      </c>
      <c r="W1400" t="s">
        <v>19</v>
      </c>
      <c r="X1400">
        <v>22</v>
      </c>
      <c r="Y1400" t="s">
        <v>49</v>
      </c>
      <c r="Z1400">
        <v>1</v>
      </c>
      <c r="AA1400">
        <v>20</v>
      </c>
      <c r="AB1400">
        <v>5</v>
      </c>
    </row>
    <row r="1401" spans="10:28">
      <c r="J1401" s="340" t="str">
        <f t="shared" si="91"/>
        <v>2004AllSexAllEth213</v>
      </c>
      <c r="K1401">
        <v>2004</v>
      </c>
      <c r="L1401" t="s">
        <v>17</v>
      </c>
      <c r="M1401" t="s">
        <v>27</v>
      </c>
      <c r="N1401">
        <v>21</v>
      </c>
      <c r="O1401">
        <v>3</v>
      </c>
      <c r="P1401">
        <v>0</v>
      </c>
      <c r="Q1401">
        <v>0</v>
      </c>
      <c r="T1401" s="340" t="str">
        <f t="shared" si="92"/>
        <v>2002FemaleNon-Maori23Submersion (drowning)</v>
      </c>
      <c r="U1401">
        <v>2002</v>
      </c>
      <c r="V1401" t="s">
        <v>8</v>
      </c>
      <c r="W1401" t="s">
        <v>19</v>
      </c>
      <c r="X1401">
        <v>23</v>
      </c>
      <c r="Y1401" t="s">
        <v>49</v>
      </c>
      <c r="Z1401">
        <v>1</v>
      </c>
      <c r="AA1401">
        <v>38</v>
      </c>
      <c r="AB1401">
        <v>2.6</v>
      </c>
    </row>
    <row r="1402" spans="10:28">
      <c r="J1402" s="340" t="str">
        <f t="shared" si="91"/>
        <v>2004AllSexAllEth214</v>
      </c>
      <c r="K1402">
        <v>2004</v>
      </c>
      <c r="L1402" t="s">
        <v>17</v>
      </c>
      <c r="M1402" t="s">
        <v>27</v>
      </c>
      <c r="N1402">
        <v>21</v>
      </c>
      <c r="O1402">
        <v>4</v>
      </c>
      <c r="P1402">
        <v>2</v>
      </c>
      <c r="Q1402">
        <v>1.1958064797394401</v>
      </c>
      <c r="R1402">
        <v>1.7</v>
      </c>
      <c r="T1402" s="340" t="str">
        <f t="shared" si="92"/>
        <v>2002FemaleNon-Maori25Submersion (drowning)</v>
      </c>
      <c r="U1402">
        <v>2002</v>
      </c>
      <c r="V1402" t="s">
        <v>8</v>
      </c>
      <c r="W1402" t="s">
        <v>19</v>
      </c>
      <c r="X1402">
        <v>25</v>
      </c>
      <c r="Y1402" t="s">
        <v>49</v>
      </c>
      <c r="Z1402">
        <v>3</v>
      </c>
      <c r="AA1402">
        <v>12</v>
      </c>
      <c r="AB1402">
        <v>25</v>
      </c>
    </row>
    <row r="1403" spans="10:28">
      <c r="J1403" s="340" t="str">
        <f t="shared" si="91"/>
        <v>2004AllSexAllEth215</v>
      </c>
      <c r="K1403">
        <v>2004</v>
      </c>
      <c r="L1403" t="s">
        <v>17</v>
      </c>
      <c r="M1403" t="s">
        <v>27</v>
      </c>
      <c r="N1403">
        <v>21</v>
      </c>
      <c r="O1403">
        <v>5</v>
      </c>
      <c r="P1403">
        <v>3</v>
      </c>
      <c r="Q1403">
        <v>1.4181604578215901</v>
      </c>
      <c r="R1403">
        <v>1.6</v>
      </c>
      <c r="T1403" s="340" t="str">
        <f t="shared" si="92"/>
        <v>2002MaleAllEth22Firearms and explosives</v>
      </c>
      <c r="U1403">
        <v>2002</v>
      </c>
      <c r="V1403" t="s">
        <v>20</v>
      </c>
      <c r="W1403" t="s">
        <v>27</v>
      </c>
      <c r="X1403">
        <v>22</v>
      </c>
      <c r="Y1403" t="s">
        <v>42</v>
      </c>
      <c r="Z1403">
        <v>5</v>
      </c>
      <c r="AA1403">
        <v>66</v>
      </c>
      <c r="AB1403">
        <v>7.6</v>
      </c>
    </row>
    <row r="1404" spans="10:28">
      <c r="J1404" s="340" t="str">
        <f t="shared" si="91"/>
        <v>2004AllSexAllEth221</v>
      </c>
      <c r="K1404">
        <v>2004</v>
      </c>
      <c r="L1404" t="s">
        <v>17</v>
      </c>
      <c r="M1404" t="s">
        <v>27</v>
      </c>
      <c r="N1404">
        <v>22</v>
      </c>
      <c r="O1404">
        <v>1</v>
      </c>
      <c r="P1404">
        <v>11</v>
      </c>
      <c r="Q1404">
        <v>11.1983120034304</v>
      </c>
      <c r="R1404">
        <v>6.6</v>
      </c>
      <c r="T1404" s="340" t="str">
        <f t="shared" si="92"/>
        <v>2002MaleAllEth23Firearms and explosives</v>
      </c>
      <c r="U1404">
        <v>2002</v>
      </c>
      <c r="V1404" t="s">
        <v>20</v>
      </c>
      <c r="W1404" t="s">
        <v>27</v>
      </c>
      <c r="X1404">
        <v>23</v>
      </c>
      <c r="Y1404" t="s">
        <v>42</v>
      </c>
      <c r="Z1404">
        <v>17</v>
      </c>
      <c r="AA1404">
        <v>166</v>
      </c>
      <c r="AB1404">
        <v>10.199999999999999</v>
      </c>
    </row>
    <row r="1405" spans="10:28">
      <c r="J1405" s="340" t="str">
        <f t="shared" si="91"/>
        <v>2004AllSexAllEth222</v>
      </c>
      <c r="K1405">
        <v>2004</v>
      </c>
      <c r="L1405" t="s">
        <v>17</v>
      </c>
      <c r="M1405" t="s">
        <v>27</v>
      </c>
      <c r="N1405">
        <v>22</v>
      </c>
      <c r="O1405">
        <v>2</v>
      </c>
      <c r="P1405">
        <v>15</v>
      </c>
      <c r="Q1405">
        <v>14.330122103242999</v>
      </c>
      <c r="R1405">
        <v>7.3</v>
      </c>
      <c r="T1405" s="340" t="str">
        <f t="shared" si="92"/>
        <v>2002MaleAllEth24Firearms and explosives</v>
      </c>
      <c r="U1405">
        <v>2002</v>
      </c>
      <c r="V1405" t="s">
        <v>20</v>
      </c>
      <c r="W1405" t="s">
        <v>27</v>
      </c>
      <c r="X1405">
        <v>24</v>
      </c>
      <c r="Y1405" t="s">
        <v>42</v>
      </c>
      <c r="Z1405">
        <v>17</v>
      </c>
      <c r="AA1405">
        <v>88</v>
      </c>
      <c r="AB1405">
        <v>19.3</v>
      </c>
    </row>
    <row r="1406" spans="10:28">
      <c r="J1406" s="340" t="str">
        <f t="shared" si="91"/>
        <v>2004AllSexAllEth223</v>
      </c>
      <c r="K1406">
        <v>2004</v>
      </c>
      <c r="L1406" t="s">
        <v>17</v>
      </c>
      <c r="M1406" t="s">
        <v>27</v>
      </c>
      <c r="N1406">
        <v>22</v>
      </c>
      <c r="O1406">
        <v>3</v>
      </c>
      <c r="P1406">
        <v>22</v>
      </c>
      <c r="Q1406">
        <v>19.417661419135801</v>
      </c>
      <c r="R1406">
        <v>8.1</v>
      </c>
      <c r="T1406" s="340" t="str">
        <f t="shared" si="92"/>
        <v>2002MaleAllEth25Firearms and explosives</v>
      </c>
      <c r="U1406">
        <v>2002</v>
      </c>
      <c r="V1406" t="s">
        <v>20</v>
      </c>
      <c r="W1406" t="s">
        <v>27</v>
      </c>
      <c r="X1406">
        <v>25</v>
      </c>
      <c r="Y1406" t="s">
        <v>42</v>
      </c>
      <c r="Z1406">
        <v>7</v>
      </c>
      <c r="AA1406">
        <v>36</v>
      </c>
      <c r="AB1406">
        <v>19.399999999999999</v>
      </c>
    </row>
    <row r="1407" spans="10:28">
      <c r="J1407" s="340" t="str">
        <f t="shared" si="91"/>
        <v>2004AllSexAllEth224</v>
      </c>
      <c r="K1407">
        <v>2004</v>
      </c>
      <c r="L1407" t="s">
        <v>17</v>
      </c>
      <c r="M1407" t="s">
        <v>27</v>
      </c>
      <c r="N1407">
        <v>22</v>
      </c>
      <c r="O1407">
        <v>4</v>
      </c>
      <c r="P1407">
        <v>23</v>
      </c>
      <c r="Q1407">
        <v>18.4828076617706</v>
      </c>
      <c r="R1407">
        <v>7.6</v>
      </c>
      <c r="T1407" s="340" t="str">
        <f t="shared" si="92"/>
        <v>2002MaleAllEth22Hanging, strangulation and suffocation</v>
      </c>
      <c r="U1407">
        <v>2002</v>
      </c>
      <c r="V1407" t="s">
        <v>20</v>
      </c>
      <c r="W1407" t="s">
        <v>27</v>
      </c>
      <c r="X1407">
        <v>22</v>
      </c>
      <c r="Y1407" t="s">
        <v>43</v>
      </c>
      <c r="Z1407">
        <v>42</v>
      </c>
      <c r="AA1407">
        <v>66</v>
      </c>
      <c r="AB1407">
        <v>63.6</v>
      </c>
    </row>
    <row r="1408" spans="10:28">
      <c r="J1408" s="340" t="str">
        <f t="shared" si="91"/>
        <v>2004AllSexAllEth225</v>
      </c>
      <c r="K1408">
        <v>2004</v>
      </c>
      <c r="L1408" t="s">
        <v>17</v>
      </c>
      <c r="M1408" t="s">
        <v>27</v>
      </c>
      <c r="N1408">
        <v>22</v>
      </c>
      <c r="O1408">
        <v>5</v>
      </c>
      <c r="P1408">
        <v>41</v>
      </c>
      <c r="Q1408">
        <v>28.291976606885498</v>
      </c>
      <c r="R1408">
        <v>8.6999999999999993</v>
      </c>
      <c r="T1408" s="340" t="str">
        <f t="shared" si="92"/>
        <v>2002MaleAllEth23Hanging, strangulation and suffocation</v>
      </c>
      <c r="U1408">
        <v>2002</v>
      </c>
      <c r="V1408" t="s">
        <v>20</v>
      </c>
      <c r="W1408" t="s">
        <v>27</v>
      </c>
      <c r="X1408">
        <v>23</v>
      </c>
      <c r="Y1408" t="s">
        <v>43</v>
      </c>
      <c r="Z1408">
        <v>82</v>
      </c>
      <c r="AA1408">
        <v>166</v>
      </c>
      <c r="AB1408">
        <v>49.4</v>
      </c>
    </row>
    <row r="1409" spans="10:28">
      <c r="J1409" s="340" t="str">
        <f t="shared" si="91"/>
        <v>2004AllSexAllEth231</v>
      </c>
      <c r="K1409">
        <v>2004</v>
      </c>
      <c r="L1409" t="s">
        <v>17</v>
      </c>
      <c r="M1409" t="s">
        <v>27</v>
      </c>
      <c r="N1409">
        <v>23</v>
      </c>
      <c r="O1409">
        <v>1</v>
      </c>
      <c r="P1409">
        <v>26</v>
      </c>
      <c r="Q1409">
        <v>11.2405737185027</v>
      </c>
      <c r="R1409">
        <v>4.3</v>
      </c>
      <c r="T1409" s="340" t="str">
        <f t="shared" si="92"/>
        <v>2002MaleAllEth24Hanging, strangulation and suffocation</v>
      </c>
      <c r="U1409">
        <v>2002</v>
      </c>
      <c r="V1409" t="s">
        <v>20</v>
      </c>
      <c r="W1409" t="s">
        <v>27</v>
      </c>
      <c r="X1409">
        <v>24</v>
      </c>
      <c r="Y1409" t="s">
        <v>43</v>
      </c>
      <c r="Z1409">
        <v>37</v>
      </c>
      <c r="AA1409">
        <v>88</v>
      </c>
      <c r="AB1409">
        <v>42</v>
      </c>
    </row>
    <row r="1410" spans="10:28">
      <c r="J1410" s="340" t="str">
        <f t="shared" si="91"/>
        <v>2004AllSexAllEth232</v>
      </c>
      <c r="K1410">
        <v>2004</v>
      </c>
      <c r="L1410" t="s">
        <v>17</v>
      </c>
      <c r="M1410" t="s">
        <v>27</v>
      </c>
      <c r="N1410">
        <v>23</v>
      </c>
      <c r="O1410">
        <v>2</v>
      </c>
      <c r="P1410">
        <v>29</v>
      </c>
      <c r="Q1410">
        <v>11.925127839203</v>
      </c>
      <c r="R1410">
        <v>4.3</v>
      </c>
      <c r="T1410" s="340" t="str">
        <f t="shared" si="92"/>
        <v>2002MaleAllEth25Hanging, strangulation and suffocation</v>
      </c>
      <c r="U1410">
        <v>2002</v>
      </c>
      <c r="V1410" t="s">
        <v>20</v>
      </c>
      <c r="W1410" t="s">
        <v>27</v>
      </c>
      <c r="X1410">
        <v>25</v>
      </c>
      <c r="Y1410" t="s">
        <v>43</v>
      </c>
      <c r="Z1410">
        <v>10</v>
      </c>
      <c r="AA1410">
        <v>36</v>
      </c>
      <c r="AB1410">
        <v>27.8</v>
      </c>
    </row>
    <row r="1411" spans="10:28">
      <c r="J1411" s="340" t="str">
        <f t="shared" si="91"/>
        <v>2004AllSexAllEth233</v>
      </c>
      <c r="K1411">
        <v>2004</v>
      </c>
      <c r="L1411" t="s">
        <v>17</v>
      </c>
      <c r="M1411" t="s">
        <v>27</v>
      </c>
      <c r="N1411">
        <v>23</v>
      </c>
      <c r="O1411">
        <v>3</v>
      </c>
      <c r="P1411">
        <v>36</v>
      </c>
      <c r="Q1411">
        <v>14.8056077675847</v>
      </c>
      <c r="R1411">
        <v>4.8</v>
      </c>
      <c r="T1411" s="340" t="str">
        <f t="shared" si="92"/>
        <v>2002MaleAllEth22Jumping from a high place</v>
      </c>
      <c r="U1411">
        <v>2002</v>
      </c>
      <c r="V1411" t="s">
        <v>20</v>
      </c>
      <c r="W1411" t="s">
        <v>27</v>
      </c>
      <c r="X1411">
        <v>22</v>
      </c>
      <c r="Y1411" t="s">
        <v>44</v>
      </c>
      <c r="Z1411">
        <v>2</v>
      </c>
      <c r="AA1411">
        <v>66</v>
      </c>
      <c r="AB1411">
        <v>3</v>
      </c>
    </row>
    <row r="1412" spans="10:28">
      <c r="J1412" s="340" t="str">
        <f t="shared" ref="J1412:J1475" si="93">K1412&amp;L1412&amp;M1412&amp;N1412&amp;O1412</f>
        <v>2004AllSexAllEth234</v>
      </c>
      <c r="K1412">
        <v>2004</v>
      </c>
      <c r="L1412" t="s">
        <v>17</v>
      </c>
      <c r="M1412" t="s">
        <v>27</v>
      </c>
      <c r="N1412">
        <v>23</v>
      </c>
      <c r="O1412">
        <v>4</v>
      </c>
      <c r="P1412">
        <v>51</v>
      </c>
      <c r="Q1412">
        <v>21.374502596298601</v>
      </c>
      <c r="R1412">
        <v>5.9</v>
      </c>
      <c r="T1412" s="340" t="str">
        <f t="shared" si="92"/>
        <v>2002MaleAllEth23Jumping from a high place</v>
      </c>
      <c r="U1412">
        <v>2002</v>
      </c>
      <c r="V1412" t="s">
        <v>20</v>
      </c>
      <c r="W1412" t="s">
        <v>27</v>
      </c>
      <c r="X1412">
        <v>23</v>
      </c>
      <c r="Y1412" t="s">
        <v>44</v>
      </c>
      <c r="Z1412">
        <v>5</v>
      </c>
      <c r="AA1412">
        <v>166</v>
      </c>
      <c r="AB1412">
        <v>3</v>
      </c>
    </row>
    <row r="1413" spans="10:28">
      <c r="J1413" s="340" t="str">
        <f t="shared" si="93"/>
        <v>2004AllSexAllEth235</v>
      </c>
      <c r="K1413">
        <v>2004</v>
      </c>
      <c r="L1413" t="s">
        <v>17</v>
      </c>
      <c r="M1413" t="s">
        <v>27</v>
      </c>
      <c r="N1413">
        <v>23</v>
      </c>
      <c r="O1413">
        <v>5</v>
      </c>
      <c r="P1413">
        <v>48</v>
      </c>
      <c r="Q1413">
        <v>21.416038164142599</v>
      </c>
      <c r="R1413">
        <v>6.1</v>
      </c>
      <c r="T1413" s="340" t="str">
        <f t="shared" ref="T1413:T1476" si="94">U1413&amp;V1413&amp;W1413&amp;X1413&amp;Y1413</f>
        <v>2002MaleAllEth25Jumping from a high place</v>
      </c>
      <c r="U1413">
        <v>2002</v>
      </c>
      <c r="V1413" t="s">
        <v>20</v>
      </c>
      <c r="W1413" t="s">
        <v>27</v>
      </c>
      <c r="X1413">
        <v>25</v>
      </c>
      <c r="Y1413" t="s">
        <v>44</v>
      </c>
      <c r="Z1413">
        <v>5</v>
      </c>
      <c r="AA1413">
        <v>36</v>
      </c>
      <c r="AB1413">
        <v>13.9</v>
      </c>
    </row>
    <row r="1414" spans="10:28">
      <c r="J1414" s="340" t="str">
        <f t="shared" si="93"/>
        <v>2004AllSexAllEth241</v>
      </c>
      <c r="K1414">
        <v>2004</v>
      </c>
      <c r="L1414" t="s">
        <v>17</v>
      </c>
      <c r="M1414" t="s">
        <v>27</v>
      </c>
      <c r="N1414">
        <v>24</v>
      </c>
      <c r="O1414">
        <v>1</v>
      </c>
      <c r="P1414">
        <v>13</v>
      </c>
      <c r="Q1414">
        <v>5.5827906614336502</v>
      </c>
      <c r="R1414">
        <v>3</v>
      </c>
      <c r="T1414" s="340" t="str">
        <f t="shared" si="94"/>
        <v>2002MaleAllEth22Other</v>
      </c>
      <c r="U1414">
        <v>2002</v>
      </c>
      <c r="V1414" t="s">
        <v>20</v>
      </c>
      <c r="W1414" t="s">
        <v>27</v>
      </c>
      <c r="X1414">
        <v>22</v>
      </c>
      <c r="Y1414" t="s">
        <v>45</v>
      </c>
      <c r="Z1414">
        <v>4</v>
      </c>
      <c r="AA1414">
        <v>66</v>
      </c>
      <c r="AB1414">
        <v>6.1</v>
      </c>
    </row>
    <row r="1415" spans="10:28">
      <c r="J1415" s="340" t="str">
        <f t="shared" si="93"/>
        <v>2004AllSexAllEth242</v>
      </c>
      <c r="K1415">
        <v>2004</v>
      </c>
      <c r="L1415" t="s">
        <v>17</v>
      </c>
      <c r="M1415" t="s">
        <v>27</v>
      </c>
      <c r="N1415">
        <v>24</v>
      </c>
      <c r="O1415">
        <v>2</v>
      </c>
      <c r="P1415">
        <v>21</v>
      </c>
      <c r="Q1415">
        <v>10.215155196600801</v>
      </c>
      <c r="R1415">
        <v>4.4000000000000004</v>
      </c>
      <c r="T1415" s="340" t="str">
        <f t="shared" si="94"/>
        <v>2002MaleAllEth23Other</v>
      </c>
      <c r="U1415">
        <v>2002</v>
      </c>
      <c r="V1415" t="s">
        <v>20</v>
      </c>
      <c r="W1415" t="s">
        <v>27</v>
      </c>
      <c r="X1415">
        <v>23</v>
      </c>
      <c r="Y1415" t="s">
        <v>45</v>
      </c>
      <c r="Z1415">
        <v>1</v>
      </c>
      <c r="AA1415">
        <v>166</v>
      </c>
      <c r="AB1415">
        <v>0.6</v>
      </c>
    </row>
    <row r="1416" spans="10:28">
      <c r="J1416" s="340" t="str">
        <f t="shared" si="93"/>
        <v>2004AllSexAllEth243</v>
      </c>
      <c r="K1416">
        <v>2004</v>
      </c>
      <c r="L1416" t="s">
        <v>17</v>
      </c>
      <c r="M1416" t="s">
        <v>27</v>
      </c>
      <c r="N1416">
        <v>24</v>
      </c>
      <c r="O1416">
        <v>3</v>
      </c>
      <c r="P1416">
        <v>25</v>
      </c>
      <c r="Q1416">
        <v>13.4896297989969</v>
      </c>
      <c r="R1416">
        <v>5.3</v>
      </c>
      <c r="T1416" s="340" t="str">
        <f t="shared" si="94"/>
        <v>2002MaleAllEth24Other</v>
      </c>
      <c r="U1416">
        <v>2002</v>
      </c>
      <c r="V1416" t="s">
        <v>20</v>
      </c>
      <c r="W1416" t="s">
        <v>27</v>
      </c>
      <c r="X1416">
        <v>24</v>
      </c>
      <c r="Y1416" t="s">
        <v>45</v>
      </c>
      <c r="Z1416">
        <v>7</v>
      </c>
      <c r="AA1416">
        <v>88</v>
      </c>
      <c r="AB1416">
        <v>8</v>
      </c>
    </row>
    <row r="1417" spans="10:28">
      <c r="J1417" s="340" t="str">
        <f t="shared" si="93"/>
        <v>2004AllSexAllEth244</v>
      </c>
      <c r="K1417">
        <v>2004</v>
      </c>
      <c r="L1417" t="s">
        <v>17</v>
      </c>
      <c r="M1417" t="s">
        <v>27</v>
      </c>
      <c r="N1417">
        <v>24</v>
      </c>
      <c r="O1417">
        <v>4</v>
      </c>
      <c r="P1417">
        <v>28</v>
      </c>
      <c r="Q1417">
        <v>16.5300455646146</v>
      </c>
      <c r="R1417">
        <v>6.1</v>
      </c>
      <c r="T1417" s="340" t="str">
        <f t="shared" si="94"/>
        <v>2002MaleAllEth22Poisoning by gases and vapours</v>
      </c>
      <c r="U1417">
        <v>2002</v>
      </c>
      <c r="V1417" t="s">
        <v>20</v>
      </c>
      <c r="W1417" t="s">
        <v>27</v>
      </c>
      <c r="X1417">
        <v>22</v>
      </c>
      <c r="Y1417" t="s">
        <v>46</v>
      </c>
      <c r="Z1417">
        <v>8</v>
      </c>
      <c r="AA1417">
        <v>66</v>
      </c>
      <c r="AB1417">
        <v>12.1</v>
      </c>
    </row>
    <row r="1418" spans="10:28">
      <c r="J1418" s="340" t="str">
        <f t="shared" si="93"/>
        <v>2004AllSexAllEth245</v>
      </c>
      <c r="K1418">
        <v>2004</v>
      </c>
      <c r="L1418" t="s">
        <v>17</v>
      </c>
      <c r="M1418" t="s">
        <v>27</v>
      </c>
      <c r="N1418">
        <v>24</v>
      </c>
      <c r="O1418">
        <v>5</v>
      </c>
      <c r="P1418">
        <v>24</v>
      </c>
      <c r="Q1418">
        <v>15.9216090674549</v>
      </c>
      <c r="R1418">
        <v>6.4</v>
      </c>
      <c r="T1418" s="340" t="str">
        <f t="shared" si="94"/>
        <v>2002MaleAllEth23Poisoning by gases and vapours</v>
      </c>
      <c r="U1418">
        <v>2002</v>
      </c>
      <c r="V1418" t="s">
        <v>20</v>
      </c>
      <c r="W1418" t="s">
        <v>27</v>
      </c>
      <c r="X1418">
        <v>23</v>
      </c>
      <c r="Y1418" t="s">
        <v>46</v>
      </c>
      <c r="Z1418">
        <v>41</v>
      </c>
      <c r="AA1418">
        <v>166</v>
      </c>
      <c r="AB1418">
        <v>24.7</v>
      </c>
    </row>
    <row r="1419" spans="10:28">
      <c r="J1419" s="340" t="str">
        <f t="shared" si="93"/>
        <v>2004AllSexAllEth251</v>
      </c>
      <c r="K1419">
        <v>2004</v>
      </c>
      <c r="L1419" t="s">
        <v>17</v>
      </c>
      <c r="M1419" t="s">
        <v>27</v>
      </c>
      <c r="N1419">
        <v>25</v>
      </c>
      <c r="O1419">
        <v>1</v>
      </c>
      <c r="P1419">
        <v>8</v>
      </c>
      <c r="Q1419">
        <v>8.6047075630357206</v>
      </c>
      <c r="R1419">
        <v>6</v>
      </c>
      <c r="T1419" s="340" t="str">
        <f t="shared" si="94"/>
        <v>2002MaleAllEth24Poisoning by gases and vapours</v>
      </c>
      <c r="U1419">
        <v>2002</v>
      </c>
      <c r="V1419" t="s">
        <v>20</v>
      </c>
      <c r="W1419" t="s">
        <v>27</v>
      </c>
      <c r="X1419">
        <v>24</v>
      </c>
      <c r="Y1419" t="s">
        <v>46</v>
      </c>
      <c r="Z1419">
        <v>22</v>
      </c>
      <c r="AA1419">
        <v>88</v>
      </c>
      <c r="AB1419">
        <v>25</v>
      </c>
    </row>
    <row r="1420" spans="10:28">
      <c r="J1420" s="340" t="str">
        <f t="shared" si="93"/>
        <v>2004AllSexAllEth252</v>
      </c>
      <c r="K1420">
        <v>2004</v>
      </c>
      <c r="L1420" t="s">
        <v>17</v>
      </c>
      <c r="M1420" t="s">
        <v>27</v>
      </c>
      <c r="N1420">
        <v>25</v>
      </c>
      <c r="O1420">
        <v>2</v>
      </c>
      <c r="P1420">
        <v>3</v>
      </c>
      <c r="Q1420">
        <v>3.0046845078039199</v>
      </c>
      <c r="R1420">
        <v>3.4</v>
      </c>
      <c r="T1420" s="340" t="str">
        <f t="shared" si="94"/>
        <v>2002MaleAllEth25Poisoning by gases and vapours</v>
      </c>
      <c r="U1420">
        <v>2002</v>
      </c>
      <c r="V1420" t="s">
        <v>20</v>
      </c>
      <c r="W1420" t="s">
        <v>27</v>
      </c>
      <c r="X1420">
        <v>25</v>
      </c>
      <c r="Y1420" t="s">
        <v>46</v>
      </c>
      <c r="Z1420">
        <v>7</v>
      </c>
      <c r="AA1420">
        <v>36</v>
      </c>
      <c r="AB1420">
        <v>19.399999999999999</v>
      </c>
    </row>
    <row r="1421" spans="10:28">
      <c r="J1421" s="340" t="str">
        <f t="shared" si="93"/>
        <v>2004AllSexAllEth253</v>
      </c>
      <c r="K1421">
        <v>2004</v>
      </c>
      <c r="L1421" t="s">
        <v>17</v>
      </c>
      <c r="M1421" t="s">
        <v>27</v>
      </c>
      <c r="N1421">
        <v>25</v>
      </c>
      <c r="O1421">
        <v>3</v>
      </c>
      <c r="P1421">
        <v>13</v>
      </c>
      <c r="Q1421">
        <v>12.4569862390466</v>
      </c>
      <c r="R1421">
        <v>6.8</v>
      </c>
      <c r="T1421" s="340" t="str">
        <f t="shared" si="94"/>
        <v>2002MaleAllEth22Poisoning by solids and liquids</v>
      </c>
      <c r="U1421">
        <v>2002</v>
      </c>
      <c r="V1421" t="s">
        <v>20</v>
      </c>
      <c r="W1421" t="s">
        <v>27</v>
      </c>
      <c r="X1421">
        <v>22</v>
      </c>
      <c r="Y1421" t="s">
        <v>47</v>
      </c>
      <c r="Z1421">
        <v>2</v>
      </c>
      <c r="AA1421">
        <v>66</v>
      </c>
      <c r="AB1421">
        <v>3</v>
      </c>
    </row>
    <row r="1422" spans="10:28">
      <c r="J1422" s="340" t="str">
        <f t="shared" si="93"/>
        <v>2004AllSexAllEth254</v>
      </c>
      <c r="K1422">
        <v>2004</v>
      </c>
      <c r="L1422" t="s">
        <v>17</v>
      </c>
      <c r="M1422" t="s">
        <v>27</v>
      </c>
      <c r="N1422">
        <v>25</v>
      </c>
      <c r="O1422">
        <v>4</v>
      </c>
      <c r="P1422">
        <v>14</v>
      </c>
      <c r="Q1422">
        <v>13.290504080470001</v>
      </c>
      <c r="R1422">
        <v>7</v>
      </c>
      <c r="T1422" s="340" t="str">
        <f t="shared" si="94"/>
        <v>2002MaleAllEth23Poisoning by solids and liquids</v>
      </c>
      <c r="U1422">
        <v>2002</v>
      </c>
      <c r="V1422" t="s">
        <v>20</v>
      </c>
      <c r="W1422" t="s">
        <v>27</v>
      </c>
      <c r="X1422">
        <v>23</v>
      </c>
      <c r="Y1422" t="s">
        <v>47</v>
      </c>
      <c r="Z1422">
        <v>12</v>
      </c>
      <c r="AA1422">
        <v>166</v>
      </c>
      <c r="AB1422">
        <v>7.2</v>
      </c>
    </row>
    <row r="1423" spans="10:28">
      <c r="J1423" s="340" t="str">
        <f t="shared" si="93"/>
        <v>2004AllSexAllEth255</v>
      </c>
      <c r="K1423">
        <v>2004</v>
      </c>
      <c r="L1423" t="s">
        <v>17</v>
      </c>
      <c r="M1423" t="s">
        <v>27</v>
      </c>
      <c r="N1423">
        <v>25</v>
      </c>
      <c r="O1423">
        <v>5</v>
      </c>
      <c r="P1423">
        <v>15</v>
      </c>
      <c r="Q1423">
        <v>18.2691257784379</v>
      </c>
      <c r="R1423">
        <v>9.1999999999999993</v>
      </c>
      <c r="T1423" s="340" t="str">
        <f t="shared" si="94"/>
        <v>2002MaleAllEth24Poisoning by solids and liquids</v>
      </c>
      <c r="U1423">
        <v>2002</v>
      </c>
      <c r="V1423" t="s">
        <v>20</v>
      </c>
      <c r="W1423" t="s">
        <v>27</v>
      </c>
      <c r="X1423">
        <v>24</v>
      </c>
      <c r="Y1423" t="s">
        <v>47</v>
      </c>
      <c r="Z1423">
        <v>4</v>
      </c>
      <c r="AA1423">
        <v>88</v>
      </c>
      <c r="AB1423">
        <v>4.5</v>
      </c>
    </row>
    <row r="1424" spans="10:28">
      <c r="J1424" s="340" t="str">
        <f t="shared" si="93"/>
        <v>2004AllSexMaori211</v>
      </c>
      <c r="K1424">
        <v>2004</v>
      </c>
      <c r="L1424" t="s">
        <v>17</v>
      </c>
      <c r="M1424" t="s">
        <v>18</v>
      </c>
      <c r="N1424">
        <v>21</v>
      </c>
      <c r="O1424">
        <v>1</v>
      </c>
      <c r="P1424">
        <v>0</v>
      </c>
      <c r="Q1424">
        <v>0</v>
      </c>
      <c r="T1424" s="340" t="str">
        <f t="shared" si="94"/>
        <v>2002MaleAllEth25Poisoning by solids and liquids</v>
      </c>
      <c r="U1424">
        <v>2002</v>
      </c>
      <c r="V1424" t="s">
        <v>20</v>
      </c>
      <c r="W1424" t="s">
        <v>27</v>
      </c>
      <c r="X1424">
        <v>25</v>
      </c>
      <c r="Y1424" t="s">
        <v>47</v>
      </c>
      <c r="Z1424">
        <v>6</v>
      </c>
      <c r="AA1424">
        <v>36</v>
      </c>
      <c r="AB1424">
        <v>16.7</v>
      </c>
    </row>
    <row r="1425" spans="10:28">
      <c r="J1425" s="340" t="str">
        <f t="shared" si="93"/>
        <v>2004AllSexMaori212</v>
      </c>
      <c r="K1425">
        <v>2004</v>
      </c>
      <c r="L1425" t="s">
        <v>17</v>
      </c>
      <c r="M1425" t="s">
        <v>18</v>
      </c>
      <c r="N1425">
        <v>21</v>
      </c>
      <c r="O1425">
        <v>2</v>
      </c>
      <c r="P1425">
        <v>0</v>
      </c>
      <c r="Q1425">
        <v>0</v>
      </c>
      <c r="T1425" s="340" t="str">
        <f t="shared" si="94"/>
        <v>2002MaleAllEth22Sharp object</v>
      </c>
      <c r="U1425">
        <v>2002</v>
      </c>
      <c r="V1425" t="s">
        <v>20</v>
      </c>
      <c r="W1425" t="s">
        <v>27</v>
      </c>
      <c r="X1425">
        <v>22</v>
      </c>
      <c r="Y1425" t="s">
        <v>48</v>
      </c>
      <c r="Z1425">
        <v>1</v>
      </c>
      <c r="AA1425">
        <v>66</v>
      </c>
      <c r="AB1425">
        <v>1.5</v>
      </c>
    </row>
    <row r="1426" spans="10:28">
      <c r="J1426" s="340" t="str">
        <f t="shared" si="93"/>
        <v>2004AllSexMaori213</v>
      </c>
      <c r="K1426">
        <v>2004</v>
      </c>
      <c r="L1426" t="s">
        <v>17</v>
      </c>
      <c r="M1426" t="s">
        <v>18</v>
      </c>
      <c r="N1426">
        <v>21</v>
      </c>
      <c r="O1426">
        <v>3</v>
      </c>
      <c r="P1426">
        <v>0</v>
      </c>
      <c r="Q1426">
        <v>0</v>
      </c>
      <c r="T1426" s="340" t="str">
        <f t="shared" si="94"/>
        <v>2002MaleAllEth23Sharp object</v>
      </c>
      <c r="U1426">
        <v>2002</v>
      </c>
      <c r="V1426" t="s">
        <v>20</v>
      </c>
      <c r="W1426" t="s">
        <v>27</v>
      </c>
      <c r="X1426">
        <v>23</v>
      </c>
      <c r="Y1426" t="s">
        <v>48</v>
      </c>
      <c r="Z1426">
        <v>4</v>
      </c>
      <c r="AA1426">
        <v>166</v>
      </c>
      <c r="AB1426">
        <v>2.4</v>
      </c>
    </row>
    <row r="1427" spans="10:28">
      <c r="J1427" s="340" t="str">
        <f t="shared" si="93"/>
        <v>2004AllSexMaori214</v>
      </c>
      <c r="K1427">
        <v>2004</v>
      </c>
      <c r="L1427" t="s">
        <v>17</v>
      </c>
      <c r="M1427" t="s">
        <v>18</v>
      </c>
      <c r="N1427">
        <v>21</v>
      </c>
      <c r="O1427">
        <v>4</v>
      </c>
      <c r="P1427">
        <v>1</v>
      </c>
      <c r="Q1427">
        <v>1.9996222260227601</v>
      </c>
      <c r="R1427">
        <v>3.9</v>
      </c>
      <c r="T1427" s="340" t="str">
        <f t="shared" si="94"/>
        <v>2002MaleAllEth22Submersion (drowning)</v>
      </c>
      <c r="U1427">
        <v>2002</v>
      </c>
      <c r="V1427" t="s">
        <v>20</v>
      </c>
      <c r="W1427" t="s">
        <v>27</v>
      </c>
      <c r="X1427">
        <v>22</v>
      </c>
      <c r="Y1427" t="s">
        <v>49</v>
      </c>
      <c r="Z1427">
        <v>2</v>
      </c>
      <c r="AA1427">
        <v>66</v>
      </c>
      <c r="AB1427">
        <v>3</v>
      </c>
    </row>
    <row r="1428" spans="10:28">
      <c r="J1428" s="340" t="str">
        <f t="shared" si="93"/>
        <v>2004AllSexMaori215</v>
      </c>
      <c r="K1428">
        <v>2004</v>
      </c>
      <c r="L1428" t="s">
        <v>17</v>
      </c>
      <c r="M1428" t="s">
        <v>18</v>
      </c>
      <c r="N1428">
        <v>21</v>
      </c>
      <c r="O1428">
        <v>5</v>
      </c>
      <c r="P1428">
        <v>2</v>
      </c>
      <c r="Q1428">
        <v>2.1330997688822002</v>
      </c>
      <c r="R1428">
        <v>3</v>
      </c>
      <c r="T1428" s="340" t="str">
        <f t="shared" si="94"/>
        <v>2002MaleAllEth23Submersion (drowning)</v>
      </c>
      <c r="U1428">
        <v>2002</v>
      </c>
      <c r="V1428" t="s">
        <v>20</v>
      </c>
      <c r="W1428" t="s">
        <v>27</v>
      </c>
      <c r="X1428">
        <v>23</v>
      </c>
      <c r="Y1428" t="s">
        <v>49</v>
      </c>
      <c r="Z1428">
        <v>4</v>
      </c>
      <c r="AA1428">
        <v>166</v>
      </c>
      <c r="AB1428">
        <v>2.4</v>
      </c>
    </row>
    <row r="1429" spans="10:28">
      <c r="J1429" s="340" t="str">
        <f t="shared" si="93"/>
        <v>2004AllSexMaori221</v>
      </c>
      <c r="K1429">
        <v>2004</v>
      </c>
      <c r="L1429" t="s">
        <v>17</v>
      </c>
      <c r="M1429" t="s">
        <v>18</v>
      </c>
      <c r="N1429">
        <v>22</v>
      </c>
      <c r="O1429">
        <v>1</v>
      </c>
      <c r="P1429">
        <v>0</v>
      </c>
      <c r="Q1429">
        <v>0</v>
      </c>
      <c r="T1429" s="340" t="str">
        <f t="shared" si="94"/>
        <v>2002MaleAllEth24Submersion (drowning)</v>
      </c>
      <c r="U1429">
        <v>2002</v>
      </c>
      <c r="V1429" t="s">
        <v>20</v>
      </c>
      <c r="W1429" t="s">
        <v>27</v>
      </c>
      <c r="X1429">
        <v>24</v>
      </c>
      <c r="Y1429" t="s">
        <v>49</v>
      </c>
      <c r="Z1429">
        <v>1</v>
      </c>
      <c r="AA1429">
        <v>88</v>
      </c>
      <c r="AB1429">
        <v>1.1000000000000001</v>
      </c>
    </row>
    <row r="1430" spans="10:28">
      <c r="J1430" s="340" t="str">
        <f t="shared" si="93"/>
        <v>2004AllSexMaori222</v>
      </c>
      <c r="K1430">
        <v>2004</v>
      </c>
      <c r="L1430" t="s">
        <v>17</v>
      </c>
      <c r="M1430" t="s">
        <v>18</v>
      </c>
      <c r="N1430">
        <v>22</v>
      </c>
      <c r="O1430">
        <v>2</v>
      </c>
      <c r="P1430">
        <v>4</v>
      </c>
      <c r="Q1430">
        <v>33.799980995928799</v>
      </c>
      <c r="R1430">
        <v>33.1</v>
      </c>
      <c r="T1430" s="340" t="str">
        <f t="shared" si="94"/>
        <v>2002MaleAllEth25Submersion (drowning)</v>
      </c>
      <c r="U1430">
        <v>2002</v>
      </c>
      <c r="V1430" t="s">
        <v>20</v>
      </c>
      <c r="W1430" t="s">
        <v>27</v>
      </c>
      <c r="X1430">
        <v>25</v>
      </c>
      <c r="Y1430" t="s">
        <v>49</v>
      </c>
      <c r="Z1430">
        <v>1</v>
      </c>
      <c r="AA1430">
        <v>36</v>
      </c>
      <c r="AB1430">
        <v>2.8</v>
      </c>
    </row>
    <row r="1431" spans="10:28">
      <c r="J1431" s="340" t="str">
        <f t="shared" si="93"/>
        <v>2004AllSexMaori223</v>
      </c>
      <c r="K1431">
        <v>2004</v>
      </c>
      <c r="L1431" t="s">
        <v>17</v>
      </c>
      <c r="M1431" t="s">
        <v>18</v>
      </c>
      <c r="N1431">
        <v>22</v>
      </c>
      <c r="O1431">
        <v>3</v>
      </c>
      <c r="P1431">
        <v>8</v>
      </c>
      <c r="Q1431">
        <v>44.5941253832858</v>
      </c>
      <c r="R1431">
        <v>30.9</v>
      </c>
      <c r="T1431" s="340" t="str">
        <f t="shared" si="94"/>
        <v>2002MaleMaori22Firearms and explosives</v>
      </c>
      <c r="U1431">
        <v>2002</v>
      </c>
      <c r="V1431" t="s">
        <v>20</v>
      </c>
      <c r="W1431" t="s">
        <v>18</v>
      </c>
      <c r="X1431">
        <v>22</v>
      </c>
      <c r="Y1431" t="s">
        <v>42</v>
      </c>
      <c r="Z1431">
        <v>2</v>
      </c>
      <c r="AA1431">
        <v>23</v>
      </c>
      <c r="AB1431">
        <v>8.6999999999999993</v>
      </c>
    </row>
    <row r="1432" spans="10:28">
      <c r="J1432" s="340" t="str">
        <f t="shared" si="93"/>
        <v>2004AllSexMaori224</v>
      </c>
      <c r="K1432">
        <v>2004</v>
      </c>
      <c r="L1432" t="s">
        <v>17</v>
      </c>
      <c r="M1432" t="s">
        <v>18</v>
      </c>
      <c r="N1432">
        <v>22</v>
      </c>
      <c r="O1432">
        <v>4</v>
      </c>
      <c r="P1432">
        <v>9</v>
      </c>
      <c r="Q1432">
        <v>33.8219051993769</v>
      </c>
      <c r="R1432">
        <v>22.1</v>
      </c>
      <c r="T1432" s="340" t="str">
        <f t="shared" si="94"/>
        <v>2002MaleMaori23Firearms and explosives</v>
      </c>
      <c r="U1432">
        <v>2002</v>
      </c>
      <c r="V1432" t="s">
        <v>20</v>
      </c>
      <c r="W1432" t="s">
        <v>18</v>
      </c>
      <c r="X1432">
        <v>23</v>
      </c>
      <c r="Y1432" t="s">
        <v>42</v>
      </c>
      <c r="Z1432">
        <v>1</v>
      </c>
      <c r="AA1432">
        <v>31</v>
      </c>
      <c r="AB1432">
        <v>3.2</v>
      </c>
    </row>
    <row r="1433" spans="10:28">
      <c r="J1433" s="340" t="str">
        <f t="shared" si="93"/>
        <v>2004AllSexMaori225</v>
      </c>
      <c r="K1433">
        <v>2004</v>
      </c>
      <c r="L1433" t="s">
        <v>17</v>
      </c>
      <c r="M1433" t="s">
        <v>18</v>
      </c>
      <c r="N1433">
        <v>22</v>
      </c>
      <c r="O1433">
        <v>5</v>
      </c>
      <c r="P1433">
        <v>21</v>
      </c>
      <c r="Q1433">
        <v>44.766792855208301</v>
      </c>
      <c r="R1433">
        <v>19.100000000000001</v>
      </c>
      <c r="T1433" s="340" t="str">
        <f t="shared" si="94"/>
        <v>2002MaleMaori24Firearms and explosives</v>
      </c>
      <c r="U1433">
        <v>2002</v>
      </c>
      <c r="V1433" t="s">
        <v>20</v>
      </c>
      <c r="W1433" t="s">
        <v>18</v>
      </c>
      <c r="X1433">
        <v>24</v>
      </c>
      <c r="Y1433" t="s">
        <v>42</v>
      </c>
      <c r="Z1433">
        <v>1</v>
      </c>
      <c r="AA1433">
        <v>6</v>
      </c>
      <c r="AB1433">
        <v>16.7</v>
      </c>
    </row>
    <row r="1434" spans="10:28">
      <c r="J1434" s="340" t="str">
        <f t="shared" si="93"/>
        <v>2004AllSexMaori231</v>
      </c>
      <c r="K1434">
        <v>2004</v>
      </c>
      <c r="L1434" t="s">
        <v>17</v>
      </c>
      <c r="M1434" t="s">
        <v>18</v>
      </c>
      <c r="N1434">
        <v>23</v>
      </c>
      <c r="O1434">
        <v>1</v>
      </c>
      <c r="P1434">
        <v>2</v>
      </c>
      <c r="Q1434">
        <v>14.3268190786702</v>
      </c>
      <c r="R1434">
        <v>19.899999999999999</v>
      </c>
      <c r="T1434" s="340" t="str">
        <f t="shared" si="94"/>
        <v>2002MaleMaori22Hanging, strangulation and suffocation</v>
      </c>
      <c r="U1434">
        <v>2002</v>
      </c>
      <c r="V1434" t="s">
        <v>20</v>
      </c>
      <c r="W1434" t="s">
        <v>18</v>
      </c>
      <c r="X1434">
        <v>22</v>
      </c>
      <c r="Y1434" t="s">
        <v>43</v>
      </c>
      <c r="Z1434">
        <v>20</v>
      </c>
      <c r="AA1434">
        <v>23</v>
      </c>
      <c r="AB1434">
        <v>87</v>
      </c>
    </row>
    <row r="1435" spans="10:28">
      <c r="J1435" s="340" t="str">
        <f t="shared" si="93"/>
        <v>2004AllSexMaori232</v>
      </c>
      <c r="K1435">
        <v>2004</v>
      </c>
      <c r="L1435" t="s">
        <v>17</v>
      </c>
      <c r="M1435" t="s">
        <v>18</v>
      </c>
      <c r="N1435">
        <v>23</v>
      </c>
      <c r="O1435">
        <v>2</v>
      </c>
      <c r="P1435">
        <v>4</v>
      </c>
      <c r="Q1435">
        <v>19.751241379397701</v>
      </c>
      <c r="R1435">
        <v>19.399999999999999</v>
      </c>
      <c r="T1435" s="340" t="str">
        <f t="shared" si="94"/>
        <v>2002MaleMaori23Hanging, strangulation and suffocation</v>
      </c>
      <c r="U1435">
        <v>2002</v>
      </c>
      <c r="V1435" t="s">
        <v>20</v>
      </c>
      <c r="W1435" t="s">
        <v>18</v>
      </c>
      <c r="X1435">
        <v>23</v>
      </c>
      <c r="Y1435" t="s">
        <v>43</v>
      </c>
      <c r="Z1435">
        <v>25</v>
      </c>
      <c r="AA1435">
        <v>31</v>
      </c>
      <c r="AB1435">
        <v>80.599999999999994</v>
      </c>
    </row>
    <row r="1436" spans="10:28">
      <c r="J1436" s="340" t="str">
        <f t="shared" si="93"/>
        <v>2004AllSexMaori233</v>
      </c>
      <c r="K1436">
        <v>2004</v>
      </c>
      <c r="L1436" t="s">
        <v>17</v>
      </c>
      <c r="M1436" t="s">
        <v>18</v>
      </c>
      <c r="N1436">
        <v>23</v>
      </c>
      <c r="O1436">
        <v>3</v>
      </c>
      <c r="P1436">
        <v>2</v>
      </c>
      <c r="Q1436">
        <v>7.0709909385924599</v>
      </c>
      <c r="R1436">
        <v>9.8000000000000007</v>
      </c>
      <c r="T1436" s="340" t="str">
        <f t="shared" si="94"/>
        <v>2002MaleMaori24Hanging, strangulation and suffocation</v>
      </c>
      <c r="U1436">
        <v>2002</v>
      </c>
      <c r="V1436" t="s">
        <v>20</v>
      </c>
      <c r="W1436" t="s">
        <v>18</v>
      </c>
      <c r="X1436">
        <v>24</v>
      </c>
      <c r="Y1436" t="s">
        <v>43</v>
      </c>
      <c r="Z1436">
        <v>4</v>
      </c>
      <c r="AA1436">
        <v>6</v>
      </c>
      <c r="AB1436">
        <v>66.7</v>
      </c>
    </row>
    <row r="1437" spans="10:28">
      <c r="J1437" s="340" t="str">
        <f t="shared" si="93"/>
        <v>2004AllSexMaori234</v>
      </c>
      <c r="K1437">
        <v>2004</v>
      </c>
      <c r="L1437" t="s">
        <v>17</v>
      </c>
      <c r="M1437" t="s">
        <v>18</v>
      </c>
      <c r="N1437">
        <v>23</v>
      </c>
      <c r="O1437">
        <v>4</v>
      </c>
      <c r="P1437">
        <v>18</v>
      </c>
      <c r="Q1437">
        <v>44.497347264915803</v>
      </c>
      <c r="R1437">
        <v>20.6</v>
      </c>
      <c r="T1437" s="340" t="str">
        <f t="shared" si="94"/>
        <v>2002MaleMaori22Poisoning by gases and vapours</v>
      </c>
      <c r="U1437">
        <v>2002</v>
      </c>
      <c r="V1437" t="s">
        <v>20</v>
      </c>
      <c r="W1437" t="s">
        <v>18</v>
      </c>
      <c r="X1437">
        <v>22</v>
      </c>
      <c r="Y1437" t="s">
        <v>46</v>
      </c>
      <c r="Z1437">
        <v>1</v>
      </c>
      <c r="AA1437">
        <v>23</v>
      </c>
      <c r="AB1437">
        <v>4.3</v>
      </c>
    </row>
    <row r="1438" spans="10:28">
      <c r="J1438" s="340" t="str">
        <f t="shared" si="93"/>
        <v>2004AllSexMaori235</v>
      </c>
      <c r="K1438">
        <v>2004</v>
      </c>
      <c r="L1438" t="s">
        <v>17</v>
      </c>
      <c r="M1438" t="s">
        <v>18</v>
      </c>
      <c r="N1438">
        <v>23</v>
      </c>
      <c r="O1438">
        <v>5</v>
      </c>
      <c r="P1438">
        <v>28</v>
      </c>
      <c r="Q1438">
        <v>42.034564731271303</v>
      </c>
      <c r="R1438">
        <v>15.6</v>
      </c>
      <c r="T1438" s="340" t="str">
        <f t="shared" si="94"/>
        <v>2002MaleMaori23Poisoning by gases and vapours</v>
      </c>
      <c r="U1438">
        <v>2002</v>
      </c>
      <c r="V1438" t="s">
        <v>20</v>
      </c>
      <c r="W1438" t="s">
        <v>18</v>
      </c>
      <c r="X1438">
        <v>23</v>
      </c>
      <c r="Y1438" t="s">
        <v>46</v>
      </c>
      <c r="Z1438">
        <v>4</v>
      </c>
      <c r="AA1438">
        <v>31</v>
      </c>
      <c r="AB1438">
        <v>12.9</v>
      </c>
    </row>
    <row r="1439" spans="10:28">
      <c r="J1439" s="340" t="str">
        <f t="shared" si="93"/>
        <v>2004AllSexMaori241</v>
      </c>
      <c r="K1439">
        <v>2004</v>
      </c>
      <c r="L1439" t="s">
        <v>17</v>
      </c>
      <c r="M1439" t="s">
        <v>18</v>
      </c>
      <c r="N1439">
        <v>24</v>
      </c>
      <c r="O1439">
        <v>1</v>
      </c>
      <c r="P1439">
        <v>0</v>
      </c>
      <c r="Q1439">
        <v>0</v>
      </c>
      <c r="T1439" s="340" t="str">
        <f t="shared" si="94"/>
        <v>2002MaleMaori24Poisoning by gases and vapours</v>
      </c>
      <c r="U1439">
        <v>2002</v>
      </c>
      <c r="V1439" t="s">
        <v>20</v>
      </c>
      <c r="W1439" t="s">
        <v>18</v>
      </c>
      <c r="X1439">
        <v>24</v>
      </c>
      <c r="Y1439" t="s">
        <v>46</v>
      </c>
      <c r="Z1439">
        <v>1</v>
      </c>
      <c r="AA1439">
        <v>6</v>
      </c>
      <c r="AB1439">
        <v>16.7</v>
      </c>
    </row>
    <row r="1440" spans="10:28">
      <c r="J1440" s="340" t="str">
        <f t="shared" si="93"/>
        <v>2004AllSexMaori242</v>
      </c>
      <c r="K1440">
        <v>2004</v>
      </c>
      <c r="L1440" t="s">
        <v>17</v>
      </c>
      <c r="M1440" t="s">
        <v>18</v>
      </c>
      <c r="N1440">
        <v>24</v>
      </c>
      <c r="O1440">
        <v>2</v>
      </c>
      <c r="P1440">
        <v>2</v>
      </c>
      <c r="Q1440">
        <v>19.5464062756948</v>
      </c>
      <c r="R1440">
        <v>27.1</v>
      </c>
      <c r="T1440" s="340" t="str">
        <f t="shared" si="94"/>
        <v>2002MaleMaori23Sharp object</v>
      </c>
      <c r="U1440">
        <v>2002</v>
      </c>
      <c r="V1440" t="s">
        <v>20</v>
      </c>
      <c r="W1440" t="s">
        <v>18</v>
      </c>
      <c r="X1440">
        <v>23</v>
      </c>
      <c r="Y1440" t="s">
        <v>48</v>
      </c>
      <c r="Z1440">
        <v>1</v>
      </c>
      <c r="AA1440">
        <v>31</v>
      </c>
      <c r="AB1440">
        <v>3.2</v>
      </c>
    </row>
    <row r="1441" spans="10:28">
      <c r="J1441" s="340" t="str">
        <f t="shared" si="93"/>
        <v>2004AllSexMaori243</v>
      </c>
      <c r="K1441">
        <v>2004</v>
      </c>
      <c r="L1441" t="s">
        <v>17</v>
      </c>
      <c r="M1441" t="s">
        <v>18</v>
      </c>
      <c r="N1441">
        <v>24</v>
      </c>
      <c r="O1441">
        <v>3</v>
      </c>
      <c r="P1441">
        <v>0</v>
      </c>
      <c r="Q1441">
        <v>0</v>
      </c>
      <c r="T1441" s="340" t="str">
        <f t="shared" si="94"/>
        <v>2002MaleNon-Maori22Firearms and explosives</v>
      </c>
      <c r="U1441">
        <v>2002</v>
      </c>
      <c r="V1441" t="s">
        <v>20</v>
      </c>
      <c r="W1441" t="s">
        <v>19</v>
      </c>
      <c r="X1441">
        <v>22</v>
      </c>
      <c r="Y1441" t="s">
        <v>42</v>
      </c>
      <c r="Z1441">
        <v>3</v>
      </c>
      <c r="AA1441">
        <v>43</v>
      </c>
      <c r="AB1441">
        <v>7</v>
      </c>
    </row>
    <row r="1442" spans="10:28">
      <c r="J1442" s="340" t="str">
        <f t="shared" si="93"/>
        <v>2004AllSexMaori244</v>
      </c>
      <c r="K1442">
        <v>2004</v>
      </c>
      <c r="L1442" t="s">
        <v>17</v>
      </c>
      <c r="M1442" t="s">
        <v>18</v>
      </c>
      <c r="N1442">
        <v>24</v>
      </c>
      <c r="O1442">
        <v>4</v>
      </c>
      <c r="P1442">
        <v>1</v>
      </c>
      <c r="Q1442">
        <v>4.8296801942252703</v>
      </c>
      <c r="R1442">
        <v>9.5</v>
      </c>
      <c r="T1442" s="340" t="str">
        <f t="shared" si="94"/>
        <v>2002MaleNon-Maori23Firearms and explosives</v>
      </c>
      <c r="U1442">
        <v>2002</v>
      </c>
      <c r="V1442" t="s">
        <v>20</v>
      </c>
      <c r="W1442" t="s">
        <v>19</v>
      </c>
      <c r="X1442">
        <v>23</v>
      </c>
      <c r="Y1442" t="s">
        <v>42</v>
      </c>
      <c r="Z1442">
        <v>16</v>
      </c>
      <c r="AA1442">
        <v>135</v>
      </c>
      <c r="AB1442">
        <v>11.9</v>
      </c>
    </row>
    <row r="1443" spans="10:28">
      <c r="J1443" s="340" t="str">
        <f t="shared" si="93"/>
        <v>2004AllSexMaori245</v>
      </c>
      <c r="K1443">
        <v>2004</v>
      </c>
      <c r="L1443" t="s">
        <v>17</v>
      </c>
      <c r="M1443" t="s">
        <v>18</v>
      </c>
      <c r="N1443">
        <v>24</v>
      </c>
      <c r="O1443">
        <v>5</v>
      </c>
      <c r="P1443">
        <v>5</v>
      </c>
      <c r="Q1443">
        <v>13.624186736824599</v>
      </c>
      <c r="R1443">
        <v>11.9</v>
      </c>
      <c r="T1443" s="340" t="str">
        <f t="shared" si="94"/>
        <v>2002MaleNon-Maori24Firearms and explosives</v>
      </c>
      <c r="U1443">
        <v>2002</v>
      </c>
      <c r="V1443" t="s">
        <v>20</v>
      </c>
      <c r="W1443" t="s">
        <v>19</v>
      </c>
      <c r="X1443">
        <v>24</v>
      </c>
      <c r="Y1443" t="s">
        <v>42</v>
      </c>
      <c r="Z1443">
        <v>16</v>
      </c>
      <c r="AA1443">
        <v>82</v>
      </c>
      <c r="AB1443">
        <v>19.5</v>
      </c>
    </row>
    <row r="1444" spans="10:28">
      <c r="J1444" s="340" t="str">
        <f t="shared" si="93"/>
        <v>2004AllSexMaori251</v>
      </c>
      <c r="K1444">
        <v>2004</v>
      </c>
      <c r="L1444" t="s">
        <v>17</v>
      </c>
      <c r="M1444" t="s">
        <v>18</v>
      </c>
      <c r="N1444">
        <v>25</v>
      </c>
      <c r="O1444">
        <v>1</v>
      </c>
      <c r="P1444">
        <v>0</v>
      </c>
      <c r="Q1444">
        <v>0</v>
      </c>
      <c r="T1444" s="340" t="str">
        <f t="shared" si="94"/>
        <v>2002MaleNon-Maori25Firearms and explosives</v>
      </c>
      <c r="U1444">
        <v>2002</v>
      </c>
      <c r="V1444" t="s">
        <v>20</v>
      </c>
      <c r="W1444" t="s">
        <v>19</v>
      </c>
      <c r="X1444">
        <v>25</v>
      </c>
      <c r="Y1444" t="s">
        <v>42</v>
      </c>
      <c r="Z1444">
        <v>7</v>
      </c>
      <c r="AA1444">
        <v>36</v>
      </c>
      <c r="AB1444">
        <v>19.399999999999999</v>
      </c>
    </row>
    <row r="1445" spans="10:28">
      <c r="J1445" s="340" t="str">
        <f t="shared" si="93"/>
        <v>2004AllSexMaori252</v>
      </c>
      <c r="K1445">
        <v>2004</v>
      </c>
      <c r="L1445" t="s">
        <v>17</v>
      </c>
      <c r="M1445" t="s">
        <v>18</v>
      </c>
      <c r="N1445">
        <v>25</v>
      </c>
      <c r="O1445">
        <v>2</v>
      </c>
      <c r="P1445">
        <v>0</v>
      </c>
      <c r="Q1445">
        <v>0</v>
      </c>
      <c r="T1445" s="340" t="str">
        <f t="shared" si="94"/>
        <v>2002MaleNon-Maori22Hanging, strangulation and suffocation</v>
      </c>
      <c r="U1445">
        <v>2002</v>
      </c>
      <c r="V1445" t="s">
        <v>20</v>
      </c>
      <c r="W1445" t="s">
        <v>19</v>
      </c>
      <c r="X1445">
        <v>22</v>
      </c>
      <c r="Y1445" t="s">
        <v>43</v>
      </c>
      <c r="Z1445">
        <v>22</v>
      </c>
      <c r="AA1445">
        <v>43</v>
      </c>
      <c r="AB1445">
        <v>51.2</v>
      </c>
    </row>
    <row r="1446" spans="10:28">
      <c r="J1446" s="340" t="str">
        <f t="shared" si="93"/>
        <v>2004AllSexMaori253</v>
      </c>
      <c r="K1446">
        <v>2004</v>
      </c>
      <c r="L1446" t="s">
        <v>17</v>
      </c>
      <c r="M1446" t="s">
        <v>18</v>
      </c>
      <c r="N1446">
        <v>25</v>
      </c>
      <c r="O1446">
        <v>3</v>
      </c>
      <c r="P1446">
        <v>0</v>
      </c>
      <c r="Q1446">
        <v>0</v>
      </c>
      <c r="T1446" s="340" t="str">
        <f t="shared" si="94"/>
        <v>2002MaleNon-Maori23Hanging, strangulation and suffocation</v>
      </c>
      <c r="U1446">
        <v>2002</v>
      </c>
      <c r="V1446" t="s">
        <v>20</v>
      </c>
      <c r="W1446" t="s">
        <v>19</v>
      </c>
      <c r="X1446">
        <v>23</v>
      </c>
      <c r="Y1446" t="s">
        <v>43</v>
      </c>
      <c r="Z1446">
        <v>57</v>
      </c>
      <c r="AA1446">
        <v>135</v>
      </c>
      <c r="AB1446">
        <v>42.2</v>
      </c>
    </row>
    <row r="1447" spans="10:28">
      <c r="J1447" s="340" t="str">
        <f t="shared" si="93"/>
        <v>2004AllSexMaori254</v>
      </c>
      <c r="K1447">
        <v>2004</v>
      </c>
      <c r="L1447" t="s">
        <v>17</v>
      </c>
      <c r="M1447" t="s">
        <v>18</v>
      </c>
      <c r="N1447">
        <v>25</v>
      </c>
      <c r="O1447">
        <v>4</v>
      </c>
      <c r="P1447">
        <v>1</v>
      </c>
      <c r="Q1447">
        <v>18.0569553594726</v>
      </c>
      <c r="R1447">
        <v>35.4</v>
      </c>
      <c r="T1447" s="340" t="str">
        <f t="shared" si="94"/>
        <v>2002MaleNon-Maori24Hanging, strangulation and suffocation</v>
      </c>
      <c r="U1447">
        <v>2002</v>
      </c>
      <c r="V1447" t="s">
        <v>20</v>
      </c>
      <c r="W1447" t="s">
        <v>19</v>
      </c>
      <c r="X1447">
        <v>24</v>
      </c>
      <c r="Y1447" t="s">
        <v>43</v>
      </c>
      <c r="Z1447">
        <v>33</v>
      </c>
      <c r="AA1447">
        <v>82</v>
      </c>
      <c r="AB1447">
        <v>40.200000000000003</v>
      </c>
    </row>
    <row r="1448" spans="10:28">
      <c r="J1448" s="340" t="str">
        <f t="shared" si="93"/>
        <v>2004AllSexMaori255</v>
      </c>
      <c r="K1448">
        <v>2004</v>
      </c>
      <c r="L1448" t="s">
        <v>17</v>
      </c>
      <c r="M1448" t="s">
        <v>18</v>
      </c>
      <c r="N1448">
        <v>25</v>
      </c>
      <c r="O1448">
        <v>5</v>
      </c>
      <c r="P1448">
        <v>1</v>
      </c>
      <c r="Q1448">
        <v>9.8099872411104094</v>
      </c>
      <c r="R1448">
        <v>19.2</v>
      </c>
      <c r="T1448" s="340" t="str">
        <f t="shared" si="94"/>
        <v>2002MaleNon-Maori25Hanging, strangulation and suffocation</v>
      </c>
      <c r="U1448">
        <v>2002</v>
      </c>
      <c r="V1448" t="s">
        <v>20</v>
      </c>
      <c r="W1448" t="s">
        <v>19</v>
      </c>
      <c r="X1448">
        <v>25</v>
      </c>
      <c r="Y1448" t="s">
        <v>43</v>
      </c>
      <c r="Z1448">
        <v>10</v>
      </c>
      <c r="AA1448">
        <v>36</v>
      </c>
      <c r="AB1448">
        <v>27.8</v>
      </c>
    </row>
    <row r="1449" spans="10:28">
      <c r="J1449" s="340" t="str">
        <f t="shared" si="93"/>
        <v>2004AllSexNon-Maori211</v>
      </c>
      <c r="K1449">
        <v>2004</v>
      </c>
      <c r="L1449" t="s">
        <v>17</v>
      </c>
      <c r="M1449" t="s">
        <v>19</v>
      </c>
      <c r="N1449">
        <v>21</v>
      </c>
      <c r="O1449">
        <v>1</v>
      </c>
      <c r="P1449">
        <v>0</v>
      </c>
      <c r="Q1449">
        <v>0</v>
      </c>
      <c r="T1449" s="340" t="str">
        <f t="shared" si="94"/>
        <v>2002MaleNon-Maori22Jumping from a high place</v>
      </c>
      <c r="U1449">
        <v>2002</v>
      </c>
      <c r="V1449" t="s">
        <v>20</v>
      </c>
      <c r="W1449" t="s">
        <v>19</v>
      </c>
      <c r="X1449">
        <v>22</v>
      </c>
      <c r="Y1449" t="s">
        <v>44</v>
      </c>
      <c r="Z1449">
        <v>2</v>
      </c>
      <c r="AA1449">
        <v>43</v>
      </c>
      <c r="AB1449">
        <v>4.7</v>
      </c>
    </row>
    <row r="1450" spans="10:28">
      <c r="J1450" s="340" t="str">
        <f t="shared" si="93"/>
        <v>2004AllSexNon-Maori212</v>
      </c>
      <c r="K1450">
        <v>2004</v>
      </c>
      <c r="L1450" t="s">
        <v>17</v>
      </c>
      <c r="M1450" t="s">
        <v>19</v>
      </c>
      <c r="N1450">
        <v>21</v>
      </c>
      <c r="O1450">
        <v>2</v>
      </c>
      <c r="P1450">
        <v>1</v>
      </c>
      <c r="Q1450">
        <v>0.67703369045654604</v>
      </c>
      <c r="R1450">
        <v>1.3</v>
      </c>
      <c r="T1450" s="340" t="str">
        <f t="shared" si="94"/>
        <v>2002MaleNon-Maori23Jumping from a high place</v>
      </c>
      <c r="U1450">
        <v>2002</v>
      </c>
      <c r="V1450" t="s">
        <v>20</v>
      </c>
      <c r="W1450" t="s">
        <v>19</v>
      </c>
      <c r="X1450">
        <v>23</v>
      </c>
      <c r="Y1450" t="s">
        <v>44</v>
      </c>
      <c r="Z1450">
        <v>5</v>
      </c>
      <c r="AA1450">
        <v>135</v>
      </c>
      <c r="AB1450">
        <v>3.7</v>
      </c>
    </row>
    <row r="1451" spans="10:28">
      <c r="J1451" s="340" t="str">
        <f t="shared" si="93"/>
        <v>2004AllSexNon-Maori213</v>
      </c>
      <c r="K1451">
        <v>2004</v>
      </c>
      <c r="L1451" t="s">
        <v>17</v>
      </c>
      <c r="M1451" t="s">
        <v>19</v>
      </c>
      <c r="N1451">
        <v>21</v>
      </c>
      <c r="O1451">
        <v>3</v>
      </c>
      <c r="P1451">
        <v>0</v>
      </c>
      <c r="Q1451">
        <v>0</v>
      </c>
      <c r="T1451" s="340" t="str">
        <f t="shared" si="94"/>
        <v>2002MaleNon-Maori25Jumping from a high place</v>
      </c>
      <c r="U1451">
        <v>2002</v>
      </c>
      <c r="V1451" t="s">
        <v>20</v>
      </c>
      <c r="W1451" t="s">
        <v>19</v>
      </c>
      <c r="X1451">
        <v>25</v>
      </c>
      <c r="Y1451" t="s">
        <v>44</v>
      </c>
      <c r="Z1451">
        <v>5</v>
      </c>
      <c r="AA1451">
        <v>36</v>
      </c>
      <c r="AB1451">
        <v>13.9</v>
      </c>
    </row>
    <row r="1452" spans="10:28">
      <c r="J1452" s="340" t="str">
        <f t="shared" si="93"/>
        <v>2004AllSexNon-Maori214</v>
      </c>
      <c r="K1452">
        <v>2004</v>
      </c>
      <c r="L1452" t="s">
        <v>17</v>
      </c>
      <c r="M1452" t="s">
        <v>19</v>
      </c>
      <c r="N1452">
        <v>21</v>
      </c>
      <c r="O1452">
        <v>4</v>
      </c>
      <c r="P1452">
        <v>1</v>
      </c>
      <c r="Q1452">
        <v>0.85871432107328705</v>
      </c>
      <c r="R1452">
        <v>1.7</v>
      </c>
      <c r="T1452" s="340" t="str">
        <f t="shared" si="94"/>
        <v>2002MaleNon-Maori22Other</v>
      </c>
      <c r="U1452">
        <v>2002</v>
      </c>
      <c r="V1452" t="s">
        <v>20</v>
      </c>
      <c r="W1452" t="s">
        <v>19</v>
      </c>
      <c r="X1452">
        <v>22</v>
      </c>
      <c r="Y1452" t="s">
        <v>45</v>
      </c>
      <c r="Z1452">
        <v>4</v>
      </c>
      <c r="AA1452">
        <v>43</v>
      </c>
      <c r="AB1452">
        <v>9.3000000000000007</v>
      </c>
    </row>
    <row r="1453" spans="10:28">
      <c r="J1453" s="340" t="str">
        <f t="shared" si="93"/>
        <v>2004AllSexNon-Maori215</v>
      </c>
      <c r="K1453">
        <v>2004</v>
      </c>
      <c r="L1453" t="s">
        <v>17</v>
      </c>
      <c r="M1453" t="s">
        <v>19</v>
      </c>
      <c r="N1453">
        <v>21</v>
      </c>
      <c r="O1453">
        <v>5</v>
      </c>
      <c r="P1453">
        <v>1</v>
      </c>
      <c r="Q1453">
        <v>0.88221364387198697</v>
      </c>
      <c r="R1453">
        <v>1.7</v>
      </c>
      <c r="T1453" s="340" t="str">
        <f t="shared" si="94"/>
        <v>2002MaleNon-Maori23Other</v>
      </c>
      <c r="U1453">
        <v>2002</v>
      </c>
      <c r="V1453" t="s">
        <v>20</v>
      </c>
      <c r="W1453" t="s">
        <v>19</v>
      </c>
      <c r="X1453">
        <v>23</v>
      </c>
      <c r="Y1453" t="s">
        <v>45</v>
      </c>
      <c r="Z1453">
        <v>1</v>
      </c>
      <c r="AA1453">
        <v>135</v>
      </c>
      <c r="AB1453">
        <v>0.7</v>
      </c>
    </row>
    <row r="1454" spans="10:28">
      <c r="J1454" s="340" t="str">
        <f t="shared" si="93"/>
        <v>2004AllSexNon-Maori221</v>
      </c>
      <c r="K1454">
        <v>2004</v>
      </c>
      <c r="L1454" t="s">
        <v>17</v>
      </c>
      <c r="M1454" t="s">
        <v>19</v>
      </c>
      <c r="N1454">
        <v>22</v>
      </c>
      <c r="O1454">
        <v>1</v>
      </c>
      <c r="P1454">
        <v>11</v>
      </c>
      <c r="Q1454">
        <v>11.947022335903901</v>
      </c>
      <c r="R1454">
        <v>7.1</v>
      </c>
      <c r="T1454" s="340" t="str">
        <f t="shared" si="94"/>
        <v>2002MaleNon-Maori24Other</v>
      </c>
      <c r="U1454">
        <v>2002</v>
      </c>
      <c r="V1454" t="s">
        <v>20</v>
      </c>
      <c r="W1454" t="s">
        <v>19</v>
      </c>
      <c r="X1454">
        <v>24</v>
      </c>
      <c r="Y1454" t="s">
        <v>45</v>
      </c>
      <c r="Z1454">
        <v>7</v>
      </c>
      <c r="AA1454">
        <v>82</v>
      </c>
      <c r="AB1454">
        <v>8.5</v>
      </c>
    </row>
    <row r="1455" spans="10:28">
      <c r="J1455" s="340" t="str">
        <f t="shared" si="93"/>
        <v>2004AllSexNon-Maori222</v>
      </c>
      <c r="K1455">
        <v>2004</v>
      </c>
      <c r="L1455" t="s">
        <v>17</v>
      </c>
      <c r="M1455" t="s">
        <v>19</v>
      </c>
      <c r="N1455">
        <v>22</v>
      </c>
      <c r="O1455">
        <v>2</v>
      </c>
      <c r="P1455">
        <v>11</v>
      </c>
      <c r="Q1455">
        <v>11.6763057668607</v>
      </c>
      <c r="R1455">
        <v>6.9</v>
      </c>
      <c r="T1455" s="340" t="str">
        <f t="shared" si="94"/>
        <v>2002MaleNon-Maori22Poisoning by gases and vapours</v>
      </c>
      <c r="U1455">
        <v>2002</v>
      </c>
      <c r="V1455" t="s">
        <v>20</v>
      </c>
      <c r="W1455" t="s">
        <v>19</v>
      </c>
      <c r="X1455">
        <v>22</v>
      </c>
      <c r="Y1455" t="s">
        <v>46</v>
      </c>
      <c r="Z1455">
        <v>7</v>
      </c>
      <c r="AA1455">
        <v>43</v>
      </c>
      <c r="AB1455">
        <v>16.3</v>
      </c>
    </row>
    <row r="1456" spans="10:28">
      <c r="J1456" s="340" t="str">
        <f t="shared" si="93"/>
        <v>2004AllSexNon-Maori223</v>
      </c>
      <c r="K1456">
        <v>2004</v>
      </c>
      <c r="L1456" t="s">
        <v>17</v>
      </c>
      <c r="M1456" t="s">
        <v>19</v>
      </c>
      <c r="N1456">
        <v>22</v>
      </c>
      <c r="O1456">
        <v>3</v>
      </c>
      <c r="P1456">
        <v>14</v>
      </c>
      <c r="Q1456">
        <v>14.562782571953299</v>
      </c>
      <c r="R1456">
        <v>7.6</v>
      </c>
      <c r="T1456" s="340" t="str">
        <f t="shared" si="94"/>
        <v>2002MaleNon-Maori23Poisoning by gases and vapours</v>
      </c>
      <c r="U1456">
        <v>2002</v>
      </c>
      <c r="V1456" t="s">
        <v>20</v>
      </c>
      <c r="W1456" t="s">
        <v>19</v>
      </c>
      <c r="X1456">
        <v>23</v>
      </c>
      <c r="Y1456" t="s">
        <v>46</v>
      </c>
      <c r="Z1456">
        <v>37</v>
      </c>
      <c r="AA1456">
        <v>135</v>
      </c>
      <c r="AB1456">
        <v>27.4</v>
      </c>
    </row>
    <row r="1457" spans="10:28">
      <c r="J1457" s="340" t="str">
        <f t="shared" si="93"/>
        <v>2004AllSexNon-Maori224</v>
      </c>
      <c r="K1457">
        <v>2004</v>
      </c>
      <c r="L1457" t="s">
        <v>17</v>
      </c>
      <c r="M1457" t="s">
        <v>19</v>
      </c>
      <c r="N1457">
        <v>22</v>
      </c>
      <c r="O1457">
        <v>4</v>
      </c>
      <c r="P1457">
        <v>14</v>
      </c>
      <c r="Q1457">
        <v>14.4068575089284</v>
      </c>
      <c r="R1457">
        <v>7.5</v>
      </c>
      <c r="T1457" s="340" t="str">
        <f t="shared" si="94"/>
        <v>2002MaleNon-Maori24Poisoning by gases and vapours</v>
      </c>
      <c r="U1457">
        <v>2002</v>
      </c>
      <c r="V1457" t="s">
        <v>20</v>
      </c>
      <c r="W1457" t="s">
        <v>19</v>
      </c>
      <c r="X1457">
        <v>24</v>
      </c>
      <c r="Y1457" t="s">
        <v>46</v>
      </c>
      <c r="Z1457">
        <v>21</v>
      </c>
      <c r="AA1457">
        <v>82</v>
      </c>
      <c r="AB1457">
        <v>25.6</v>
      </c>
    </row>
    <row r="1458" spans="10:28">
      <c r="J1458" s="340" t="str">
        <f t="shared" si="93"/>
        <v>2004AllSexNon-Maori225</v>
      </c>
      <c r="K1458">
        <v>2004</v>
      </c>
      <c r="L1458" t="s">
        <v>17</v>
      </c>
      <c r="M1458" t="s">
        <v>19</v>
      </c>
      <c r="N1458">
        <v>22</v>
      </c>
      <c r="O1458">
        <v>5</v>
      </c>
      <c r="P1458">
        <v>20</v>
      </c>
      <c r="Q1458">
        <v>21.1198705245586</v>
      </c>
      <c r="R1458">
        <v>9.3000000000000007</v>
      </c>
      <c r="T1458" s="340" t="str">
        <f t="shared" si="94"/>
        <v>2002MaleNon-Maori25Poisoning by gases and vapours</v>
      </c>
      <c r="U1458">
        <v>2002</v>
      </c>
      <c r="V1458" t="s">
        <v>20</v>
      </c>
      <c r="W1458" t="s">
        <v>19</v>
      </c>
      <c r="X1458">
        <v>25</v>
      </c>
      <c r="Y1458" t="s">
        <v>46</v>
      </c>
      <c r="Z1458">
        <v>7</v>
      </c>
      <c r="AA1458">
        <v>36</v>
      </c>
      <c r="AB1458">
        <v>19.399999999999999</v>
      </c>
    </row>
    <row r="1459" spans="10:28">
      <c r="J1459" s="340" t="str">
        <f t="shared" si="93"/>
        <v>2004AllSexNon-Maori231</v>
      </c>
      <c r="K1459">
        <v>2004</v>
      </c>
      <c r="L1459" t="s">
        <v>17</v>
      </c>
      <c r="M1459" t="s">
        <v>19</v>
      </c>
      <c r="N1459">
        <v>23</v>
      </c>
      <c r="O1459">
        <v>1</v>
      </c>
      <c r="P1459">
        <v>24</v>
      </c>
      <c r="Q1459">
        <v>10.8561358612401</v>
      </c>
      <c r="R1459">
        <v>4.3</v>
      </c>
      <c r="T1459" s="340" t="str">
        <f t="shared" si="94"/>
        <v>2002MaleNon-Maori22Poisoning by solids and liquids</v>
      </c>
      <c r="U1459">
        <v>2002</v>
      </c>
      <c r="V1459" t="s">
        <v>20</v>
      </c>
      <c r="W1459" t="s">
        <v>19</v>
      </c>
      <c r="X1459">
        <v>22</v>
      </c>
      <c r="Y1459" t="s">
        <v>47</v>
      </c>
      <c r="Z1459">
        <v>2</v>
      </c>
      <c r="AA1459">
        <v>43</v>
      </c>
      <c r="AB1459">
        <v>4.7</v>
      </c>
    </row>
    <row r="1460" spans="10:28">
      <c r="J1460" s="340" t="str">
        <f t="shared" si="93"/>
        <v>2004AllSexNon-Maori232</v>
      </c>
      <c r="K1460">
        <v>2004</v>
      </c>
      <c r="L1460" t="s">
        <v>17</v>
      </c>
      <c r="M1460" t="s">
        <v>19</v>
      </c>
      <c r="N1460">
        <v>23</v>
      </c>
      <c r="O1460">
        <v>2</v>
      </c>
      <c r="P1460">
        <v>25</v>
      </c>
      <c r="Q1460">
        <v>11.0840757722991</v>
      </c>
      <c r="R1460">
        <v>4.3</v>
      </c>
      <c r="T1460" s="340" t="str">
        <f t="shared" si="94"/>
        <v>2002MaleNon-Maori23Poisoning by solids and liquids</v>
      </c>
      <c r="U1460">
        <v>2002</v>
      </c>
      <c r="V1460" t="s">
        <v>20</v>
      </c>
      <c r="W1460" t="s">
        <v>19</v>
      </c>
      <c r="X1460">
        <v>23</v>
      </c>
      <c r="Y1460" t="s">
        <v>47</v>
      </c>
      <c r="Z1460">
        <v>12</v>
      </c>
      <c r="AA1460">
        <v>135</v>
      </c>
      <c r="AB1460">
        <v>8.9</v>
      </c>
    </row>
    <row r="1461" spans="10:28">
      <c r="J1461" s="340" t="str">
        <f t="shared" si="93"/>
        <v>2004AllSexNon-Maori233</v>
      </c>
      <c r="K1461">
        <v>2004</v>
      </c>
      <c r="L1461" t="s">
        <v>17</v>
      </c>
      <c r="M1461" t="s">
        <v>19</v>
      </c>
      <c r="N1461">
        <v>23</v>
      </c>
      <c r="O1461">
        <v>3</v>
      </c>
      <c r="P1461">
        <v>34</v>
      </c>
      <c r="Q1461">
        <v>15.747062831515001</v>
      </c>
      <c r="R1461">
        <v>5.3</v>
      </c>
      <c r="T1461" s="340" t="str">
        <f t="shared" si="94"/>
        <v>2002MaleNon-Maori24Poisoning by solids and liquids</v>
      </c>
      <c r="U1461">
        <v>2002</v>
      </c>
      <c r="V1461" t="s">
        <v>20</v>
      </c>
      <c r="W1461" t="s">
        <v>19</v>
      </c>
      <c r="X1461">
        <v>24</v>
      </c>
      <c r="Y1461" t="s">
        <v>47</v>
      </c>
      <c r="Z1461">
        <v>4</v>
      </c>
      <c r="AA1461">
        <v>82</v>
      </c>
      <c r="AB1461">
        <v>4.9000000000000004</v>
      </c>
    </row>
    <row r="1462" spans="10:28">
      <c r="J1462" s="340" t="str">
        <f t="shared" si="93"/>
        <v>2004AllSexNon-Maori234</v>
      </c>
      <c r="K1462">
        <v>2004</v>
      </c>
      <c r="L1462" t="s">
        <v>17</v>
      </c>
      <c r="M1462" t="s">
        <v>19</v>
      </c>
      <c r="N1462">
        <v>23</v>
      </c>
      <c r="O1462">
        <v>4</v>
      </c>
      <c r="P1462">
        <v>33</v>
      </c>
      <c r="Q1462">
        <v>16.805044954819401</v>
      </c>
      <c r="R1462">
        <v>5.7</v>
      </c>
      <c r="T1462" s="340" t="str">
        <f t="shared" si="94"/>
        <v>2002MaleNon-Maori25Poisoning by solids and liquids</v>
      </c>
      <c r="U1462">
        <v>2002</v>
      </c>
      <c r="V1462" t="s">
        <v>20</v>
      </c>
      <c r="W1462" t="s">
        <v>19</v>
      </c>
      <c r="X1462">
        <v>25</v>
      </c>
      <c r="Y1462" t="s">
        <v>47</v>
      </c>
      <c r="Z1462">
        <v>6</v>
      </c>
      <c r="AA1462">
        <v>36</v>
      </c>
      <c r="AB1462">
        <v>16.7</v>
      </c>
    </row>
    <row r="1463" spans="10:28">
      <c r="J1463" s="340" t="str">
        <f t="shared" si="93"/>
        <v>2004AllSexNon-Maori235</v>
      </c>
      <c r="K1463">
        <v>2004</v>
      </c>
      <c r="L1463" t="s">
        <v>17</v>
      </c>
      <c r="M1463" t="s">
        <v>19</v>
      </c>
      <c r="N1463">
        <v>23</v>
      </c>
      <c r="O1463">
        <v>5</v>
      </c>
      <c r="P1463">
        <v>20</v>
      </c>
      <c r="Q1463">
        <v>13.1661080038677</v>
      </c>
      <c r="R1463">
        <v>5.8</v>
      </c>
      <c r="T1463" s="340" t="str">
        <f t="shared" si="94"/>
        <v>2002MaleNon-Maori22Sharp object</v>
      </c>
      <c r="U1463">
        <v>2002</v>
      </c>
      <c r="V1463" t="s">
        <v>20</v>
      </c>
      <c r="W1463" t="s">
        <v>19</v>
      </c>
      <c r="X1463">
        <v>22</v>
      </c>
      <c r="Y1463" t="s">
        <v>48</v>
      </c>
      <c r="Z1463">
        <v>1</v>
      </c>
      <c r="AA1463">
        <v>43</v>
      </c>
      <c r="AB1463">
        <v>2.2999999999999998</v>
      </c>
    </row>
    <row r="1464" spans="10:28">
      <c r="J1464" s="340" t="str">
        <f t="shared" si="93"/>
        <v>2004AllSexNon-Maori241</v>
      </c>
      <c r="K1464">
        <v>2004</v>
      </c>
      <c r="L1464" t="s">
        <v>17</v>
      </c>
      <c r="M1464" t="s">
        <v>19</v>
      </c>
      <c r="N1464">
        <v>24</v>
      </c>
      <c r="O1464">
        <v>1</v>
      </c>
      <c r="P1464">
        <v>13</v>
      </c>
      <c r="Q1464">
        <v>5.6870850711592897</v>
      </c>
      <c r="R1464">
        <v>3.1</v>
      </c>
      <c r="T1464" s="340" t="str">
        <f t="shared" si="94"/>
        <v>2002MaleNon-Maori23Sharp object</v>
      </c>
      <c r="U1464">
        <v>2002</v>
      </c>
      <c r="V1464" t="s">
        <v>20</v>
      </c>
      <c r="W1464" t="s">
        <v>19</v>
      </c>
      <c r="X1464">
        <v>23</v>
      </c>
      <c r="Y1464" t="s">
        <v>48</v>
      </c>
      <c r="Z1464">
        <v>3</v>
      </c>
      <c r="AA1464">
        <v>135</v>
      </c>
      <c r="AB1464">
        <v>2.2000000000000002</v>
      </c>
    </row>
    <row r="1465" spans="10:28">
      <c r="J1465" s="340" t="str">
        <f t="shared" si="93"/>
        <v>2004AllSexNon-Maori242</v>
      </c>
      <c r="K1465">
        <v>2004</v>
      </c>
      <c r="L1465" t="s">
        <v>17</v>
      </c>
      <c r="M1465" t="s">
        <v>19</v>
      </c>
      <c r="N1465">
        <v>24</v>
      </c>
      <c r="O1465">
        <v>2</v>
      </c>
      <c r="P1465">
        <v>19</v>
      </c>
      <c r="Q1465">
        <v>9.6322488536973001</v>
      </c>
      <c r="R1465">
        <v>4.3</v>
      </c>
      <c r="T1465" s="340" t="str">
        <f t="shared" si="94"/>
        <v>2002MaleNon-Maori22Submersion (drowning)</v>
      </c>
      <c r="U1465">
        <v>2002</v>
      </c>
      <c r="V1465" t="s">
        <v>20</v>
      </c>
      <c r="W1465" t="s">
        <v>19</v>
      </c>
      <c r="X1465">
        <v>22</v>
      </c>
      <c r="Y1465" t="s">
        <v>49</v>
      </c>
      <c r="Z1465">
        <v>2</v>
      </c>
      <c r="AA1465">
        <v>43</v>
      </c>
      <c r="AB1465">
        <v>4.7</v>
      </c>
    </row>
    <row r="1466" spans="10:28">
      <c r="J1466" s="340" t="str">
        <f t="shared" si="93"/>
        <v>2004AllSexNon-Maori243</v>
      </c>
      <c r="K1466">
        <v>2004</v>
      </c>
      <c r="L1466" t="s">
        <v>17</v>
      </c>
      <c r="M1466" t="s">
        <v>19</v>
      </c>
      <c r="N1466">
        <v>24</v>
      </c>
      <c r="O1466">
        <v>3</v>
      </c>
      <c r="P1466">
        <v>25</v>
      </c>
      <c r="Q1466">
        <v>14.5803090647454</v>
      </c>
      <c r="R1466">
        <v>5.7</v>
      </c>
      <c r="T1466" s="340" t="str">
        <f t="shared" si="94"/>
        <v>2002MaleNon-Maori23Submersion (drowning)</v>
      </c>
      <c r="U1466">
        <v>2002</v>
      </c>
      <c r="V1466" t="s">
        <v>20</v>
      </c>
      <c r="W1466" t="s">
        <v>19</v>
      </c>
      <c r="X1466">
        <v>23</v>
      </c>
      <c r="Y1466" t="s">
        <v>49</v>
      </c>
      <c r="Z1466">
        <v>4</v>
      </c>
      <c r="AA1466">
        <v>135</v>
      </c>
      <c r="AB1466">
        <v>3</v>
      </c>
    </row>
    <row r="1467" spans="10:28">
      <c r="J1467" s="340" t="str">
        <f t="shared" si="93"/>
        <v>2004AllSexNon-Maori244</v>
      </c>
      <c r="K1467">
        <v>2004</v>
      </c>
      <c r="L1467" t="s">
        <v>17</v>
      </c>
      <c r="M1467" t="s">
        <v>19</v>
      </c>
      <c r="N1467">
        <v>24</v>
      </c>
      <c r="O1467">
        <v>4</v>
      </c>
      <c r="P1467">
        <v>27</v>
      </c>
      <c r="Q1467">
        <v>18.3081178594947</v>
      </c>
      <c r="R1467">
        <v>6.9</v>
      </c>
      <c r="T1467" s="340" t="str">
        <f t="shared" si="94"/>
        <v>2002MaleNon-Maori24Submersion (drowning)</v>
      </c>
      <c r="U1467">
        <v>2002</v>
      </c>
      <c r="V1467" t="s">
        <v>20</v>
      </c>
      <c r="W1467" t="s">
        <v>19</v>
      </c>
      <c r="X1467">
        <v>24</v>
      </c>
      <c r="Y1467" t="s">
        <v>49</v>
      </c>
      <c r="Z1467">
        <v>1</v>
      </c>
      <c r="AA1467">
        <v>82</v>
      </c>
      <c r="AB1467">
        <v>1.2</v>
      </c>
    </row>
    <row r="1468" spans="10:28">
      <c r="J1468" s="340" t="str">
        <f t="shared" si="93"/>
        <v>2004AllSexNon-Maori245</v>
      </c>
      <c r="K1468">
        <v>2004</v>
      </c>
      <c r="L1468" t="s">
        <v>17</v>
      </c>
      <c r="M1468" t="s">
        <v>19</v>
      </c>
      <c r="N1468">
        <v>24</v>
      </c>
      <c r="O1468">
        <v>5</v>
      </c>
      <c r="P1468">
        <v>19</v>
      </c>
      <c r="Q1468">
        <v>17.336057156170501</v>
      </c>
      <c r="R1468">
        <v>7.8</v>
      </c>
      <c r="T1468" s="340" t="str">
        <f t="shared" si="94"/>
        <v>2002MaleNon-Maori25Submersion (drowning)</v>
      </c>
      <c r="U1468">
        <v>2002</v>
      </c>
      <c r="V1468" t="s">
        <v>20</v>
      </c>
      <c r="W1468" t="s">
        <v>19</v>
      </c>
      <c r="X1468">
        <v>25</v>
      </c>
      <c r="Y1468" t="s">
        <v>49</v>
      </c>
      <c r="Z1468">
        <v>1</v>
      </c>
      <c r="AA1468">
        <v>36</v>
      </c>
      <c r="AB1468">
        <v>2.8</v>
      </c>
    </row>
    <row r="1469" spans="10:28">
      <c r="J1469" s="340" t="str">
        <f t="shared" si="93"/>
        <v>2004AllSexNon-Maori251</v>
      </c>
      <c r="K1469">
        <v>2004</v>
      </c>
      <c r="L1469" t="s">
        <v>17</v>
      </c>
      <c r="M1469" t="s">
        <v>19</v>
      </c>
      <c r="N1469">
        <v>25</v>
      </c>
      <c r="O1469">
        <v>1</v>
      </c>
      <c r="P1469">
        <v>8</v>
      </c>
      <c r="Q1469">
        <v>8.6129951979124009</v>
      </c>
      <c r="R1469">
        <v>6</v>
      </c>
      <c r="T1469" s="340" t="str">
        <f t="shared" si="94"/>
        <v>2003AllSexAllEth22Firearms and explosives</v>
      </c>
      <c r="U1469">
        <v>2003</v>
      </c>
      <c r="V1469" t="s">
        <v>17</v>
      </c>
      <c r="W1469" t="s">
        <v>27</v>
      </c>
      <c r="X1469">
        <v>22</v>
      </c>
      <c r="Y1469" t="s">
        <v>42</v>
      </c>
      <c r="Z1469">
        <v>3</v>
      </c>
      <c r="AA1469">
        <v>98</v>
      </c>
      <c r="AB1469">
        <v>3.1</v>
      </c>
    </row>
    <row r="1470" spans="10:28">
      <c r="J1470" s="340" t="str">
        <f t="shared" si="93"/>
        <v>2004AllSexNon-Maori252</v>
      </c>
      <c r="K1470">
        <v>2004</v>
      </c>
      <c r="L1470" t="s">
        <v>17</v>
      </c>
      <c r="M1470" t="s">
        <v>19</v>
      </c>
      <c r="N1470">
        <v>25</v>
      </c>
      <c r="O1470">
        <v>2</v>
      </c>
      <c r="P1470">
        <v>3</v>
      </c>
      <c r="Q1470">
        <v>3.0455786933093298</v>
      </c>
      <c r="R1470">
        <v>3.4</v>
      </c>
      <c r="T1470" s="340" t="str">
        <f t="shared" si="94"/>
        <v>2003AllSexAllEth23Firearms and explosives</v>
      </c>
      <c r="U1470">
        <v>2003</v>
      </c>
      <c r="V1470" t="s">
        <v>17</v>
      </c>
      <c r="W1470" t="s">
        <v>27</v>
      </c>
      <c r="X1470">
        <v>23</v>
      </c>
      <c r="Y1470" t="s">
        <v>42</v>
      </c>
      <c r="Z1470">
        <v>11</v>
      </c>
      <c r="AA1470">
        <v>217</v>
      </c>
      <c r="AB1470">
        <v>5.0999999999999996</v>
      </c>
    </row>
    <row r="1471" spans="10:28">
      <c r="J1471" s="340" t="str">
        <f t="shared" si="93"/>
        <v>2004AllSexNon-Maori253</v>
      </c>
      <c r="K1471">
        <v>2004</v>
      </c>
      <c r="L1471" t="s">
        <v>17</v>
      </c>
      <c r="M1471" t="s">
        <v>19</v>
      </c>
      <c r="N1471">
        <v>25</v>
      </c>
      <c r="O1471">
        <v>3</v>
      </c>
      <c r="P1471">
        <v>13</v>
      </c>
      <c r="Q1471">
        <v>12.847453784148399</v>
      </c>
      <c r="R1471">
        <v>7</v>
      </c>
      <c r="T1471" s="340" t="str">
        <f t="shared" si="94"/>
        <v>2003AllSexAllEth24Firearms and explosives</v>
      </c>
      <c r="U1471">
        <v>2003</v>
      </c>
      <c r="V1471" t="s">
        <v>17</v>
      </c>
      <c r="W1471" t="s">
        <v>27</v>
      </c>
      <c r="X1471">
        <v>24</v>
      </c>
      <c r="Y1471" t="s">
        <v>42</v>
      </c>
      <c r="Z1471">
        <v>16</v>
      </c>
      <c r="AA1471">
        <v>135</v>
      </c>
      <c r="AB1471">
        <v>11.9</v>
      </c>
    </row>
    <row r="1472" spans="10:28">
      <c r="J1472" s="340" t="str">
        <f t="shared" si="93"/>
        <v>2004AllSexNon-Maori254</v>
      </c>
      <c r="K1472">
        <v>2004</v>
      </c>
      <c r="L1472" t="s">
        <v>17</v>
      </c>
      <c r="M1472" t="s">
        <v>19</v>
      </c>
      <c r="N1472">
        <v>25</v>
      </c>
      <c r="O1472">
        <v>4</v>
      </c>
      <c r="P1472">
        <v>13</v>
      </c>
      <c r="Q1472">
        <v>13.0962287612937</v>
      </c>
      <c r="R1472">
        <v>7.1</v>
      </c>
      <c r="T1472" s="340" t="str">
        <f t="shared" si="94"/>
        <v>2003AllSexAllEth25Firearms and explosives</v>
      </c>
      <c r="U1472">
        <v>2003</v>
      </c>
      <c r="V1472" t="s">
        <v>17</v>
      </c>
      <c r="W1472" t="s">
        <v>27</v>
      </c>
      <c r="X1472">
        <v>25</v>
      </c>
      <c r="Y1472" t="s">
        <v>42</v>
      </c>
      <c r="Z1472">
        <v>12</v>
      </c>
      <c r="AA1472">
        <v>67</v>
      </c>
      <c r="AB1472">
        <v>17.899999999999999</v>
      </c>
    </row>
    <row r="1473" spans="10:28">
      <c r="J1473" s="340" t="str">
        <f t="shared" si="93"/>
        <v>2004AllSexNon-Maori255</v>
      </c>
      <c r="K1473">
        <v>2004</v>
      </c>
      <c r="L1473" t="s">
        <v>17</v>
      </c>
      <c r="M1473" t="s">
        <v>19</v>
      </c>
      <c r="N1473">
        <v>25</v>
      </c>
      <c r="O1473">
        <v>5</v>
      </c>
      <c r="P1473">
        <v>14</v>
      </c>
      <c r="Q1473">
        <v>20.059874029798699</v>
      </c>
      <c r="R1473">
        <v>10.5</v>
      </c>
      <c r="T1473" s="340" t="str">
        <f t="shared" si="94"/>
        <v>2003AllSexAllEth21Hanging, strangulation and suffocation</v>
      </c>
      <c r="U1473">
        <v>2003</v>
      </c>
      <c r="V1473" t="s">
        <v>17</v>
      </c>
      <c r="W1473" t="s">
        <v>27</v>
      </c>
      <c r="X1473">
        <v>21</v>
      </c>
      <c r="Y1473" t="s">
        <v>43</v>
      </c>
      <c r="Z1473">
        <v>5</v>
      </c>
      <c r="AA1473">
        <v>5</v>
      </c>
      <c r="AB1473">
        <v>100</v>
      </c>
    </row>
    <row r="1474" spans="10:28">
      <c r="J1474" s="340" t="str">
        <f t="shared" si="93"/>
        <v>2004FemaleAllEth211</v>
      </c>
      <c r="K1474">
        <v>2004</v>
      </c>
      <c r="L1474" t="s">
        <v>8</v>
      </c>
      <c r="M1474" t="s">
        <v>27</v>
      </c>
      <c r="N1474">
        <v>21</v>
      </c>
      <c r="O1474">
        <v>1</v>
      </c>
      <c r="P1474">
        <v>0</v>
      </c>
      <c r="Q1474">
        <v>0</v>
      </c>
      <c r="T1474" s="340" t="str">
        <f t="shared" si="94"/>
        <v>2003AllSexAllEth22Hanging, strangulation and suffocation</v>
      </c>
      <c r="U1474">
        <v>2003</v>
      </c>
      <c r="V1474" t="s">
        <v>17</v>
      </c>
      <c r="W1474" t="s">
        <v>27</v>
      </c>
      <c r="X1474">
        <v>22</v>
      </c>
      <c r="Y1474" t="s">
        <v>43</v>
      </c>
      <c r="Z1474">
        <v>69</v>
      </c>
      <c r="AA1474">
        <v>98</v>
      </c>
      <c r="AB1474">
        <v>70.400000000000006</v>
      </c>
    </row>
    <row r="1475" spans="10:28">
      <c r="J1475" s="340" t="str">
        <f t="shared" si="93"/>
        <v>2004FemaleAllEth212</v>
      </c>
      <c r="K1475">
        <v>2004</v>
      </c>
      <c r="L1475" t="s">
        <v>8</v>
      </c>
      <c r="M1475" t="s">
        <v>27</v>
      </c>
      <c r="N1475">
        <v>21</v>
      </c>
      <c r="O1475">
        <v>2</v>
      </c>
      <c r="P1475">
        <v>0</v>
      </c>
      <c r="Q1475">
        <v>0</v>
      </c>
      <c r="T1475" s="340" t="str">
        <f t="shared" si="94"/>
        <v>2003AllSexAllEth23Hanging, strangulation and suffocation</v>
      </c>
      <c r="U1475">
        <v>2003</v>
      </c>
      <c r="V1475" t="s">
        <v>17</v>
      </c>
      <c r="W1475" t="s">
        <v>27</v>
      </c>
      <c r="X1475">
        <v>23</v>
      </c>
      <c r="Y1475" t="s">
        <v>43</v>
      </c>
      <c r="Z1475">
        <v>107</v>
      </c>
      <c r="AA1475">
        <v>217</v>
      </c>
      <c r="AB1475">
        <v>49.3</v>
      </c>
    </row>
    <row r="1476" spans="10:28">
      <c r="J1476" s="340" t="str">
        <f t="shared" ref="J1476:J1539" si="95">K1476&amp;L1476&amp;M1476&amp;N1476&amp;O1476</f>
        <v>2004FemaleAllEth213</v>
      </c>
      <c r="K1476">
        <v>2004</v>
      </c>
      <c r="L1476" t="s">
        <v>8</v>
      </c>
      <c r="M1476" t="s">
        <v>27</v>
      </c>
      <c r="N1476">
        <v>21</v>
      </c>
      <c r="O1476">
        <v>3</v>
      </c>
      <c r="P1476">
        <v>0</v>
      </c>
      <c r="Q1476">
        <v>0</v>
      </c>
      <c r="T1476" s="340" t="str">
        <f t="shared" si="94"/>
        <v>2003AllSexAllEth24Hanging, strangulation and suffocation</v>
      </c>
      <c r="U1476">
        <v>2003</v>
      </c>
      <c r="V1476" t="s">
        <v>17</v>
      </c>
      <c r="W1476" t="s">
        <v>27</v>
      </c>
      <c r="X1476">
        <v>24</v>
      </c>
      <c r="Y1476" t="s">
        <v>43</v>
      </c>
      <c r="Z1476">
        <v>43</v>
      </c>
      <c r="AA1476">
        <v>135</v>
      </c>
      <c r="AB1476">
        <v>31.9</v>
      </c>
    </row>
    <row r="1477" spans="10:28">
      <c r="J1477" s="340" t="str">
        <f t="shared" si="95"/>
        <v>2004FemaleAllEth214</v>
      </c>
      <c r="K1477">
        <v>2004</v>
      </c>
      <c r="L1477" t="s">
        <v>8</v>
      </c>
      <c r="M1477" t="s">
        <v>27</v>
      </c>
      <c r="N1477">
        <v>21</v>
      </c>
      <c r="O1477">
        <v>4</v>
      </c>
      <c r="P1477">
        <v>1</v>
      </c>
      <c r="Q1477">
        <v>1.23021835020679</v>
      </c>
      <c r="R1477">
        <v>2.4</v>
      </c>
      <c r="T1477" s="340" t="str">
        <f t="shared" ref="T1477:T1540" si="96">U1477&amp;V1477&amp;W1477&amp;X1477&amp;Y1477</f>
        <v>2003AllSexAllEth25Hanging, strangulation and suffocation</v>
      </c>
      <c r="U1477">
        <v>2003</v>
      </c>
      <c r="V1477" t="s">
        <v>17</v>
      </c>
      <c r="W1477" t="s">
        <v>27</v>
      </c>
      <c r="X1477">
        <v>25</v>
      </c>
      <c r="Y1477" t="s">
        <v>43</v>
      </c>
      <c r="Z1477">
        <v>26</v>
      </c>
      <c r="AA1477">
        <v>67</v>
      </c>
      <c r="AB1477">
        <v>38.799999999999997</v>
      </c>
    </row>
    <row r="1478" spans="10:28">
      <c r="J1478" s="340" t="str">
        <f t="shared" si="95"/>
        <v>2004FemaleAllEth215</v>
      </c>
      <c r="K1478">
        <v>2004</v>
      </c>
      <c r="L1478" t="s">
        <v>8</v>
      </c>
      <c r="M1478" t="s">
        <v>27</v>
      </c>
      <c r="N1478">
        <v>21</v>
      </c>
      <c r="O1478">
        <v>5</v>
      </c>
      <c r="P1478">
        <v>1</v>
      </c>
      <c r="Q1478">
        <v>0.96886131686698096</v>
      </c>
      <c r="R1478">
        <v>1.9</v>
      </c>
      <c r="T1478" s="340" t="str">
        <f t="shared" si="96"/>
        <v>2003AllSexAllEth22Jumping from a high place</v>
      </c>
      <c r="U1478">
        <v>2003</v>
      </c>
      <c r="V1478" t="s">
        <v>17</v>
      </c>
      <c r="W1478" t="s">
        <v>27</v>
      </c>
      <c r="X1478">
        <v>22</v>
      </c>
      <c r="Y1478" t="s">
        <v>44</v>
      </c>
      <c r="Z1478">
        <v>6</v>
      </c>
      <c r="AA1478">
        <v>98</v>
      </c>
      <c r="AB1478">
        <v>6.1</v>
      </c>
    </row>
    <row r="1479" spans="10:28">
      <c r="J1479" s="340" t="str">
        <f t="shared" si="95"/>
        <v>2004FemaleAllEth221</v>
      </c>
      <c r="K1479">
        <v>2004</v>
      </c>
      <c r="L1479" t="s">
        <v>8</v>
      </c>
      <c r="M1479" t="s">
        <v>27</v>
      </c>
      <c r="N1479">
        <v>22</v>
      </c>
      <c r="O1479">
        <v>1</v>
      </c>
      <c r="P1479">
        <v>2</v>
      </c>
      <c r="Q1479">
        <v>4.2633597730736303</v>
      </c>
      <c r="R1479">
        <v>5.9</v>
      </c>
      <c r="T1479" s="340" t="str">
        <f t="shared" si="96"/>
        <v>2003AllSexAllEth23Jumping from a high place</v>
      </c>
      <c r="U1479">
        <v>2003</v>
      </c>
      <c r="V1479" t="s">
        <v>17</v>
      </c>
      <c r="W1479" t="s">
        <v>27</v>
      </c>
      <c r="X1479">
        <v>23</v>
      </c>
      <c r="Y1479" t="s">
        <v>44</v>
      </c>
      <c r="Z1479">
        <v>5</v>
      </c>
      <c r="AA1479">
        <v>217</v>
      </c>
      <c r="AB1479">
        <v>2.2999999999999998</v>
      </c>
    </row>
    <row r="1480" spans="10:28">
      <c r="J1480" s="340" t="str">
        <f t="shared" si="95"/>
        <v>2004FemaleAllEth222</v>
      </c>
      <c r="K1480">
        <v>2004</v>
      </c>
      <c r="L1480" t="s">
        <v>8</v>
      </c>
      <c r="M1480" t="s">
        <v>27</v>
      </c>
      <c r="N1480">
        <v>22</v>
      </c>
      <c r="O1480">
        <v>2</v>
      </c>
      <c r="P1480">
        <v>4</v>
      </c>
      <c r="Q1480">
        <v>7.9418133085880598</v>
      </c>
      <c r="R1480">
        <v>7.8</v>
      </c>
      <c r="T1480" s="340" t="str">
        <f t="shared" si="96"/>
        <v>2003AllSexAllEth24Jumping from a high place</v>
      </c>
      <c r="U1480">
        <v>2003</v>
      </c>
      <c r="V1480" t="s">
        <v>17</v>
      </c>
      <c r="W1480" t="s">
        <v>27</v>
      </c>
      <c r="X1480">
        <v>24</v>
      </c>
      <c r="Y1480" t="s">
        <v>44</v>
      </c>
      <c r="Z1480">
        <v>4</v>
      </c>
      <c r="AA1480">
        <v>135</v>
      </c>
      <c r="AB1480">
        <v>3</v>
      </c>
    </row>
    <row r="1481" spans="10:28">
      <c r="J1481" s="340" t="str">
        <f t="shared" si="95"/>
        <v>2004FemaleAllEth223</v>
      </c>
      <c r="K1481">
        <v>2004</v>
      </c>
      <c r="L1481" t="s">
        <v>8</v>
      </c>
      <c r="M1481" t="s">
        <v>27</v>
      </c>
      <c r="N1481">
        <v>22</v>
      </c>
      <c r="O1481">
        <v>3</v>
      </c>
      <c r="P1481">
        <v>7</v>
      </c>
      <c r="Q1481">
        <v>12.621463631507099</v>
      </c>
      <c r="R1481">
        <v>9.3000000000000007</v>
      </c>
      <c r="T1481" s="340" t="str">
        <f t="shared" si="96"/>
        <v>2003AllSexAllEth22Other</v>
      </c>
      <c r="U1481">
        <v>2003</v>
      </c>
      <c r="V1481" t="s">
        <v>17</v>
      </c>
      <c r="W1481" t="s">
        <v>27</v>
      </c>
      <c r="X1481">
        <v>22</v>
      </c>
      <c r="Y1481" t="s">
        <v>45</v>
      </c>
      <c r="Z1481">
        <v>3</v>
      </c>
      <c r="AA1481">
        <v>98</v>
      </c>
      <c r="AB1481">
        <v>3.1</v>
      </c>
    </row>
    <row r="1482" spans="10:28">
      <c r="J1482" s="340" t="str">
        <f t="shared" si="95"/>
        <v>2004FemaleAllEth224</v>
      </c>
      <c r="K1482">
        <v>2004</v>
      </c>
      <c r="L1482" t="s">
        <v>8</v>
      </c>
      <c r="M1482" t="s">
        <v>27</v>
      </c>
      <c r="N1482">
        <v>22</v>
      </c>
      <c r="O1482">
        <v>4</v>
      </c>
      <c r="P1482">
        <v>5</v>
      </c>
      <c r="Q1482">
        <v>8.0570674206330501</v>
      </c>
      <c r="R1482">
        <v>7.1</v>
      </c>
      <c r="T1482" s="340" t="str">
        <f t="shared" si="96"/>
        <v>2003AllSexAllEth23Other</v>
      </c>
      <c r="U1482">
        <v>2003</v>
      </c>
      <c r="V1482" t="s">
        <v>17</v>
      </c>
      <c r="W1482" t="s">
        <v>27</v>
      </c>
      <c r="X1482">
        <v>23</v>
      </c>
      <c r="Y1482" t="s">
        <v>45</v>
      </c>
      <c r="Z1482">
        <v>9</v>
      </c>
      <c r="AA1482">
        <v>217</v>
      </c>
      <c r="AB1482">
        <v>4.0999999999999996</v>
      </c>
    </row>
    <row r="1483" spans="10:28">
      <c r="J1483" s="340" t="str">
        <f t="shared" si="95"/>
        <v>2004FemaleAllEth225</v>
      </c>
      <c r="K1483">
        <v>2004</v>
      </c>
      <c r="L1483" t="s">
        <v>8</v>
      </c>
      <c r="M1483" t="s">
        <v>27</v>
      </c>
      <c r="N1483">
        <v>22</v>
      </c>
      <c r="O1483">
        <v>5</v>
      </c>
      <c r="P1483">
        <v>12</v>
      </c>
      <c r="Q1483">
        <v>16.1607647777941</v>
      </c>
      <c r="R1483">
        <v>9.1</v>
      </c>
      <c r="T1483" s="340" t="str">
        <f t="shared" si="96"/>
        <v>2003AllSexAllEth24Other</v>
      </c>
      <c r="U1483">
        <v>2003</v>
      </c>
      <c r="V1483" t="s">
        <v>17</v>
      </c>
      <c r="W1483" t="s">
        <v>27</v>
      </c>
      <c r="X1483">
        <v>24</v>
      </c>
      <c r="Y1483" t="s">
        <v>45</v>
      </c>
      <c r="Z1483">
        <v>9</v>
      </c>
      <c r="AA1483">
        <v>135</v>
      </c>
      <c r="AB1483">
        <v>6.7</v>
      </c>
    </row>
    <row r="1484" spans="10:28">
      <c r="J1484" s="340" t="str">
        <f t="shared" si="95"/>
        <v>2004FemaleAllEth231</v>
      </c>
      <c r="K1484">
        <v>2004</v>
      </c>
      <c r="L1484" t="s">
        <v>8</v>
      </c>
      <c r="M1484" t="s">
        <v>27</v>
      </c>
      <c r="N1484">
        <v>23</v>
      </c>
      <c r="O1484">
        <v>1</v>
      </c>
      <c r="P1484">
        <v>0</v>
      </c>
      <c r="Q1484">
        <v>0</v>
      </c>
      <c r="T1484" s="340" t="str">
        <f t="shared" si="96"/>
        <v>2003AllSexAllEth25Other</v>
      </c>
      <c r="U1484">
        <v>2003</v>
      </c>
      <c r="V1484" t="s">
        <v>17</v>
      </c>
      <c r="W1484" t="s">
        <v>27</v>
      </c>
      <c r="X1484">
        <v>25</v>
      </c>
      <c r="Y1484" t="s">
        <v>45</v>
      </c>
      <c r="Z1484">
        <v>1</v>
      </c>
      <c r="AA1484">
        <v>67</v>
      </c>
      <c r="AB1484">
        <v>1.5</v>
      </c>
    </row>
    <row r="1485" spans="10:28">
      <c r="J1485" s="340" t="str">
        <f t="shared" si="95"/>
        <v>2004FemaleAllEth232</v>
      </c>
      <c r="K1485">
        <v>2004</v>
      </c>
      <c r="L1485" t="s">
        <v>8</v>
      </c>
      <c r="M1485" t="s">
        <v>27</v>
      </c>
      <c r="N1485">
        <v>23</v>
      </c>
      <c r="O1485">
        <v>2</v>
      </c>
      <c r="P1485">
        <v>8</v>
      </c>
      <c r="Q1485">
        <v>6.3465248502289304</v>
      </c>
      <c r="R1485">
        <v>4.4000000000000004</v>
      </c>
      <c r="T1485" s="340" t="str">
        <f t="shared" si="96"/>
        <v>2003AllSexAllEth22Poisoning by gases and vapours</v>
      </c>
      <c r="U1485">
        <v>2003</v>
      </c>
      <c r="V1485" t="s">
        <v>17</v>
      </c>
      <c r="W1485" t="s">
        <v>27</v>
      </c>
      <c r="X1485">
        <v>22</v>
      </c>
      <c r="Y1485" t="s">
        <v>46</v>
      </c>
      <c r="Z1485">
        <v>13</v>
      </c>
      <c r="AA1485">
        <v>98</v>
      </c>
      <c r="AB1485">
        <v>13.3</v>
      </c>
    </row>
    <row r="1486" spans="10:28">
      <c r="J1486" s="340" t="str">
        <f t="shared" si="95"/>
        <v>2004FemaleAllEth233</v>
      </c>
      <c r="K1486">
        <v>2004</v>
      </c>
      <c r="L1486" t="s">
        <v>8</v>
      </c>
      <c r="M1486" t="s">
        <v>27</v>
      </c>
      <c r="N1486">
        <v>23</v>
      </c>
      <c r="O1486">
        <v>3</v>
      </c>
      <c r="P1486">
        <v>8</v>
      </c>
      <c r="Q1486">
        <v>6.4088911396155597</v>
      </c>
      <c r="R1486">
        <v>4.4000000000000004</v>
      </c>
      <c r="T1486" s="340" t="str">
        <f t="shared" si="96"/>
        <v>2003AllSexAllEth23Poisoning by gases and vapours</v>
      </c>
      <c r="U1486">
        <v>2003</v>
      </c>
      <c r="V1486" t="s">
        <v>17</v>
      </c>
      <c r="W1486" t="s">
        <v>27</v>
      </c>
      <c r="X1486">
        <v>23</v>
      </c>
      <c r="Y1486" t="s">
        <v>46</v>
      </c>
      <c r="Z1486">
        <v>48</v>
      </c>
      <c r="AA1486">
        <v>217</v>
      </c>
      <c r="AB1486">
        <v>22.1</v>
      </c>
    </row>
    <row r="1487" spans="10:28">
      <c r="J1487" s="340" t="str">
        <f t="shared" si="95"/>
        <v>2004FemaleAllEth234</v>
      </c>
      <c r="K1487">
        <v>2004</v>
      </c>
      <c r="L1487" t="s">
        <v>8</v>
      </c>
      <c r="M1487" t="s">
        <v>27</v>
      </c>
      <c r="N1487">
        <v>23</v>
      </c>
      <c r="O1487">
        <v>4</v>
      </c>
      <c r="P1487">
        <v>12</v>
      </c>
      <c r="Q1487">
        <v>9.8169998160170504</v>
      </c>
      <c r="R1487">
        <v>5.6</v>
      </c>
      <c r="T1487" s="340" t="str">
        <f t="shared" si="96"/>
        <v>2003AllSexAllEth24Poisoning by gases and vapours</v>
      </c>
      <c r="U1487">
        <v>2003</v>
      </c>
      <c r="V1487" t="s">
        <v>17</v>
      </c>
      <c r="W1487" t="s">
        <v>27</v>
      </c>
      <c r="X1487">
        <v>24</v>
      </c>
      <c r="Y1487" t="s">
        <v>46</v>
      </c>
      <c r="Z1487">
        <v>31</v>
      </c>
      <c r="AA1487">
        <v>135</v>
      </c>
      <c r="AB1487">
        <v>23</v>
      </c>
    </row>
    <row r="1488" spans="10:28">
      <c r="J1488" s="340" t="str">
        <f t="shared" si="95"/>
        <v>2004FemaleAllEth235</v>
      </c>
      <c r="K1488">
        <v>2004</v>
      </c>
      <c r="L1488" t="s">
        <v>8</v>
      </c>
      <c r="M1488" t="s">
        <v>27</v>
      </c>
      <c r="N1488">
        <v>23</v>
      </c>
      <c r="O1488">
        <v>5</v>
      </c>
      <c r="P1488">
        <v>10</v>
      </c>
      <c r="Q1488">
        <v>8.5675580149477906</v>
      </c>
      <c r="R1488">
        <v>5.3</v>
      </c>
      <c r="T1488" s="340" t="str">
        <f t="shared" si="96"/>
        <v>2003AllSexAllEth25Poisoning by gases and vapours</v>
      </c>
      <c r="U1488">
        <v>2003</v>
      </c>
      <c r="V1488" t="s">
        <v>17</v>
      </c>
      <c r="W1488" t="s">
        <v>27</v>
      </c>
      <c r="X1488">
        <v>25</v>
      </c>
      <c r="Y1488" t="s">
        <v>46</v>
      </c>
      <c r="Z1488">
        <v>12</v>
      </c>
      <c r="AA1488">
        <v>67</v>
      </c>
      <c r="AB1488">
        <v>17.899999999999999</v>
      </c>
    </row>
    <row r="1489" spans="10:28">
      <c r="J1489" s="340" t="str">
        <f t="shared" si="95"/>
        <v>2004FemaleAllEth241</v>
      </c>
      <c r="K1489">
        <v>2004</v>
      </c>
      <c r="L1489" t="s">
        <v>8</v>
      </c>
      <c r="M1489" t="s">
        <v>27</v>
      </c>
      <c r="N1489">
        <v>24</v>
      </c>
      <c r="O1489">
        <v>1</v>
      </c>
      <c r="P1489">
        <v>2</v>
      </c>
      <c r="Q1489">
        <v>1.7196184858414101</v>
      </c>
      <c r="R1489">
        <v>2.4</v>
      </c>
      <c r="T1489" s="340" t="str">
        <f t="shared" si="96"/>
        <v>2003AllSexAllEth22Poisoning by solids and liquids</v>
      </c>
      <c r="U1489">
        <v>2003</v>
      </c>
      <c r="V1489" t="s">
        <v>17</v>
      </c>
      <c r="W1489" t="s">
        <v>27</v>
      </c>
      <c r="X1489">
        <v>22</v>
      </c>
      <c r="Y1489" t="s">
        <v>47</v>
      </c>
      <c r="Z1489">
        <v>3</v>
      </c>
      <c r="AA1489">
        <v>98</v>
      </c>
      <c r="AB1489">
        <v>3.1</v>
      </c>
    </row>
    <row r="1490" spans="10:28">
      <c r="J1490" s="340" t="str">
        <f t="shared" si="95"/>
        <v>2004FemaleAllEth242</v>
      </c>
      <c r="K1490">
        <v>2004</v>
      </c>
      <c r="L1490" t="s">
        <v>8</v>
      </c>
      <c r="M1490" t="s">
        <v>27</v>
      </c>
      <c r="N1490">
        <v>24</v>
      </c>
      <c r="O1490">
        <v>2</v>
      </c>
      <c r="P1490">
        <v>3</v>
      </c>
      <c r="Q1490">
        <v>2.89423595934587</v>
      </c>
      <c r="R1490">
        <v>3.3</v>
      </c>
      <c r="T1490" s="340" t="str">
        <f t="shared" si="96"/>
        <v>2003AllSexAllEth23Poisoning by solids and liquids</v>
      </c>
      <c r="U1490">
        <v>2003</v>
      </c>
      <c r="V1490" t="s">
        <v>17</v>
      </c>
      <c r="W1490" t="s">
        <v>27</v>
      </c>
      <c r="X1490">
        <v>23</v>
      </c>
      <c r="Y1490" t="s">
        <v>47</v>
      </c>
      <c r="Z1490">
        <v>25</v>
      </c>
      <c r="AA1490">
        <v>217</v>
      </c>
      <c r="AB1490">
        <v>11.5</v>
      </c>
    </row>
    <row r="1491" spans="10:28">
      <c r="J1491" s="340" t="str">
        <f t="shared" si="95"/>
        <v>2004FemaleAllEth243</v>
      </c>
      <c r="K1491">
        <v>2004</v>
      </c>
      <c r="L1491" t="s">
        <v>8</v>
      </c>
      <c r="M1491" t="s">
        <v>27</v>
      </c>
      <c r="N1491">
        <v>24</v>
      </c>
      <c r="O1491">
        <v>3</v>
      </c>
      <c r="P1491">
        <v>7</v>
      </c>
      <c r="Q1491">
        <v>7.4216973468215803</v>
      </c>
      <c r="R1491">
        <v>5.5</v>
      </c>
      <c r="T1491" s="340" t="str">
        <f t="shared" si="96"/>
        <v>2003AllSexAllEth24Poisoning by solids and liquids</v>
      </c>
      <c r="U1491">
        <v>2003</v>
      </c>
      <c r="V1491" t="s">
        <v>17</v>
      </c>
      <c r="W1491" t="s">
        <v>27</v>
      </c>
      <c r="X1491">
        <v>24</v>
      </c>
      <c r="Y1491" t="s">
        <v>47</v>
      </c>
      <c r="Z1491">
        <v>22</v>
      </c>
      <c r="AA1491">
        <v>135</v>
      </c>
      <c r="AB1491">
        <v>16.3</v>
      </c>
    </row>
    <row r="1492" spans="10:28">
      <c r="J1492" s="340" t="str">
        <f t="shared" si="95"/>
        <v>2004FemaleAllEth244</v>
      </c>
      <c r="K1492">
        <v>2004</v>
      </c>
      <c r="L1492" t="s">
        <v>8</v>
      </c>
      <c r="M1492" t="s">
        <v>27</v>
      </c>
      <c r="N1492">
        <v>24</v>
      </c>
      <c r="O1492">
        <v>4</v>
      </c>
      <c r="P1492">
        <v>7</v>
      </c>
      <c r="Q1492">
        <v>8.0854608220762803</v>
      </c>
      <c r="R1492">
        <v>6</v>
      </c>
      <c r="T1492" s="340" t="str">
        <f t="shared" si="96"/>
        <v>2003AllSexAllEth25Poisoning by solids and liquids</v>
      </c>
      <c r="U1492">
        <v>2003</v>
      </c>
      <c r="V1492" t="s">
        <v>17</v>
      </c>
      <c r="W1492" t="s">
        <v>27</v>
      </c>
      <c r="X1492">
        <v>25</v>
      </c>
      <c r="Y1492" t="s">
        <v>47</v>
      </c>
      <c r="Z1492">
        <v>8</v>
      </c>
      <c r="AA1492">
        <v>67</v>
      </c>
      <c r="AB1492">
        <v>11.9</v>
      </c>
    </row>
    <row r="1493" spans="10:28">
      <c r="J1493" s="340" t="str">
        <f t="shared" si="95"/>
        <v>2004FemaleAllEth245</v>
      </c>
      <c r="K1493">
        <v>2004</v>
      </c>
      <c r="L1493" t="s">
        <v>8</v>
      </c>
      <c r="M1493" t="s">
        <v>27</v>
      </c>
      <c r="N1493">
        <v>24</v>
      </c>
      <c r="O1493">
        <v>5</v>
      </c>
      <c r="P1493">
        <v>9</v>
      </c>
      <c r="Q1493">
        <v>11.678054070555801</v>
      </c>
      <c r="R1493">
        <v>7.6</v>
      </c>
      <c r="T1493" s="340" t="str">
        <f t="shared" si="96"/>
        <v>2003AllSexAllEth22Sharp object</v>
      </c>
      <c r="U1493">
        <v>2003</v>
      </c>
      <c r="V1493" t="s">
        <v>17</v>
      </c>
      <c r="W1493" t="s">
        <v>27</v>
      </c>
      <c r="X1493">
        <v>22</v>
      </c>
      <c r="Y1493" t="s">
        <v>48</v>
      </c>
      <c r="Z1493">
        <v>1</v>
      </c>
      <c r="AA1493">
        <v>98</v>
      </c>
      <c r="AB1493">
        <v>1</v>
      </c>
    </row>
    <row r="1494" spans="10:28">
      <c r="J1494" s="340" t="str">
        <f t="shared" si="95"/>
        <v>2004FemaleAllEth251</v>
      </c>
      <c r="K1494">
        <v>2004</v>
      </c>
      <c r="L1494" t="s">
        <v>8</v>
      </c>
      <c r="M1494" t="s">
        <v>27</v>
      </c>
      <c r="N1494">
        <v>25</v>
      </c>
      <c r="O1494">
        <v>1</v>
      </c>
      <c r="P1494">
        <v>0</v>
      </c>
      <c r="Q1494">
        <v>0</v>
      </c>
      <c r="T1494" s="340" t="str">
        <f t="shared" si="96"/>
        <v>2003AllSexAllEth23Sharp object</v>
      </c>
      <c r="U1494">
        <v>2003</v>
      </c>
      <c r="V1494" t="s">
        <v>17</v>
      </c>
      <c r="W1494" t="s">
        <v>27</v>
      </c>
      <c r="X1494">
        <v>23</v>
      </c>
      <c r="Y1494" t="s">
        <v>48</v>
      </c>
      <c r="Z1494">
        <v>6</v>
      </c>
      <c r="AA1494">
        <v>217</v>
      </c>
      <c r="AB1494">
        <v>2.8</v>
      </c>
    </row>
    <row r="1495" spans="10:28">
      <c r="J1495" s="340" t="str">
        <f t="shared" si="95"/>
        <v>2004FemaleAllEth252</v>
      </c>
      <c r="K1495">
        <v>2004</v>
      </c>
      <c r="L1495" t="s">
        <v>8</v>
      </c>
      <c r="M1495" t="s">
        <v>27</v>
      </c>
      <c r="N1495">
        <v>25</v>
      </c>
      <c r="O1495">
        <v>2</v>
      </c>
      <c r="P1495">
        <v>1</v>
      </c>
      <c r="Q1495">
        <v>1.8151426021731201</v>
      </c>
      <c r="R1495">
        <v>3.6</v>
      </c>
      <c r="T1495" s="340" t="str">
        <f t="shared" si="96"/>
        <v>2003AllSexAllEth24Sharp object</v>
      </c>
      <c r="U1495">
        <v>2003</v>
      </c>
      <c r="V1495" t="s">
        <v>17</v>
      </c>
      <c r="W1495" t="s">
        <v>27</v>
      </c>
      <c r="X1495">
        <v>24</v>
      </c>
      <c r="Y1495" t="s">
        <v>48</v>
      </c>
      <c r="Z1495">
        <v>5</v>
      </c>
      <c r="AA1495">
        <v>135</v>
      </c>
      <c r="AB1495">
        <v>3.7</v>
      </c>
    </row>
    <row r="1496" spans="10:28">
      <c r="J1496" s="340" t="str">
        <f t="shared" si="95"/>
        <v>2004FemaleAllEth253</v>
      </c>
      <c r="K1496">
        <v>2004</v>
      </c>
      <c r="L1496" t="s">
        <v>8</v>
      </c>
      <c r="M1496" t="s">
        <v>27</v>
      </c>
      <c r="N1496">
        <v>25</v>
      </c>
      <c r="O1496">
        <v>3</v>
      </c>
      <c r="P1496">
        <v>4</v>
      </c>
      <c r="Q1496">
        <v>6.8135762394729404</v>
      </c>
      <c r="R1496">
        <v>6.7</v>
      </c>
      <c r="T1496" s="340" t="str">
        <f t="shared" si="96"/>
        <v>2003AllSexAllEth25Sharp object</v>
      </c>
      <c r="U1496">
        <v>2003</v>
      </c>
      <c r="V1496" t="s">
        <v>17</v>
      </c>
      <c r="W1496" t="s">
        <v>27</v>
      </c>
      <c r="X1496">
        <v>25</v>
      </c>
      <c r="Y1496" t="s">
        <v>48</v>
      </c>
      <c r="Z1496">
        <v>6</v>
      </c>
      <c r="AA1496">
        <v>67</v>
      </c>
      <c r="AB1496">
        <v>9</v>
      </c>
    </row>
    <row r="1497" spans="10:28">
      <c r="J1497" s="340" t="str">
        <f t="shared" si="95"/>
        <v>2004FemaleAllEth254</v>
      </c>
      <c r="K1497">
        <v>2004</v>
      </c>
      <c r="L1497" t="s">
        <v>8</v>
      </c>
      <c r="M1497" t="s">
        <v>27</v>
      </c>
      <c r="N1497">
        <v>25</v>
      </c>
      <c r="O1497">
        <v>4</v>
      </c>
      <c r="P1497">
        <v>2</v>
      </c>
      <c r="Q1497">
        <v>3.2809988138456698</v>
      </c>
      <c r="R1497">
        <v>4.5</v>
      </c>
      <c r="T1497" s="340" t="str">
        <f t="shared" si="96"/>
        <v>2003AllSexAllEth23Submersion (drowning)</v>
      </c>
      <c r="U1497">
        <v>2003</v>
      </c>
      <c r="V1497" t="s">
        <v>17</v>
      </c>
      <c r="W1497" t="s">
        <v>27</v>
      </c>
      <c r="X1497">
        <v>23</v>
      </c>
      <c r="Y1497" t="s">
        <v>49</v>
      </c>
      <c r="Z1497">
        <v>6</v>
      </c>
      <c r="AA1497">
        <v>217</v>
      </c>
      <c r="AB1497">
        <v>2.8</v>
      </c>
    </row>
    <row r="1498" spans="10:28">
      <c r="J1498" s="340" t="str">
        <f t="shared" si="95"/>
        <v>2004FemaleAllEth255</v>
      </c>
      <c r="K1498">
        <v>2004</v>
      </c>
      <c r="L1498" t="s">
        <v>8</v>
      </c>
      <c r="M1498" t="s">
        <v>27</v>
      </c>
      <c r="N1498">
        <v>25</v>
      </c>
      <c r="O1498">
        <v>5</v>
      </c>
      <c r="P1498">
        <v>2</v>
      </c>
      <c r="Q1498">
        <v>4.3099733386404502</v>
      </c>
      <c r="R1498">
        <v>6</v>
      </c>
      <c r="T1498" s="340" t="str">
        <f t="shared" si="96"/>
        <v>2003AllSexAllEth24Submersion (drowning)</v>
      </c>
      <c r="U1498">
        <v>2003</v>
      </c>
      <c r="V1498" t="s">
        <v>17</v>
      </c>
      <c r="W1498" t="s">
        <v>27</v>
      </c>
      <c r="X1498">
        <v>24</v>
      </c>
      <c r="Y1498" t="s">
        <v>49</v>
      </c>
      <c r="Z1498">
        <v>5</v>
      </c>
      <c r="AA1498">
        <v>135</v>
      </c>
      <c r="AB1498">
        <v>3.7</v>
      </c>
    </row>
    <row r="1499" spans="10:28">
      <c r="J1499" s="340" t="str">
        <f t="shared" si="95"/>
        <v>2004FemaleMaori211</v>
      </c>
      <c r="K1499">
        <v>2004</v>
      </c>
      <c r="L1499" t="s">
        <v>8</v>
      </c>
      <c r="M1499" t="s">
        <v>18</v>
      </c>
      <c r="N1499">
        <v>21</v>
      </c>
      <c r="O1499">
        <v>1</v>
      </c>
      <c r="P1499">
        <v>0</v>
      </c>
      <c r="Q1499">
        <v>0</v>
      </c>
      <c r="T1499" s="340" t="str">
        <f t="shared" si="96"/>
        <v>2003AllSexAllEth25Submersion (drowning)</v>
      </c>
      <c r="U1499">
        <v>2003</v>
      </c>
      <c r="V1499" t="s">
        <v>17</v>
      </c>
      <c r="W1499" t="s">
        <v>27</v>
      </c>
      <c r="X1499">
        <v>25</v>
      </c>
      <c r="Y1499" t="s">
        <v>49</v>
      </c>
      <c r="Z1499">
        <v>2</v>
      </c>
      <c r="AA1499">
        <v>67</v>
      </c>
      <c r="AB1499">
        <v>3</v>
      </c>
    </row>
    <row r="1500" spans="10:28">
      <c r="J1500" s="340" t="str">
        <f t="shared" si="95"/>
        <v>2004FemaleMaori212</v>
      </c>
      <c r="K1500">
        <v>2004</v>
      </c>
      <c r="L1500" t="s">
        <v>8</v>
      </c>
      <c r="M1500" t="s">
        <v>18</v>
      </c>
      <c r="N1500">
        <v>21</v>
      </c>
      <c r="O1500">
        <v>2</v>
      </c>
      <c r="P1500">
        <v>0</v>
      </c>
      <c r="Q1500">
        <v>0</v>
      </c>
      <c r="T1500" s="340" t="str">
        <f t="shared" si="96"/>
        <v>2003AllSexMaori23Firearms and explosives</v>
      </c>
      <c r="U1500">
        <v>2003</v>
      </c>
      <c r="V1500" t="s">
        <v>17</v>
      </c>
      <c r="W1500" t="s">
        <v>18</v>
      </c>
      <c r="X1500">
        <v>23</v>
      </c>
      <c r="Y1500" t="s">
        <v>42</v>
      </c>
      <c r="Z1500">
        <v>2</v>
      </c>
      <c r="AA1500">
        <v>46</v>
      </c>
      <c r="AB1500">
        <v>4.3</v>
      </c>
    </row>
    <row r="1501" spans="10:28">
      <c r="J1501" s="340" t="str">
        <f t="shared" si="95"/>
        <v>2004FemaleMaori213</v>
      </c>
      <c r="K1501">
        <v>2004</v>
      </c>
      <c r="L1501" t="s">
        <v>8</v>
      </c>
      <c r="M1501" t="s">
        <v>18</v>
      </c>
      <c r="N1501">
        <v>21</v>
      </c>
      <c r="O1501">
        <v>3</v>
      </c>
      <c r="P1501">
        <v>0</v>
      </c>
      <c r="Q1501">
        <v>0</v>
      </c>
      <c r="T1501" s="340" t="str">
        <f t="shared" si="96"/>
        <v>2003AllSexMaori24Firearms and explosives</v>
      </c>
      <c r="U1501">
        <v>2003</v>
      </c>
      <c r="V1501" t="s">
        <v>17</v>
      </c>
      <c r="W1501" t="s">
        <v>18</v>
      </c>
      <c r="X1501">
        <v>24</v>
      </c>
      <c r="Y1501" t="s">
        <v>42</v>
      </c>
      <c r="Z1501">
        <v>2</v>
      </c>
      <c r="AA1501">
        <v>5</v>
      </c>
      <c r="AB1501">
        <v>40</v>
      </c>
    </row>
    <row r="1502" spans="10:28">
      <c r="J1502" s="340" t="str">
        <f t="shared" si="95"/>
        <v>2004FemaleMaori214</v>
      </c>
      <c r="K1502">
        <v>2004</v>
      </c>
      <c r="L1502" t="s">
        <v>8</v>
      </c>
      <c r="M1502" t="s">
        <v>18</v>
      </c>
      <c r="N1502">
        <v>21</v>
      </c>
      <c r="O1502">
        <v>4</v>
      </c>
      <c r="P1502">
        <v>0</v>
      </c>
      <c r="Q1502">
        <v>0</v>
      </c>
      <c r="T1502" s="340" t="str">
        <f t="shared" si="96"/>
        <v>2003AllSexMaori21Hanging, strangulation and suffocation</v>
      </c>
      <c r="U1502">
        <v>2003</v>
      </c>
      <c r="V1502" t="s">
        <v>17</v>
      </c>
      <c r="W1502" t="s">
        <v>18</v>
      </c>
      <c r="X1502">
        <v>21</v>
      </c>
      <c r="Y1502" t="s">
        <v>43</v>
      </c>
      <c r="Z1502">
        <v>5</v>
      </c>
      <c r="AA1502">
        <v>5</v>
      </c>
      <c r="AB1502">
        <v>100</v>
      </c>
    </row>
    <row r="1503" spans="10:28">
      <c r="J1503" s="340" t="str">
        <f t="shared" si="95"/>
        <v>2004FemaleMaori215</v>
      </c>
      <c r="K1503">
        <v>2004</v>
      </c>
      <c r="L1503" t="s">
        <v>8</v>
      </c>
      <c r="M1503" t="s">
        <v>18</v>
      </c>
      <c r="N1503">
        <v>21</v>
      </c>
      <c r="O1503">
        <v>5</v>
      </c>
      <c r="P1503">
        <v>1</v>
      </c>
      <c r="Q1503">
        <v>2.19516750182036</v>
      </c>
      <c r="R1503">
        <v>4.3</v>
      </c>
      <c r="T1503" s="340" t="str">
        <f t="shared" si="96"/>
        <v>2003AllSexMaori22Hanging, strangulation and suffocation</v>
      </c>
      <c r="U1503">
        <v>2003</v>
      </c>
      <c r="V1503" t="s">
        <v>17</v>
      </c>
      <c r="W1503" t="s">
        <v>18</v>
      </c>
      <c r="X1503">
        <v>22</v>
      </c>
      <c r="Y1503" t="s">
        <v>43</v>
      </c>
      <c r="Z1503">
        <v>28</v>
      </c>
      <c r="AA1503">
        <v>31</v>
      </c>
      <c r="AB1503">
        <v>90.3</v>
      </c>
    </row>
    <row r="1504" spans="10:28">
      <c r="J1504" s="340" t="str">
        <f t="shared" si="95"/>
        <v>2004FemaleMaori221</v>
      </c>
      <c r="K1504">
        <v>2004</v>
      </c>
      <c r="L1504" t="s">
        <v>8</v>
      </c>
      <c r="M1504" t="s">
        <v>18</v>
      </c>
      <c r="N1504">
        <v>22</v>
      </c>
      <c r="O1504">
        <v>1</v>
      </c>
      <c r="P1504">
        <v>0</v>
      </c>
      <c r="Q1504">
        <v>0</v>
      </c>
      <c r="T1504" s="340" t="str">
        <f t="shared" si="96"/>
        <v>2003AllSexMaori23Hanging, strangulation and suffocation</v>
      </c>
      <c r="U1504">
        <v>2003</v>
      </c>
      <c r="V1504" t="s">
        <v>17</v>
      </c>
      <c r="W1504" t="s">
        <v>18</v>
      </c>
      <c r="X1504">
        <v>23</v>
      </c>
      <c r="Y1504" t="s">
        <v>43</v>
      </c>
      <c r="Z1504">
        <v>34</v>
      </c>
      <c r="AA1504">
        <v>46</v>
      </c>
      <c r="AB1504">
        <v>73.900000000000006</v>
      </c>
    </row>
    <row r="1505" spans="10:28">
      <c r="J1505" s="340" t="str">
        <f t="shared" si="95"/>
        <v>2004FemaleMaori222</v>
      </c>
      <c r="K1505">
        <v>2004</v>
      </c>
      <c r="L1505" t="s">
        <v>8</v>
      </c>
      <c r="M1505" t="s">
        <v>18</v>
      </c>
      <c r="N1505">
        <v>22</v>
      </c>
      <c r="O1505">
        <v>2</v>
      </c>
      <c r="P1505">
        <v>2</v>
      </c>
      <c r="Q1505">
        <v>34.887689194164103</v>
      </c>
      <c r="R1505">
        <v>48.4</v>
      </c>
      <c r="T1505" s="340" t="str">
        <f t="shared" si="96"/>
        <v>2003AllSexMaori24Hanging, strangulation and suffocation</v>
      </c>
      <c r="U1505">
        <v>2003</v>
      </c>
      <c r="V1505" t="s">
        <v>17</v>
      </c>
      <c r="W1505" t="s">
        <v>18</v>
      </c>
      <c r="X1505">
        <v>24</v>
      </c>
      <c r="Y1505" t="s">
        <v>43</v>
      </c>
      <c r="Z1505">
        <v>1</v>
      </c>
      <c r="AA1505">
        <v>5</v>
      </c>
      <c r="AB1505">
        <v>20</v>
      </c>
    </row>
    <row r="1506" spans="10:28">
      <c r="J1506" s="340" t="str">
        <f t="shared" si="95"/>
        <v>2004FemaleMaori223</v>
      </c>
      <c r="K1506">
        <v>2004</v>
      </c>
      <c r="L1506" t="s">
        <v>8</v>
      </c>
      <c r="M1506" t="s">
        <v>18</v>
      </c>
      <c r="N1506">
        <v>22</v>
      </c>
      <c r="O1506">
        <v>3</v>
      </c>
      <c r="P1506">
        <v>4</v>
      </c>
      <c r="Q1506">
        <v>44.927534008821901</v>
      </c>
      <c r="R1506">
        <v>44</v>
      </c>
      <c r="T1506" s="340" t="str">
        <f t="shared" si="96"/>
        <v>2003AllSexMaori22Jumping from a high place</v>
      </c>
      <c r="U1506">
        <v>2003</v>
      </c>
      <c r="V1506" t="s">
        <v>17</v>
      </c>
      <c r="W1506" t="s">
        <v>18</v>
      </c>
      <c r="X1506">
        <v>22</v>
      </c>
      <c r="Y1506" t="s">
        <v>44</v>
      </c>
      <c r="Z1506">
        <v>1</v>
      </c>
      <c r="AA1506">
        <v>31</v>
      </c>
      <c r="AB1506">
        <v>3.2</v>
      </c>
    </row>
    <row r="1507" spans="10:28">
      <c r="J1507" s="340" t="str">
        <f t="shared" si="95"/>
        <v>2004FemaleMaori224</v>
      </c>
      <c r="K1507">
        <v>2004</v>
      </c>
      <c r="L1507" t="s">
        <v>8</v>
      </c>
      <c r="M1507" t="s">
        <v>18</v>
      </c>
      <c r="N1507">
        <v>22</v>
      </c>
      <c r="O1507">
        <v>4</v>
      </c>
      <c r="P1507">
        <v>2</v>
      </c>
      <c r="Q1507">
        <v>14.8564772217265</v>
      </c>
      <c r="R1507">
        <v>20.6</v>
      </c>
      <c r="T1507" s="340" t="str">
        <f t="shared" si="96"/>
        <v>2003AllSexMaori23Jumping from a high place</v>
      </c>
      <c r="U1507">
        <v>2003</v>
      </c>
      <c r="V1507" t="s">
        <v>17</v>
      </c>
      <c r="W1507" t="s">
        <v>18</v>
      </c>
      <c r="X1507">
        <v>23</v>
      </c>
      <c r="Y1507" t="s">
        <v>44</v>
      </c>
      <c r="Z1507">
        <v>2</v>
      </c>
      <c r="AA1507">
        <v>46</v>
      </c>
      <c r="AB1507">
        <v>4.3</v>
      </c>
    </row>
    <row r="1508" spans="10:28">
      <c r="J1508" s="340" t="str">
        <f t="shared" si="95"/>
        <v>2004FemaleMaori225</v>
      </c>
      <c r="K1508">
        <v>2004</v>
      </c>
      <c r="L1508" t="s">
        <v>8</v>
      </c>
      <c r="M1508" t="s">
        <v>18</v>
      </c>
      <c r="N1508">
        <v>22</v>
      </c>
      <c r="O1508">
        <v>5</v>
      </c>
      <c r="P1508">
        <v>6</v>
      </c>
      <c r="Q1508">
        <v>24.658686600523101</v>
      </c>
      <c r="R1508">
        <v>19.7</v>
      </c>
      <c r="T1508" s="340" t="str">
        <f t="shared" si="96"/>
        <v>2003AllSexMaori24Jumping from a high place</v>
      </c>
      <c r="U1508">
        <v>2003</v>
      </c>
      <c r="V1508" t="s">
        <v>17</v>
      </c>
      <c r="W1508" t="s">
        <v>18</v>
      </c>
      <c r="X1508">
        <v>24</v>
      </c>
      <c r="Y1508" t="s">
        <v>44</v>
      </c>
      <c r="Z1508">
        <v>1</v>
      </c>
      <c r="AA1508">
        <v>5</v>
      </c>
      <c r="AB1508">
        <v>20</v>
      </c>
    </row>
    <row r="1509" spans="10:28">
      <c r="J1509" s="340" t="str">
        <f t="shared" si="95"/>
        <v>2004FemaleMaori231</v>
      </c>
      <c r="K1509">
        <v>2004</v>
      </c>
      <c r="L1509" t="s">
        <v>8</v>
      </c>
      <c r="M1509" t="s">
        <v>18</v>
      </c>
      <c r="N1509">
        <v>23</v>
      </c>
      <c r="O1509">
        <v>1</v>
      </c>
      <c r="P1509">
        <v>0</v>
      </c>
      <c r="Q1509">
        <v>0</v>
      </c>
      <c r="T1509" s="340" t="str">
        <f t="shared" si="96"/>
        <v>2003AllSexMaori23Other</v>
      </c>
      <c r="U1509">
        <v>2003</v>
      </c>
      <c r="V1509" t="s">
        <v>17</v>
      </c>
      <c r="W1509" t="s">
        <v>18</v>
      </c>
      <c r="X1509">
        <v>23</v>
      </c>
      <c r="Y1509" t="s">
        <v>45</v>
      </c>
      <c r="Z1509">
        <v>1</v>
      </c>
      <c r="AA1509">
        <v>46</v>
      </c>
      <c r="AB1509">
        <v>2.2000000000000002</v>
      </c>
    </row>
    <row r="1510" spans="10:28">
      <c r="J1510" s="340" t="str">
        <f t="shared" si="95"/>
        <v>2004FemaleMaori232</v>
      </c>
      <c r="K1510">
        <v>2004</v>
      </c>
      <c r="L1510" t="s">
        <v>8</v>
      </c>
      <c r="M1510" t="s">
        <v>18</v>
      </c>
      <c r="N1510">
        <v>23</v>
      </c>
      <c r="O1510">
        <v>2</v>
      </c>
      <c r="P1510">
        <v>0</v>
      </c>
      <c r="Q1510">
        <v>0</v>
      </c>
      <c r="T1510" s="340" t="str">
        <f t="shared" si="96"/>
        <v>2003AllSexMaori24Other</v>
      </c>
      <c r="U1510">
        <v>2003</v>
      </c>
      <c r="V1510" t="s">
        <v>17</v>
      </c>
      <c r="W1510" t="s">
        <v>18</v>
      </c>
      <c r="X1510">
        <v>24</v>
      </c>
      <c r="Y1510" t="s">
        <v>45</v>
      </c>
      <c r="Z1510">
        <v>1</v>
      </c>
      <c r="AA1510">
        <v>5</v>
      </c>
      <c r="AB1510">
        <v>20</v>
      </c>
    </row>
    <row r="1511" spans="10:28">
      <c r="J1511" s="340" t="str">
        <f t="shared" si="95"/>
        <v>2004FemaleMaori233</v>
      </c>
      <c r="K1511">
        <v>2004</v>
      </c>
      <c r="L1511" t="s">
        <v>8</v>
      </c>
      <c r="M1511" t="s">
        <v>18</v>
      </c>
      <c r="N1511">
        <v>23</v>
      </c>
      <c r="O1511">
        <v>3</v>
      </c>
      <c r="P1511">
        <v>0</v>
      </c>
      <c r="Q1511">
        <v>0</v>
      </c>
      <c r="T1511" s="340" t="str">
        <f t="shared" si="96"/>
        <v>2003AllSexMaori22Poisoning by gases and vapours</v>
      </c>
      <c r="U1511">
        <v>2003</v>
      </c>
      <c r="V1511" t="s">
        <v>17</v>
      </c>
      <c r="W1511" t="s">
        <v>18</v>
      </c>
      <c r="X1511">
        <v>22</v>
      </c>
      <c r="Y1511" t="s">
        <v>46</v>
      </c>
      <c r="Z1511">
        <v>2</v>
      </c>
      <c r="AA1511">
        <v>31</v>
      </c>
      <c r="AB1511">
        <v>6.5</v>
      </c>
    </row>
    <row r="1512" spans="10:28">
      <c r="J1512" s="340" t="str">
        <f t="shared" si="95"/>
        <v>2004FemaleMaori234</v>
      </c>
      <c r="K1512">
        <v>2004</v>
      </c>
      <c r="L1512" t="s">
        <v>8</v>
      </c>
      <c r="M1512" t="s">
        <v>18</v>
      </c>
      <c r="N1512">
        <v>23</v>
      </c>
      <c r="O1512">
        <v>4</v>
      </c>
      <c r="P1512">
        <v>5</v>
      </c>
      <c r="Q1512">
        <v>23.418951767529201</v>
      </c>
      <c r="R1512">
        <v>20.5</v>
      </c>
      <c r="T1512" s="340" t="str">
        <f t="shared" si="96"/>
        <v>2003AllSexMaori23Poisoning by gases and vapours</v>
      </c>
      <c r="U1512">
        <v>2003</v>
      </c>
      <c r="V1512" t="s">
        <v>17</v>
      </c>
      <c r="W1512" t="s">
        <v>18</v>
      </c>
      <c r="X1512">
        <v>23</v>
      </c>
      <c r="Y1512" t="s">
        <v>46</v>
      </c>
      <c r="Z1512">
        <v>5</v>
      </c>
      <c r="AA1512">
        <v>46</v>
      </c>
      <c r="AB1512">
        <v>10.9</v>
      </c>
    </row>
    <row r="1513" spans="10:28">
      <c r="J1513" s="340" t="str">
        <f t="shared" si="95"/>
        <v>2004FemaleMaori235</v>
      </c>
      <c r="K1513">
        <v>2004</v>
      </c>
      <c r="L1513" t="s">
        <v>8</v>
      </c>
      <c r="M1513" t="s">
        <v>18</v>
      </c>
      <c r="N1513">
        <v>23</v>
      </c>
      <c r="O1513">
        <v>5</v>
      </c>
      <c r="P1513">
        <v>6</v>
      </c>
      <c r="Q1513">
        <v>16.307866093623801</v>
      </c>
      <c r="R1513">
        <v>13</v>
      </c>
      <c r="T1513" s="340" t="str">
        <f t="shared" si="96"/>
        <v>2003AllSexMaori23Poisoning by solids and liquids</v>
      </c>
      <c r="U1513">
        <v>2003</v>
      </c>
      <c r="V1513" t="s">
        <v>17</v>
      </c>
      <c r="W1513" t="s">
        <v>18</v>
      </c>
      <c r="X1513">
        <v>23</v>
      </c>
      <c r="Y1513" t="s">
        <v>47</v>
      </c>
      <c r="Z1513">
        <v>1</v>
      </c>
      <c r="AA1513">
        <v>46</v>
      </c>
      <c r="AB1513">
        <v>2.2000000000000002</v>
      </c>
    </row>
    <row r="1514" spans="10:28">
      <c r="J1514" s="340" t="str">
        <f t="shared" si="95"/>
        <v>2004FemaleMaori241</v>
      </c>
      <c r="K1514">
        <v>2004</v>
      </c>
      <c r="L1514" t="s">
        <v>8</v>
      </c>
      <c r="M1514" t="s">
        <v>18</v>
      </c>
      <c r="N1514">
        <v>24</v>
      </c>
      <c r="O1514">
        <v>1</v>
      </c>
      <c r="P1514">
        <v>0</v>
      </c>
      <c r="Q1514">
        <v>0</v>
      </c>
      <c r="T1514" s="340" t="str">
        <f t="shared" si="96"/>
        <v>2003AllSexMaori23Sharp object</v>
      </c>
      <c r="U1514">
        <v>2003</v>
      </c>
      <c r="V1514" t="s">
        <v>17</v>
      </c>
      <c r="W1514" t="s">
        <v>18</v>
      </c>
      <c r="X1514">
        <v>23</v>
      </c>
      <c r="Y1514" t="s">
        <v>48</v>
      </c>
      <c r="Z1514">
        <v>1</v>
      </c>
      <c r="AA1514">
        <v>46</v>
      </c>
      <c r="AB1514">
        <v>2.2000000000000002</v>
      </c>
    </row>
    <row r="1515" spans="10:28">
      <c r="J1515" s="340" t="str">
        <f t="shared" si="95"/>
        <v>2004FemaleMaori242</v>
      </c>
      <c r="K1515">
        <v>2004</v>
      </c>
      <c r="L1515" t="s">
        <v>8</v>
      </c>
      <c r="M1515" t="s">
        <v>18</v>
      </c>
      <c r="N1515">
        <v>24</v>
      </c>
      <c r="O1515">
        <v>2</v>
      </c>
      <c r="P1515">
        <v>0</v>
      </c>
      <c r="Q1515">
        <v>0</v>
      </c>
      <c r="T1515" s="340" t="str">
        <f t="shared" si="96"/>
        <v>2003AllSexNon-Maori22Firearms and explosives</v>
      </c>
      <c r="U1515">
        <v>2003</v>
      </c>
      <c r="V1515" t="s">
        <v>17</v>
      </c>
      <c r="W1515" t="s">
        <v>19</v>
      </c>
      <c r="X1515">
        <v>22</v>
      </c>
      <c r="Y1515" t="s">
        <v>42</v>
      </c>
      <c r="Z1515">
        <v>3</v>
      </c>
      <c r="AA1515">
        <v>67</v>
      </c>
      <c r="AB1515">
        <v>4.5</v>
      </c>
    </row>
    <row r="1516" spans="10:28">
      <c r="J1516" s="340" t="str">
        <f t="shared" si="95"/>
        <v>2004FemaleMaori243</v>
      </c>
      <c r="K1516">
        <v>2004</v>
      </c>
      <c r="L1516" t="s">
        <v>8</v>
      </c>
      <c r="M1516" t="s">
        <v>18</v>
      </c>
      <c r="N1516">
        <v>24</v>
      </c>
      <c r="O1516">
        <v>3</v>
      </c>
      <c r="P1516">
        <v>0</v>
      </c>
      <c r="Q1516">
        <v>0</v>
      </c>
      <c r="T1516" s="340" t="str">
        <f t="shared" si="96"/>
        <v>2003AllSexNon-Maori23Firearms and explosives</v>
      </c>
      <c r="U1516">
        <v>2003</v>
      </c>
      <c r="V1516" t="s">
        <v>17</v>
      </c>
      <c r="W1516" t="s">
        <v>19</v>
      </c>
      <c r="X1516">
        <v>23</v>
      </c>
      <c r="Y1516" t="s">
        <v>42</v>
      </c>
      <c r="Z1516">
        <v>9</v>
      </c>
      <c r="AA1516">
        <v>171</v>
      </c>
      <c r="AB1516">
        <v>5.3</v>
      </c>
    </row>
    <row r="1517" spans="10:28">
      <c r="J1517" s="340" t="str">
        <f t="shared" si="95"/>
        <v>2004FemaleMaori244</v>
      </c>
      <c r="K1517">
        <v>2004</v>
      </c>
      <c r="L1517" t="s">
        <v>8</v>
      </c>
      <c r="M1517" t="s">
        <v>18</v>
      </c>
      <c r="N1517">
        <v>24</v>
      </c>
      <c r="O1517">
        <v>4</v>
      </c>
      <c r="P1517">
        <v>0</v>
      </c>
      <c r="Q1517">
        <v>0</v>
      </c>
      <c r="T1517" s="340" t="str">
        <f t="shared" si="96"/>
        <v>2003AllSexNon-Maori24Firearms and explosives</v>
      </c>
      <c r="U1517">
        <v>2003</v>
      </c>
      <c r="V1517" t="s">
        <v>17</v>
      </c>
      <c r="W1517" t="s">
        <v>19</v>
      </c>
      <c r="X1517">
        <v>24</v>
      </c>
      <c r="Y1517" t="s">
        <v>42</v>
      </c>
      <c r="Z1517">
        <v>14</v>
      </c>
      <c r="AA1517">
        <v>130</v>
      </c>
      <c r="AB1517">
        <v>10.8</v>
      </c>
    </row>
    <row r="1518" spans="10:28">
      <c r="J1518" s="340" t="str">
        <f t="shared" si="95"/>
        <v>2004FemaleMaori245</v>
      </c>
      <c r="K1518">
        <v>2004</v>
      </c>
      <c r="L1518" t="s">
        <v>8</v>
      </c>
      <c r="M1518" t="s">
        <v>18</v>
      </c>
      <c r="N1518">
        <v>24</v>
      </c>
      <c r="O1518">
        <v>5</v>
      </c>
      <c r="P1518">
        <v>2</v>
      </c>
      <c r="Q1518">
        <v>10.212382171963499</v>
      </c>
      <c r="R1518">
        <v>14.2</v>
      </c>
      <c r="T1518" s="340" t="str">
        <f t="shared" si="96"/>
        <v>2003AllSexNon-Maori25Firearms and explosives</v>
      </c>
      <c r="U1518">
        <v>2003</v>
      </c>
      <c r="V1518" t="s">
        <v>17</v>
      </c>
      <c r="W1518" t="s">
        <v>19</v>
      </c>
      <c r="X1518">
        <v>25</v>
      </c>
      <c r="Y1518" t="s">
        <v>42</v>
      </c>
      <c r="Z1518">
        <v>12</v>
      </c>
      <c r="AA1518">
        <v>67</v>
      </c>
      <c r="AB1518">
        <v>17.899999999999999</v>
      </c>
    </row>
    <row r="1519" spans="10:28">
      <c r="J1519" s="340" t="str">
        <f t="shared" si="95"/>
        <v>2004FemaleMaori251</v>
      </c>
      <c r="K1519">
        <v>2004</v>
      </c>
      <c r="L1519" t="s">
        <v>8</v>
      </c>
      <c r="M1519" t="s">
        <v>18</v>
      </c>
      <c r="N1519">
        <v>25</v>
      </c>
      <c r="O1519">
        <v>1</v>
      </c>
      <c r="P1519">
        <v>0</v>
      </c>
      <c r="Q1519">
        <v>0</v>
      </c>
      <c r="T1519" s="340" t="str">
        <f t="shared" si="96"/>
        <v>2003AllSexNon-Maori22Hanging, strangulation and suffocation</v>
      </c>
      <c r="U1519">
        <v>2003</v>
      </c>
      <c r="V1519" t="s">
        <v>17</v>
      </c>
      <c r="W1519" t="s">
        <v>19</v>
      </c>
      <c r="X1519">
        <v>22</v>
      </c>
      <c r="Y1519" t="s">
        <v>43</v>
      </c>
      <c r="Z1519">
        <v>41</v>
      </c>
      <c r="AA1519">
        <v>67</v>
      </c>
      <c r="AB1519">
        <v>61.2</v>
      </c>
    </row>
    <row r="1520" spans="10:28">
      <c r="J1520" s="340" t="str">
        <f t="shared" si="95"/>
        <v>2004FemaleMaori252</v>
      </c>
      <c r="K1520">
        <v>2004</v>
      </c>
      <c r="L1520" t="s">
        <v>8</v>
      </c>
      <c r="M1520" t="s">
        <v>18</v>
      </c>
      <c r="N1520">
        <v>25</v>
      </c>
      <c r="O1520">
        <v>2</v>
      </c>
      <c r="P1520">
        <v>0</v>
      </c>
      <c r="Q1520">
        <v>0</v>
      </c>
      <c r="T1520" s="340" t="str">
        <f t="shared" si="96"/>
        <v>2003AllSexNon-Maori23Hanging, strangulation and suffocation</v>
      </c>
      <c r="U1520">
        <v>2003</v>
      </c>
      <c r="V1520" t="s">
        <v>17</v>
      </c>
      <c r="W1520" t="s">
        <v>19</v>
      </c>
      <c r="X1520">
        <v>23</v>
      </c>
      <c r="Y1520" t="s">
        <v>43</v>
      </c>
      <c r="Z1520">
        <v>73</v>
      </c>
      <c r="AA1520">
        <v>171</v>
      </c>
      <c r="AB1520">
        <v>42.7</v>
      </c>
    </row>
    <row r="1521" spans="10:28">
      <c r="J1521" s="340" t="str">
        <f t="shared" si="95"/>
        <v>2004FemaleMaori253</v>
      </c>
      <c r="K1521">
        <v>2004</v>
      </c>
      <c r="L1521" t="s">
        <v>8</v>
      </c>
      <c r="M1521" t="s">
        <v>18</v>
      </c>
      <c r="N1521">
        <v>25</v>
      </c>
      <c r="O1521">
        <v>3</v>
      </c>
      <c r="P1521">
        <v>0</v>
      </c>
      <c r="Q1521">
        <v>0</v>
      </c>
      <c r="T1521" s="340" t="str">
        <f t="shared" si="96"/>
        <v>2003AllSexNon-Maori24Hanging, strangulation and suffocation</v>
      </c>
      <c r="U1521">
        <v>2003</v>
      </c>
      <c r="V1521" t="s">
        <v>17</v>
      </c>
      <c r="W1521" t="s">
        <v>19</v>
      </c>
      <c r="X1521">
        <v>24</v>
      </c>
      <c r="Y1521" t="s">
        <v>43</v>
      </c>
      <c r="Z1521">
        <v>42</v>
      </c>
      <c r="AA1521">
        <v>130</v>
      </c>
      <c r="AB1521">
        <v>32.299999999999997</v>
      </c>
    </row>
    <row r="1522" spans="10:28">
      <c r="J1522" s="340" t="str">
        <f t="shared" si="95"/>
        <v>2004FemaleMaori254</v>
      </c>
      <c r="K1522">
        <v>2004</v>
      </c>
      <c r="L1522" t="s">
        <v>8</v>
      </c>
      <c r="M1522" t="s">
        <v>18</v>
      </c>
      <c r="N1522">
        <v>25</v>
      </c>
      <c r="O1522">
        <v>4</v>
      </c>
      <c r="P1522">
        <v>0</v>
      </c>
      <c r="Q1522">
        <v>0</v>
      </c>
      <c r="T1522" s="340" t="str">
        <f t="shared" si="96"/>
        <v>2003AllSexNon-Maori25Hanging, strangulation and suffocation</v>
      </c>
      <c r="U1522">
        <v>2003</v>
      </c>
      <c r="V1522" t="s">
        <v>17</v>
      </c>
      <c r="W1522" t="s">
        <v>19</v>
      </c>
      <c r="X1522">
        <v>25</v>
      </c>
      <c r="Y1522" t="s">
        <v>43</v>
      </c>
      <c r="Z1522">
        <v>26</v>
      </c>
      <c r="AA1522">
        <v>67</v>
      </c>
      <c r="AB1522">
        <v>38.799999999999997</v>
      </c>
    </row>
    <row r="1523" spans="10:28">
      <c r="J1523" s="340" t="str">
        <f t="shared" si="95"/>
        <v>2004FemaleMaori255</v>
      </c>
      <c r="K1523">
        <v>2004</v>
      </c>
      <c r="L1523" t="s">
        <v>8</v>
      </c>
      <c r="M1523" t="s">
        <v>18</v>
      </c>
      <c r="N1523">
        <v>25</v>
      </c>
      <c r="O1523">
        <v>5</v>
      </c>
      <c r="P1523">
        <v>0</v>
      </c>
      <c r="Q1523">
        <v>0</v>
      </c>
      <c r="T1523" s="340" t="str">
        <f t="shared" si="96"/>
        <v>2003AllSexNon-Maori22Jumping from a high place</v>
      </c>
      <c r="U1523">
        <v>2003</v>
      </c>
      <c r="V1523" t="s">
        <v>17</v>
      </c>
      <c r="W1523" t="s">
        <v>19</v>
      </c>
      <c r="X1523">
        <v>22</v>
      </c>
      <c r="Y1523" t="s">
        <v>44</v>
      </c>
      <c r="Z1523">
        <v>5</v>
      </c>
      <c r="AA1523">
        <v>67</v>
      </c>
      <c r="AB1523">
        <v>7.5</v>
      </c>
    </row>
    <row r="1524" spans="10:28">
      <c r="J1524" s="340" t="str">
        <f t="shared" si="95"/>
        <v>2004FemaleNon-Maori211</v>
      </c>
      <c r="K1524">
        <v>2004</v>
      </c>
      <c r="L1524" t="s">
        <v>8</v>
      </c>
      <c r="M1524" t="s">
        <v>19</v>
      </c>
      <c r="N1524">
        <v>21</v>
      </c>
      <c r="O1524">
        <v>1</v>
      </c>
      <c r="P1524">
        <v>0</v>
      </c>
      <c r="Q1524">
        <v>0</v>
      </c>
      <c r="T1524" s="340" t="str">
        <f t="shared" si="96"/>
        <v>2003AllSexNon-Maori23Jumping from a high place</v>
      </c>
      <c r="U1524">
        <v>2003</v>
      </c>
      <c r="V1524" t="s">
        <v>17</v>
      </c>
      <c r="W1524" t="s">
        <v>19</v>
      </c>
      <c r="X1524">
        <v>23</v>
      </c>
      <c r="Y1524" t="s">
        <v>44</v>
      </c>
      <c r="Z1524">
        <v>3</v>
      </c>
      <c r="AA1524">
        <v>171</v>
      </c>
      <c r="AB1524">
        <v>1.8</v>
      </c>
    </row>
    <row r="1525" spans="10:28">
      <c r="J1525" s="340" t="str">
        <f t="shared" si="95"/>
        <v>2004FemaleNon-Maori212</v>
      </c>
      <c r="K1525">
        <v>2004</v>
      </c>
      <c r="L1525" t="s">
        <v>8</v>
      </c>
      <c r="M1525" t="s">
        <v>19</v>
      </c>
      <c r="N1525">
        <v>21</v>
      </c>
      <c r="O1525">
        <v>2</v>
      </c>
      <c r="P1525">
        <v>0</v>
      </c>
      <c r="Q1525">
        <v>0</v>
      </c>
      <c r="T1525" s="340" t="str">
        <f t="shared" si="96"/>
        <v>2003AllSexNon-Maori24Jumping from a high place</v>
      </c>
      <c r="U1525">
        <v>2003</v>
      </c>
      <c r="V1525" t="s">
        <v>17</v>
      </c>
      <c r="W1525" t="s">
        <v>19</v>
      </c>
      <c r="X1525">
        <v>24</v>
      </c>
      <c r="Y1525" t="s">
        <v>44</v>
      </c>
      <c r="Z1525">
        <v>3</v>
      </c>
      <c r="AA1525">
        <v>130</v>
      </c>
      <c r="AB1525">
        <v>2.2999999999999998</v>
      </c>
    </row>
    <row r="1526" spans="10:28">
      <c r="J1526" s="340" t="str">
        <f t="shared" si="95"/>
        <v>2004FemaleNon-Maori213</v>
      </c>
      <c r="K1526">
        <v>2004</v>
      </c>
      <c r="L1526" t="s">
        <v>8</v>
      </c>
      <c r="M1526" t="s">
        <v>19</v>
      </c>
      <c r="N1526">
        <v>21</v>
      </c>
      <c r="O1526">
        <v>3</v>
      </c>
      <c r="P1526">
        <v>0</v>
      </c>
      <c r="Q1526">
        <v>0</v>
      </c>
      <c r="T1526" s="340" t="str">
        <f t="shared" si="96"/>
        <v>2003AllSexNon-Maori22Other</v>
      </c>
      <c r="U1526">
        <v>2003</v>
      </c>
      <c r="V1526" t="s">
        <v>17</v>
      </c>
      <c r="W1526" t="s">
        <v>19</v>
      </c>
      <c r="X1526">
        <v>22</v>
      </c>
      <c r="Y1526" t="s">
        <v>45</v>
      </c>
      <c r="Z1526">
        <v>3</v>
      </c>
      <c r="AA1526">
        <v>67</v>
      </c>
      <c r="AB1526">
        <v>4.5</v>
      </c>
    </row>
    <row r="1527" spans="10:28">
      <c r="J1527" s="340" t="str">
        <f t="shared" si="95"/>
        <v>2004FemaleNon-Maori214</v>
      </c>
      <c r="K1527">
        <v>2004</v>
      </c>
      <c r="L1527" t="s">
        <v>8</v>
      </c>
      <c r="M1527" t="s">
        <v>19</v>
      </c>
      <c r="N1527">
        <v>21</v>
      </c>
      <c r="O1527">
        <v>4</v>
      </c>
      <c r="P1527">
        <v>1</v>
      </c>
      <c r="Q1527">
        <v>1.7717478827367701</v>
      </c>
      <c r="R1527">
        <v>3.5</v>
      </c>
      <c r="T1527" s="340" t="str">
        <f t="shared" si="96"/>
        <v>2003AllSexNon-Maori23Other</v>
      </c>
      <c r="U1527">
        <v>2003</v>
      </c>
      <c r="V1527" t="s">
        <v>17</v>
      </c>
      <c r="W1527" t="s">
        <v>19</v>
      </c>
      <c r="X1527">
        <v>23</v>
      </c>
      <c r="Y1527" t="s">
        <v>45</v>
      </c>
      <c r="Z1527">
        <v>8</v>
      </c>
      <c r="AA1527">
        <v>171</v>
      </c>
      <c r="AB1527">
        <v>4.7</v>
      </c>
    </row>
    <row r="1528" spans="10:28">
      <c r="J1528" s="340" t="str">
        <f t="shared" si="95"/>
        <v>2004FemaleNon-Maori215</v>
      </c>
      <c r="K1528">
        <v>2004</v>
      </c>
      <c r="L1528" t="s">
        <v>8</v>
      </c>
      <c r="M1528" t="s">
        <v>19</v>
      </c>
      <c r="N1528">
        <v>21</v>
      </c>
      <c r="O1528">
        <v>5</v>
      </c>
      <c r="P1528">
        <v>0</v>
      </c>
      <c r="Q1528">
        <v>0</v>
      </c>
      <c r="T1528" s="340" t="str">
        <f t="shared" si="96"/>
        <v>2003AllSexNon-Maori24Other</v>
      </c>
      <c r="U1528">
        <v>2003</v>
      </c>
      <c r="V1528" t="s">
        <v>17</v>
      </c>
      <c r="W1528" t="s">
        <v>19</v>
      </c>
      <c r="X1528">
        <v>24</v>
      </c>
      <c r="Y1528" t="s">
        <v>45</v>
      </c>
      <c r="Z1528">
        <v>8</v>
      </c>
      <c r="AA1528">
        <v>130</v>
      </c>
      <c r="AB1528">
        <v>6.2</v>
      </c>
    </row>
    <row r="1529" spans="10:28">
      <c r="J1529" s="340" t="str">
        <f t="shared" si="95"/>
        <v>2004FemaleNon-Maori221</v>
      </c>
      <c r="K1529">
        <v>2004</v>
      </c>
      <c r="L1529" t="s">
        <v>8</v>
      </c>
      <c r="M1529" t="s">
        <v>19</v>
      </c>
      <c r="N1529">
        <v>22</v>
      </c>
      <c r="O1529">
        <v>1</v>
      </c>
      <c r="P1529">
        <v>2</v>
      </c>
      <c r="Q1529">
        <v>4.5581983249023503</v>
      </c>
      <c r="R1529">
        <v>6.3</v>
      </c>
      <c r="T1529" s="340" t="str">
        <f t="shared" si="96"/>
        <v>2003AllSexNon-Maori25Other</v>
      </c>
      <c r="U1529">
        <v>2003</v>
      </c>
      <c r="V1529" t="s">
        <v>17</v>
      </c>
      <c r="W1529" t="s">
        <v>19</v>
      </c>
      <c r="X1529">
        <v>25</v>
      </c>
      <c r="Y1529" t="s">
        <v>45</v>
      </c>
      <c r="Z1529">
        <v>1</v>
      </c>
      <c r="AA1529">
        <v>67</v>
      </c>
      <c r="AB1529">
        <v>1.5</v>
      </c>
    </row>
    <row r="1530" spans="10:28">
      <c r="J1530" s="340" t="str">
        <f t="shared" si="95"/>
        <v>2004FemaleNon-Maori222</v>
      </c>
      <c r="K1530">
        <v>2004</v>
      </c>
      <c r="L1530" t="s">
        <v>8</v>
      </c>
      <c r="M1530" t="s">
        <v>19</v>
      </c>
      <c r="N1530">
        <v>22</v>
      </c>
      <c r="O1530">
        <v>2</v>
      </c>
      <c r="P1530">
        <v>2</v>
      </c>
      <c r="Q1530">
        <v>4.4187406243493301</v>
      </c>
      <c r="R1530">
        <v>6.1</v>
      </c>
      <c r="T1530" s="340" t="str">
        <f t="shared" si="96"/>
        <v>2003AllSexNon-Maori22Poisoning by gases and vapours</v>
      </c>
      <c r="U1530">
        <v>2003</v>
      </c>
      <c r="V1530" t="s">
        <v>17</v>
      </c>
      <c r="W1530" t="s">
        <v>19</v>
      </c>
      <c r="X1530">
        <v>22</v>
      </c>
      <c r="Y1530" t="s">
        <v>46</v>
      </c>
      <c r="Z1530">
        <v>11</v>
      </c>
      <c r="AA1530">
        <v>67</v>
      </c>
      <c r="AB1530">
        <v>16.399999999999999</v>
      </c>
    </row>
    <row r="1531" spans="10:28">
      <c r="J1531" s="340" t="str">
        <f t="shared" si="95"/>
        <v>2004FemaleNon-Maori223</v>
      </c>
      <c r="K1531">
        <v>2004</v>
      </c>
      <c r="L1531" t="s">
        <v>8</v>
      </c>
      <c r="M1531" t="s">
        <v>19</v>
      </c>
      <c r="N1531">
        <v>22</v>
      </c>
      <c r="O1531">
        <v>3</v>
      </c>
      <c r="P1531">
        <v>3</v>
      </c>
      <c r="Q1531">
        <v>6.3874090084406703</v>
      </c>
      <c r="R1531">
        <v>7.2</v>
      </c>
      <c r="T1531" s="340" t="str">
        <f t="shared" si="96"/>
        <v>2003AllSexNon-Maori23Poisoning by gases and vapours</v>
      </c>
      <c r="U1531">
        <v>2003</v>
      </c>
      <c r="V1531" t="s">
        <v>17</v>
      </c>
      <c r="W1531" t="s">
        <v>19</v>
      </c>
      <c r="X1531">
        <v>23</v>
      </c>
      <c r="Y1531" t="s">
        <v>46</v>
      </c>
      <c r="Z1531">
        <v>43</v>
      </c>
      <c r="AA1531">
        <v>171</v>
      </c>
      <c r="AB1531">
        <v>25.1</v>
      </c>
    </row>
    <row r="1532" spans="10:28">
      <c r="J1532" s="340" t="str">
        <f t="shared" si="95"/>
        <v>2004FemaleNon-Maori224</v>
      </c>
      <c r="K1532">
        <v>2004</v>
      </c>
      <c r="L1532" t="s">
        <v>8</v>
      </c>
      <c r="M1532" t="s">
        <v>19</v>
      </c>
      <c r="N1532">
        <v>22</v>
      </c>
      <c r="O1532">
        <v>4</v>
      </c>
      <c r="P1532">
        <v>3</v>
      </c>
      <c r="Q1532">
        <v>6.2083145285290904</v>
      </c>
      <c r="R1532">
        <v>7</v>
      </c>
      <c r="T1532" s="340" t="str">
        <f t="shared" si="96"/>
        <v>2003AllSexNon-Maori24Poisoning by gases and vapours</v>
      </c>
      <c r="U1532">
        <v>2003</v>
      </c>
      <c r="V1532" t="s">
        <v>17</v>
      </c>
      <c r="W1532" t="s">
        <v>19</v>
      </c>
      <c r="X1532">
        <v>24</v>
      </c>
      <c r="Y1532" t="s">
        <v>46</v>
      </c>
      <c r="Z1532">
        <v>31</v>
      </c>
      <c r="AA1532">
        <v>130</v>
      </c>
      <c r="AB1532">
        <v>23.8</v>
      </c>
    </row>
    <row r="1533" spans="10:28">
      <c r="J1533" s="340" t="str">
        <f t="shared" si="95"/>
        <v>2004FemaleNon-Maori225</v>
      </c>
      <c r="K1533">
        <v>2004</v>
      </c>
      <c r="L1533" t="s">
        <v>8</v>
      </c>
      <c r="M1533" t="s">
        <v>19</v>
      </c>
      <c r="N1533">
        <v>22</v>
      </c>
      <c r="O1533">
        <v>5</v>
      </c>
      <c r="P1533">
        <v>6</v>
      </c>
      <c r="Q1533">
        <v>12.411681869893</v>
      </c>
      <c r="R1533">
        <v>9.9</v>
      </c>
      <c r="T1533" s="340" t="str">
        <f t="shared" si="96"/>
        <v>2003AllSexNon-Maori25Poisoning by gases and vapours</v>
      </c>
      <c r="U1533">
        <v>2003</v>
      </c>
      <c r="V1533" t="s">
        <v>17</v>
      </c>
      <c r="W1533" t="s">
        <v>19</v>
      </c>
      <c r="X1533">
        <v>25</v>
      </c>
      <c r="Y1533" t="s">
        <v>46</v>
      </c>
      <c r="Z1533">
        <v>12</v>
      </c>
      <c r="AA1533">
        <v>67</v>
      </c>
      <c r="AB1533">
        <v>17.899999999999999</v>
      </c>
    </row>
    <row r="1534" spans="10:28">
      <c r="J1534" s="340" t="str">
        <f t="shared" si="95"/>
        <v>2004FemaleNon-Maori231</v>
      </c>
      <c r="K1534">
        <v>2004</v>
      </c>
      <c r="L1534" t="s">
        <v>8</v>
      </c>
      <c r="M1534" t="s">
        <v>19</v>
      </c>
      <c r="N1534">
        <v>23</v>
      </c>
      <c r="O1534">
        <v>1</v>
      </c>
      <c r="P1534">
        <v>0</v>
      </c>
      <c r="Q1534">
        <v>0</v>
      </c>
      <c r="T1534" s="340" t="str">
        <f t="shared" si="96"/>
        <v>2003AllSexNon-Maori22Poisoning by solids and liquids</v>
      </c>
      <c r="U1534">
        <v>2003</v>
      </c>
      <c r="V1534" t="s">
        <v>17</v>
      </c>
      <c r="W1534" t="s">
        <v>19</v>
      </c>
      <c r="X1534">
        <v>22</v>
      </c>
      <c r="Y1534" t="s">
        <v>47</v>
      </c>
      <c r="Z1534">
        <v>3</v>
      </c>
      <c r="AA1534">
        <v>67</v>
      </c>
      <c r="AB1534">
        <v>4.5</v>
      </c>
    </row>
    <row r="1535" spans="10:28">
      <c r="J1535" s="340" t="str">
        <f t="shared" si="95"/>
        <v>2004FemaleNon-Maori232</v>
      </c>
      <c r="K1535">
        <v>2004</v>
      </c>
      <c r="L1535" t="s">
        <v>8</v>
      </c>
      <c r="M1535" t="s">
        <v>19</v>
      </c>
      <c r="N1535">
        <v>23</v>
      </c>
      <c r="O1535">
        <v>2</v>
      </c>
      <c r="P1535">
        <v>8</v>
      </c>
      <c r="Q1535">
        <v>6.8275524870205402</v>
      </c>
      <c r="R1535">
        <v>4.7</v>
      </c>
      <c r="T1535" s="340" t="str">
        <f t="shared" si="96"/>
        <v>2003AllSexNon-Maori23Poisoning by solids and liquids</v>
      </c>
      <c r="U1535">
        <v>2003</v>
      </c>
      <c r="V1535" t="s">
        <v>17</v>
      </c>
      <c r="W1535" t="s">
        <v>19</v>
      </c>
      <c r="X1535">
        <v>23</v>
      </c>
      <c r="Y1535" t="s">
        <v>47</v>
      </c>
      <c r="Z1535">
        <v>24</v>
      </c>
      <c r="AA1535">
        <v>171</v>
      </c>
      <c r="AB1535">
        <v>14</v>
      </c>
    </row>
    <row r="1536" spans="10:28">
      <c r="J1536" s="340" t="str">
        <f t="shared" si="95"/>
        <v>2004FemaleNon-Maori233</v>
      </c>
      <c r="K1536">
        <v>2004</v>
      </c>
      <c r="L1536" t="s">
        <v>8</v>
      </c>
      <c r="M1536" t="s">
        <v>19</v>
      </c>
      <c r="N1536">
        <v>23</v>
      </c>
      <c r="O1536">
        <v>3</v>
      </c>
      <c r="P1536">
        <v>8</v>
      </c>
      <c r="Q1536">
        <v>7.2110037457357397</v>
      </c>
      <c r="R1536">
        <v>5</v>
      </c>
      <c r="T1536" s="340" t="str">
        <f t="shared" si="96"/>
        <v>2003AllSexNon-Maori24Poisoning by solids and liquids</v>
      </c>
      <c r="U1536">
        <v>2003</v>
      </c>
      <c r="V1536" t="s">
        <v>17</v>
      </c>
      <c r="W1536" t="s">
        <v>19</v>
      </c>
      <c r="X1536">
        <v>24</v>
      </c>
      <c r="Y1536" t="s">
        <v>47</v>
      </c>
      <c r="Z1536">
        <v>22</v>
      </c>
      <c r="AA1536">
        <v>130</v>
      </c>
      <c r="AB1536">
        <v>16.899999999999999</v>
      </c>
    </row>
    <row r="1537" spans="10:28">
      <c r="J1537" s="340" t="str">
        <f t="shared" si="95"/>
        <v>2004FemaleNon-Maori234</v>
      </c>
      <c r="K1537">
        <v>2004</v>
      </c>
      <c r="L1537" t="s">
        <v>8</v>
      </c>
      <c r="M1537" t="s">
        <v>19</v>
      </c>
      <c r="N1537">
        <v>23</v>
      </c>
      <c r="O1537">
        <v>4</v>
      </c>
      <c r="P1537">
        <v>7</v>
      </c>
      <c r="Q1537">
        <v>6.9991640003201701</v>
      </c>
      <c r="R1537">
        <v>5.2</v>
      </c>
      <c r="T1537" s="340" t="str">
        <f t="shared" si="96"/>
        <v>2003AllSexNon-Maori25Poisoning by solids and liquids</v>
      </c>
      <c r="U1537">
        <v>2003</v>
      </c>
      <c r="V1537" t="s">
        <v>17</v>
      </c>
      <c r="W1537" t="s">
        <v>19</v>
      </c>
      <c r="X1537">
        <v>25</v>
      </c>
      <c r="Y1537" t="s">
        <v>47</v>
      </c>
      <c r="Z1537">
        <v>8</v>
      </c>
      <c r="AA1537">
        <v>67</v>
      </c>
      <c r="AB1537">
        <v>11.9</v>
      </c>
    </row>
    <row r="1538" spans="10:28">
      <c r="J1538" s="340" t="str">
        <f t="shared" si="95"/>
        <v>2004FemaleNon-Maori235</v>
      </c>
      <c r="K1538">
        <v>2004</v>
      </c>
      <c r="L1538" t="s">
        <v>8</v>
      </c>
      <c r="M1538" t="s">
        <v>19</v>
      </c>
      <c r="N1538">
        <v>23</v>
      </c>
      <c r="O1538">
        <v>5</v>
      </c>
      <c r="P1538">
        <v>4</v>
      </c>
      <c r="Q1538">
        <v>5.1876886968622102</v>
      </c>
      <c r="R1538">
        <v>5.0999999999999996</v>
      </c>
      <c r="T1538" s="340" t="str">
        <f t="shared" si="96"/>
        <v>2003AllSexNon-Maori22Sharp object</v>
      </c>
      <c r="U1538">
        <v>2003</v>
      </c>
      <c r="V1538" t="s">
        <v>17</v>
      </c>
      <c r="W1538" t="s">
        <v>19</v>
      </c>
      <c r="X1538">
        <v>22</v>
      </c>
      <c r="Y1538" t="s">
        <v>48</v>
      </c>
      <c r="Z1538">
        <v>1</v>
      </c>
      <c r="AA1538">
        <v>67</v>
      </c>
      <c r="AB1538">
        <v>1.5</v>
      </c>
    </row>
    <row r="1539" spans="10:28">
      <c r="J1539" s="340" t="str">
        <f t="shared" si="95"/>
        <v>2004FemaleNon-Maori241</v>
      </c>
      <c r="K1539">
        <v>2004</v>
      </c>
      <c r="L1539" t="s">
        <v>8</v>
      </c>
      <c r="M1539" t="s">
        <v>19</v>
      </c>
      <c r="N1539">
        <v>24</v>
      </c>
      <c r="O1539">
        <v>1</v>
      </c>
      <c r="P1539">
        <v>2</v>
      </c>
      <c r="Q1539">
        <v>1.74965260150727</v>
      </c>
      <c r="R1539">
        <v>2.4</v>
      </c>
      <c r="T1539" s="340" t="str">
        <f t="shared" si="96"/>
        <v>2003AllSexNon-Maori23Sharp object</v>
      </c>
      <c r="U1539">
        <v>2003</v>
      </c>
      <c r="V1539" t="s">
        <v>17</v>
      </c>
      <c r="W1539" t="s">
        <v>19</v>
      </c>
      <c r="X1539">
        <v>23</v>
      </c>
      <c r="Y1539" t="s">
        <v>48</v>
      </c>
      <c r="Z1539">
        <v>5</v>
      </c>
      <c r="AA1539">
        <v>171</v>
      </c>
      <c r="AB1539">
        <v>2.9</v>
      </c>
    </row>
    <row r="1540" spans="10:28">
      <c r="J1540" s="340" t="str">
        <f t="shared" ref="J1540:J1603" si="97">K1540&amp;L1540&amp;M1540&amp;N1540&amp;O1540</f>
        <v>2004FemaleNon-Maori242</v>
      </c>
      <c r="K1540">
        <v>2004</v>
      </c>
      <c r="L1540" t="s">
        <v>8</v>
      </c>
      <c r="M1540" t="s">
        <v>19</v>
      </c>
      <c r="N1540">
        <v>24</v>
      </c>
      <c r="O1540">
        <v>2</v>
      </c>
      <c r="P1540">
        <v>3</v>
      </c>
      <c r="Q1540">
        <v>3.0129682394713702</v>
      </c>
      <c r="R1540">
        <v>3.4</v>
      </c>
      <c r="T1540" s="340" t="str">
        <f t="shared" si="96"/>
        <v>2003AllSexNon-Maori24Sharp object</v>
      </c>
      <c r="U1540">
        <v>2003</v>
      </c>
      <c r="V1540" t="s">
        <v>17</v>
      </c>
      <c r="W1540" t="s">
        <v>19</v>
      </c>
      <c r="X1540">
        <v>24</v>
      </c>
      <c r="Y1540" t="s">
        <v>48</v>
      </c>
      <c r="Z1540">
        <v>5</v>
      </c>
      <c r="AA1540">
        <v>130</v>
      </c>
      <c r="AB1540">
        <v>3.8</v>
      </c>
    </row>
    <row r="1541" spans="10:28">
      <c r="J1541" s="340" t="str">
        <f t="shared" si="97"/>
        <v>2004FemaleNon-Maori243</v>
      </c>
      <c r="K1541">
        <v>2004</v>
      </c>
      <c r="L1541" t="s">
        <v>8</v>
      </c>
      <c r="M1541" t="s">
        <v>19</v>
      </c>
      <c r="N1541">
        <v>24</v>
      </c>
      <c r="O1541">
        <v>3</v>
      </c>
      <c r="P1541">
        <v>7</v>
      </c>
      <c r="Q1541">
        <v>8.0050149869393898</v>
      </c>
      <c r="R1541">
        <v>5.9</v>
      </c>
      <c r="T1541" s="340" t="str">
        <f t="shared" ref="T1541:T1604" si="98">U1541&amp;V1541&amp;W1541&amp;X1541&amp;Y1541</f>
        <v>2003AllSexNon-Maori25Sharp object</v>
      </c>
      <c r="U1541">
        <v>2003</v>
      </c>
      <c r="V1541" t="s">
        <v>17</v>
      </c>
      <c r="W1541" t="s">
        <v>19</v>
      </c>
      <c r="X1541">
        <v>25</v>
      </c>
      <c r="Y1541" t="s">
        <v>48</v>
      </c>
      <c r="Z1541">
        <v>6</v>
      </c>
      <c r="AA1541">
        <v>67</v>
      </c>
      <c r="AB1541">
        <v>9</v>
      </c>
    </row>
    <row r="1542" spans="10:28">
      <c r="J1542" s="340" t="str">
        <f t="shared" si="97"/>
        <v>2004FemaleNon-Maori244</v>
      </c>
      <c r="K1542">
        <v>2004</v>
      </c>
      <c r="L1542" t="s">
        <v>8</v>
      </c>
      <c r="M1542" t="s">
        <v>19</v>
      </c>
      <c r="N1542">
        <v>24</v>
      </c>
      <c r="O1542">
        <v>4</v>
      </c>
      <c r="P1542">
        <v>7</v>
      </c>
      <c r="Q1542">
        <v>9.2984515080670196</v>
      </c>
      <c r="R1542">
        <v>6.9</v>
      </c>
      <c r="T1542" s="340" t="str">
        <f t="shared" si="98"/>
        <v>2003AllSexNon-Maori23Submersion (drowning)</v>
      </c>
      <c r="U1542">
        <v>2003</v>
      </c>
      <c r="V1542" t="s">
        <v>17</v>
      </c>
      <c r="W1542" t="s">
        <v>19</v>
      </c>
      <c r="X1542">
        <v>23</v>
      </c>
      <c r="Y1542" t="s">
        <v>49</v>
      </c>
      <c r="Z1542">
        <v>6</v>
      </c>
      <c r="AA1542">
        <v>171</v>
      </c>
      <c r="AB1542">
        <v>3.5</v>
      </c>
    </row>
    <row r="1543" spans="10:28">
      <c r="J1543" s="340" t="str">
        <f t="shared" si="97"/>
        <v>2004FemaleNon-Maori245</v>
      </c>
      <c r="K1543">
        <v>2004</v>
      </c>
      <c r="L1543" t="s">
        <v>8</v>
      </c>
      <c r="M1543" t="s">
        <v>19</v>
      </c>
      <c r="N1543">
        <v>24</v>
      </c>
      <c r="O1543">
        <v>5</v>
      </c>
      <c r="P1543">
        <v>7</v>
      </c>
      <c r="Q1543">
        <v>12.7190693422506</v>
      </c>
      <c r="R1543">
        <v>9.4</v>
      </c>
      <c r="T1543" s="340" t="str">
        <f t="shared" si="98"/>
        <v>2003AllSexNon-Maori24Submersion (drowning)</v>
      </c>
      <c r="U1543">
        <v>2003</v>
      </c>
      <c r="V1543" t="s">
        <v>17</v>
      </c>
      <c r="W1543" t="s">
        <v>19</v>
      </c>
      <c r="X1543">
        <v>24</v>
      </c>
      <c r="Y1543" t="s">
        <v>49</v>
      </c>
      <c r="Z1543">
        <v>5</v>
      </c>
      <c r="AA1543">
        <v>130</v>
      </c>
      <c r="AB1543">
        <v>3.8</v>
      </c>
    </row>
    <row r="1544" spans="10:28">
      <c r="J1544" s="340" t="str">
        <f t="shared" si="97"/>
        <v>2004FemaleNon-Maori251</v>
      </c>
      <c r="K1544">
        <v>2004</v>
      </c>
      <c r="L1544" t="s">
        <v>8</v>
      </c>
      <c r="M1544" t="s">
        <v>19</v>
      </c>
      <c r="N1544">
        <v>25</v>
      </c>
      <c r="O1544">
        <v>1</v>
      </c>
      <c r="P1544">
        <v>0</v>
      </c>
      <c r="Q1544">
        <v>0</v>
      </c>
      <c r="T1544" s="340" t="str">
        <f t="shared" si="98"/>
        <v>2003AllSexNon-Maori25Submersion (drowning)</v>
      </c>
      <c r="U1544">
        <v>2003</v>
      </c>
      <c r="V1544" t="s">
        <v>17</v>
      </c>
      <c r="W1544" t="s">
        <v>19</v>
      </c>
      <c r="X1544">
        <v>25</v>
      </c>
      <c r="Y1544" t="s">
        <v>49</v>
      </c>
      <c r="Z1544">
        <v>2</v>
      </c>
      <c r="AA1544">
        <v>67</v>
      </c>
      <c r="AB1544">
        <v>3</v>
      </c>
    </row>
    <row r="1545" spans="10:28">
      <c r="J1545" s="340" t="str">
        <f t="shared" si="97"/>
        <v>2004FemaleNon-Maori252</v>
      </c>
      <c r="K1545">
        <v>2004</v>
      </c>
      <c r="L1545" t="s">
        <v>8</v>
      </c>
      <c r="M1545" t="s">
        <v>19</v>
      </c>
      <c r="N1545">
        <v>25</v>
      </c>
      <c r="O1545">
        <v>2</v>
      </c>
      <c r="P1545">
        <v>1</v>
      </c>
      <c r="Q1545">
        <v>1.84101197351986</v>
      </c>
      <c r="R1545">
        <v>3.6</v>
      </c>
      <c r="T1545" s="340" t="str">
        <f t="shared" si="98"/>
        <v>2003FemaleAllEth22Firearms and explosives</v>
      </c>
      <c r="U1545">
        <v>2003</v>
      </c>
      <c r="V1545" t="s">
        <v>8</v>
      </c>
      <c r="W1545" t="s">
        <v>27</v>
      </c>
      <c r="X1545">
        <v>22</v>
      </c>
      <c r="Y1545" t="s">
        <v>42</v>
      </c>
      <c r="Z1545">
        <v>1</v>
      </c>
      <c r="AA1545">
        <v>31</v>
      </c>
      <c r="AB1545">
        <v>3.2</v>
      </c>
    </row>
    <row r="1546" spans="10:28">
      <c r="J1546" s="340" t="str">
        <f t="shared" si="97"/>
        <v>2004FemaleNon-Maori253</v>
      </c>
      <c r="K1546">
        <v>2004</v>
      </c>
      <c r="L1546" t="s">
        <v>8</v>
      </c>
      <c r="M1546" t="s">
        <v>19</v>
      </c>
      <c r="N1546">
        <v>25</v>
      </c>
      <c r="O1546">
        <v>3</v>
      </c>
      <c r="P1546">
        <v>4</v>
      </c>
      <c r="Q1546">
        <v>7.0121717314376903</v>
      </c>
      <c r="R1546">
        <v>6.9</v>
      </c>
      <c r="T1546" s="340" t="str">
        <f t="shared" si="98"/>
        <v>2003FemaleAllEth24Firearms and explosives</v>
      </c>
      <c r="U1546">
        <v>2003</v>
      </c>
      <c r="V1546" t="s">
        <v>8</v>
      </c>
      <c r="W1546" t="s">
        <v>27</v>
      </c>
      <c r="X1546">
        <v>24</v>
      </c>
      <c r="Y1546" t="s">
        <v>42</v>
      </c>
      <c r="Z1546">
        <v>1</v>
      </c>
      <c r="AA1546">
        <v>35</v>
      </c>
      <c r="AB1546">
        <v>2.9</v>
      </c>
    </row>
    <row r="1547" spans="10:28">
      <c r="J1547" s="340" t="str">
        <f t="shared" si="97"/>
        <v>2004FemaleNon-Maori254</v>
      </c>
      <c r="K1547">
        <v>2004</v>
      </c>
      <c r="L1547" t="s">
        <v>8</v>
      </c>
      <c r="M1547" t="s">
        <v>19</v>
      </c>
      <c r="N1547">
        <v>25</v>
      </c>
      <c r="O1547">
        <v>4</v>
      </c>
      <c r="P1547">
        <v>2</v>
      </c>
      <c r="Q1547">
        <v>3.47137395534499</v>
      </c>
      <c r="R1547">
        <v>4.8</v>
      </c>
      <c r="T1547" s="340" t="str">
        <f t="shared" si="98"/>
        <v>2003FemaleAllEth25Firearms and explosives</v>
      </c>
      <c r="U1547">
        <v>2003</v>
      </c>
      <c r="V1547" t="s">
        <v>8</v>
      </c>
      <c r="W1547" t="s">
        <v>27</v>
      </c>
      <c r="X1547">
        <v>25</v>
      </c>
      <c r="Y1547" t="s">
        <v>42</v>
      </c>
      <c r="Z1547">
        <v>2</v>
      </c>
      <c r="AA1547">
        <v>21</v>
      </c>
      <c r="AB1547">
        <v>9.5</v>
      </c>
    </row>
    <row r="1548" spans="10:28">
      <c r="J1548" s="340" t="str">
        <f t="shared" si="97"/>
        <v>2004FemaleNon-Maori255</v>
      </c>
      <c r="K1548">
        <v>2004</v>
      </c>
      <c r="L1548" t="s">
        <v>8</v>
      </c>
      <c r="M1548" t="s">
        <v>19</v>
      </c>
      <c r="N1548">
        <v>25</v>
      </c>
      <c r="O1548">
        <v>5</v>
      </c>
      <c r="P1548">
        <v>2</v>
      </c>
      <c r="Q1548">
        <v>5.0406004169418903</v>
      </c>
      <c r="R1548">
        <v>7</v>
      </c>
      <c r="T1548" s="340" t="str">
        <f t="shared" si="98"/>
        <v>2003FemaleAllEth21Hanging, strangulation and suffocation</v>
      </c>
      <c r="U1548">
        <v>2003</v>
      </c>
      <c r="V1548" t="s">
        <v>8</v>
      </c>
      <c r="W1548" t="s">
        <v>27</v>
      </c>
      <c r="X1548">
        <v>21</v>
      </c>
      <c r="Y1548" t="s">
        <v>43</v>
      </c>
      <c r="Z1548">
        <v>1</v>
      </c>
      <c r="AA1548">
        <v>1</v>
      </c>
      <c r="AB1548">
        <v>100</v>
      </c>
    </row>
    <row r="1549" spans="10:28">
      <c r="J1549" s="340" t="str">
        <f t="shared" si="97"/>
        <v>2004MaleAllEth211</v>
      </c>
      <c r="K1549">
        <v>2004</v>
      </c>
      <c r="L1549" t="s">
        <v>20</v>
      </c>
      <c r="M1549" t="s">
        <v>27</v>
      </c>
      <c r="N1549">
        <v>21</v>
      </c>
      <c r="O1549">
        <v>1</v>
      </c>
      <c r="P1549">
        <v>0</v>
      </c>
      <c r="Q1549">
        <v>0</v>
      </c>
      <c r="T1549" s="340" t="str">
        <f t="shared" si="98"/>
        <v>2003FemaleAllEth22Hanging, strangulation and suffocation</v>
      </c>
      <c r="U1549">
        <v>2003</v>
      </c>
      <c r="V1549" t="s">
        <v>8</v>
      </c>
      <c r="W1549" t="s">
        <v>27</v>
      </c>
      <c r="X1549">
        <v>22</v>
      </c>
      <c r="Y1549" t="s">
        <v>43</v>
      </c>
      <c r="Z1549">
        <v>19</v>
      </c>
      <c r="AA1549">
        <v>31</v>
      </c>
      <c r="AB1549">
        <v>61.3</v>
      </c>
    </row>
    <row r="1550" spans="10:28">
      <c r="J1550" s="340" t="str">
        <f t="shared" si="97"/>
        <v>2004MaleAllEth212</v>
      </c>
      <c r="K1550">
        <v>2004</v>
      </c>
      <c r="L1550" t="s">
        <v>20</v>
      </c>
      <c r="M1550" t="s">
        <v>27</v>
      </c>
      <c r="N1550">
        <v>21</v>
      </c>
      <c r="O1550">
        <v>2</v>
      </c>
      <c r="P1550">
        <v>1</v>
      </c>
      <c r="Q1550">
        <v>1.14797483298261</v>
      </c>
      <c r="R1550">
        <v>2.2000000000000002</v>
      </c>
      <c r="T1550" s="340" t="str">
        <f t="shared" si="98"/>
        <v>2003FemaleAllEth23Hanging, strangulation and suffocation</v>
      </c>
      <c r="U1550">
        <v>2003</v>
      </c>
      <c r="V1550" t="s">
        <v>8</v>
      </c>
      <c r="W1550" t="s">
        <v>27</v>
      </c>
      <c r="X1550">
        <v>23</v>
      </c>
      <c r="Y1550" t="s">
        <v>43</v>
      </c>
      <c r="Z1550">
        <v>23</v>
      </c>
      <c r="AA1550">
        <v>54</v>
      </c>
      <c r="AB1550">
        <v>42.6</v>
      </c>
    </row>
    <row r="1551" spans="10:28">
      <c r="J1551" s="340" t="str">
        <f t="shared" si="97"/>
        <v>2004MaleAllEth213</v>
      </c>
      <c r="K1551">
        <v>2004</v>
      </c>
      <c r="L1551" t="s">
        <v>20</v>
      </c>
      <c r="M1551" t="s">
        <v>27</v>
      </c>
      <c r="N1551">
        <v>21</v>
      </c>
      <c r="O1551">
        <v>3</v>
      </c>
      <c r="P1551">
        <v>0</v>
      </c>
      <c r="Q1551">
        <v>0</v>
      </c>
      <c r="T1551" s="340" t="str">
        <f t="shared" si="98"/>
        <v>2003FemaleAllEth24Hanging, strangulation and suffocation</v>
      </c>
      <c r="U1551">
        <v>2003</v>
      </c>
      <c r="V1551" t="s">
        <v>8</v>
      </c>
      <c r="W1551" t="s">
        <v>27</v>
      </c>
      <c r="X1551">
        <v>24</v>
      </c>
      <c r="Y1551" t="s">
        <v>43</v>
      </c>
      <c r="Z1551">
        <v>7</v>
      </c>
      <c r="AA1551">
        <v>35</v>
      </c>
      <c r="AB1551">
        <v>20</v>
      </c>
    </row>
    <row r="1552" spans="10:28">
      <c r="J1552" s="340" t="str">
        <f t="shared" si="97"/>
        <v>2004MaleAllEth214</v>
      </c>
      <c r="K1552">
        <v>2004</v>
      </c>
      <c r="L1552" t="s">
        <v>20</v>
      </c>
      <c r="M1552" t="s">
        <v>27</v>
      </c>
      <c r="N1552">
        <v>21</v>
      </c>
      <c r="O1552">
        <v>4</v>
      </c>
      <c r="P1552">
        <v>1</v>
      </c>
      <c r="Q1552">
        <v>1.16330497843229</v>
      </c>
      <c r="R1552">
        <v>2.2999999999999998</v>
      </c>
      <c r="T1552" s="340" t="str">
        <f t="shared" si="98"/>
        <v>2003FemaleAllEth25Hanging, strangulation and suffocation</v>
      </c>
      <c r="U1552">
        <v>2003</v>
      </c>
      <c r="V1552" t="s">
        <v>8</v>
      </c>
      <c r="W1552" t="s">
        <v>27</v>
      </c>
      <c r="X1552">
        <v>25</v>
      </c>
      <c r="Y1552" t="s">
        <v>43</v>
      </c>
      <c r="Z1552">
        <v>12</v>
      </c>
      <c r="AA1552">
        <v>21</v>
      </c>
      <c r="AB1552">
        <v>57.1</v>
      </c>
    </row>
    <row r="1553" spans="10:28">
      <c r="J1553" s="340" t="str">
        <f t="shared" si="97"/>
        <v>2004MaleAllEth215</v>
      </c>
      <c r="K1553">
        <v>2004</v>
      </c>
      <c r="L1553" t="s">
        <v>20</v>
      </c>
      <c r="M1553" t="s">
        <v>27</v>
      </c>
      <c r="N1553">
        <v>21</v>
      </c>
      <c r="O1553">
        <v>5</v>
      </c>
      <c r="P1553">
        <v>2</v>
      </c>
      <c r="Q1553">
        <v>1.8461968273553999</v>
      </c>
      <c r="R1553">
        <v>2.6</v>
      </c>
      <c r="T1553" s="340" t="str">
        <f t="shared" si="98"/>
        <v>2003FemaleAllEth22Jumping from a high place</v>
      </c>
      <c r="U1553">
        <v>2003</v>
      </c>
      <c r="V1553" t="s">
        <v>8</v>
      </c>
      <c r="W1553" t="s">
        <v>27</v>
      </c>
      <c r="X1553">
        <v>22</v>
      </c>
      <c r="Y1553" t="s">
        <v>44</v>
      </c>
      <c r="Z1553">
        <v>3</v>
      </c>
      <c r="AA1553">
        <v>31</v>
      </c>
      <c r="AB1553">
        <v>9.6999999999999993</v>
      </c>
    </row>
    <row r="1554" spans="10:28">
      <c r="J1554" s="340" t="str">
        <f t="shared" si="97"/>
        <v>2004MaleAllEth221</v>
      </c>
      <c r="K1554">
        <v>2004</v>
      </c>
      <c r="L1554" t="s">
        <v>20</v>
      </c>
      <c r="M1554" t="s">
        <v>27</v>
      </c>
      <c r="N1554">
        <v>22</v>
      </c>
      <c r="O1554">
        <v>1</v>
      </c>
      <c r="P1554">
        <v>9</v>
      </c>
      <c r="Q1554">
        <v>17.530080152812602</v>
      </c>
      <c r="R1554">
        <v>11.5</v>
      </c>
      <c r="T1554" s="340" t="str">
        <f t="shared" si="98"/>
        <v>2003FemaleAllEth23Jumping from a high place</v>
      </c>
      <c r="U1554">
        <v>2003</v>
      </c>
      <c r="V1554" t="s">
        <v>8</v>
      </c>
      <c r="W1554" t="s">
        <v>27</v>
      </c>
      <c r="X1554">
        <v>23</v>
      </c>
      <c r="Y1554" t="s">
        <v>44</v>
      </c>
      <c r="Z1554">
        <v>2</v>
      </c>
      <c r="AA1554">
        <v>54</v>
      </c>
      <c r="AB1554">
        <v>3.7</v>
      </c>
    </row>
    <row r="1555" spans="10:28">
      <c r="J1555" s="340" t="str">
        <f t="shared" si="97"/>
        <v>2004MaleAllEth222</v>
      </c>
      <c r="K1555">
        <v>2004</v>
      </c>
      <c r="L1555" t="s">
        <v>20</v>
      </c>
      <c r="M1555" t="s">
        <v>27</v>
      </c>
      <c r="N1555">
        <v>22</v>
      </c>
      <c r="O1555">
        <v>2</v>
      </c>
      <c r="P1555">
        <v>11</v>
      </c>
      <c r="Q1555">
        <v>20.249413748980398</v>
      </c>
      <c r="R1555">
        <v>12</v>
      </c>
      <c r="T1555" s="340" t="str">
        <f t="shared" si="98"/>
        <v>2003FemaleAllEth24Jumping from a high place</v>
      </c>
      <c r="U1555">
        <v>2003</v>
      </c>
      <c r="V1555" t="s">
        <v>8</v>
      </c>
      <c r="W1555" t="s">
        <v>27</v>
      </c>
      <c r="X1555">
        <v>24</v>
      </c>
      <c r="Y1555" t="s">
        <v>44</v>
      </c>
      <c r="Z1555">
        <v>3</v>
      </c>
      <c r="AA1555">
        <v>35</v>
      </c>
      <c r="AB1555">
        <v>8.6</v>
      </c>
    </row>
    <row r="1556" spans="10:28">
      <c r="J1556" s="340" t="str">
        <f t="shared" si="97"/>
        <v>2004MaleAllEth223</v>
      </c>
      <c r="K1556">
        <v>2004</v>
      </c>
      <c r="L1556" t="s">
        <v>20</v>
      </c>
      <c r="M1556" t="s">
        <v>27</v>
      </c>
      <c r="N1556">
        <v>22</v>
      </c>
      <c r="O1556">
        <v>3</v>
      </c>
      <c r="P1556">
        <v>15</v>
      </c>
      <c r="Q1556">
        <v>25.932451237274499</v>
      </c>
      <c r="R1556">
        <v>13.1</v>
      </c>
      <c r="T1556" s="340" t="str">
        <f t="shared" si="98"/>
        <v>2003FemaleAllEth24Other</v>
      </c>
      <c r="U1556">
        <v>2003</v>
      </c>
      <c r="V1556" t="s">
        <v>8</v>
      </c>
      <c r="W1556" t="s">
        <v>27</v>
      </c>
      <c r="X1556">
        <v>24</v>
      </c>
      <c r="Y1556" t="s">
        <v>45</v>
      </c>
      <c r="Z1556">
        <v>2</v>
      </c>
      <c r="AA1556">
        <v>35</v>
      </c>
      <c r="AB1556">
        <v>5.7</v>
      </c>
    </row>
    <row r="1557" spans="10:28">
      <c r="J1557" s="340" t="str">
        <f t="shared" si="97"/>
        <v>2004MaleAllEth224</v>
      </c>
      <c r="K1557">
        <v>2004</v>
      </c>
      <c r="L1557" t="s">
        <v>20</v>
      </c>
      <c r="M1557" t="s">
        <v>27</v>
      </c>
      <c r="N1557">
        <v>22</v>
      </c>
      <c r="O1557">
        <v>4</v>
      </c>
      <c r="P1557">
        <v>18</v>
      </c>
      <c r="Q1557">
        <v>28.861388878821501</v>
      </c>
      <c r="R1557">
        <v>13.3</v>
      </c>
      <c r="T1557" s="340" t="str">
        <f t="shared" si="98"/>
        <v>2003FemaleAllEth22Poisoning by gases and vapours</v>
      </c>
      <c r="U1557">
        <v>2003</v>
      </c>
      <c r="V1557" t="s">
        <v>8</v>
      </c>
      <c r="W1557" t="s">
        <v>27</v>
      </c>
      <c r="X1557">
        <v>22</v>
      </c>
      <c r="Y1557" t="s">
        <v>46</v>
      </c>
      <c r="Z1557">
        <v>5</v>
      </c>
      <c r="AA1557">
        <v>31</v>
      </c>
      <c r="AB1557">
        <v>16.100000000000001</v>
      </c>
    </row>
    <row r="1558" spans="10:28">
      <c r="J1558" s="340" t="str">
        <f t="shared" si="97"/>
        <v>2004MaleAllEth225</v>
      </c>
      <c r="K1558">
        <v>2004</v>
      </c>
      <c r="L1558" t="s">
        <v>20</v>
      </c>
      <c r="M1558" t="s">
        <v>27</v>
      </c>
      <c r="N1558">
        <v>22</v>
      </c>
      <c r="O1558">
        <v>5</v>
      </c>
      <c r="P1558">
        <v>29</v>
      </c>
      <c r="Q1558">
        <v>41.060510888439403</v>
      </c>
      <c r="R1558">
        <v>14.9</v>
      </c>
      <c r="T1558" s="340" t="str">
        <f t="shared" si="98"/>
        <v>2003FemaleAllEth23Poisoning by gases and vapours</v>
      </c>
      <c r="U1558">
        <v>2003</v>
      </c>
      <c r="V1558" t="s">
        <v>8</v>
      </c>
      <c r="W1558" t="s">
        <v>27</v>
      </c>
      <c r="X1558">
        <v>23</v>
      </c>
      <c r="Y1558" t="s">
        <v>46</v>
      </c>
      <c r="Z1558">
        <v>13</v>
      </c>
      <c r="AA1558">
        <v>54</v>
      </c>
      <c r="AB1558">
        <v>24.1</v>
      </c>
    </row>
    <row r="1559" spans="10:28">
      <c r="J1559" s="340" t="str">
        <f t="shared" si="97"/>
        <v>2004MaleAllEth231</v>
      </c>
      <c r="K1559">
        <v>2004</v>
      </c>
      <c r="L1559" t="s">
        <v>20</v>
      </c>
      <c r="M1559" t="s">
        <v>27</v>
      </c>
      <c r="N1559">
        <v>23</v>
      </c>
      <c r="O1559">
        <v>1</v>
      </c>
      <c r="P1559">
        <v>26</v>
      </c>
      <c r="Q1559">
        <v>23.653277081724202</v>
      </c>
      <c r="R1559">
        <v>9.1</v>
      </c>
      <c r="T1559" s="340" t="str">
        <f t="shared" si="98"/>
        <v>2003FemaleAllEth24Poisoning by gases and vapours</v>
      </c>
      <c r="U1559">
        <v>2003</v>
      </c>
      <c r="V1559" t="s">
        <v>8</v>
      </c>
      <c r="W1559" t="s">
        <v>27</v>
      </c>
      <c r="X1559">
        <v>24</v>
      </c>
      <c r="Y1559" t="s">
        <v>46</v>
      </c>
      <c r="Z1559">
        <v>8</v>
      </c>
      <c r="AA1559">
        <v>35</v>
      </c>
      <c r="AB1559">
        <v>22.9</v>
      </c>
    </row>
    <row r="1560" spans="10:28">
      <c r="J1560" s="340" t="str">
        <f t="shared" si="97"/>
        <v>2004MaleAllEth232</v>
      </c>
      <c r="K1560">
        <v>2004</v>
      </c>
      <c r="L1560" t="s">
        <v>20</v>
      </c>
      <c r="M1560" t="s">
        <v>27</v>
      </c>
      <c r="N1560">
        <v>23</v>
      </c>
      <c r="O1560">
        <v>2</v>
      </c>
      <c r="P1560">
        <v>21</v>
      </c>
      <c r="Q1560">
        <v>17.9279385283625</v>
      </c>
      <c r="R1560">
        <v>7.7</v>
      </c>
      <c r="T1560" s="340" t="str">
        <f t="shared" si="98"/>
        <v>2003FemaleAllEth25Poisoning by gases and vapours</v>
      </c>
      <c r="U1560">
        <v>2003</v>
      </c>
      <c r="V1560" t="s">
        <v>8</v>
      </c>
      <c r="W1560" t="s">
        <v>27</v>
      </c>
      <c r="X1560">
        <v>25</v>
      </c>
      <c r="Y1560" t="s">
        <v>46</v>
      </c>
      <c r="Z1560">
        <v>3</v>
      </c>
      <c r="AA1560">
        <v>21</v>
      </c>
      <c r="AB1560">
        <v>14.3</v>
      </c>
    </row>
    <row r="1561" spans="10:28">
      <c r="J1561" s="340" t="str">
        <f t="shared" si="97"/>
        <v>2004MaleAllEth233</v>
      </c>
      <c r="K1561">
        <v>2004</v>
      </c>
      <c r="L1561" t="s">
        <v>20</v>
      </c>
      <c r="M1561" t="s">
        <v>27</v>
      </c>
      <c r="N1561">
        <v>23</v>
      </c>
      <c r="O1561">
        <v>3</v>
      </c>
      <c r="P1561">
        <v>28</v>
      </c>
      <c r="Q1561">
        <v>23.660259689111001</v>
      </c>
      <c r="R1561">
        <v>8.8000000000000007</v>
      </c>
      <c r="T1561" s="340" t="str">
        <f t="shared" si="98"/>
        <v>2003FemaleAllEth22Poisoning by solids and liquids</v>
      </c>
      <c r="U1561">
        <v>2003</v>
      </c>
      <c r="V1561" t="s">
        <v>8</v>
      </c>
      <c r="W1561" t="s">
        <v>27</v>
      </c>
      <c r="X1561">
        <v>22</v>
      </c>
      <c r="Y1561" t="s">
        <v>47</v>
      </c>
      <c r="Z1561">
        <v>3</v>
      </c>
      <c r="AA1561">
        <v>31</v>
      </c>
      <c r="AB1561">
        <v>9.6999999999999993</v>
      </c>
    </row>
    <row r="1562" spans="10:28">
      <c r="J1562" s="340" t="str">
        <f t="shared" si="97"/>
        <v>2004MaleAllEth234</v>
      </c>
      <c r="K1562">
        <v>2004</v>
      </c>
      <c r="L1562" t="s">
        <v>20</v>
      </c>
      <c r="M1562" t="s">
        <v>27</v>
      </c>
      <c r="N1562">
        <v>23</v>
      </c>
      <c r="O1562">
        <v>4</v>
      </c>
      <c r="P1562">
        <v>39</v>
      </c>
      <c r="Q1562">
        <v>33.508188078186997</v>
      </c>
      <c r="R1562">
        <v>10.5</v>
      </c>
      <c r="T1562" s="340" t="str">
        <f t="shared" si="98"/>
        <v>2003FemaleAllEth23Poisoning by solids and liquids</v>
      </c>
      <c r="U1562">
        <v>2003</v>
      </c>
      <c r="V1562" t="s">
        <v>8</v>
      </c>
      <c r="W1562" t="s">
        <v>27</v>
      </c>
      <c r="X1562">
        <v>23</v>
      </c>
      <c r="Y1562" t="s">
        <v>47</v>
      </c>
      <c r="Z1562">
        <v>11</v>
      </c>
      <c r="AA1562">
        <v>54</v>
      </c>
      <c r="AB1562">
        <v>20.399999999999999</v>
      </c>
    </row>
    <row r="1563" spans="10:28">
      <c r="J1563" s="340" t="str">
        <f t="shared" si="97"/>
        <v>2004MaleAllEth235</v>
      </c>
      <c r="K1563">
        <v>2004</v>
      </c>
      <c r="L1563" t="s">
        <v>20</v>
      </c>
      <c r="M1563" t="s">
        <v>27</v>
      </c>
      <c r="N1563">
        <v>23</v>
      </c>
      <c r="O1563">
        <v>5</v>
      </c>
      <c r="P1563">
        <v>38</v>
      </c>
      <c r="Q1563">
        <v>35.381194286044298</v>
      </c>
      <c r="R1563">
        <v>11.2</v>
      </c>
      <c r="T1563" s="340" t="str">
        <f t="shared" si="98"/>
        <v>2003FemaleAllEth24Poisoning by solids and liquids</v>
      </c>
      <c r="U1563">
        <v>2003</v>
      </c>
      <c r="V1563" t="s">
        <v>8</v>
      </c>
      <c r="W1563" t="s">
        <v>27</v>
      </c>
      <c r="X1563">
        <v>24</v>
      </c>
      <c r="Y1563" t="s">
        <v>47</v>
      </c>
      <c r="Z1563">
        <v>9</v>
      </c>
      <c r="AA1563">
        <v>35</v>
      </c>
      <c r="AB1563">
        <v>25.7</v>
      </c>
    </row>
    <row r="1564" spans="10:28">
      <c r="J1564" s="340" t="str">
        <f t="shared" si="97"/>
        <v>2004MaleAllEth241</v>
      </c>
      <c r="K1564">
        <v>2004</v>
      </c>
      <c r="L1564" t="s">
        <v>20</v>
      </c>
      <c r="M1564" t="s">
        <v>27</v>
      </c>
      <c r="N1564">
        <v>24</v>
      </c>
      <c r="O1564">
        <v>1</v>
      </c>
      <c r="P1564">
        <v>11</v>
      </c>
      <c r="Q1564">
        <v>9.4363389394529804</v>
      </c>
      <c r="R1564">
        <v>5.6</v>
      </c>
      <c r="T1564" s="340" t="str">
        <f t="shared" si="98"/>
        <v>2003FemaleAllEth25Poisoning by solids and liquids</v>
      </c>
      <c r="U1564">
        <v>2003</v>
      </c>
      <c r="V1564" t="s">
        <v>8</v>
      </c>
      <c r="W1564" t="s">
        <v>27</v>
      </c>
      <c r="X1564">
        <v>25</v>
      </c>
      <c r="Y1564" t="s">
        <v>47</v>
      </c>
      <c r="Z1564">
        <v>3</v>
      </c>
      <c r="AA1564">
        <v>21</v>
      </c>
      <c r="AB1564">
        <v>14.3</v>
      </c>
    </row>
    <row r="1565" spans="10:28">
      <c r="J1565" s="340" t="str">
        <f t="shared" si="97"/>
        <v>2004MaleAllEth242</v>
      </c>
      <c r="K1565">
        <v>2004</v>
      </c>
      <c r="L1565" t="s">
        <v>20</v>
      </c>
      <c r="M1565" t="s">
        <v>27</v>
      </c>
      <c r="N1565">
        <v>24</v>
      </c>
      <c r="O1565">
        <v>2</v>
      </c>
      <c r="P1565">
        <v>18</v>
      </c>
      <c r="Q1565">
        <v>17.6592458870137</v>
      </c>
      <c r="R1565">
        <v>8.1999999999999993</v>
      </c>
      <c r="T1565" s="340" t="str">
        <f t="shared" si="98"/>
        <v>2003FemaleAllEth23Sharp object</v>
      </c>
      <c r="U1565">
        <v>2003</v>
      </c>
      <c r="V1565" t="s">
        <v>8</v>
      </c>
      <c r="W1565" t="s">
        <v>27</v>
      </c>
      <c r="X1565">
        <v>23</v>
      </c>
      <c r="Y1565" t="s">
        <v>48</v>
      </c>
      <c r="Z1565">
        <v>2</v>
      </c>
      <c r="AA1565">
        <v>54</v>
      </c>
      <c r="AB1565">
        <v>3.7</v>
      </c>
    </row>
    <row r="1566" spans="10:28">
      <c r="J1566" s="340" t="str">
        <f t="shared" si="97"/>
        <v>2004MaleAllEth243</v>
      </c>
      <c r="K1566">
        <v>2004</v>
      </c>
      <c r="L1566" t="s">
        <v>20</v>
      </c>
      <c r="M1566" t="s">
        <v>27</v>
      </c>
      <c r="N1566">
        <v>24</v>
      </c>
      <c r="O1566">
        <v>3</v>
      </c>
      <c r="P1566">
        <v>18</v>
      </c>
      <c r="Q1566">
        <v>19.7794040416595</v>
      </c>
      <c r="R1566">
        <v>9.1</v>
      </c>
      <c r="T1566" s="340" t="str">
        <f t="shared" si="98"/>
        <v>2003FemaleAllEth24Sharp object</v>
      </c>
      <c r="U1566">
        <v>2003</v>
      </c>
      <c r="V1566" t="s">
        <v>8</v>
      </c>
      <c r="W1566" t="s">
        <v>27</v>
      </c>
      <c r="X1566">
        <v>24</v>
      </c>
      <c r="Y1566" t="s">
        <v>48</v>
      </c>
      <c r="Z1566">
        <v>2</v>
      </c>
      <c r="AA1566">
        <v>35</v>
      </c>
      <c r="AB1566">
        <v>5.7</v>
      </c>
    </row>
    <row r="1567" spans="10:28">
      <c r="J1567" s="340" t="str">
        <f t="shared" si="97"/>
        <v>2004MaleAllEth244</v>
      </c>
      <c r="K1567">
        <v>2004</v>
      </c>
      <c r="L1567" t="s">
        <v>20</v>
      </c>
      <c r="M1567" t="s">
        <v>27</v>
      </c>
      <c r="N1567">
        <v>24</v>
      </c>
      <c r="O1567">
        <v>4</v>
      </c>
      <c r="P1567">
        <v>21</v>
      </c>
      <c r="Q1567">
        <v>25.359974050893499</v>
      </c>
      <c r="R1567">
        <v>10.8</v>
      </c>
      <c r="T1567" s="340" t="str">
        <f t="shared" si="98"/>
        <v>2003FemaleAllEth23Submersion (drowning)</v>
      </c>
      <c r="U1567">
        <v>2003</v>
      </c>
      <c r="V1567" t="s">
        <v>8</v>
      </c>
      <c r="W1567" t="s">
        <v>27</v>
      </c>
      <c r="X1567">
        <v>23</v>
      </c>
      <c r="Y1567" t="s">
        <v>49</v>
      </c>
      <c r="Z1567">
        <v>3</v>
      </c>
      <c r="AA1567">
        <v>54</v>
      </c>
      <c r="AB1567">
        <v>5.6</v>
      </c>
    </row>
    <row r="1568" spans="10:28">
      <c r="J1568" s="340" t="str">
        <f t="shared" si="97"/>
        <v>2004MaleAllEth245</v>
      </c>
      <c r="K1568">
        <v>2004</v>
      </c>
      <c r="L1568" t="s">
        <v>20</v>
      </c>
      <c r="M1568" t="s">
        <v>27</v>
      </c>
      <c r="N1568">
        <v>24</v>
      </c>
      <c r="O1568">
        <v>5</v>
      </c>
      <c r="P1568">
        <v>15</v>
      </c>
      <c r="Q1568">
        <v>20.364289648145501</v>
      </c>
      <c r="R1568">
        <v>10.3</v>
      </c>
      <c r="T1568" s="340" t="str">
        <f t="shared" si="98"/>
        <v>2003FemaleAllEth24Submersion (drowning)</v>
      </c>
      <c r="U1568">
        <v>2003</v>
      </c>
      <c r="V1568" t="s">
        <v>8</v>
      </c>
      <c r="W1568" t="s">
        <v>27</v>
      </c>
      <c r="X1568">
        <v>24</v>
      </c>
      <c r="Y1568" t="s">
        <v>49</v>
      </c>
      <c r="Z1568">
        <v>3</v>
      </c>
      <c r="AA1568">
        <v>35</v>
      </c>
      <c r="AB1568">
        <v>8.6</v>
      </c>
    </row>
    <row r="1569" spans="10:28">
      <c r="J1569" s="340" t="str">
        <f t="shared" si="97"/>
        <v>2004MaleAllEth251</v>
      </c>
      <c r="K1569">
        <v>2004</v>
      </c>
      <c r="L1569" t="s">
        <v>20</v>
      </c>
      <c r="M1569" t="s">
        <v>27</v>
      </c>
      <c r="N1569">
        <v>25</v>
      </c>
      <c r="O1569">
        <v>1</v>
      </c>
      <c r="P1569">
        <v>8</v>
      </c>
      <c r="Q1569">
        <v>18.241752701863799</v>
      </c>
      <c r="R1569">
        <v>12.6</v>
      </c>
      <c r="T1569" s="340" t="str">
        <f t="shared" si="98"/>
        <v>2003FemaleAllEth25Submersion (drowning)</v>
      </c>
      <c r="U1569">
        <v>2003</v>
      </c>
      <c r="V1569" t="s">
        <v>8</v>
      </c>
      <c r="W1569" t="s">
        <v>27</v>
      </c>
      <c r="X1569">
        <v>25</v>
      </c>
      <c r="Y1569" t="s">
        <v>49</v>
      </c>
      <c r="Z1569">
        <v>1</v>
      </c>
      <c r="AA1569">
        <v>21</v>
      </c>
      <c r="AB1569">
        <v>4.8</v>
      </c>
    </row>
    <row r="1570" spans="10:28">
      <c r="J1570" s="340" t="str">
        <f t="shared" si="97"/>
        <v>2004MaleAllEth252</v>
      </c>
      <c r="K1570">
        <v>2004</v>
      </c>
      <c r="L1570" t="s">
        <v>20</v>
      </c>
      <c r="M1570" t="s">
        <v>27</v>
      </c>
      <c r="N1570">
        <v>25</v>
      </c>
      <c r="O1570">
        <v>2</v>
      </c>
      <c r="P1570">
        <v>2</v>
      </c>
      <c r="Q1570">
        <v>4.47065992158758</v>
      </c>
      <c r="R1570">
        <v>6.2</v>
      </c>
      <c r="T1570" s="340" t="str">
        <f t="shared" si="98"/>
        <v>2003FemaleMaori21Hanging, strangulation and suffocation</v>
      </c>
      <c r="U1570">
        <v>2003</v>
      </c>
      <c r="V1570" t="s">
        <v>8</v>
      </c>
      <c r="W1570" t="s">
        <v>18</v>
      </c>
      <c r="X1570">
        <v>21</v>
      </c>
      <c r="Y1570" t="s">
        <v>43</v>
      </c>
      <c r="Z1570">
        <v>1</v>
      </c>
      <c r="AA1570">
        <v>1</v>
      </c>
      <c r="AB1570">
        <v>100</v>
      </c>
    </row>
    <row r="1571" spans="10:28">
      <c r="J1571" s="340" t="str">
        <f t="shared" si="97"/>
        <v>2004MaleAllEth253</v>
      </c>
      <c r="K1571">
        <v>2004</v>
      </c>
      <c r="L1571" t="s">
        <v>20</v>
      </c>
      <c r="M1571" t="s">
        <v>27</v>
      </c>
      <c r="N1571">
        <v>25</v>
      </c>
      <c r="O1571">
        <v>3</v>
      </c>
      <c r="P1571">
        <v>9</v>
      </c>
      <c r="Q1571">
        <v>19.712048176570502</v>
      </c>
      <c r="R1571">
        <v>12.9</v>
      </c>
      <c r="T1571" s="340" t="str">
        <f t="shared" si="98"/>
        <v>2003FemaleMaori22Hanging, strangulation and suffocation</v>
      </c>
      <c r="U1571">
        <v>2003</v>
      </c>
      <c r="V1571" t="s">
        <v>8</v>
      </c>
      <c r="W1571" t="s">
        <v>18</v>
      </c>
      <c r="X1571">
        <v>22</v>
      </c>
      <c r="Y1571" t="s">
        <v>43</v>
      </c>
      <c r="Z1571">
        <v>9</v>
      </c>
      <c r="AA1571">
        <v>11</v>
      </c>
      <c r="AB1571">
        <v>81.8</v>
      </c>
    </row>
    <row r="1572" spans="10:28">
      <c r="J1572" s="340" t="str">
        <f t="shared" si="97"/>
        <v>2004MaleAllEth254</v>
      </c>
      <c r="K1572">
        <v>2004</v>
      </c>
      <c r="L1572" t="s">
        <v>20</v>
      </c>
      <c r="M1572" t="s">
        <v>27</v>
      </c>
      <c r="N1572">
        <v>25</v>
      </c>
      <c r="O1572">
        <v>4</v>
      </c>
      <c r="P1572">
        <v>12</v>
      </c>
      <c r="Q1572">
        <v>27.013793913558899</v>
      </c>
      <c r="R1572">
        <v>15.3</v>
      </c>
      <c r="T1572" s="340" t="str">
        <f t="shared" si="98"/>
        <v>2003FemaleMaori23Hanging, strangulation and suffocation</v>
      </c>
      <c r="U1572">
        <v>2003</v>
      </c>
      <c r="V1572" t="s">
        <v>8</v>
      </c>
      <c r="W1572" t="s">
        <v>18</v>
      </c>
      <c r="X1572">
        <v>23</v>
      </c>
      <c r="Y1572" t="s">
        <v>43</v>
      </c>
      <c r="Z1572">
        <v>5</v>
      </c>
      <c r="AA1572">
        <v>7</v>
      </c>
      <c r="AB1572">
        <v>71.400000000000006</v>
      </c>
    </row>
    <row r="1573" spans="10:28">
      <c r="J1573" s="340" t="str">
        <f t="shared" si="97"/>
        <v>2004MaleAllEth255</v>
      </c>
      <c r="K1573">
        <v>2004</v>
      </c>
      <c r="L1573" t="s">
        <v>20</v>
      </c>
      <c r="M1573" t="s">
        <v>27</v>
      </c>
      <c r="N1573">
        <v>25</v>
      </c>
      <c r="O1573">
        <v>5</v>
      </c>
      <c r="P1573">
        <v>13</v>
      </c>
      <c r="Q1573">
        <v>36.394855224754501</v>
      </c>
      <c r="R1573">
        <v>19.8</v>
      </c>
      <c r="T1573" s="340" t="str">
        <f t="shared" si="98"/>
        <v>2003FemaleMaori22Jumping from a high place</v>
      </c>
      <c r="U1573">
        <v>2003</v>
      </c>
      <c r="V1573" t="s">
        <v>8</v>
      </c>
      <c r="W1573" t="s">
        <v>18</v>
      </c>
      <c r="X1573">
        <v>22</v>
      </c>
      <c r="Y1573" t="s">
        <v>44</v>
      </c>
      <c r="Z1573">
        <v>1</v>
      </c>
      <c r="AA1573">
        <v>11</v>
      </c>
      <c r="AB1573">
        <v>9.1</v>
      </c>
    </row>
    <row r="1574" spans="10:28">
      <c r="J1574" s="340" t="str">
        <f t="shared" si="97"/>
        <v>2004MaleMaori211</v>
      </c>
      <c r="K1574">
        <v>2004</v>
      </c>
      <c r="L1574" t="s">
        <v>20</v>
      </c>
      <c r="M1574" t="s">
        <v>18</v>
      </c>
      <c r="N1574">
        <v>21</v>
      </c>
      <c r="O1574">
        <v>1</v>
      </c>
      <c r="P1574">
        <v>0</v>
      </c>
      <c r="Q1574">
        <v>0</v>
      </c>
      <c r="T1574" s="340" t="str">
        <f t="shared" si="98"/>
        <v>2003FemaleMaori24Jumping from a high place</v>
      </c>
      <c r="U1574">
        <v>2003</v>
      </c>
      <c r="V1574" t="s">
        <v>8</v>
      </c>
      <c r="W1574" t="s">
        <v>18</v>
      </c>
      <c r="X1574">
        <v>24</v>
      </c>
      <c r="Y1574" t="s">
        <v>44</v>
      </c>
      <c r="Z1574">
        <v>1</v>
      </c>
      <c r="AA1574">
        <v>1</v>
      </c>
      <c r="AB1574">
        <v>100</v>
      </c>
    </row>
    <row r="1575" spans="10:28">
      <c r="J1575" s="340" t="str">
        <f t="shared" si="97"/>
        <v>2004MaleMaori212</v>
      </c>
      <c r="K1575">
        <v>2004</v>
      </c>
      <c r="L1575" t="s">
        <v>20</v>
      </c>
      <c r="M1575" t="s">
        <v>18</v>
      </c>
      <c r="N1575">
        <v>21</v>
      </c>
      <c r="O1575">
        <v>2</v>
      </c>
      <c r="P1575">
        <v>0</v>
      </c>
      <c r="Q1575">
        <v>0</v>
      </c>
      <c r="T1575" s="340" t="str">
        <f t="shared" si="98"/>
        <v>2003FemaleMaori22Poisoning by gases and vapours</v>
      </c>
      <c r="U1575">
        <v>2003</v>
      </c>
      <c r="V1575" t="s">
        <v>8</v>
      </c>
      <c r="W1575" t="s">
        <v>18</v>
      </c>
      <c r="X1575">
        <v>22</v>
      </c>
      <c r="Y1575" t="s">
        <v>46</v>
      </c>
      <c r="Z1575">
        <v>1</v>
      </c>
      <c r="AA1575">
        <v>11</v>
      </c>
      <c r="AB1575">
        <v>9.1</v>
      </c>
    </row>
    <row r="1576" spans="10:28">
      <c r="J1576" s="340" t="str">
        <f t="shared" si="97"/>
        <v>2004MaleMaori213</v>
      </c>
      <c r="K1576">
        <v>2004</v>
      </c>
      <c r="L1576" t="s">
        <v>20</v>
      </c>
      <c r="M1576" t="s">
        <v>18</v>
      </c>
      <c r="N1576">
        <v>21</v>
      </c>
      <c r="O1576">
        <v>3</v>
      </c>
      <c r="P1576">
        <v>0</v>
      </c>
      <c r="Q1576">
        <v>0</v>
      </c>
      <c r="T1576" s="340" t="str">
        <f t="shared" si="98"/>
        <v>2003FemaleMaori23Poisoning by gases and vapours</v>
      </c>
      <c r="U1576">
        <v>2003</v>
      </c>
      <c r="V1576" t="s">
        <v>8</v>
      </c>
      <c r="W1576" t="s">
        <v>18</v>
      </c>
      <c r="X1576">
        <v>23</v>
      </c>
      <c r="Y1576" t="s">
        <v>46</v>
      </c>
      <c r="Z1576">
        <v>2</v>
      </c>
      <c r="AA1576">
        <v>7</v>
      </c>
      <c r="AB1576">
        <v>28.6</v>
      </c>
    </row>
    <row r="1577" spans="10:28">
      <c r="J1577" s="340" t="str">
        <f t="shared" si="97"/>
        <v>2004MaleMaori214</v>
      </c>
      <c r="K1577">
        <v>2004</v>
      </c>
      <c r="L1577" t="s">
        <v>20</v>
      </c>
      <c r="M1577" t="s">
        <v>18</v>
      </c>
      <c r="N1577">
        <v>21</v>
      </c>
      <c r="O1577">
        <v>4</v>
      </c>
      <c r="P1577">
        <v>1</v>
      </c>
      <c r="Q1577">
        <v>3.89922335967406</v>
      </c>
      <c r="R1577">
        <v>7.6</v>
      </c>
      <c r="T1577" s="340" t="str">
        <f t="shared" si="98"/>
        <v>2003FemaleNon-Maori22Firearms and explosives</v>
      </c>
      <c r="U1577">
        <v>2003</v>
      </c>
      <c r="V1577" t="s">
        <v>8</v>
      </c>
      <c r="W1577" t="s">
        <v>19</v>
      </c>
      <c r="X1577">
        <v>22</v>
      </c>
      <c r="Y1577" t="s">
        <v>42</v>
      </c>
      <c r="Z1577">
        <v>1</v>
      </c>
      <c r="AA1577">
        <v>20</v>
      </c>
      <c r="AB1577">
        <v>5</v>
      </c>
    </row>
    <row r="1578" spans="10:28">
      <c r="J1578" s="340" t="str">
        <f t="shared" si="97"/>
        <v>2004MaleMaori215</v>
      </c>
      <c r="K1578">
        <v>2004</v>
      </c>
      <c r="L1578" t="s">
        <v>20</v>
      </c>
      <c r="M1578" t="s">
        <v>18</v>
      </c>
      <c r="N1578">
        <v>21</v>
      </c>
      <c r="O1578">
        <v>5</v>
      </c>
      <c r="P1578">
        <v>1</v>
      </c>
      <c r="Q1578">
        <v>2.0743488019977701</v>
      </c>
      <c r="R1578">
        <v>4.0999999999999996</v>
      </c>
      <c r="T1578" s="340" t="str">
        <f t="shared" si="98"/>
        <v>2003FemaleNon-Maori24Firearms and explosives</v>
      </c>
      <c r="U1578">
        <v>2003</v>
      </c>
      <c r="V1578" t="s">
        <v>8</v>
      </c>
      <c r="W1578" t="s">
        <v>19</v>
      </c>
      <c r="X1578">
        <v>24</v>
      </c>
      <c r="Y1578" t="s">
        <v>42</v>
      </c>
      <c r="Z1578">
        <v>1</v>
      </c>
      <c r="AA1578">
        <v>34</v>
      </c>
      <c r="AB1578">
        <v>2.9</v>
      </c>
    </row>
    <row r="1579" spans="10:28">
      <c r="J1579" s="340" t="str">
        <f t="shared" si="97"/>
        <v>2004MaleMaori221</v>
      </c>
      <c r="K1579">
        <v>2004</v>
      </c>
      <c r="L1579" t="s">
        <v>20</v>
      </c>
      <c r="M1579" t="s">
        <v>18</v>
      </c>
      <c r="N1579">
        <v>22</v>
      </c>
      <c r="O1579">
        <v>1</v>
      </c>
      <c r="P1579">
        <v>0</v>
      </c>
      <c r="Q1579">
        <v>0</v>
      </c>
      <c r="T1579" s="340" t="str">
        <f t="shared" si="98"/>
        <v>2003FemaleNon-Maori25Firearms and explosives</v>
      </c>
      <c r="U1579">
        <v>2003</v>
      </c>
      <c r="V1579" t="s">
        <v>8</v>
      </c>
      <c r="W1579" t="s">
        <v>19</v>
      </c>
      <c r="X1579">
        <v>25</v>
      </c>
      <c r="Y1579" t="s">
        <v>42</v>
      </c>
      <c r="Z1579">
        <v>2</v>
      </c>
      <c r="AA1579">
        <v>21</v>
      </c>
      <c r="AB1579">
        <v>9.5</v>
      </c>
    </row>
    <row r="1580" spans="10:28">
      <c r="J1580" s="340" t="str">
        <f t="shared" si="97"/>
        <v>2004MaleMaori222</v>
      </c>
      <c r="K1580">
        <v>2004</v>
      </c>
      <c r="L1580" t="s">
        <v>20</v>
      </c>
      <c r="M1580" t="s">
        <v>18</v>
      </c>
      <c r="N1580">
        <v>22</v>
      </c>
      <c r="O1580">
        <v>2</v>
      </c>
      <c r="P1580">
        <v>2</v>
      </c>
      <c r="Q1580">
        <v>32.768417254710101</v>
      </c>
      <c r="R1580">
        <v>45.4</v>
      </c>
      <c r="T1580" s="340" t="str">
        <f t="shared" si="98"/>
        <v>2003FemaleNon-Maori22Hanging, strangulation and suffocation</v>
      </c>
      <c r="U1580">
        <v>2003</v>
      </c>
      <c r="V1580" t="s">
        <v>8</v>
      </c>
      <c r="W1580" t="s">
        <v>19</v>
      </c>
      <c r="X1580">
        <v>22</v>
      </c>
      <c r="Y1580" t="s">
        <v>43</v>
      </c>
      <c r="Z1580">
        <v>10</v>
      </c>
      <c r="AA1580">
        <v>20</v>
      </c>
      <c r="AB1580">
        <v>50</v>
      </c>
    </row>
    <row r="1581" spans="10:28">
      <c r="J1581" s="340" t="str">
        <f t="shared" si="97"/>
        <v>2004MaleMaori223</v>
      </c>
      <c r="K1581">
        <v>2004</v>
      </c>
      <c r="L1581" t="s">
        <v>20</v>
      </c>
      <c r="M1581" t="s">
        <v>18</v>
      </c>
      <c r="N1581">
        <v>22</v>
      </c>
      <c r="O1581">
        <v>3</v>
      </c>
      <c r="P1581">
        <v>4</v>
      </c>
      <c r="Q1581">
        <v>44.241129710481701</v>
      </c>
      <c r="R1581">
        <v>43.4</v>
      </c>
      <c r="T1581" s="340" t="str">
        <f t="shared" si="98"/>
        <v>2003FemaleNon-Maori23Hanging, strangulation and suffocation</v>
      </c>
      <c r="U1581">
        <v>2003</v>
      </c>
      <c r="V1581" t="s">
        <v>8</v>
      </c>
      <c r="W1581" t="s">
        <v>19</v>
      </c>
      <c r="X1581">
        <v>23</v>
      </c>
      <c r="Y1581" t="s">
        <v>43</v>
      </c>
      <c r="Z1581">
        <v>18</v>
      </c>
      <c r="AA1581">
        <v>47</v>
      </c>
      <c r="AB1581">
        <v>38.299999999999997</v>
      </c>
    </row>
    <row r="1582" spans="10:28">
      <c r="J1582" s="340" t="str">
        <f t="shared" si="97"/>
        <v>2004MaleMaori224</v>
      </c>
      <c r="K1582">
        <v>2004</v>
      </c>
      <c r="L1582" t="s">
        <v>20</v>
      </c>
      <c r="M1582" t="s">
        <v>18</v>
      </c>
      <c r="N1582">
        <v>22</v>
      </c>
      <c r="O1582">
        <v>4</v>
      </c>
      <c r="P1582">
        <v>7</v>
      </c>
      <c r="Q1582">
        <v>53.244667164693901</v>
      </c>
      <c r="R1582">
        <v>39.4</v>
      </c>
      <c r="T1582" s="340" t="str">
        <f t="shared" si="98"/>
        <v>2003FemaleNon-Maori24Hanging, strangulation and suffocation</v>
      </c>
      <c r="U1582">
        <v>2003</v>
      </c>
      <c r="V1582" t="s">
        <v>8</v>
      </c>
      <c r="W1582" t="s">
        <v>19</v>
      </c>
      <c r="X1582">
        <v>24</v>
      </c>
      <c r="Y1582" t="s">
        <v>43</v>
      </c>
      <c r="Z1582">
        <v>7</v>
      </c>
      <c r="AA1582">
        <v>34</v>
      </c>
      <c r="AB1582">
        <v>20.6</v>
      </c>
    </row>
    <row r="1583" spans="10:28">
      <c r="J1583" s="340" t="str">
        <f t="shared" si="97"/>
        <v>2004MaleMaori225</v>
      </c>
      <c r="K1583">
        <v>2004</v>
      </c>
      <c r="L1583" t="s">
        <v>20</v>
      </c>
      <c r="M1583" t="s">
        <v>18</v>
      </c>
      <c r="N1583">
        <v>22</v>
      </c>
      <c r="O1583">
        <v>5</v>
      </c>
      <c r="P1583">
        <v>15</v>
      </c>
      <c r="Q1583">
        <v>66.519684165886105</v>
      </c>
      <c r="R1583">
        <v>33.700000000000003</v>
      </c>
      <c r="T1583" s="340" t="str">
        <f t="shared" si="98"/>
        <v>2003FemaleNon-Maori25Hanging, strangulation and suffocation</v>
      </c>
      <c r="U1583">
        <v>2003</v>
      </c>
      <c r="V1583" t="s">
        <v>8</v>
      </c>
      <c r="W1583" t="s">
        <v>19</v>
      </c>
      <c r="X1583">
        <v>25</v>
      </c>
      <c r="Y1583" t="s">
        <v>43</v>
      </c>
      <c r="Z1583">
        <v>12</v>
      </c>
      <c r="AA1583">
        <v>21</v>
      </c>
      <c r="AB1583">
        <v>57.1</v>
      </c>
    </row>
    <row r="1584" spans="10:28">
      <c r="J1584" s="340" t="str">
        <f t="shared" si="97"/>
        <v>2004MaleMaori231</v>
      </c>
      <c r="K1584">
        <v>2004</v>
      </c>
      <c r="L1584" t="s">
        <v>20</v>
      </c>
      <c r="M1584" t="s">
        <v>18</v>
      </c>
      <c r="N1584">
        <v>23</v>
      </c>
      <c r="O1584">
        <v>1</v>
      </c>
      <c r="P1584">
        <v>2</v>
      </c>
      <c r="Q1584">
        <v>28.255377585428299</v>
      </c>
      <c r="R1584">
        <v>39.200000000000003</v>
      </c>
      <c r="T1584" s="340" t="str">
        <f t="shared" si="98"/>
        <v>2003FemaleNon-Maori22Jumping from a high place</v>
      </c>
      <c r="U1584">
        <v>2003</v>
      </c>
      <c r="V1584" t="s">
        <v>8</v>
      </c>
      <c r="W1584" t="s">
        <v>19</v>
      </c>
      <c r="X1584">
        <v>22</v>
      </c>
      <c r="Y1584" t="s">
        <v>44</v>
      </c>
      <c r="Z1584">
        <v>2</v>
      </c>
      <c r="AA1584">
        <v>20</v>
      </c>
      <c r="AB1584">
        <v>10</v>
      </c>
    </row>
    <row r="1585" spans="10:28">
      <c r="J1585" s="340" t="str">
        <f t="shared" si="97"/>
        <v>2004MaleMaori232</v>
      </c>
      <c r="K1585">
        <v>2004</v>
      </c>
      <c r="L1585" t="s">
        <v>20</v>
      </c>
      <c r="M1585" t="s">
        <v>18</v>
      </c>
      <c r="N1585">
        <v>23</v>
      </c>
      <c r="O1585">
        <v>2</v>
      </c>
      <c r="P1585">
        <v>4</v>
      </c>
      <c r="Q1585">
        <v>39.5828876460508</v>
      </c>
      <c r="R1585">
        <v>38.799999999999997</v>
      </c>
      <c r="T1585" s="340" t="str">
        <f t="shared" si="98"/>
        <v>2003FemaleNon-Maori23Jumping from a high place</v>
      </c>
      <c r="U1585">
        <v>2003</v>
      </c>
      <c r="V1585" t="s">
        <v>8</v>
      </c>
      <c r="W1585" t="s">
        <v>19</v>
      </c>
      <c r="X1585">
        <v>23</v>
      </c>
      <c r="Y1585" t="s">
        <v>44</v>
      </c>
      <c r="Z1585">
        <v>2</v>
      </c>
      <c r="AA1585">
        <v>47</v>
      </c>
      <c r="AB1585">
        <v>4.3</v>
      </c>
    </row>
    <row r="1586" spans="10:28">
      <c r="J1586" s="340" t="str">
        <f t="shared" si="97"/>
        <v>2004MaleMaori233</v>
      </c>
      <c r="K1586">
        <v>2004</v>
      </c>
      <c r="L1586" t="s">
        <v>20</v>
      </c>
      <c r="M1586" t="s">
        <v>18</v>
      </c>
      <c r="N1586">
        <v>23</v>
      </c>
      <c r="O1586">
        <v>3</v>
      </c>
      <c r="P1586">
        <v>2</v>
      </c>
      <c r="Q1586">
        <v>14.350697278378201</v>
      </c>
      <c r="R1586">
        <v>19.899999999999999</v>
      </c>
      <c r="T1586" s="340" t="str">
        <f t="shared" si="98"/>
        <v>2003FemaleNon-Maori24Jumping from a high place</v>
      </c>
      <c r="U1586">
        <v>2003</v>
      </c>
      <c r="V1586" t="s">
        <v>8</v>
      </c>
      <c r="W1586" t="s">
        <v>19</v>
      </c>
      <c r="X1586">
        <v>24</v>
      </c>
      <c r="Y1586" t="s">
        <v>44</v>
      </c>
      <c r="Z1586">
        <v>2</v>
      </c>
      <c r="AA1586">
        <v>34</v>
      </c>
      <c r="AB1586">
        <v>5.9</v>
      </c>
    </row>
    <row r="1587" spans="10:28">
      <c r="J1587" s="340" t="str">
        <f t="shared" si="97"/>
        <v>2004MaleMaori234</v>
      </c>
      <c r="K1587">
        <v>2004</v>
      </c>
      <c r="L1587" t="s">
        <v>20</v>
      </c>
      <c r="M1587" t="s">
        <v>18</v>
      </c>
      <c r="N1587">
        <v>23</v>
      </c>
      <c r="O1587">
        <v>4</v>
      </c>
      <c r="P1587">
        <v>13</v>
      </c>
      <c r="Q1587">
        <v>68.049458530608405</v>
      </c>
      <c r="R1587">
        <v>37</v>
      </c>
      <c r="T1587" s="340" t="str">
        <f t="shared" si="98"/>
        <v>2003FemaleNon-Maori24Other</v>
      </c>
      <c r="U1587">
        <v>2003</v>
      </c>
      <c r="V1587" t="s">
        <v>8</v>
      </c>
      <c r="W1587" t="s">
        <v>19</v>
      </c>
      <c r="X1587">
        <v>24</v>
      </c>
      <c r="Y1587" t="s">
        <v>45</v>
      </c>
      <c r="Z1587">
        <v>2</v>
      </c>
      <c r="AA1587">
        <v>34</v>
      </c>
      <c r="AB1587">
        <v>5.9</v>
      </c>
    </row>
    <row r="1588" spans="10:28">
      <c r="J1588" s="340" t="str">
        <f t="shared" si="97"/>
        <v>2004MaleMaori235</v>
      </c>
      <c r="K1588">
        <v>2004</v>
      </c>
      <c r="L1588" t="s">
        <v>20</v>
      </c>
      <c r="M1588" t="s">
        <v>18</v>
      </c>
      <c r="N1588">
        <v>23</v>
      </c>
      <c r="O1588">
        <v>5</v>
      </c>
      <c r="P1588">
        <v>22</v>
      </c>
      <c r="Q1588">
        <v>73.934750367582097</v>
      </c>
      <c r="R1588">
        <v>30.9</v>
      </c>
      <c r="T1588" s="340" t="str">
        <f t="shared" si="98"/>
        <v>2003FemaleNon-Maori22Poisoning by gases and vapours</v>
      </c>
      <c r="U1588">
        <v>2003</v>
      </c>
      <c r="V1588" t="s">
        <v>8</v>
      </c>
      <c r="W1588" t="s">
        <v>19</v>
      </c>
      <c r="X1588">
        <v>22</v>
      </c>
      <c r="Y1588" t="s">
        <v>46</v>
      </c>
      <c r="Z1588">
        <v>4</v>
      </c>
      <c r="AA1588">
        <v>20</v>
      </c>
      <c r="AB1588">
        <v>20</v>
      </c>
    </row>
    <row r="1589" spans="10:28">
      <c r="J1589" s="340" t="str">
        <f t="shared" si="97"/>
        <v>2004MaleMaori241</v>
      </c>
      <c r="K1589">
        <v>2004</v>
      </c>
      <c r="L1589" t="s">
        <v>20</v>
      </c>
      <c r="M1589" t="s">
        <v>18</v>
      </c>
      <c r="N1589">
        <v>24</v>
      </c>
      <c r="O1589">
        <v>1</v>
      </c>
      <c r="P1589">
        <v>0</v>
      </c>
      <c r="Q1589">
        <v>0</v>
      </c>
      <c r="T1589" s="340" t="str">
        <f t="shared" si="98"/>
        <v>2003FemaleNon-Maori23Poisoning by gases and vapours</v>
      </c>
      <c r="U1589">
        <v>2003</v>
      </c>
      <c r="V1589" t="s">
        <v>8</v>
      </c>
      <c r="W1589" t="s">
        <v>19</v>
      </c>
      <c r="X1589">
        <v>23</v>
      </c>
      <c r="Y1589" t="s">
        <v>46</v>
      </c>
      <c r="Z1589">
        <v>11</v>
      </c>
      <c r="AA1589">
        <v>47</v>
      </c>
      <c r="AB1589">
        <v>23.4</v>
      </c>
    </row>
    <row r="1590" spans="10:28">
      <c r="J1590" s="340" t="str">
        <f t="shared" si="97"/>
        <v>2004MaleMaori242</v>
      </c>
      <c r="K1590">
        <v>2004</v>
      </c>
      <c r="L1590" t="s">
        <v>20</v>
      </c>
      <c r="M1590" t="s">
        <v>18</v>
      </c>
      <c r="N1590">
        <v>24</v>
      </c>
      <c r="O1590">
        <v>2</v>
      </c>
      <c r="P1590">
        <v>2</v>
      </c>
      <c r="Q1590">
        <v>38.6526504586841</v>
      </c>
      <c r="R1590">
        <v>53.6</v>
      </c>
      <c r="T1590" s="340" t="str">
        <f t="shared" si="98"/>
        <v>2003FemaleNon-Maori24Poisoning by gases and vapours</v>
      </c>
      <c r="U1590">
        <v>2003</v>
      </c>
      <c r="V1590" t="s">
        <v>8</v>
      </c>
      <c r="W1590" t="s">
        <v>19</v>
      </c>
      <c r="X1590">
        <v>24</v>
      </c>
      <c r="Y1590" t="s">
        <v>46</v>
      </c>
      <c r="Z1590">
        <v>8</v>
      </c>
      <c r="AA1590">
        <v>34</v>
      </c>
      <c r="AB1590">
        <v>23.5</v>
      </c>
    </row>
    <row r="1591" spans="10:28">
      <c r="J1591" s="340" t="str">
        <f t="shared" si="97"/>
        <v>2004MaleMaori243</v>
      </c>
      <c r="K1591">
        <v>2004</v>
      </c>
      <c r="L1591" t="s">
        <v>20</v>
      </c>
      <c r="M1591" t="s">
        <v>18</v>
      </c>
      <c r="N1591">
        <v>24</v>
      </c>
      <c r="O1591">
        <v>3</v>
      </c>
      <c r="P1591">
        <v>0</v>
      </c>
      <c r="Q1591">
        <v>0</v>
      </c>
      <c r="T1591" s="340" t="str">
        <f t="shared" si="98"/>
        <v>2003FemaleNon-Maori25Poisoning by gases and vapours</v>
      </c>
      <c r="U1591">
        <v>2003</v>
      </c>
      <c r="V1591" t="s">
        <v>8</v>
      </c>
      <c r="W1591" t="s">
        <v>19</v>
      </c>
      <c r="X1591">
        <v>25</v>
      </c>
      <c r="Y1591" t="s">
        <v>46</v>
      </c>
      <c r="Z1591">
        <v>3</v>
      </c>
      <c r="AA1591">
        <v>21</v>
      </c>
      <c r="AB1591">
        <v>14.3</v>
      </c>
    </row>
    <row r="1592" spans="10:28">
      <c r="J1592" s="340" t="str">
        <f t="shared" si="97"/>
        <v>2004MaleMaori244</v>
      </c>
      <c r="K1592">
        <v>2004</v>
      </c>
      <c r="L1592" t="s">
        <v>20</v>
      </c>
      <c r="M1592" t="s">
        <v>18</v>
      </c>
      <c r="N1592">
        <v>24</v>
      </c>
      <c r="O1592">
        <v>4</v>
      </c>
      <c r="P1592">
        <v>1</v>
      </c>
      <c r="Q1592">
        <v>10.0543811680538</v>
      </c>
      <c r="R1592">
        <v>19.7</v>
      </c>
      <c r="T1592" s="340" t="str">
        <f t="shared" si="98"/>
        <v>2003FemaleNon-Maori22Poisoning by solids and liquids</v>
      </c>
      <c r="U1592">
        <v>2003</v>
      </c>
      <c r="V1592" t="s">
        <v>8</v>
      </c>
      <c r="W1592" t="s">
        <v>19</v>
      </c>
      <c r="X1592">
        <v>22</v>
      </c>
      <c r="Y1592" t="s">
        <v>47</v>
      </c>
      <c r="Z1592">
        <v>3</v>
      </c>
      <c r="AA1592">
        <v>20</v>
      </c>
      <c r="AB1592">
        <v>15</v>
      </c>
    </row>
    <row r="1593" spans="10:28">
      <c r="J1593" s="340" t="str">
        <f t="shared" si="97"/>
        <v>2004MaleMaori245</v>
      </c>
      <c r="K1593">
        <v>2004</v>
      </c>
      <c r="L1593" t="s">
        <v>20</v>
      </c>
      <c r="M1593" t="s">
        <v>18</v>
      </c>
      <c r="N1593">
        <v>24</v>
      </c>
      <c r="O1593">
        <v>5</v>
      </c>
      <c r="P1593">
        <v>3</v>
      </c>
      <c r="Q1593">
        <v>17.546954530066401</v>
      </c>
      <c r="R1593">
        <v>19.899999999999999</v>
      </c>
      <c r="T1593" s="340" t="str">
        <f t="shared" si="98"/>
        <v>2003FemaleNon-Maori23Poisoning by solids and liquids</v>
      </c>
      <c r="U1593">
        <v>2003</v>
      </c>
      <c r="V1593" t="s">
        <v>8</v>
      </c>
      <c r="W1593" t="s">
        <v>19</v>
      </c>
      <c r="X1593">
        <v>23</v>
      </c>
      <c r="Y1593" t="s">
        <v>47</v>
      </c>
      <c r="Z1593">
        <v>11</v>
      </c>
      <c r="AA1593">
        <v>47</v>
      </c>
      <c r="AB1593">
        <v>23.4</v>
      </c>
    </row>
    <row r="1594" spans="10:28">
      <c r="J1594" s="340" t="str">
        <f t="shared" si="97"/>
        <v>2004MaleMaori251</v>
      </c>
      <c r="K1594">
        <v>2004</v>
      </c>
      <c r="L1594" t="s">
        <v>20</v>
      </c>
      <c r="M1594" t="s">
        <v>18</v>
      </c>
      <c r="N1594">
        <v>25</v>
      </c>
      <c r="O1594">
        <v>1</v>
      </c>
      <c r="P1594">
        <v>0</v>
      </c>
      <c r="Q1594">
        <v>0</v>
      </c>
      <c r="T1594" s="340" t="str">
        <f t="shared" si="98"/>
        <v>2003FemaleNon-Maori24Poisoning by solids and liquids</v>
      </c>
      <c r="U1594">
        <v>2003</v>
      </c>
      <c r="V1594" t="s">
        <v>8</v>
      </c>
      <c r="W1594" t="s">
        <v>19</v>
      </c>
      <c r="X1594">
        <v>24</v>
      </c>
      <c r="Y1594" t="s">
        <v>47</v>
      </c>
      <c r="Z1594">
        <v>9</v>
      </c>
      <c r="AA1594">
        <v>34</v>
      </c>
      <c r="AB1594">
        <v>26.5</v>
      </c>
    </row>
    <row r="1595" spans="10:28">
      <c r="J1595" s="340" t="str">
        <f t="shared" si="97"/>
        <v>2004MaleMaori252</v>
      </c>
      <c r="K1595">
        <v>2004</v>
      </c>
      <c r="L1595" t="s">
        <v>20</v>
      </c>
      <c r="M1595" t="s">
        <v>18</v>
      </c>
      <c r="N1595">
        <v>25</v>
      </c>
      <c r="O1595">
        <v>2</v>
      </c>
      <c r="P1595">
        <v>0</v>
      </c>
      <c r="Q1595">
        <v>0</v>
      </c>
      <c r="T1595" s="340" t="str">
        <f t="shared" si="98"/>
        <v>2003FemaleNon-Maori25Poisoning by solids and liquids</v>
      </c>
      <c r="U1595">
        <v>2003</v>
      </c>
      <c r="V1595" t="s">
        <v>8</v>
      </c>
      <c r="W1595" t="s">
        <v>19</v>
      </c>
      <c r="X1595">
        <v>25</v>
      </c>
      <c r="Y1595" t="s">
        <v>47</v>
      </c>
      <c r="Z1595">
        <v>3</v>
      </c>
      <c r="AA1595">
        <v>21</v>
      </c>
      <c r="AB1595">
        <v>14.3</v>
      </c>
    </row>
    <row r="1596" spans="10:28">
      <c r="J1596" s="340" t="str">
        <f t="shared" si="97"/>
        <v>2004MaleMaori253</v>
      </c>
      <c r="K1596">
        <v>2004</v>
      </c>
      <c r="L1596" t="s">
        <v>20</v>
      </c>
      <c r="M1596" t="s">
        <v>18</v>
      </c>
      <c r="N1596">
        <v>25</v>
      </c>
      <c r="O1596">
        <v>3</v>
      </c>
      <c r="P1596">
        <v>0</v>
      </c>
      <c r="Q1596">
        <v>0</v>
      </c>
      <c r="T1596" s="340" t="str">
        <f t="shared" si="98"/>
        <v>2003FemaleNon-Maori23Sharp object</v>
      </c>
      <c r="U1596">
        <v>2003</v>
      </c>
      <c r="V1596" t="s">
        <v>8</v>
      </c>
      <c r="W1596" t="s">
        <v>19</v>
      </c>
      <c r="X1596">
        <v>23</v>
      </c>
      <c r="Y1596" t="s">
        <v>48</v>
      </c>
      <c r="Z1596">
        <v>2</v>
      </c>
      <c r="AA1596">
        <v>47</v>
      </c>
      <c r="AB1596">
        <v>4.3</v>
      </c>
    </row>
    <row r="1597" spans="10:28">
      <c r="J1597" s="340" t="str">
        <f t="shared" si="97"/>
        <v>2004MaleMaori254</v>
      </c>
      <c r="K1597">
        <v>2004</v>
      </c>
      <c r="L1597" t="s">
        <v>20</v>
      </c>
      <c r="M1597" t="s">
        <v>18</v>
      </c>
      <c r="N1597">
        <v>25</v>
      </c>
      <c r="O1597">
        <v>4</v>
      </c>
      <c r="P1597">
        <v>1</v>
      </c>
      <c r="Q1597">
        <v>40.948238571752803</v>
      </c>
      <c r="R1597">
        <v>80.3</v>
      </c>
      <c r="T1597" s="340" t="str">
        <f t="shared" si="98"/>
        <v>2003FemaleNon-Maori24Sharp object</v>
      </c>
      <c r="U1597">
        <v>2003</v>
      </c>
      <c r="V1597" t="s">
        <v>8</v>
      </c>
      <c r="W1597" t="s">
        <v>19</v>
      </c>
      <c r="X1597">
        <v>24</v>
      </c>
      <c r="Y1597" t="s">
        <v>48</v>
      </c>
      <c r="Z1597">
        <v>2</v>
      </c>
      <c r="AA1597">
        <v>34</v>
      </c>
      <c r="AB1597">
        <v>5.9</v>
      </c>
    </row>
    <row r="1598" spans="10:28">
      <c r="J1598" s="340" t="str">
        <f t="shared" si="97"/>
        <v>2004MaleMaori255</v>
      </c>
      <c r="K1598">
        <v>2004</v>
      </c>
      <c r="L1598" t="s">
        <v>20</v>
      </c>
      <c r="M1598" t="s">
        <v>18</v>
      </c>
      <c r="N1598">
        <v>25</v>
      </c>
      <c r="O1598">
        <v>5</v>
      </c>
      <c r="P1598">
        <v>1</v>
      </c>
      <c r="Q1598">
        <v>21.975464596869902</v>
      </c>
      <c r="R1598">
        <v>43.1</v>
      </c>
      <c r="T1598" s="340" t="str">
        <f t="shared" si="98"/>
        <v>2003FemaleNon-Maori23Submersion (drowning)</v>
      </c>
      <c r="U1598">
        <v>2003</v>
      </c>
      <c r="V1598" t="s">
        <v>8</v>
      </c>
      <c r="W1598" t="s">
        <v>19</v>
      </c>
      <c r="X1598">
        <v>23</v>
      </c>
      <c r="Y1598" t="s">
        <v>49</v>
      </c>
      <c r="Z1598">
        <v>3</v>
      </c>
      <c r="AA1598">
        <v>47</v>
      </c>
      <c r="AB1598">
        <v>6.4</v>
      </c>
    </row>
    <row r="1599" spans="10:28">
      <c r="J1599" s="340" t="str">
        <f t="shared" si="97"/>
        <v>2004MaleNon-Maori211</v>
      </c>
      <c r="K1599">
        <v>2004</v>
      </c>
      <c r="L1599" t="s">
        <v>20</v>
      </c>
      <c r="M1599" t="s">
        <v>19</v>
      </c>
      <c r="N1599">
        <v>21</v>
      </c>
      <c r="O1599">
        <v>1</v>
      </c>
      <c r="P1599">
        <v>0</v>
      </c>
      <c r="Q1599">
        <v>0</v>
      </c>
      <c r="T1599" s="340" t="str">
        <f t="shared" si="98"/>
        <v>2003FemaleNon-Maori24Submersion (drowning)</v>
      </c>
      <c r="U1599">
        <v>2003</v>
      </c>
      <c r="V1599" t="s">
        <v>8</v>
      </c>
      <c r="W1599" t="s">
        <v>19</v>
      </c>
      <c r="X1599">
        <v>24</v>
      </c>
      <c r="Y1599" t="s">
        <v>49</v>
      </c>
      <c r="Z1599">
        <v>3</v>
      </c>
      <c r="AA1599">
        <v>34</v>
      </c>
      <c r="AB1599">
        <v>8.8000000000000007</v>
      </c>
    </row>
    <row r="1600" spans="10:28">
      <c r="J1600" s="340" t="str">
        <f t="shared" si="97"/>
        <v>2004MaleNon-Maori212</v>
      </c>
      <c r="K1600">
        <v>2004</v>
      </c>
      <c r="L1600" t="s">
        <v>20</v>
      </c>
      <c r="M1600" t="s">
        <v>19</v>
      </c>
      <c r="N1600">
        <v>21</v>
      </c>
      <c r="O1600">
        <v>2</v>
      </c>
      <c r="P1600">
        <v>1</v>
      </c>
      <c r="Q1600">
        <v>1.3200900277865</v>
      </c>
      <c r="R1600">
        <v>2.6</v>
      </c>
      <c r="T1600" s="340" t="str">
        <f t="shared" si="98"/>
        <v>2003FemaleNon-Maori25Submersion (drowning)</v>
      </c>
      <c r="U1600">
        <v>2003</v>
      </c>
      <c r="V1600" t="s">
        <v>8</v>
      </c>
      <c r="W1600" t="s">
        <v>19</v>
      </c>
      <c r="X1600">
        <v>25</v>
      </c>
      <c r="Y1600" t="s">
        <v>49</v>
      </c>
      <c r="Z1600">
        <v>1</v>
      </c>
      <c r="AA1600">
        <v>21</v>
      </c>
      <c r="AB1600">
        <v>4.8</v>
      </c>
    </row>
    <row r="1601" spans="10:28">
      <c r="J1601" s="340" t="str">
        <f t="shared" si="97"/>
        <v>2004MaleNon-Maori213</v>
      </c>
      <c r="K1601">
        <v>2004</v>
      </c>
      <c r="L1601" t="s">
        <v>20</v>
      </c>
      <c r="M1601" t="s">
        <v>19</v>
      </c>
      <c r="N1601">
        <v>21</v>
      </c>
      <c r="O1601">
        <v>3</v>
      </c>
      <c r="P1601">
        <v>0</v>
      </c>
      <c r="Q1601">
        <v>0</v>
      </c>
      <c r="T1601" s="340" t="str">
        <f t="shared" si="98"/>
        <v>2003MaleAllEth22Firearms and explosives</v>
      </c>
      <c r="U1601">
        <v>2003</v>
      </c>
      <c r="V1601" t="s">
        <v>20</v>
      </c>
      <c r="W1601" t="s">
        <v>27</v>
      </c>
      <c r="X1601">
        <v>22</v>
      </c>
      <c r="Y1601" t="s">
        <v>42</v>
      </c>
      <c r="Z1601">
        <v>2</v>
      </c>
      <c r="AA1601">
        <v>67</v>
      </c>
      <c r="AB1601">
        <v>3</v>
      </c>
    </row>
    <row r="1602" spans="10:28">
      <c r="J1602" s="340" t="str">
        <f t="shared" si="97"/>
        <v>2004MaleNon-Maori214</v>
      </c>
      <c r="K1602">
        <v>2004</v>
      </c>
      <c r="L1602" t="s">
        <v>20</v>
      </c>
      <c r="M1602" t="s">
        <v>19</v>
      </c>
      <c r="N1602">
        <v>21</v>
      </c>
      <c r="O1602">
        <v>4</v>
      </c>
      <c r="P1602">
        <v>0</v>
      </c>
      <c r="Q1602">
        <v>0</v>
      </c>
      <c r="T1602" s="340" t="str">
        <f t="shared" si="98"/>
        <v>2003MaleAllEth23Firearms and explosives</v>
      </c>
      <c r="U1602">
        <v>2003</v>
      </c>
      <c r="V1602" t="s">
        <v>20</v>
      </c>
      <c r="W1602" t="s">
        <v>27</v>
      </c>
      <c r="X1602">
        <v>23</v>
      </c>
      <c r="Y1602" t="s">
        <v>42</v>
      </c>
      <c r="Z1602">
        <v>11</v>
      </c>
      <c r="AA1602">
        <v>163</v>
      </c>
      <c r="AB1602">
        <v>6.7</v>
      </c>
    </row>
    <row r="1603" spans="10:28">
      <c r="J1603" s="340" t="str">
        <f t="shared" si="97"/>
        <v>2004MaleNon-Maori215</v>
      </c>
      <c r="K1603">
        <v>2004</v>
      </c>
      <c r="L1603" t="s">
        <v>20</v>
      </c>
      <c r="M1603" t="s">
        <v>19</v>
      </c>
      <c r="N1603">
        <v>21</v>
      </c>
      <c r="O1603">
        <v>5</v>
      </c>
      <c r="P1603">
        <v>1</v>
      </c>
      <c r="Q1603">
        <v>1.7283368072310601</v>
      </c>
      <c r="R1603">
        <v>3.4</v>
      </c>
      <c r="T1603" s="340" t="str">
        <f t="shared" si="98"/>
        <v>2003MaleAllEth24Firearms and explosives</v>
      </c>
      <c r="U1603">
        <v>2003</v>
      </c>
      <c r="V1603" t="s">
        <v>20</v>
      </c>
      <c r="W1603" t="s">
        <v>27</v>
      </c>
      <c r="X1603">
        <v>24</v>
      </c>
      <c r="Y1603" t="s">
        <v>42</v>
      </c>
      <c r="Z1603">
        <v>15</v>
      </c>
      <c r="AA1603">
        <v>100</v>
      </c>
      <c r="AB1603">
        <v>15</v>
      </c>
    </row>
    <row r="1604" spans="10:28">
      <c r="J1604" s="340" t="str">
        <f t="shared" ref="J1604:J1667" si="99">K1604&amp;L1604&amp;M1604&amp;N1604&amp;O1604</f>
        <v>2004MaleNon-Maori221</v>
      </c>
      <c r="K1604">
        <v>2004</v>
      </c>
      <c r="L1604" t="s">
        <v>20</v>
      </c>
      <c r="M1604" t="s">
        <v>19</v>
      </c>
      <c r="N1604">
        <v>22</v>
      </c>
      <c r="O1604">
        <v>1</v>
      </c>
      <c r="P1604">
        <v>9</v>
      </c>
      <c r="Q1604">
        <v>18.664586597312699</v>
      </c>
      <c r="R1604">
        <v>12.2</v>
      </c>
      <c r="T1604" s="340" t="str">
        <f t="shared" si="98"/>
        <v>2003MaleAllEth25Firearms and explosives</v>
      </c>
      <c r="U1604">
        <v>2003</v>
      </c>
      <c r="V1604" t="s">
        <v>20</v>
      </c>
      <c r="W1604" t="s">
        <v>27</v>
      </c>
      <c r="X1604">
        <v>25</v>
      </c>
      <c r="Y1604" t="s">
        <v>42</v>
      </c>
      <c r="Z1604">
        <v>10</v>
      </c>
      <c r="AA1604">
        <v>46</v>
      </c>
      <c r="AB1604">
        <v>21.7</v>
      </c>
    </row>
    <row r="1605" spans="10:28">
      <c r="J1605" s="340" t="str">
        <f t="shared" si="99"/>
        <v>2004MaleNon-Maori222</v>
      </c>
      <c r="K1605">
        <v>2004</v>
      </c>
      <c r="L1605" t="s">
        <v>20</v>
      </c>
      <c r="M1605" t="s">
        <v>19</v>
      </c>
      <c r="N1605">
        <v>22</v>
      </c>
      <c r="O1605">
        <v>2</v>
      </c>
      <c r="P1605">
        <v>9</v>
      </c>
      <c r="Q1605">
        <v>18.381847409924902</v>
      </c>
      <c r="R1605">
        <v>12</v>
      </c>
      <c r="T1605" s="340" t="str">
        <f t="shared" ref="T1605:T1668" si="100">U1605&amp;V1605&amp;W1605&amp;X1605&amp;Y1605</f>
        <v>2003MaleAllEth21Hanging, strangulation and suffocation</v>
      </c>
      <c r="U1605">
        <v>2003</v>
      </c>
      <c r="V1605" t="s">
        <v>20</v>
      </c>
      <c r="W1605" t="s">
        <v>27</v>
      </c>
      <c r="X1605">
        <v>21</v>
      </c>
      <c r="Y1605" t="s">
        <v>43</v>
      </c>
      <c r="Z1605">
        <v>4</v>
      </c>
      <c r="AA1605">
        <v>4</v>
      </c>
      <c r="AB1605">
        <v>100</v>
      </c>
    </row>
    <row r="1606" spans="10:28">
      <c r="J1606" s="340" t="str">
        <f t="shared" si="99"/>
        <v>2004MaleNon-Maori223</v>
      </c>
      <c r="K1606">
        <v>2004</v>
      </c>
      <c r="L1606" t="s">
        <v>20</v>
      </c>
      <c r="M1606" t="s">
        <v>19</v>
      </c>
      <c r="N1606">
        <v>22</v>
      </c>
      <c r="O1606">
        <v>3</v>
      </c>
      <c r="P1606">
        <v>11</v>
      </c>
      <c r="Q1606">
        <v>22.368504094439199</v>
      </c>
      <c r="R1606">
        <v>13.2</v>
      </c>
      <c r="T1606" s="340" t="str">
        <f t="shared" si="100"/>
        <v>2003MaleAllEth22Hanging, strangulation and suffocation</v>
      </c>
      <c r="U1606">
        <v>2003</v>
      </c>
      <c r="V1606" t="s">
        <v>20</v>
      </c>
      <c r="W1606" t="s">
        <v>27</v>
      </c>
      <c r="X1606">
        <v>22</v>
      </c>
      <c r="Y1606" t="s">
        <v>43</v>
      </c>
      <c r="Z1606">
        <v>50</v>
      </c>
      <c r="AA1606">
        <v>67</v>
      </c>
      <c r="AB1606">
        <v>74.599999999999994</v>
      </c>
    </row>
    <row r="1607" spans="10:28">
      <c r="J1607" s="340" t="str">
        <f t="shared" si="99"/>
        <v>2004MaleNon-Maori224</v>
      </c>
      <c r="K1607">
        <v>2004</v>
      </c>
      <c r="L1607" t="s">
        <v>20</v>
      </c>
      <c r="M1607" t="s">
        <v>19</v>
      </c>
      <c r="N1607">
        <v>22</v>
      </c>
      <c r="O1607">
        <v>4</v>
      </c>
      <c r="P1607">
        <v>11</v>
      </c>
      <c r="Q1607">
        <v>22.527343055789601</v>
      </c>
      <c r="R1607">
        <v>13.3</v>
      </c>
      <c r="T1607" s="340" t="str">
        <f t="shared" si="100"/>
        <v>2003MaleAllEth23Hanging, strangulation and suffocation</v>
      </c>
      <c r="U1607">
        <v>2003</v>
      </c>
      <c r="V1607" t="s">
        <v>20</v>
      </c>
      <c r="W1607" t="s">
        <v>27</v>
      </c>
      <c r="X1607">
        <v>23</v>
      </c>
      <c r="Y1607" t="s">
        <v>43</v>
      </c>
      <c r="Z1607">
        <v>84</v>
      </c>
      <c r="AA1607">
        <v>163</v>
      </c>
      <c r="AB1607">
        <v>51.5</v>
      </c>
    </row>
    <row r="1608" spans="10:28">
      <c r="J1608" s="340" t="str">
        <f t="shared" si="99"/>
        <v>2004MaleNon-Maori225</v>
      </c>
      <c r="K1608">
        <v>2004</v>
      </c>
      <c r="L1608" t="s">
        <v>20</v>
      </c>
      <c r="M1608" t="s">
        <v>19</v>
      </c>
      <c r="N1608">
        <v>22</v>
      </c>
      <c r="O1608">
        <v>5</v>
      </c>
      <c r="P1608">
        <v>14</v>
      </c>
      <c r="Q1608">
        <v>30.215941925264499</v>
      </c>
      <c r="R1608">
        <v>15.8</v>
      </c>
      <c r="T1608" s="340" t="str">
        <f t="shared" si="100"/>
        <v>2003MaleAllEth24Hanging, strangulation and suffocation</v>
      </c>
      <c r="U1608">
        <v>2003</v>
      </c>
      <c r="V1608" t="s">
        <v>20</v>
      </c>
      <c r="W1608" t="s">
        <v>27</v>
      </c>
      <c r="X1608">
        <v>24</v>
      </c>
      <c r="Y1608" t="s">
        <v>43</v>
      </c>
      <c r="Z1608">
        <v>36</v>
      </c>
      <c r="AA1608">
        <v>100</v>
      </c>
      <c r="AB1608">
        <v>36</v>
      </c>
    </row>
    <row r="1609" spans="10:28">
      <c r="J1609" s="340" t="str">
        <f t="shared" si="99"/>
        <v>2004MaleNon-Maori231</v>
      </c>
      <c r="K1609">
        <v>2004</v>
      </c>
      <c r="L1609" t="s">
        <v>20</v>
      </c>
      <c r="M1609" t="s">
        <v>19</v>
      </c>
      <c r="N1609">
        <v>23</v>
      </c>
      <c r="O1609">
        <v>1</v>
      </c>
      <c r="P1609">
        <v>24</v>
      </c>
      <c r="Q1609">
        <v>22.941339824399499</v>
      </c>
      <c r="R1609">
        <v>9.1999999999999993</v>
      </c>
      <c r="T1609" s="340" t="str">
        <f t="shared" si="100"/>
        <v>2003MaleAllEth25Hanging, strangulation and suffocation</v>
      </c>
      <c r="U1609">
        <v>2003</v>
      </c>
      <c r="V1609" t="s">
        <v>20</v>
      </c>
      <c r="W1609" t="s">
        <v>27</v>
      </c>
      <c r="X1609">
        <v>25</v>
      </c>
      <c r="Y1609" t="s">
        <v>43</v>
      </c>
      <c r="Z1609">
        <v>14</v>
      </c>
      <c r="AA1609">
        <v>46</v>
      </c>
      <c r="AB1609">
        <v>30.4</v>
      </c>
    </row>
    <row r="1610" spans="10:28">
      <c r="J1610" s="340" t="str">
        <f t="shared" si="99"/>
        <v>2004MaleNon-Maori232</v>
      </c>
      <c r="K1610">
        <v>2004</v>
      </c>
      <c r="L1610" t="s">
        <v>20</v>
      </c>
      <c r="M1610" t="s">
        <v>19</v>
      </c>
      <c r="N1610">
        <v>23</v>
      </c>
      <c r="O1610">
        <v>2</v>
      </c>
      <c r="P1610">
        <v>17</v>
      </c>
      <c r="Q1610">
        <v>15.688242530474399</v>
      </c>
      <c r="R1610">
        <v>7.5</v>
      </c>
      <c r="T1610" s="340" t="str">
        <f t="shared" si="100"/>
        <v>2003MaleAllEth22Jumping from a high place</v>
      </c>
      <c r="U1610">
        <v>2003</v>
      </c>
      <c r="V1610" t="s">
        <v>20</v>
      </c>
      <c r="W1610" t="s">
        <v>27</v>
      </c>
      <c r="X1610">
        <v>22</v>
      </c>
      <c r="Y1610" t="s">
        <v>44</v>
      </c>
      <c r="Z1610">
        <v>3</v>
      </c>
      <c r="AA1610">
        <v>67</v>
      </c>
      <c r="AB1610">
        <v>4.5</v>
      </c>
    </row>
    <row r="1611" spans="10:28">
      <c r="J1611" s="340" t="str">
        <f t="shared" si="99"/>
        <v>2004MaleNon-Maori233</v>
      </c>
      <c r="K1611">
        <v>2004</v>
      </c>
      <c r="L1611" t="s">
        <v>20</v>
      </c>
      <c r="M1611" t="s">
        <v>19</v>
      </c>
      <c r="N1611">
        <v>23</v>
      </c>
      <c r="O1611">
        <v>3</v>
      </c>
      <c r="P1611">
        <v>26</v>
      </c>
      <c r="Q1611">
        <v>24.765016088034699</v>
      </c>
      <c r="R1611">
        <v>9.5</v>
      </c>
      <c r="T1611" s="340" t="str">
        <f t="shared" si="100"/>
        <v>2003MaleAllEth23Jumping from a high place</v>
      </c>
      <c r="U1611">
        <v>2003</v>
      </c>
      <c r="V1611" t="s">
        <v>20</v>
      </c>
      <c r="W1611" t="s">
        <v>27</v>
      </c>
      <c r="X1611">
        <v>23</v>
      </c>
      <c r="Y1611" t="s">
        <v>44</v>
      </c>
      <c r="Z1611">
        <v>3</v>
      </c>
      <c r="AA1611">
        <v>163</v>
      </c>
      <c r="AB1611">
        <v>1.8</v>
      </c>
    </row>
    <row r="1612" spans="10:28">
      <c r="J1612" s="340" t="str">
        <f t="shared" si="99"/>
        <v>2004MaleNon-Maori234</v>
      </c>
      <c r="K1612">
        <v>2004</v>
      </c>
      <c r="L1612" t="s">
        <v>20</v>
      </c>
      <c r="M1612" t="s">
        <v>19</v>
      </c>
      <c r="N1612">
        <v>23</v>
      </c>
      <c r="O1612">
        <v>4</v>
      </c>
      <c r="P1612">
        <v>26</v>
      </c>
      <c r="Q1612">
        <v>26.974465555729498</v>
      </c>
      <c r="R1612">
        <v>10.4</v>
      </c>
      <c r="T1612" s="340" t="str">
        <f t="shared" si="100"/>
        <v>2003MaleAllEth24Jumping from a high place</v>
      </c>
      <c r="U1612">
        <v>2003</v>
      </c>
      <c r="V1612" t="s">
        <v>20</v>
      </c>
      <c r="W1612" t="s">
        <v>27</v>
      </c>
      <c r="X1612">
        <v>24</v>
      </c>
      <c r="Y1612" t="s">
        <v>44</v>
      </c>
      <c r="Z1612">
        <v>1</v>
      </c>
      <c r="AA1612">
        <v>100</v>
      </c>
      <c r="AB1612">
        <v>1</v>
      </c>
    </row>
    <row r="1613" spans="10:28">
      <c r="J1613" s="340" t="str">
        <f t="shared" si="99"/>
        <v>2004MaleNon-Maori235</v>
      </c>
      <c r="K1613">
        <v>2004</v>
      </c>
      <c r="L1613" t="s">
        <v>20</v>
      </c>
      <c r="M1613" t="s">
        <v>19</v>
      </c>
      <c r="N1613">
        <v>23</v>
      </c>
      <c r="O1613">
        <v>5</v>
      </c>
      <c r="P1613">
        <v>16</v>
      </c>
      <c r="Q1613">
        <v>21.376172559042999</v>
      </c>
      <c r="R1613">
        <v>10.5</v>
      </c>
      <c r="T1613" s="340" t="str">
        <f t="shared" si="100"/>
        <v>2003MaleAllEth22Other</v>
      </c>
      <c r="U1613">
        <v>2003</v>
      </c>
      <c r="V1613" t="s">
        <v>20</v>
      </c>
      <c r="W1613" t="s">
        <v>27</v>
      </c>
      <c r="X1613">
        <v>22</v>
      </c>
      <c r="Y1613" t="s">
        <v>45</v>
      </c>
      <c r="Z1613">
        <v>3</v>
      </c>
      <c r="AA1613">
        <v>67</v>
      </c>
      <c r="AB1613">
        <v>4.5</v>
      </c>
    </row>
    <row r="1614" spans="10:28">
      <c r="J1614" s="340" t="str">
        <f t="shared" si="99"/>
        <v>2004MaleNon-Maori241</v>
      </c>
      <c r="K1614">
        <v>2004</v>
      </c>
      <c r="L1614" t="s">
        <v>20</v>
      </c>
      <c r="M1614" t="s">
        <v>19</v>
      </c>
      <c r="N1614">
        <v>24</v>
      </c>
      <c r="O1614">
        <v>1</v>
      </c>
      <c r="P1614">
        <v>11</v>
      </c>
      <c r="Q1614">
        <v>9.6244953019975998</v>
      </c>
      <c r="R1614">
        <v>5.7</v>
      </c>
      <c r="T1614" s="340" t="str">
        <f t="shared" si="100"/>
        <v>2003MaleAllEth23Other</v>
      </c>
      <c r="U1614">
        <v>2003</v>
      </c>
      <c r="V1614" t="s">
        <v>20</v>
      </c>
      <c r="W1614" t="s">
        <v>27</v>
      </c>
      <c r="X1614">
        <v>23</v>
      </c>
      <c r="Y1614" t="s">
        <v>45</v>
      </c>
      <c r="Z1614">
        <v>9</v>
      </c>
      <c r="AA1614">
        <v>163</v>
      </c>
      <c r="AB1614">
        <v>5.5</v>
      </c>
    </row>
    <row r="1615" spans="10:28">
      <c r="J1615" s="340" t="str">
        <f t="shared" si="99"/>
        <v>2004MaleNon-Maori242</v>
      </c>
      <c r="K1615">
        <v>2004</v>
      </c>
      <c r="L1615" t="s">
        <v>20</v>
      </c>
      <c r="M1615" t="s">
        <v>19</v>
      </c>
      <c r="N1615">
        <v>24</v>
      </c>
      <c r="O1615">
        <v>2</v>
      </c>
      <c r="P1615">
        <v>16</v>
      </c>
      <c r="Q1615">
        <v>16.379668686334099</v>
      </c>
      <c r="R1615">
        <v>8</v>
      </c>
      <c r="T1615" s="340" t="str">
        <f t="shared" si="100"/>
        <v>2003MaleAllEth24Other</v>
      </c>
      <c r="U1615">
        <v>2003</v>
      </c>
      <c r="V1615" t="s">
        <v>20</v>
      </c>
      <c r="W1615" t="s">
        <v>27</v>
      </c>
      <c r="X1615">
        <v>24</v>
      </c>
      <c r="Y1615" t="s">
        <v>45</v>
      </c>
      <c r="Z1615">
        <v>7</v>
      </c>
      <c r="AA1615">
        <v>100</v>
      </c>
      <c r="AB1615">
        <v>7</v>
      </c>
    </row>
    <row r="1616" spans="10:28">
      <c r="J1616" s="340" t="str">
        <f t="shared" si="99"/>
        <v>2004MaleNon-Maori243</v>
      </c>
      <c r="K1616">
        <v>2004</v>
      </c>
      <c r="L1616" t="s">
        <v>20</v>
      </c>
      <c r="M1616" t="s">
        <v>19</v>
      </c>
      <c r="N1616">
        <v>24</v>
      </c>
      <c r="O1616">
        <v>3</v>
      </c>
      <c r="P1616">
        <v>18</v>
      </c>
      <c r="Q1616">
        <v>21.426072940161699</v>
      </c>
      <c r="R1616">
        <v>9.9</v>
      </c>
      <c r="T1616" s="340" t="str">
        <f t="shared" si="100"/>
        <v>2003MaleAllEth25Other</v>
      </c>
      <c r="U1616">
        <v>2003</v>
      </c>
      <c r="V1616" t="s">
        <v>20</v>
      </c>
      <c r="W1616" t="s">
        <v>27</v>
      </c>
      <c r="X1616">
        <v>25</v>
      </c>
      <c r="Y1616" t="s">
        <v>45</v>
      </c>
      <c r="Z1616">
        <v>1</v>
      </c>
      <c r="AA1616">
        <v>46</v>
      </c>
      <c r="AB1616">
        <v>2.2000000000000002</v>
      </c>
    </row>
    <row r="1617" spans="10:28">
      <c r="J1617" s="340" t="str">
        <f t="shared" si="99"/>
        <v>2004MaleNon-Maori244</v>
      </c>
      <c r="K1617">
        <v>2004</v>
      </c>
      <c r="L1617" t="s">
        <v>20</v>
      </c>
      <c r="M1617" t="s">
        <v>19</v>
      </c>
      <c r="N1617">
        <v>24</v>
      </c>
      <c r="O1617">
        <v>4</v>
      </c>
      <c r="P1617">
        <v>20</v>
      </c>
      <c r="Q1617">
        <v>27.7066135653975</v>
      </c>
      <c r="R1617">
        <v>12.1</v>
      </c>
      <c r="T1617" s="340" t="str">
        <f t="shared" si="100"/>
        <v>2003MaleAllEth22Poisoning by gases and vapours</v>
      </c>
      <c r="U1617">
        <v>2003</v>
      </c>
      <c r="V1617" t="s">
        <v>20</v>
      </c>
      <c r="W1617" t="s">
        <v>27</v>
      </c>
      <c r="X1617">
        <v>22</v>
      </c>
      <c r="Y1617" t="s">
        <v>46</v>
      </c>
      <c r="Z1617">
        <v>8</v>
      </c>
      <c r="AA1617">
        <v>67</v>
      </c>
      <c r="AB1617">
        <v>11.9</v>
      </c>
    </row>
    <row r="1618" spans="10:28">
      <c r="J1618" s="340" t="str">
        <f t="shared" si="99"/>
        <v>2004MaleNon-Maori245</v>
      </c>
      <c r="K1618">
        <v>2004</v>
      </c>
      <c r="L1618" t="s">
        <v>20</v>
      </c>
      <c r="M1618" t="s">
        <v>19</v>
      </c>
      <c r="N1618">
        <v>24</v>
      </c>
      <c r="O1618">
        <v>5</v>
      </c>
      <c r="P1618">
        <v>12</v>
      </c>
      <c r="Q1618">
        <v>21.9895029974194</v>
      </c>
      <c r="R1618">
        <v>12.4</v>
      </c>
      <c r="T1618" s="340" t="str">
        <f t="shared" si="100"/>
        <v>2003MaleAllEth23Poisoning by gases and vapours</v>
      </c>
      <c r="U1618">
        <v>2003</v>
      </c>
      <c r="V1618" t="s">
        <v>20</v>
      </c>
      <c r="W1618" t="s">
        <v>27</v>
      </c>
      <c r="X1618">
        <v>23</v>
      </c>
      <c r="Y1618" t="s">
        <v>46</v>
      </c>
      <c r="Z1618">
        <v>35</v>
      </c>
      <c r="AA1618">
        <v>163</v>
      </c>
      <c r="AB1618">
        <v>21.5</v>
      </c>
    </row>
    <row r="1619" spans="10:28">
      <c r="J1619" s="340" t="str">
        <f t="shared" si="99"/>
        <v>2004MaleNon-Maori251</v>
      </c>
      <c r="K1619">
        <v>2004</v>
      </c>
      <c r="L1619" t="s">
        <v>20</v>
      </c>
      <c r="M1619" t="s">
        <v>19</v>
      </c>
      <c r="N1619">
        <v>25</v>
      </c>
      <c r="O1619">
        <v>1</v>
      </c>
      <c r="P1619">
        <v>8</v>
      </c>
      <c r="Q1619">
        <v>18.224464544340499</v>
      </c>
      <c r="R1619">
        <v>12.6</v>
      </c>
      <c r="T1619" s="340" t="str">
        <f t="shared" si="100"/>
        <v>2003MaleAllEth24Poisoning by gases and vapours</v>
      </c>
      <c r="U1619">
        <v>2003</v>
      </c>
      <c r="V1619" t="s">
        <v>20</v>
      </c>
      <c r="W1619" t="s">
        <v>27</v>
      </c>
      <c r="X1619">
        <v>24</v>
      </c>
      <c r="Y1619" t="s">
        <v>46</v>
      </c>
      <c r="Z1619">
        <v>23</v>
      </c>
      <c r="AA1619">
        <v>100</v>
      </c>
      <c r="AB1619">
        <v>23</v>
      </c>
    </row>
    <row r="1620" spans="10:28">
      <c r="J1620" s="340" t="str">
        <f t="shared" si="99"/>
        <v>2004MaleNon-Maori252</v>
      </c>
      <c r="K1620">
        <v>2004</v>
      </c>
      <c r="L1620" t="s">
        <v>20</v>
      </c>
      <c r="M1620" t="s">
        <v>19</v>
      </c>
      <c r="N1620">
        <v>25</v>
      </c>
      <c r="O1620">
        <v>2</v>
      </c>
      <c r="P1620">
        <v>2</v>
      </c>
      <c r="Q1620">
        <v>4.5283987219319402</v>
      </c>
      <c r="R1620">
        <v>6.3</v>
      </c>
      <c r="T1620" s="340" t="str">
        <f t="shared" si="100"/>
        <v>2003MaleAllEth25Poisoning by gases and vapours</v>
      </c>
      <c r="U1620">
        <v>2003</v>
      </c>
      <c r="V1620" t="s">
        <v>20</v>
      </c>
      <c r="W1620" t="s">
        <v>27</v>
      </c>
      <c r="X1620">
        <v>25</v>
      </c>
      <c r="Y1620" t="s">
        <v>46</v>
      </c>
      <c r="Z1620">
        <v>9</v>
      </c>
      <c r="AA1620">
        <v>46</v>
      </c>
      <c r="AB1620">
        <v>19.600000000000001</v>
      </c>
    </row>
    <row r="1621" spans="10:28">
      <c r="J1621" s="340" t="str">
        <f t="shared" si="99"/>
        <v>2004MaleNon-Maori253</v>
      </c>
      <c r="K1621">
        <v>2004</v>
      </c>
      <c r="L1621" t="s">
        <v>20</v>
      </c>
      <c r="M1621" t="s">
        <v>19</v>
      </c>
      <c r="N1621">
        <v>25</v>
      </c>
      <c r="O1621">
        <v>3</v>
      </c>
      <c r="P1621">
        <v>9</v>
      </c>
      <c r="Q1621">
        <v>20.380373367362601</v>
      </c>
      <c r="R1621">
        <v>13.3</v>
      </c>
      <c r="T1621" s="340" t="str">
        <f t="shared" si="100"/>
        <v>2003MaleAllEth23Poisoning by solids and liquids</v>
      </c>
      <c r="U1621">
        <v>2003</v>
      </c>
      <c r="V1621" t="s">
        <v>20</v>
      </c>
      <c r="W1621" t="s">
        <v>27</v>
      </c>
      <c r="X1621">
        <v>23</v>
      </c>
      <c r="Y1621" t="s">
        <v>47</v>
      </c>
      <c r="Z1621">
        <v>14</v>
      </c>
      <c r="AA1621">
        <v>163</v>
      </c>
      <c r="AB1621">
        <v>8.6</v>
      </c>
    </row>
    <row r="1622" spans="10:28">
      <c r="J1622" s="340" t="str">
        <f t="shared" si="99"/>
        <v>2004MaleNon-Maori254</v>
      </c>
      <c r="K1622">
        <v>2004</v>
      </c>
      <c r="L1622" t="s">
        <v>20</v>
      </c>
      <c r="M1622" t="s">
        <v>19</v>
      </c>
      <c r="N1622">
        <v>25</v>
      </c>
      <c r="O1622">
        <v>4</v>
      </c>
      <c r="P1622">
        <v>11</v>
      </c>
      <c r="Q1622">
        <v>26.391128679626199</v>
      </c>
      <c r="R1622">
        <v>15.6</v>
      </c>
      <c r="T1622" s="340" t="str">
        <f t="shared" si="100"/>
        <v>2003MaleAllEth24Poisoning by solids and liquids</v>
      </c>
      <c r="U1622">
        <v>2003</v>
      </c>
      <c r="V1622" t="s">
        <v>20</v>
      </c>
      <c r="W1622" t="s">
        <v>27</v>
      </c>
      <c r="X1622">
        <v>24</v>
      </c>
      <c r="Y1622" t="s">
        <v>47</v>
      </c>
      <c r="Z1622">
        <v>13</v>
      </c>
      <c r="AA1622">
        <v>100</v>
      </c>
      <c r="AB1622">
        <v>13</v>
      </c>
    </row>
    <row r="1623" spans="10:28">
      <c r="J1623" s="340" t="str">
        <f t="shared" si="99"/>
        <v>2004MaleNon-Maori255</v>
      </c>
      <c r="K1623">
        <v>2004</v>
      </c>
      <c r="L1623" t="s">
        <v>20</v>
      </c>
      <c r="M1623" t="s">
        <v>19</v>
      </c>
      <c r="N1623">
        <v>25</v>
      </c>
      <c r="O1623">
        <v>5</v>
      </c>
      <c r="P1623">
        <v>12</v>
      </c>
      <c r="Q1623">
        <v>39.845354090628398</v>
      </c>
      <c r="R1623">
        <v>22.5</v>
      </c>
      <c r="T1623" s="340" t="str">
        <f t="shared" si="100"/>
        <v>2003MaleAllEth25Poisoning by solids and liquids</v>
      </c>
      <c r="U1623">
        <v>2003</v>
      </c>
      <c r="V1623" t="s">
        <v>20</v>
      </c>
      <c r="W1623" t="s">
        <v>27</v>
      </c>
      <c r="X1623">
        <v>25</v>
      </c>
      <c r="Y1623" t="s">
        <v>47</v>
      </c>
      <c r="Z1623">
        <v>5</v>
      </c>
      <c r="AA1623">
        <v>46</v>
      </c>
      <c r="AB1623">
        <v>10.9</v>
      </c>
    </row>
    <row r="1624" spans="10:28">
      <c r="J1624" s="340" t="str">
        <f t="shared" si="99"/>
        <v>2005AllSexAllEth211</v>
      </c>
      <c r="K1624">
        <v>2005</v>
      </c>
      <c r="L1624" t="s">
        <v>17</v>
      </c>
      <c r="M1624" t="s">
        <v>27</v>
      </c>
      <c r="N1624">
        <v>21</v>
      </c>
      <c r="O1624">
        <v>1</v>
      </c>
      <c r="P1624">
        <v>0</v>
      </c>
      <c r="Q1624">
        <v>0</v>
      </c>
      <c r="T1624" s="340" t="str">
        <f t="shared" si="100"/>
        <v>2003MaleAllEth22Sharp object</v>
      </c>
      <c r="U1624">
        <v>2003</v>
      </c>
      <c r="V1624" t="s">
        <v>20</v>
      </c>
      <c r="W1624" t="s">
        <v>27</v>
      </c>
      <c r="X1624">
        <v>22</v>
      </c>
      <c r="Y1624" t="s">
        <v>48</v>
      </c>
      <c r="Z1624">
        <v>1</v>
      </c>
      <c r="AA1624">
        <v>67</v>
      </c>
      <c r="AB1624">
        <v>1.5</v>
      </c>
    </row>
    <row r="1625" spans="10:28">
      <c r="J1625" s="340" t="str">
        <f t="shared" si="99"/>
        <v>2005AllSexAllEth212</v>
      </c>
      <c r="K1625">
        <v>2005</v>
      </c>
      <c r="L1625" t="s">
        <v>17</v>
      </c>
      <c r="M1625" t="s">
        <v>27</v>
      </c>
      <c r="N1625">
        <v>21</v>
      </c>
      <c r="O1625">
        <v>2</v>
      </c>
      <c r="P1625">
        <v>0</v>
      </c>
      <c r="Q1625">
        <v>0</v>
      </c>
      <c r="T1625" s="340" t="str">
        <f t="shared" si="100"/>
        <v>2003MaleAllEth23Sharp object</v>
      </c>
      <c r="U1625">
        <v>2003</v>
      </c>
      <c r="V1625" t="s">
        <v>20</v>
      </c>
      <c r="W1625" t="s">
        <v>27</v>
      </c>
      <c r="X1625">
        <v>23</v>
      </c>
      <c r="Y1625" t="s">
        <v>48</v>
      </c>
      <c r="Z1625">
        <v>4</v>
      </c>
      <c r="AA1625">
        <v>163</v>
      </c>
      <c r="AB1625">
        <v>2.5</v>
      </c>
    </row>
    <row r="1626" spans="10:28">
      <c r="J1626" s="340" t="str">
        <f t="shared" si="99"/>
        <v>2005AllSexAllEth213</v>
      </c>
      <c r="K1626">
        <v>2005</v>
      </c>
      <c r="L1626" t="s">
        <v>17</v>
      </c>
      <c r="M1626" t="s">
        <v>27</v>
      </c>
      <c r="N1626">
        <v>21</v>
      </c>
      <c r="O1626">
        <v>3</v>
      </c>
      <c r="P1626">
        <v>1</v>
      </c>
      <c r="Q1626">
        <v>0.61251088317579105</v>
      </c>
      <c r="R1626">
        <v>1.2</v>
      </c>
      <c r="T1626" s="340" t="str">
        <f t="shared" si="100"/>
        <v>2003MaleAllEth24Sharp object</v>
      </c>
      <c r="U1626">
        <v>2003</v>
      </c>
      <c r="V1626" t="s">
        <v>20</v>
      </c>
      <c r="W1626" t="s">
        <v>27</v>
      </c>
      <c r="X1626">
        <v>24</v>
      </c>
      <c r="Y1626" t="s">
        <v>48</v>
      </c>
      <c r="Z1626">
        <v>3</v>
      </c>
      <c r="AA1626">
        <v>100</v>
      </c>
      <c r="AB1626">
        <v>3</v>
      </c>
    </row>
    <row r="1627" spans="10:28">
      <c r="J1627" s="340" t="str">
        <f t="shared" si="99"/>
        <v>2005AllSexAllEth214</v>
      </c>
      <c r="K1627">
        <v>2005</v>
      </c>
      <c r="L1627" t="s">
        <v>17</v>
      </c>
      <c r="M1627" t="s">
        <v>27</v>
      </c>
      <c r="N1627">
        <v>21</v>
      </c>
      <c r="O1627">
        <v>4</v>
      </c>
      <c r="P1627">
        <v>0</v>
      </c>
      <c r="Q1627">
        <v>0</v>
      </c>
      <c r="T1627" s="340" t="str">
        <f t="shared" si="100"/>
        <v>2003MaleAllEth25Sharp object</v>
      </c>
      <c r="U1627">
        <v>2003</v>
      </c>
      <c r="V1627" t="s">
        <v>20</v>
      </c>
      <c r="W1627" t="s">
        <v>27</v>
      </c>
      <c r="X1627">
        <v>25</v>
      </c>
      <c r="Y1627" t="s">
        <v>48</v>
      </c>
      <c r="Z1627">
        <v>6</v>
      </c>
      <c r="AA1627">
        <v>46</v>
      </c>
      <c r="AB1627">
        <v>13</v>
      </c>
    </row>
    <row r="1628" spans="10:28">
      <c r="J1628" s="340" t="str">
        <f t="shared" si="99"/>
        <v>2005AllSexAllEth215</v>
      </c>
      <c r="K1628">
        <v>2005</v>
      </c>
      <c r="L1628" t="s">
        <v>17</v>
      </c>
      <c r="M1628" t="s">
        <v>27</v>
      </c>
      <c r="N1628">
        <v>21</v>
      </c>
      <c r="O1628">
        <v>5</v>
      </c>
      <c r="P1628">
        <v>2</v>
      </c>
      <c r="Q1628">
        <v>0.948409699434142</v>
      </c>
      <c r="R1628">
        <v>1.3</v>
      </c>
      <c r="T1628" s="340" t="str">
        <f t="shared" si="100"/>
        <v>2003MaleAllEth23Submersion (drowning)</v>
      </c>
      <c r="U1628">
        <v>2003</v>
      </c>
      <c r="V1628" t="s">
        <v>20</v>
      </c>
      <c r="W1628" t="s">
        <v>27</v>
      </c>
      <c r="X1628">
        <v>23</v>
      </c>
      <c r="Y1628" t="s">
        <v>49</v>
      </c>
      <c r="Z1628">
        <v>3</v>
      </c>
      <c r="AA1628">
        <v>163</v>
      </c>
      <c r="AB1628">
        <v>1.8</v>
      </c>
    </row>
    <row r="1629" spans="10:28">
      <c r="J1629" s="340" t="str">
        <f t="shared" si="99"/>
        <v>2005AllSexAllEth221</v>
      </c>
      <c r="K1629">
        <v>2005</v>
      </c>
      <c r="L1629" t="s">
        <v>17</v>
      </c>
      <c r="M1629" t="s">
        <v>27</v>
      </c>
      <c r="N1629">
        <v>22</v>
      </c>
      <c r="O1629">
        <v>1</v>
      </c>
      <c r="P1629">
        <v>15</v>
      </c>
      <c r="Q1629">
        <v>15.0332204244999</v>
      </c>
      <c r="R1629">
        <v>7.6</v>
      </c>
      <c r="T1629" s="340" t="str">
        <f t="shared" si="100"/>
        <v>2003MaleAllEth24Submersion (drowning)</v>
      </c>
      <c r="U1629">
        <v>2003</v>
      </c>
      <c r="V1629" t="s">
        <v>20</v>
      </c>
      <c r="W1629" t="s">
        <v>27</v>
      </c>
      <c r="X1629">
        <v>24</v>
      </c>
      <c r="Y1629" t="s">
        <v>49</v>
      </c>
      <c r="Z1629">
        <v>2</v>
      </c>
      <c r="AA1629">
        <v>100</v>
      </c>
      <c r="AB1629">
        <v>2</v>
      </c>
    </row>
    <row r="1630" spans="10:28">
      <c r="J1630" s="340" t="str">
        <f t="shared" si="99"/>
        <v>2005AllSexAllEth222</v>
      </c>
      <c r="K1630">
        <v>2005</v>
      </c>
      <c r="L1630" t="s">
        <v>17</v>
      </c>
      <c r="M1630" t="s">
        <v>27</v>
      </c>
      <c r="N1630">
        <v>22</v>
      </c>
      <c r="O1630">
        <v>2</v>
      </c>
      <c r="P1630">
        <v>17</v>
      </c>
      <c r="Q1630">
        <v>15.9951994407238</v>
      </c>
      <c r="R1630">
        <v>7.6</v>
      </c>
      <c r="T1630" s="340" t="str">
        <f t="shared" si="100"/>
        <v>2003MaleAllEth25Submersion (drowning)</v>
      </c>
      <c r="U1630">
        <v>2003</v>
      </c>
      <c r="V1630" t="s">
        <v>20</v>
      </c>
      <c r="W1630" t="s">
        <v>27</v>
      </c>
      <c r="X1630">
        <v>25</v>
      </c>
      <c r="Y1630" t="s">
        <v>49</v>
      </c>
      <c r="Z1630">
        <v>1</v>
      </c>
      <c r="AA1630">
        <v>46</v>
      </c>
      <c r="AB1630">
        <v>2.2000000000000002</v>
      </c>
    </row>
    <row r="1631" spans="10:28">
      <c r="J1631" s="340" t="str">
        <f t="shared" si="99"/>
        <v>2005AllSexAllEth223</v>
      </c>
      <c r="K1631">
        <v>2005</v>
      </c>
      <c r="L1631" t="s">
        <v>17</v>
      </c>
      <c r="M1631" t="s">
        <v>27</v>
      </c>
      <c r="N1631">
        <v>22</v>
      </c>
      <c r="O1631">
        <v>3</v>
      </c>
      <c r="P1631">
        <v>17</v>
      </c>
      <c r="Q1631">
        <v>14.781834091918</v>
      </c>
      <c r="R1631">
        <v>7</v>
      </c>
      <c r="T1631" s="340" t="str">
        <f t="shared" si="100"/>
        <v>2003MaleMaori23Firearms and explosives</v>
      </c>
      <c r="U1631">
        <v>2003</v>
      </c>
      <c r="V1631" t="s">
        <v>20</v>
      </c>
      <c r="W1631" t="s">
        <v>18</v>
      </c>
      <c r="X1631">
        <v>23</v>
      </c>
      <c r="Y1631" t="s">
        <v>42</v>
      </c>
      <c r="Z1631">
        <v>2</v>
      </c>
      <c r="AA1631">
        <v>39</v>
      </c>
      <c r="AB1631">
        <v>5.0999999999999996</v>
      </c>
    </row>
    <row r="1632" spans="10:28">
      <c r="J1632" s="340" t="str">
        <f t="shared" si="99"/>
        <v>2005AllSexAllEth224</v>
      </c>
      <c r="K1632">
        <v>2005</v>
      </c>
      <c r="L1632" t="s">
        <v>17</v>
      </c>
      <c r="M1632" t="s">
        <v>27</v>
      </c>
      <c r="N1632">
        <v>22</v>
      </c>
      <c r="O1632">
        <v>4</v>
      </c>
      <c r="P1632">
        <v>33</v>
      </c>
      <c r="Q1632">
        <v>26.129565385557601</v>
      </c>
      <c r="R1632">
        <v>8.9</v>
      </c>
      <c r="T1632" s="340" t="str">
        <f t="shared" si="100"/>
        <v>2003MaleMaori24Firearms and explosives</v>
      </c>
      <c r="U1632">
        <v>2003</v>
      </c>
      <c r="V1632" t="s">
        <v>20</v>
      </c>
      <c r="W1632" t="s">
        <v>18</v>
      </c>
      <c r="X1632">
        <v>24</v>
      </c>
      <c r="Y1632" t="s">
        <v>42</v>
      </c>
      <c r="Z1632">
        <v>2</v>
      </c>
      <c r="AA1632">
        <v>4</v>
      </c>
      <c r="AB1632">
        <v>50</v>
      </c>
    </row>
    <row r="1633" spans="10:28">
      <c r="J1633" s="340" t="str">
        <f t="shared" si="99"/>
        <v>2005AllSexAllEth225</v>
      </c>
      <c r="K1633">
        <v>2005</v>
      </c>
      <c r="L1633" t="s">
        <v>17</v>
      </c>
      <c r="M1633" t="s">
        <v>27</v>
      </c>
      <c r="N1633">
        <v>22</v>
      </c>
      <c r="O1633">
        <v>5</v>
      </c>
      <c r="P1633">
        <v>24</v>
      </c>
      <c r="Q1633">
        <v>16.314395133849199</v>
      </c>
      <c r="R1633">
        <v>6.5</v>
      </c>
      <c r="T1633" s="340" t="str">
        <f t="shared" si="100"/>
        <v>2003MaleMaori21Hanging, strangulation and suffocation</v>
      </c>
      <c r="U1633">
        <v>2003</v>
      </c>
      <c r="V1633" t="s">
        <v>20</v>
      </c>
      <c r="W1633" t="s">
        <v>18</v>
      </c>
      <c r="X1633">
        <v>21</v>
      </c>
      <c r="Y1633" t="s">
        <v>43</v>
      </c>
      <c r="Z1633">
        <v>4</v>
      </c>
      <c r="AA1633">
        <v>4</v>
      </c>
      <c r="AB1633">
        <v>100</v>
      </c>
    </row>
    <row r="1634" spans="10:28">
      <c r="J1634" s="340" t="str">
        <f t="shared" si="99"/>
        <v>2005AllSexAllEth231</v>
      </c>
      <c r="K1634">
        <v>2005</v>
      </c>
      <c r="L1634" t="s">
        <v>17</v>
      </c>
      <c r="M1634" t="s">
        <v>27</v>
      </c>
      <c r="N1634">
        <v>23</v>
      </c>
      <c r="O1634">
        <v>1</v>
      </c>
      <c r="P1634">
        <v>28</v>
      </c>
      <c r="Q1634">
        <v>12.091864930201099</v>
      </c>
      <c r="R1634">
        <v>4.5</v>
      </c>
      <c r="T1634" s="340" t="str">
        <f t="shared" si="100"/>
        <v>2003MaleMaori22Hanging, strangulation and suffocation</v>
      </c>
      <c r="U1634">
        <v>2003</v>
      </c>
      <c r="V1634" t="s">
        <v>20</v>
      </c>
      <c r="W1634" t="s">
        <v>18</v>
      </c>
      <c r="X1634">
        <v>22</v>
      </c>
      <c r="Y1634" t="s">
        <v>43</v>
      </c>
      <c r="Z1634">
        <v>19</v>
      </c>
      <c r="AA1634">
        <v>20</v>
      </c>
      <c r="AB1634">
        <v>95</v>
      </c>
    </row>
    <row r="1635" spans="10:28">
      <c r="J1635" s="340" t="str">
        <f t="shared" si="99"/>
        <v>2005AllSexAllEth232</v>
      </c>
      <c r="K1635">
        <v>2005</v>
      </c>
      <c r="L1635" t="s">
        <v>17</v>
      </c>
      <c r="M1635" t="s">
        <v>27</v>
      </c>
      <c r="N1635">
        <v>23</v>
      </c>
      <c r="O1635">
        <v>2</v>
      </c>
      <c r="P1635">
        <v>23</v>
      </c>
      <c r="Q1635">
        <v>9.4494238303446405</v>
      </c>
      <c r="R1635">
        <v>3.9</v>
      </c>
      <c r="T1635" s="340" t="str">
        <f t="shared" si="100"/>
        <v>2003MaleMaori23Hanging, strangulation and suffocation</v>
      </c>
      <c r="U1635">
        <v>2003</v>
      </c>
      <c r="V1635" t="s">
        <v>20</v>
      </c>
      <c r="W1635" t="s">
        <v>18</v>
      </c>
      <c r="X1635">
        <v>23</v>
      </c>
      <c r="Y1635" t="s">
        <v>43</v>
      </c>
      <c r="Z1635">
        <v>29</v>
      </c>
      <c r="AA1635">
        <v>39</v>
      </c>
      <c r="AB1635">
        <v>74.400000000000006</v>
      </c>
    </row>
    <row r="1636" spans="10:28">
      <c r="J1636" s="340" t="str">
        <f t="shared" si="99"/>
        <v>2005AllSexAllEth233</v>
      </c>
      <c r="K1636">
        <v>2005</v>
      </c>
      <c r="L1636" t="s">
        <v>17</v>
      </c>
      <c r="M1636" t="s">
        <v>27</v>
      </c>
      <c r="N1636">
        <v>23</v>
      </c>
      <c r="O1636">
        <v>3</v>
      </c>
      <c r="P1636">
        <v>41</v>
      </c>
      <c r="Q1636">
        <v>16.847821565173199</v>
      </c>
      <c r="R1636">
        <v>5.2</v>
      </c>
      <c r="T1636" s="340" t="str">
        <f t="shared" si="100"/>
        <v>2003MaleMaori24Hanging, strangulation and suffocation</v>
      </c>
      <c r="U1636">
        <v>2003</v>
      </c>
      <c r="V1636" t="s">
        <v>20</v>
      </c>
      <c r="W1636" t="s">
        <v>18</v>
      </c>
      <c r="X1636">
        <v>24</v>
      </c>
      <c r="Y1636" t="s">
        <v>43</v>
      </c>
      <c r="Z1636">
        <v>1</v>
      </c>
      <c r="AA1636">
        <v>4</v>
      </c>
      <c r="AB1636">
        <v>25</v>
      </c>
    </row>
    <row r="1637" spans="10:28">
      <c r="J1637" s="340" t="str">
        <f t="shared" si="99"/>
        <v>2005AllSexAllEth234</v>
      </c>
      <c r="K1637">
        <v>2005</v>
      </c>
      <c r="L1637" t="s">
        <v>17</v>
      </c>
      <c r="M1637" t="s">
        <v>27</v>
      </c>
      <c r="N1637">
        <v>23</v>
      </c>
      <c r="O1637">
        <v>4</v>
      </c>
      <c r="P1637">
        <v>45</v>
      </c>
      <c r="Q1637">
        <v>18.843651042940099</v>
      </c>
      <c r="R1637">
        <v>5.5</v>
      </c>
      <c r="T1637" s="340" t="str">
        <f t="shared" si="100"/>
        <v>2003MaleMaori23Jumping from a high place</v>
      </c>
      <c r="U1637">
        <v>2003</v>
      </c>
      <c r="V1637" t="s">
        <v>20</v>
      </c>
      <c r="W1637" t="s">
        <v>18</v>
      </c>
      <c r="X1637">
        <v>23</v>
      </c>
      <c r="Y1637" t="s">
        <v>44</v>
      </c>
      <c r="Z1637">
        <v>2</v>
      </c>
      <c r="AA1637">
        <v>39</v>
      </c>
      <c r="AB1637">
        <v>5.0999999999999996</v>
      </c>
    </row>
    <row r="1638" spans="10:28">
      <c r="J1638" s="340" t="str">
        <f t="shared" si="99"/>
        <v>2005AllSexAllEth235</v>
      </c>
      <c r="K1638">
        <v>2005</v>
      </c>
      <c r="L1638" t="s">
        <v>17</v>
      </c>
      <c r="M1638" t="s">
        <v>27</v>
      </c>
      <c r="N1638">
        <v>23</v>
      </c>
      <c r="O1638">
        <v>5</v>
      </c>
      <c r="P1638">
        <v>70</v>
      </c>
      <c r="Q1638">
        <v>31.201343378752501</v>
      </c>
      <c r="R1638">
        <v>7.3</v>
      </c>
      <c r="T1638" s="340" t="str">
        <f t="shared" si="100"/>
        <v>2003MaleMaori23Other</v>
      </c>
      <c r="U1638">
        <v>2003</v>
      </c>
      <c r="V1638" t="s">
        <v>20</v>
      </c>
      <c r="W1638" t="s">
        <v>18</v>
      </c>
      <c r="X1638">
        <v>23</v>
      </c>
      <c r="Y1638" t="s">
        <v>45</v>
      </c>
      <c r="Z1638">
        <v>1</v>
      </c>
      <c r="AA1638">
        <v>39</v>
      </c>
      <c r="AB1638">
        <v>2.6</v>
      </c>
    </row>
    <row r="1639" spans="10:28">
      <c r="J1639" s="340" t="str">
        <f t="shared" si="99"/>
        <v>2005AllSexAllEth241</v>
      </c>
      <c r="K1639">
        <v>2005</v>
      </c>
      <c r="L1639" t="s">
        <v>17</v>
      </c>
      <c r="M1639" t="s">
        <v>27</v>
      </c>
      <c r="N1639">
        <v>24</v>
      </c>
      <c r="O1639">
        <v>1</v>
      </c>
      <c r="P1639">
        <v>20</v>
      </c>
      <c r="Q1639">
        <v>8.3463677273078805</v>
      </c>
      <c r="R1639">
        <v>3.7</v>
      </c>
      <c r="T1639" s="340" t="str">
        <f t="shared" si="100"/>
        <v>2003MaleMaori24Other</v>
      </c>
      <c r="U1639">
        <v>2003</v>
      </c>
      <c r="V1639" t="s">
        <v>20</v>
      </c>
      <c r="W1639" t="s">
        <v>18</v>
      </c>
      <c r="X1639">
        <v>24</v>
      </c>
      <c r="Y1639" t="s">
        <v>45</v>
      </c>
      <c r="Z1639">
        <v>1</v>
      </c>
      <c r="AA1639">
        <v>4</v>
      </c>
      <c r="AB1639">
        <v>25</v>
      </c>
    </row>
    <row r="1640" spans="10:28">
      <c r="J1640" s="340" t="str">
        <f t="shared" si="99"/>
        <v>2005AllSexAllEth242</v>
      </c>
      <c r="K1640">
        <v>2005</v>
      </c>
      <c r="L1640" t="s">
        <v>17</v>
      </c>
      <c r="M1640" t="s">
        <v>27</v>
      </c>
      <c r="N1640">
        <v>24</v>
      </c>
      <c r="O1640">
        <v>2</v>
      </c>
      <c r="P1640">
        <v>24</v>
      </c>
      <c r="Q1640">
        <v>11.344902938937199</v>
      </c>
      <c r="R1640">
        <v>4.5</v>
      </c>
      <c r="T1640" s="340" t="str">
        <f t="shared" si="100"/>
        <v>2003MaleMaori22Poisoning by gases and vapours</v>
      </c>
      <c r="U1640">
        <v>2003</v>
      </c>
      <c r="V1640" t="s">
        <v>20</v>
      </c>
      <c r="W1640" t="s">
        <v>18</v>
      </c>
      <c r="X1640">
        <v>22</v>
      </c>
      <c r="Y1640" t="s">
        <v>46</v>
      </c>
      <c r="Z1640">
        <v>1</v>
      </c>
      <c r="AA1640">
        <v>20</v>
      </c>
      <c r="AB1640">
        <v>5</v>
      </c>
    </row>
    <row r="1641" spans="10:28">
      <c r="J1641" s="340" t="str">
        <f t="shared" si="99"/>
        <v>2005AllSexAllEth243</v>
      </c>
      <c r="K1641">
        <v>2005</v>
      </c>
      <c r="L1641" t="s">
        <v>17</v>
      </c>
      <c r="M1641" t="s">
        <v>27</v>
      </c>
      <c r="N1641">
        <v>24</v>
      </c>
      <c r="O1641">
        <v>3</v>
      </c>
      <c r="P1641">
        <v>15</v>
      </c>
      <c r="Q1641">
        <v>7.8653054844678598</v>
      </c>
      <c r="R1641">
        <v>4</v>
      </c>
      <c r="T1641" s="340" t="str">
        <f t="shared" si="100"/>
        <v>2003MaleMaori23Poisoning by gases and vapours</v>
      </c>
      <c r="U1641">
        <v>2003</v>
      </c>
      <c r="V1641" t="s">
        <v>20</v>
      </c>
      <c r="W1641" t="s">
        <v>18</v>
      </c>
      <c r="X1641">
        <v>23</v>
      </c>
      <c r="Y1641" t="s">
        <v>46</v>
      </c>
      <c r="Z1641">
        <v>3</v>
      </c>
      <c r="AA1641">
        <v>39</v>
      </c>
      <c r="AB1641">
        <v>7.7</v>
      </c>
    </row>
    <row r="1642" spans="10:28">
      <c r="J1642" s="340" t="str">
        <f t="shared" si="99"/>
        <v>2005AllSexAllEth244</v>
      </c>
      <c r="K1642">
        <v>2005</v>
      </c>
      <c r="L1642" t="s">
        <v>17</v>
      </c>
      <c r="M1642" t="s">
        <v>27</v>
      </c>
      <c r="N1642">
        <v>24</v>
      </c>
      <c r="O1642">
        <v>4</v>
      </c>
      <c r="P1642">
        <v>40</v>
      </c>
      <c r="Q1642">
        <v>22.948229505149499</v>
      </c>
      <c r="R1642">
        <v>7.1</v>
      </c>
      <c r="T1642" s="340" t="str">
        <f t="shared" si="100"/>
        <v>2003MaleMaori23Poisoning by solids and liquids</v>
      </c>
      <c r="U1642">
        <v>2003</v>
      </c>
      <c r="V1642" t="s">
        <v>20</v>
      </c>
      <c r="W1642" t="s">
        <v>18</v>
      </c>
      <c r="X1642">
        <v>23</v>
      </c>
      <c r="Y1642" t="s">
        <v>47</v>
      </c>
      <c r="Z1642">
        <v>1</v>
      </c>
      <c r="AA1642">
        <v>39</v>
      </c>
      <c r="AB1642">
        <v>2.6</v>
      </c>
    </row>
    <row r="1643" spans="10:28">
      <c r="J1643" s="340" t="str">
        <f t="shared" si="99"/>
        <v>2005AllSexAllEth245</v>
      </c>
      <c r="K1643">
        <v>2005</v>
      </c>
      <c r="L1643" t="s">
        <v>17</v>
      </c>
      <c r="M1643" t="s">
        <v>27</v>
      </c>
      <c r="N1643">
        <v>24</v>
      </c>
      <c r="O1643">
        <v>5</v>
      </c>
      <c r="P1643">
        <v>30</v>
      </c>
      <c r="Q1643">
        <v>19.342396298706699</v>
      </c>
      <c r="R1643">
        <v>6.9</v>
      </c>
      <c r="T1643" s="340" t="str">
        <f t="shared" si="100"/>
        <v>2003MaleMaori23Sharp object</v>
      </c>
      <c r="U1643">
        <v>2003</v>
      </c>
      <c r="V1643" t="s">
        <v>20</v>
      </c>
      <c r="W1643" t="s">
        <v>18</v>
      </c>
      <c r="X1643">
        <v>23</v>
      </c>
      <c r="Y1643" t="s">
        <v>48</v>
      </c>
      <c r="Z1643">
        <v>1</v>
      </c>
      <c r="AA1643">
        <v>39</v>
      </c>
      <c r="AB1643">
        <v>2.6</v>
      </c>
    </row>
    <row r="1644" spans="10:28">
      <c r="J1644" s="340" t="str">
        <f t="shared" si="99"/>
        <v>2005AllSexAllEth251</v>
      </c>
      <c r="K1644">
        <v>2005</v>
      </c>
      <c r="L1644" t="s">
        <v>17</v>
      </c>
      <c r="M1644" t="s">
        <v>27</v>
      </c>
      <c r="N1644">
        <v>25</v>
      </c>
      <c r="O1644">
        <v>1</v>
      </c>
      <c r="P1644">
        <v>13</v>
      </c>
      <c r="Q1644">
        <v>13.646393205146801</v>
      </c>
      <c r="R1644">
        <v>7.4</v>
      </c>
      <c r="T1644" s="340" t="str">
        <f t="shared" si="100"/>
        <v>2003MaleNon-Maori22Firearms and explosives</v>
      </c>
      <c r="U1644">
        <v>2003</v>
      </c>
      <c r="V1644" t="s">
        <v>20</v>
      </c>
      <c r="W1644" t="s">
        <v>19</v>
      </c>
      <c r="X1644">
        <v>22</v>
      </c>
      <c r="Y1644" t="s">
        <v>42</v>
      </c>
      <c r="Z1644">
        <v>2</v>
      </c>
      <c r="AA1644">
        <v>47</v>
      </c>
      <c r="AB1644">
        <v>4.3</v>
      </c>
    </row>
    <row r="1645" spans="10:28">
      <c r="J1645" s="340" t="str">
        <f t="shared" si="99"/>
        <v>2005AllSexAllEth252</v>
      </c>
      <c r="K1645">
        <v>2005</v>
      </c>
      <c r="L1645" t="s">
        <v>17</v>
      </c>
      <c r="M1645" t="s">
        <v>27</v>
      </c>
      <c r="N1645">
        <v>25</v>
      </c>
      <c r="O1645">
        <v>2</v>
      </c>
      <c r="P1645">
        <v>8</v>
      </c>
      <c r="Q1645">
        <v>7.8213318938733298</v>
      </c>
      <c r="R1645">
        <v>5.4</v>
      </c>
      <c r="T1645" s="340" t="str">
        <f t="shared" si="100"/>
        <v>2003MaleNon-Maori23Firearms and explosives</v>
      </c>
      <c r="U1645">
        <v>2003</v>
      </c>
      <c r="V1645" t="s">
        <v>20</v>
      </c>
      <c r="W1645" t="s">
        <v>19</v>
      </c>
      <c r="X1645">
        <v>23</v>
      </c>
      <c r="Y1645" t="s">
        <v>42</v>
      </c>
      <c r="Z1645">
        <v>9</v>
      </c>
      <c r="AA1645">
        <v>124</v>
      </c>
      <c r="AB1645">
        <v>7.3</v>
      </c>
    </row>
    <row r="1646" spans="10:28">
      <c r="J1646" s="340" t="str">
        <f t="shared" si="99"/>
        <v>2005AllSexAllEth253</v>
      </c>
      <c r="K1646">
        <v>2005</v>
      </c>
      <c r="L1646" t="s">
        <v>17</v>
      </c>
      <c r="M1646" t="s">
        <v>27</v>
      </c>
      <c r="N1646">
        <v>25</v>
      </c>
      <c r="O1646">
        <v>3</v>
      </c>
      <c r="P1646">
        <v>13</v>
      </c>
      <c r="Q1646">
        <v>12.163439083333699</v>
      </c>
      <c r="R1646">
        <v>6.6</v>
      </c>
      <c r="T1646" s="340" t="str">
        <f t="shared" si="100"/>
        <v>2003MaleNon-Maori24Firearms and explosives</v>
      </c>
      <c r="U1646">
        <v>2003</v>
      </c>
      <c r="V1646" t="s">
        <v>20</v>
      </c>
      <c r="W1646" t="s">
        <v>19</v>
      </c>
      <c r="X1646">
        <v>24</v>
      </c>
      <c r="Y1646" t="s">
        <v>42</v>
      </c>
      <c r="Z1646">
        <v>13</v>
      </c>
      <c r="AA1646">
        <v>96</v>
      </c>
      <c r="AB1646">
        <v>13.5</v>
      </c>
    </row>
    <row r="1647" spans="10:28">
      <c r="J1647" s="340" t="str">
        <f t="shared" si="99"/>
        <v>2005AllSexAllEth254</v>
      </c>
      <c r="K1647">
        <v>2005</v>
      </c>
      <c r="L1647" t="s">
        <v>17</v>
      </c>
      <c r="M1647" t="s">
        <v>27</v>
      </c>
      <c r="N1647">
        <v>25</v>
      </c>
      <c r="O1647">
        <v>4</v>
      </c>
      <c r="P1647">
        <v>7</v>
      </c>
      <c r="Q1647">
        <v>6.4892329006125404</v>
      </c>
      <c r="R1647">
        <v>4.8</v>
      </c>
      <c r="T1647" s="340" t="str">
        <f t="shared" si="100"/>
        <v>2003MaleNon-Maori25Firearms and explosives</v>
      </c>
      <c r="U1647">
        <v>2003</v>
      </c>
      <c r="V1647" t="s">
        <v>20</v>
      </c>
      <c r="W1647" t="s">
        <v>19</v>
      </c>
      <c r="X1647">
        <v>25</v>
      </c>
      <c r="Y1647" t="s">
        <v>42</v>
      </c>
      <c r="Z1647">
        <v>10</v>
      </c>
      <c r="AA1647">
        <v>46</v>
      </c>
      <c r="AB1647">
        <v>21.7</v>
      </c>
    </row>
    <row r="1648" spans="10:28">
      <c r="J1648" s="340" t="str">
        <f t="shared" si="99"/>
        <v>2005AllSexAllEth255</v>
      </c>
      <c r="K1648">
        <v>2005</v>
      </c>
      <c r="L1648" t="s">
        <v>17</v>
      </c>
      <c r="M1648" t="s">
        <v>27</v>
      </c>
      <c r="N1648">
        <v>25</v>
      </c>
      <c r="O1648">
        <v>5</v>
      </c>
      <c r="P1648">
        <v>5</v>
      </c>
      <c r="Q1648">
        <v>5.9464657940640597</v>
      </c>
      <c r="R1648">
        <v>5.2</v>
      </c>
      <c r="T1648" s="340" t="str">
        <f t="shared" si="100"/>
        <v>2003MaleNon-Maori22Hanging, strangulation and suffocation</v>
      </c>
      <c r="U1648">
        <v>2003</v>
      </c>
      <c r="V1648" t="s">
        <v>20</v>
      </c>
      <c r="W1648" t="s">
        <v>19</v>
      </c>
      <c r="X1648">
        <v>22</v>
      </c>
      <c r="Y1648" t="s">
        <v>43</v>
      </c>
      <c r="Z1648">
        <v>31</v>
      </c>
      <c r="AA1648">
        <v>47</v>
      </c>
      <c r="AB1648">
        <v>66</v>
      </c>
    </row>
    <row r="1649" spans="10:28">
      <c r="J1649" s="340" t="str">
        <f t="shared" si="99"/>
        <v>2005AllSexMaori211</v>
      </c>
      <c r="K1649">
        <v>2005</v>
      </c>
      <c r="L1649" t="s">
        <v>17</v>
      </c>
      <c r="M1649" t="s">
        <v>18</v>
      </c>
      <c r="N1649">
        <v>21</v>
      </c>
      <c r="O1649">
        <v>1</v>
      </c>
      <c r="P1649">
        <v>0</v>
      </c>
      <c r="Q1649">
        <v>0</v>
      </c>
      <c r="T1649" s="340" t="str">
        <f t="shared" si="100"/>
        <v>2003MaleNon-Maori23Hanging, strangulation and suffocation</v>
      </c>
      <c r="U1649">
        <v>2003</v>
      </c>
      <c r="V1649" t="s">
        <v>20</v>
      </c>
      <c r="W1649" t="s">
        <v>19</v>
      </c>
      <c r="X1649">
        <v>23</v>
      </c>
      <c r="Y1649" t="s">
        <v>43</v>
      </c>
      <c r="Z1649">
        <v>55</v>
      </c>
      <c r="AA1649">
        <v>124</v>
      </c>
      <c r="AB1649">
        <v>44.4</v>
      </c>
    </row>
    <row r="1650" spans="10:28">
      <c r="J1650" s="340" t="str">
        <f t="shared" si="99"/>
        <v>2005AllSexMaori212</v>
      </c>
      <c r="K1650">
        <v>2005</v>
      </c>
      <c r="L1650" t="s">
        <v>17</v>
      </c>
      <c r="M1650" t="s">
        <v>18</v>
      </c>
      <c r="N1650">
        <v>21</v>
      </c>
      <c r="O1650">
        <v>2</v>
      </c>
      <c r="P1650">
        <v>0</v>
      </c>
      <c r="Q1650">
        <v>0</v>
      </c>
      <c r="T1650" s="340" t="str">
        <f t="shared" si="100"/>
        <v>2003MaleNon-Maori24Hanging, strangulation and suffocation</v>
      </c>
      <c r="U1650">
        <v>2003</v>
      </c>
      <c r="V1650" t="s">
        <v>20</v>
      </c>
      <c r="W1650" t="s">
        <v>19</v>
      </c>
      <c r="X1650">
        <v>24</v>
      </c>
      <c r="Y1650" t="s">
        <v>43</v>
      </c>
      <c r="Z1650">
        <v>35</v>
      </c>
      <c r="AA1650">
        <v>96</v>
      </c>
      <c r="AB1650">
        <v>36.5</v>
      </c>
    </row>
    <row r="1651" spans="10:28">
      <c r="J1651" s="340" t="str">
        <f t="shared" si="99"/>
        <v>2005AllSexMaori213</v>
      </c>
      <c r="K1651">
        <v>2005</v>
      </c>
      <c r="L1651" t="s">
        <v>17</v>
      </c>
      <c r="M1651" t="s">
        <v>18</v>
      </c>
      <c r="N1651">
        <v>21</v>
      </c>
      <c r="O1651">
        <v>3</v>
      </c>
      <c r="P1651">
        <v>1</v>
      </c>
      <c r="Q1651">
        <v>2.9884386516188202</v>
      </c>
      <c r="R1651">
        <v>5.9</v>
      </c>
      <c r="T1651" s="340" t="str">
        <f t="shared" si="100"/>
        <v>2003MaleNon-Maori25Hanging, strangulation and suffocation</v>
      </c>
      <c r="U1651">
        <v>2003</v>
      </c>
      <c r="V1651" t="s">
        <v>20</v>
      </c>
      <c r="W1651" t="s">
        <v>19</v>
      </c>
      <c r="X1651">
        <v>25</v>
      </c>
      <c r="Y1651" t="s">
        <v>43</v>
      </c>
      <c r="Z1651">
        <v>14</v>
      </c>
      <c r="AA1651">
        <v>46</v>
      </c>
      <c r="AB1651">
        <v>30.4</v>
      </c>
    </row>
    <row r="1652" spans="10:28">
      <c r="J1652" s="340" t="str">
        <f t="shared" si="99"/>
        <v>2005AllSexMaori214</v>
      </c>
      <c r="K1652">
        <v>2005</v>
      </c>
      <c r="L1652" t="s">
        <v>17</v>
      </c>
      <c r="M1652" t="s">
        <v>18</v>
      </c>
      <c r="N1652">
        <v>21</v>
      </c>
      <c r="O1652">
        <v>4</v>
      </c>
      <c r="P1652">
        <v>0</v>
      </c>
      <c r="Q1652">
        <v>0</v>
      </c>
      <c r="T1652" s="340" t="str">
        <f t="shared" si="100"/>
        <v>2003MaleNon-Maori22Jumping from a high place</v>
      </c>
      <c r="U1652">
        <v>2003</v>
      </c>
      <c r="V1652" t="s">
        <v>20</v>
      </c>
      <c r="W1652" t="s">
        <v>19</v>
      </c>
      <c r="X1652">
        <v>22</v>
      </c>
      <c r="Y1652" t="s">
        <v>44</v>
      </c>
      <c r="Z1652">
        <v>3</v>
      </c>
      <c r="AA1652">
        <v>47</v>
      </c>
      <c r="AB1652">
        <v>6.4</v>
      </c>
    </row>
    <row r="1653" spans="10:28">
      <c r="J1653" s="340" t="str">
        <f t="shared" si="99"/>
        <v>2005AllSexMaori215</v>
      </c>
      <c r="K1653">
        <v>2005</v>
      </c>
      <c r="L1653" t="s">
        <v>17</v>
      </c>
      <c r="M1653" t="s">
        <v>18</v>
      </c>
      <c r="N1653">
        <v>21</v>
      </c>
      <c r="O1653">
        <v>5</v>
      </c>
      <c r="P1653">
        <v>1</v>
      </c>
      <c r="Q1653">
        <v>1.07200785109907</v>
      </c>
      <c r="R1653">
        <v>2.1</v>
      </c>
      <c r="T1653" s="340" t="str">
        <f t="shared" si="100"/>
        <v>2003MaleNon-Maori23Jumping from a high place</v>
      </c>
      <c r="U1653">
        <v>2003</v>
      </c>
      <c r="V1653" t="s">
        <v>20</v>
      </c>
      <c r="W1653" t="s">
        <v>19</v>
      </c>
      <c r="X1653">
        <v>23</v>
      </c>
      <c r="Y1653" t="s">
        <v>44</v>
      </c>
      <c r="Z1653">
        <v>1</v>
      </c>
      <c r="AA1653">
        <v>124</v>
      </c>
      <c r="AB1653">
        <v>0.8</v>
      </c>
    </row>
    <row r="1654" spans="10:28">
      <c r="J1654" s="340" t="str">
        <f t="shared" si="99"/>
        <v>2005AllSexMaori221</v>
      </c>
      <c r="K1654">
        <v>2005</v>
      </c>
      <c r="L1654" t="s">
        <v>17</v>
      </c>
      <c r="M1654" t="s">
        <v>18</v>
      </c>
      <c r="N1654">
        <v>22</v>
      </c>
      <c r="O1654">
        <v>1</v>
      </c>
      <c r="P1654">
        <v>2</v>
      </c>
      <c r="Q1654">
        <v>24.4239613644556</v>
      </c>
      <c r="R1654">
        <v>33.799999999999997</v>
      </c>
      <c r="T1654" s="340" t="str">
        <f t="shared" si="100"/>
        <v>2003MaleNon-Maori24Jumping from a high place</v>
      </c>
      <c r="U1654">
        <v>2003</v>
      </c>
      <c r="V1654" t="s">
        <v>20</v>
      </c>
      <c r="W1654" t="s">
        <v>19</v>
      </c>
      <c r="X1654">
        <v>24</v>
      </c>
      <c r="Y1654" t="s">
        <v>44</v>
      </c>
      <c r="Z1654">
        <v>1</v>
      </c>
      <c r="AA1654">
        <v>96</v>
      </c>
      <c r="AB1654">
        <v>1</v>
      </c>
    </row>
    <row r="1655" spans="10:28">
      <c r="J1655" s="340" t="str">
        <f t="shared" si="99"/>
        <v>2005AllSexMaori222</v>
      </c>
      <c r="K1655">
        <v>2005</v>
      </c>
      <c r="L1655" t="s">
        <v>17</v>
      </c>
      <c r="M1655" t="s">
        <v>18</v>
      </c>
      <c r="N1655">
        <v>22</v>
      </c>
      <c r="O1655">
        <v>2</v>
      </c>
      <c r="P1655">
        <v>2</v>
      </c>
      <c r="Q1655">
        <v>16.453631971995001</v>
      </c>
      <c r="R1655">
        <v>22.8</v>
      </c>
      <c r="T1655" s="340" t="str">
        <f t="shared" si="100"/>
        <v>2003MaleNon-Maori22Other</v>
      </c>
      <c r="U1655">
        <v>2003</v>
      </c>
      <c r="V1655" t="s">
        <v>20</v>
      </c>
      <c r="W1655" t="s">
        <v>19</v>
      </c>
      <c r="X1655">
        <v>22</v>
      </c>
      <c r="Y1655" t="s">
        <v>45</v>
      </c>
      <c r="Z1655">
        <v>3</v>
      </c>
      <c r="AA1655">
        <v>47</v>
      </c>
      <c r="AB1655">
        <v>6.4</v>
      </c>
    </row>
    <row r="1656" spans="10:28">
      <c r="J1656" s="340" t="str">
        <f t="shared" si="99"/>
        <v>2005AllSexMaori223</v>
      </c>
      <c r="K1656">
        <v>2005</v>
      </c>
      <c r="L1656" t="s">
        <v>17</v>
      </c>
      <c r="M1656" t="s">
        <v>18</v>
      </c>
      <c r="N1656">
        <v>22</v>
      </c>
      <c r="O1656">
        <v>3</v>
      </c>
      <c r="P1656">
        <v>8</v>
      </c>
      <c r="Q1656">
        <v>43.401538001761701</v>
      </c>
      <c r="R1656">
        <v>30.1</v>
      </c>
      <c r="T1656" s="340" t="str">
        <f t="shared" si="100"/>
        <v>2003MaleNon-Maori23Other</v>
      </c>
      <c r="U1656">
        <v>2003</v>
      </c>
      <c r="V1656" t="s">
        <v>20</v>
      </c>
      <c r="W1656" t="s">
        <v>19</v>
      </c>
      <c r="X1656">
        <v>23</v>
      </c>
      <c r="Y1656" t="s">
        <v>45</v>
      </c>
      <c r="Z1656">
        <v>8</v>
      </c>
      <c r="AA1656">
        <v>124</v>
      </c>
      <c r="AB1656">
        <v>6.5</v>
      </c>
    </row>
    <row r="1657" spans="10:28">
      <c r="J1657" s="340" t="str">
        <f t="shared" si="99"/>
        <v>2005AllSexMaori224</v>
      </c>
      <c r="K1657">
        <v>2005</v>
      </c>
      <c r="L1657" t="s">
        <v>17</v>
      </c>
      <c r="M1657" t="s">
        <v>18</v>
      </c>
      <c r="N1657">
        <v>22</v>
      </c>
      <c r="O1657">
        <v>4</v>
      </c>
      <c r="P1657">
        <v>13</v>
      </c>
      <c r="Q1657">
        <v>47.548657489063899</v>
      </c>
      <c r="R1657">
        <v>25.8</v>
      </c>
      <c r="T1657" s="340" t="str">
        <f t="shared" si="100"/>
        <v>2003MaleNon-Maori24Other</v>
      </c>
      <c r="U1657">
        <v>2003</v>
      </c>
      <c r="V1657" t="s">
        <v>20</v>
      </c>
      <c r="W1657" t="s">
        <v>19</v>
      </c>
      <c r="X1657">
        <v>24</v>
      </c>
      <c r="Y1657" t="s">
        <v>45</v>
      </c>
      <c r="Z1657">
        <v>6</v>
      </c>
      <c r="AA1657">
        <v>96</v>
      </c>
      <c r="AB1657">
        <v>6.2</v>
      </c>
    </row>
    <row r="1658" spans="10:28">
      <c r="J1658" s="340" t="str">
        <f t="shared" si="99"/>
        <v>2005AllSexMaori225</v>
      </c>
      <c r="K1658">
        <v>2005</v>
      </c>
      <c r="L1658" t="s">
        <v>17</v>
      </c>
      <c r="M1658" t="s">
        <v>18</v>
      </c>
      <c r="N1658">
        <v>22</v>
      </c>
      <c r="O1658">
        <v>5</v>
      </c>
      <c r="P1658">
        <v>14</v>
      </c>
      <c r="Q1658">
        <v>29.055886076322299</v>
      </c>
      <c r="R1658">
        <v>15.2</v>
      </c>
      <c r="T1658" s="340" t="str">
        <f t="shared" si="100"/>
        <v>2003MaleNon-Maori25Other</v>
      </c>
      <c r="U1658">
        <v>2003</v>
      </c>
      <c r="V1658" t="s">
        <v>20</v>
      </c>
      <c r="W1658" t="s">
        <v>19</v>
      </c>
      <c r="X1658">
        <v>25</v>
      </c>
      <c r="Y1658" t="s">
        <v>45</v>
      </c>
      <c r="Z1658">
        <v>1</v>
      </c>
      <c r="AA1658">
        <v>46</v>
      </c>
      <c r="AB1658">
        <v>2.2000000000000002</v>
      </c>
    </row>
    <row r="1659" spans="10:28">
      <c r="J1659" s="340" t="str">
        <f t="shared" si="99"/>
        <v>2005AllSexMaori231</v>
      </c>
      <c r="K1659">
        <v>2005</v>
      </c>
      <c r="L1659" t="s">
        <v>17</v>
      </c>
      <c r="M1659" t="s">
        <v>18</v>
      </c>
      <c r="N1659">
        <v>23</v>
      </c>
      <c r="O1659">
        <v>1</v>
      </c>
      <c r="P1659">
        <v>2</v>
      </c>
      <c r="Q1659">
        <v>14.3392999055472</v>
      </c>
      <c r="R1659">
        <v>19.899999999999999</v>
      </c>
      <c r="T1659" s="340" t="str">
        <f t="shared" si="100"/>
        <v>2003MaleNon-Maori22Poisoning by gases and vapours</v>
      </c>
      <c r="U1659">
        <v>2003</v>
      </c>
      <c r="V1659" t="s">
        <v>20</v>
      </c>
      <c r="W1659" t="s">
        <v>19</v>
      </c>
      <c r="X1659">
        <v>22</v>
      </c>
      <c r="Y1659" t="s">
        <v>46</v>
      </c>
      <c r="Z1659">
        <v>7</v>
      </c>
      <c r="AA1659">
        <v>47</v>
      </c>
      <c r="AB1659">
        <v>14.9</v>
      </c>
    </row>
    <row r="1660" spans="10:28">
      <c r="J1660" s="340" t="str">
        <f t="shared" si="99"/>
        <v>2005AllSexMaori232</v>
      </c>
      <c r="K1660">
        <v>2005</v>
      </c>
      <c r="L1660" t="s">
        <v>17</v>
      </c>
      <c r="M1660" t="s">
        <v>18</v>
      </c>
      <c r="N1660">
        <v>23</v>
      </c>
      <c r="O1660">
        <v>2</v>
      </c>
      <c r="P1660">
        <v>5</v>
      </c>
      <c r="Q1660">
        <v>24.715064195573198</v>
      </c>
      <c r="R1660">
        <v>21.7</v>
      </c>
      <c r="T1660" s="340" t="str">
        <f t="shared" si="100"/>
        <v>2003MaleNon-Maori23Poisoning by gases and vapours</v>
      </c>
      <c r="U1660">
        <v>2003</v>
      </c>
      <c r="V1660" t="s">
        <v>20</v>
      </c>
      <c r="W1660" t="s">
        <v>19</v>
      </c>
      <c r="X1660">
        <v>23</v>
      </c>
      <c r="Y1660" t="s">
        <v>46</v>
      </c>
      <c r="Z1660">
        <v>32</v>
      </c>
      <c r="AA1660">
        <v>124</v>
      </c>
      <c r="AB1660">
        <v>25.8</v>
      </c>
    </row>
    <row r="1661" spans="10:28">
      <c r="J1661" s="340" t="str">
        <f t="shared" si="99"/>
        <v>2005AllSexMaori233</v>
      </c>
      <c r="K1661">
        <v>2005</v>
      </c>
      <c r="L1661" t="s">
        <v>17</v>
      </c>
      <c r="M1661" t="s">
        <v>18</v>
      </c>
      <c r="N1661">
        <v>23</v>
      </c>
      <c r="O1661">
        <v>3</v>
      </c>
      <c r="P1661">
        <v>6</v>
      </c>
      <c r="Q1661">
        <v>21.236671290706202</v>
      </c>
      <c r="R1661">
        <v>17</v>
      </c>
      <c r="T1661" s="340" t="str">
        <f t="shared" si="100"/>
        <v>2003MaleNon-Maori24Poisoning by gases and vapours</v>
      </c>
      <c r="U1661">
        <v>2003</v>
      </c>
      <c r="V1661" t="s">
        <v>20</v>
      </c>
      <c r="W1661" t="s">
        <v>19</v>
      </c>
      <c r="X1661">
        <v>24</v>
      </c>
      <c r="Y1661" t="s">
        <v>46</v>
      </c>
      <c r="Z1661">
        <v>23</v>
      </c>
      <c r="AA1661">
        <v>96</v>
      </c>
      <c r="AB1661">
        <v>24</v>
      </c>
    </row>
    <row r="1662" spans="10:28">
      <c r="J1662" s="340" t="str">
        <f t="shared" si="99"/>
        <v>2005AllSexMaori234</v>
      </c>
      <c r="K1662">
        <v>2005</v>
      </c>
      <c r="L1662" t="s">
        <v>17</v>
      </c>
      <c r="M1662" t="s">
        <v>18</v>
      </c>
      <c r="N1662">
        <v>23</v>
      </c>
      <c r="O1662">
        <v>4</v>
      </c>
      <c r="P1662">
        <v>12</v>
      </c>
      <c r="Q1662">
        <v>29.695737977908799</v>
      </c>
      <c r="R1662">
        <v>16.8</v>
      </c>
      <c r="T1662" s="340" t="str">
        <f t="shared" si="100"/>
        <v>2003MaleNon-Maori25Poisoning by gases and vapours</v>
      </c>
      <c r="U1662">
        <v>2003</v>
      </c>
      <c r="V1662" t="s">
        <v>20</v>
      </c>
      <c r="W1662" t="s">
        <v>19</v>
      </c>
      <c r="X1662">
        <v>25</v>
      </c>
      <c r="Y1662" t="s">
        <v>46</v>
      </c>
      <c r="Z1662">
        <v>9</v>
      </c>
      <c r="AA1662">
        <v>46</v>
      </c>
      <c r="AB1662">
        <v>19.600000000000001</v>
      </c>
    </row>
    <row r="1663" spans="10:28">
      <c r="J1663" s="340" t="str">
        <f t="shared" si="99"/>
        <v>2005AllSexMaori235</v>
      </c>
      <c r="K1663">
        <v>2005</v>
      </c>
      <c r="L1663" t="s">
        <v>17</v>
      </c>
      <c r="M1663" t="s">
        <v>18</v>
      </c>
      <c r="N1663">
        <v>23</v>
      </c>
      <c r="O1663">
        <v>5</v>
      </c>
      <c r="P1663">
        <v>25</v>
      </c>
      <c r="Q1663">
        <v>37.566368668867298</v>
      </c>
      <c r="R1663">
        <v>14.7</v>
      </c>
      <c r="T1663" s="340" t="str">
        <f t="shared" si="100"/>
        <v>2003MaleNon-Maori23Poisoning by solids and liquids</v>
      </c>
      <c r="U1663">
        <v>2003</v>
      </c>
      <c r="V1663" t="s">
        <v>20</v>
      </c>
      <c r="W1663" t="s">
        <v>19</v>
      </c>
      <c r="X1663">
        <v>23</v>
      </c>
      <c r="Y1663" t="s">
        <v>47</v>
      </c>
      <c r="Z1663">
        <v>13</v>
      </c>
      <c r="AA1663">
        <v>124</v>
      </c>
      <c r="AB1663">
        <v>10.5</v>
      </c>
    </row>
    <row r="1664" spans="10:28">
      <c r="J1664" s="340" t="str">
        <f t="shared" si="99"/>
        <v>2005AllSexMaori241</v>
      </c>
      <c r="K1664">
        <v>2005</v>
      </c>
      <c r="L1664" t="s">
        <v>17</v>
      </c>
      <c r="M1664" t="s">
        <v>18</v>
      </c>
      <c r="N1664">
        <v>24</v>
      </c>
      <c r="O1664">
        <v>1</v>
      </c>
      <c r="P1664">
        <v>0</v>
      </c>
      <c r="Q1664">
        <v>0</v>
      </c>
      <c r="T1664" s="340" t="str">
        <f t="shared" si="100"/>
        <v>2003MaleNon-Maori24Poisoning by solids and liquids</v>
      </c>
      <c r="U1664">
        <v>2003</v>
      </c>
      <c r="V1664" t="s">
        <v>20</v>
      </c>
      <c r="W1664" t="s">
        <v>19</v>
      </c>
      <c r="X1664">
        <v>24</v>
      </c>
      <c r="Y1664" t="s">
        <v>47</v>
      </c>
      <c r="Z1664">
        <v>13</v>
      </c>
      <c r="AA1664">
        <v>96</v>
      </c>
      <c r="AB1664">
        <v>13.5</v>
      </c>
    </row>
    <row r="1665" spans="10:28">
      <c r="J1665" s="340" t="str">
        <f t="shared" si="99"/>
        <v>2005AllSexMaori242</v>
      </c>
      <c r="K1665">
        <v>2005</v>
      </c>
      <c r="L1665" t="s">
        <v>17</v>
      </c>
      <c r="M1665" t="s">
        <v>18</v>
      </c>
      <c r="N1665">
        <v>24</v>
      </c>
      <c r="O1665">
        <v>2</v>
      </c>
      <c r="P1665">
        <v>0</v>
      </c>
      <c r="Q1665">
        <v>0</v>
      </c>
      <c r="T1665" s="340" t="str">
        <f t="shared" si="100"/>
        <v>2003MaleNon-Maori25Poisoning by solids and liquids</v>
      </c>
      <c r="U1665">
        <v>2003</v>
      </c>
      <c r="V1665" t="s">
        <v>20</v>
      </c>
      <c r="W1665" t="s">
        <v>19</v>
      </c>
      <c r="X1665">
        <v>25</v>
      </c>
      <c r="Y1665" t="s">
        <v>47</v>
      </c>
      <c r="Z1665">
        <v>5</v>
      </c>
      <c r="AA1665">
        <v>46</v>
      </c>
      <c r="AB1665">
        <v>10.9</v>
      </c>
    </row>
    <row r="1666" spans="10:28">
      <c r="J1666" s="340" t="str">
        <f t="shared" si="99"/>
        <v>2005AllSexMaori243</v>
      </c>
      <c r="K1666">
        <v>2005</v>
      </c>
      <c r="L1666" t="s">
        <v>17</v>
      </c>
      <c r="M1666" t="s">
        <v>18</v>
      </c>
      <c r="N1666">
        <v>24</v>
      </c>
      <c r="O1666">
        <v>3</v>
      </c>
      <c r="P1666">
        <v>0</v>
      </c>
      <c r="Q1666">
        <v>0</v>
      </c>
      <c r="T1666" s="340" t="str">
        <f t="shared" si="100"/>
        <v>2003MaleNon-Maori22Sharp object</v>
      </c>
      <c r="U1666">
        <v>2003</v>
      </c>
      <c r="V1666" t="s">
        <v>20</v>
      </c>
      <c r="W1666" t="s">
        <v>19</v>
      </c>
      <c r="X1666">
        <v>22</v>
      </c>
      <c r="Y1666" t="s">
        <v>48</v>
      </c>
      <c r="Z1666">
        <v>1</v>
      </c>
      <c r="AA1666">
        <v>47</v>
      </c>
      <c r="AB1666">
        <v>2.1</v>
      </c>
    </row>
    <row r="1667" spans="10:28">
      <c r="J1667" s="340" t="str">
        <f t="shared" si="99"/>
        <v>2005AllSexMaori244</v>
      </c>
      <c r="K1667">
        <v>2005</v>
      </c>
      <c r="L1667" t="s">
        <v>17</v>
      </c>
      <c r="M1667" t="s">
        <v>18</v>
      </c>
      <c r="N1667">
        <v>24</v>
      </c>
      <c r="O1667">
        <v>4</v>
      </c>
      <c r="P1667">
        <v>1</v>
      </c>
      <c r="Q1667">
        <v>4.63124718048629</v>
      </c>
      <c r="R1667">
        <v>9.1</v>
      </c>
      <c r="T1667" s="340" t="str">
        <f t="shared" si="100"/>
        <v>2003MaleNon-Maori23Sharp object</v>
      </c>
      <c r="U1667">
        <v>2003</v>
      </c>
      <c r="V1667" t="s">
        <v>20</v>
      </c>
      <c r="W1667" t="s">
        <v>19</v>
      </c>
      <c r="X1667">
        <v>23</v>
      </c>
      <c r="Y1667" t="s">
        <v>48</v>
      </c>
      <c r="Z1667">
        <v>3</v>
      </c>
      <c r="AA1667">
        <v>124</v>
      </c>
      <c r="AB1667">
        <v>2.4</v>
      </c>
    </row>
    <row r="1668" spans="10:28">
      <c r="J1668" s="340" t="str">
        <f t="shared" ref="J1668:J1731" si="101">K1668&amp;L1668&amp;M1668&amp;N1668&amp;O1668</f>
        <v>2005AllSexMaori245</v>
      </c>
      <c r="K1668">
        <v>2005</v>
      </c>
      <c r="L1668" t="s">
        <v>17</v>
      </c>
      <c r="M1668" t="s">
        <v>18</v>
      </c>
      <c r="N1668">
        <v>24</v>
      </c>
      <c r="O1668">
        <v>5</v>
      </c>
      <c r="P1668">
        <v>6</v>
      </c>
      <c r="Q1668">
        <v>15.6806084817315</v>
      </c>
      <c r="R1668">
        <v>12.5</v>
      </c>
      <c r="T1668" s="340" t="str">
        <f t="shared" si="100"/>
        <v>2003MaleNon-Maori24Sharp object</v>
      </c>
      <c r="U1668">
        <v>2003</v>
      </c>
      <c r="V1668" t="s">
        <v>20</v>
      </c>
      <c r="W1668" t="s">
        <v>19</v>
      </c>
      <c r="X1668">
        <v>24</v>
      </c>
      <c r="Y1668" t="s">
        <v>48</v>
      </c>
      <c r="Z1668">
        <v>3</v>
      </c>
      <c r="AA1668">
        <v>96</v>
      </c>
      <c r="AB1668">
        <v>3.1</v>
      </c>
    </row>
    <row r="1669" spans="10:28">
      <c r="J1669" s="340" t="str">
        <f t="shared" si="101"/>
        <v>2005AllSexMaori251</v>
      </c>
      <c r="K1669">
        <v>2005</v>
      </c>
      <c r="L1669" t="s">
        <v>17</v>
      </c>
      <c r="M1669" t="s">
        <v>18</v>
      </c>
      <c r="N1669">
        <v>25</v>
      </c>
      <c r="O1669">
        <v>1</v>
      </c>
      <c r="P1669">
        <v>0</v>
      </c>
      <c r="Q1669">
        <v>0</v>
      </c>
      <c r="T1669" s="340" t="str">
        <f t="shared" ref="T1669:T1732" si="102">U1669&amp;V1669&amp;W1669&amp;X1669&amp;Y1669</f>
        <v>2003MaleNon-Maori25Sharp object</v>
      </c>
      <c r="U1669">
        <v>2003</v>
      </c>
      <c r="V1669" t="s">
        <v>20</v>
      </c>
      <c r="W1669" t="s">
        <v>19</v>
      </c>
      <c r="X1669">
        <v>25</v>
      </c>
      <c r="Y1669" t="s">
        <v>48</v>
      </c>
      <c r="Z1669">
        <v>6</v>
      </c>
      <c r="AA1669">
        <v>46</v>
      </c>
      <c r="AB1669">
        <v>13</v>
      </c>
    </row>
    <row r="1670" spans="10:28">
      <c r="J1670" s="340" t="str">
        <f t="shared" si="101"/>
        <v>2005AllSexMaori252</v>
      </c>
      <c r="K1670">
        <v>2005</v>
      </c>
      <c r="L1670" t="s">
        <v>17</v>
      </c>
      <c r="M1670" t="s">
        <v>18</v>
      </c>
      <c r="N1670">
        <v>25</v>
      </c>
      <c r="O1670">
        <v>2</v>
      </c>
      <c r="P1670">
        <v>0</v>
      </c>
      <c r="Q1670">
        <v>0</v>
      </c>
      <c r="T1670" s="340" t="str">
        <f t="shared" si="102"/>
        <v>2003MaleNon-Maori23Submersion (drowning)</v>
      </c>
      <c r="U1670">
        <v>2003</v>
      </c>
      <c r="V1670" t="s">
        <v>20</v>
      </c>
      <c r="W1670" t="s">
        <v>19</v>
      </c>
      <c r="X1670">
        <v>23</v>
      </c>
      <c r="Y1670" t="s">
        <v>49</v>
      </c>
      <c r="Z1670">
        <v>3</v>
      </c>
      <c r="AA1670">
        <v>124</v>
      </c>
      <c r="AB1670">
        <v>2.4</v>
      </c>
    </row>
    <row r="1671" spans="10:28">
      <c r="J1671" s="340" t="str">
        <f t="shared" si="101"/>
        <v>2005AllSexMaori253</v>
      </c>
      <c r="K1671">
        <v>2005</v>
      </c>
      <c r="L1671" t="s">
        <v>17</v>
      </c>
      <c r="M1671" t="s">
        <v>18</v>
      </c>
      <c r="N1671">
        <v>25</v>
      </c>
      <c r="O1671">
        <v>3</v>
      </c>
      <c r="P1671">
        <v>0</v>
      </c>
      <c r="Q1671">
        <v>0</v>
      </c>
      <c r="T1671" s="340" t="str">
        <f t="shared" si="102"/>
        <v>2003MaleNon-Maori24Submersion (drowning)</v>
      </c>
      <c r="U1671">
        <v>2003</v>
      </c>
      <c r="V1671" t="s">
        <v>20</v>
      </c>
      <c r="W1671" t="s">
        <v>19</v>
      </c>
      <c r="X1671">
        <v>24</v>
      </c>
      <c r="Y1671" t="s">
        <v>49</v>
      </c>
      <c r="Z1671">
        <v>2</v>
      </c>
      <c r="AA1671">
        <v>96</v>
      </c>
      <c r="AB1671">
        <v>2.1</v>
      </c>
    </row>
    <row r="1672" spans="10:28">
      <c r="J1672" s="340" t="str">
        <f t="shared" si="101"/>
        <v>2005AllSexMaori254</v>
      </c>
      <c r="K1672">
        <v>2005</v>
      </c>
      <c r="L1672" t="s">
        <v>17</v>
      </c>
      <c r="M1672" t="s">
        <v>18</v>
      </c>
      <c r="N1672">
        <v>25</v>
      </c>
      <c r="O1672">
        <v>4</v>
      </c>
      <c r="P1672">
        <v>0</v>
      </c>
      <c r="Q1672">
        <v>0</v>
      </c>
      <c r="T1672" s="340" t="str">
        <f t="shared" si="102"/>
        <v>2003MaleNon-Maori25Submersion (drowning)</v>
      </c>
      <c r="U1672">
        <v>2003</v>
      </c>
      <c r="V1672" t="s">
        <v>20</v>
      </c>
      <c r="W1672" t="s">
        <v>19</v>
      </c>
      <c r="X1672">
        <v>25</v>
      </c>
      <c r="Y1672" t="s">
        <v>49</v>
      </c>
      <c r="Z1672">
        <v>1</v>
      </c>
      <c r="AA1672">
        <v>46</v>
      </c>
      <c r="AB1672">
        <v>2.2000000000000002</v>
      </c>
    </row>
    <row r="1673" spans="10:28">
      <c r="J1673" s="340" t="str">
        <f t="shared" si="101"/>
        <v>2005AllSexMaori255</v>
      </c>
      <c r="K1673">
        <v>2005</v>
      </c>
      <c r="L1673" t="s">
        <v>17</v>
      </c>
      <c r="M1673" t="s">
        <v>18</v>
      </c>
      <c r="N1673">
        <v>25</v>
      </c>
      <c r="O1673">
        <v>5</v>
      </c>
      <c r="P1673">
        <v>2</v>
      </c>
      <c r="Q1673">
        <v>18.567244949835199</v>
      </c>
      <c r="R1673">
        <v>25.7</v>
      </c>
      <c r="T1673" s="340" t="str">
        <f t="shared" si="102"/>
        <v>2004AllSexAllEth21Firearms and explosives</v>
      </c>
      <c r="U1673">
        <v>2004</v>
      </c>
      <c r="V1673" t="s">
        <v>17</v>
      </c>
      <c r="W1673" t="s">
        <v>27</v>
      </c>
      <c r="X1673">
        <v>21</v>
      </c>
      <c r="Y1673" t="s">
        <v>42</v>
      </c>
      <c r="Z1673">
        <v>2</v>
      </c>
      <c r="AA1673">
        <v>6</v>
      </c>
      <c r="AB1673">
        <v>33.299999999999997</v>
      </c>
    </row>
    <row r="1674" spans="10:28">
      <c r="J1674" s="340" t="str">
        <f t="shared" si="101"/>
        <v>2005AllSexNon-Maori211</v>
      </c>
      <c r="K1674">
        <v>2005</v>
      </c>
      <c r="L1674" t="s">
        <v>17</v>
      </c>
      <c r="M1674" t="s">
        <v>19</v>
      </c>
      <c r="N1674">
        <v>21</v>
      </c>
      <c r="O1674">
        <v>1</v>
      </c>
      <c r="P1674">
        <v>0</v>
      </c>
      <c r="Q1674">
        <v>0</v>
      </c>
      <c r="T1674" s="340" t="str">
        <f t="shared" si="102"/>
        <v>2004AllSexAllEth22Firearms and explosives</v>
      </c>
      <c r="U1674">
        <v>2004</v>
      </c>
      <c r="V1674" t="s">
        <v>17</v>
      </c>
      <c r="W1674" t="s">
        <v>27</v>
      </c>
      <c r="X1674">
        <v>22</v>
      </c>
      <c r="Y1674" t="s">
        <v>42</v>
      </c>
      <c r="Z1674">
        <v>2</v>
      </c>
      <c r="AA1674">
        <v>114</v>
      </c>
      <c r="AB1674">
        <v>1.8</v>
      </c>
    </row>
    <row r="1675" spans="10:28">
      <c r="J1675" s="340" t="str">
        <f t="shared" si="101"/>
        <v>2005AllSexNon-Maori212</v>
      </c>
      <c r="K1675">
        <v>2005</v>
      </c>
      <c r="L1675" t="s">
        <v>17</v>
      </c>
      <c r="M1675" t="s">
        <v>19</v>
      </c>
      <c r="N1675">
        <v>21</v>
      </c>
      <c r="O1675">
        <v>2</v>
      </c>
      <c r="P1675">
        <v>0</v>
      </c>
      <c r="Q1675">
        <v>0</v>
      </c>
      <c r="T1675" s="340" t="str">
        <f t="shared" si="102"/>
        <v>2004AllSexAllEth23Firearms and explosives</v>
      </c>
      <c r="U1675">
        <v>2004</v>
      </c>
      <c r="V1675" t="s">
        <v>17</v>
      </c>
      <c r="W1675" t="s">
        <v>27</v>
      </c>
      <c r="X1675">
        <v>23</v>
      </c>
      <c r="Y1675" t="s">
        <v>42</v>
      </c>
      <c r="Z1675">
        <v>10</v>
      </c>
      <c r="AA1675">
        <v>201</v>
      </c>
      <c r="AB1675">
        <v>5</v>
      </c>
    </row>
    <row r="1676" spans="10:28">
      <c r="J1676" s="340" t="str">
        <f t="shared" si="101"/>
        <v>2005AllSexNon-Maori213</v>
      </c>
      <c r="K1676">
        <v>2005</v>
      </c>
      <c r="L1676" t="s">
        <v>17</v>
      </c>
      <c r="M1676" t="s">
        <v>19</v>
      </c>
      <c r="N1676">
        <v>21</v>
      </c>
      <c r="O1676">
        <v>3</v>
      </c>
      <c r="P1676">
        <v>0</v>
      </c>
      <c r="Q1676">
        <v>0</v>
      </c>
      <c r="T1676" s="340" t="str">
        <f t="shared" si="102"/>
        <v>2004AllSexAllEth24Firearms and explosives</v>
      </c>
      <c r="U1676">
        <v>2004</v>
      </c>
      <c r="V1676" t="s">
        <v>17</v>
      </c>
      <c r="W1676" t="s">
        <v>27</v>
      </c>
      <c r="X1676">
        <v>24</v>
      </c>
      <c r="Y1676" t="s">
        <v>42</v>
      </c>
      <c r="Z1676">
        <v>17</v>
      </c>
      <c r="AA1676">
        <v>118</v>
      </c>
      <c r="AB1676">
        <v>14.4</v>
      </c>
    </row>
    <row r="1677" spans="10:28">
      <c r="J1677" s="340" t="str">
        <f t="shared" si="101"/>
        <v>2005AllSexNon-Maori214</v>
      </c>
      <c r="K1677">
        <v>2005</v>
      </c>
      <c r="L1677" t="s">
        <v>17</v>
      </c>
      <c r="M1677" t="s">
        <v>19</v>
      </c>
      <c r="N1677">
        <v>21</v>
      </c>
      <c r="O1677">
        <v>4</v>
      </c>
      <c r="P1677">
        <v>0</v>
      </c>
      <c r="Q1677">
        <v>0</v>
      </c>
      <c r="T1677" s="340" t="str">
        <f t="shared" si="102"/>
        <v>2004AllSexAllEth25Firearms and explosives</v>
      </c>
      <c r="U1677">
        <v>2004</v>
      </c>
      <c r="V1677" t="s">
        <v>17</v>
      </c>
      <c r="W1677" t="s">
        <v>27</v>
      </c>
      <c r="X1677">
        <v>25</v>
      </c>
      <c r="Y1677" t="s">
        <v>42</v>
      </c>
      <c r="Z1677">
        <v>8</v>
      </c>
      <c r="AA1677">
        <v>55</v>
      </c>
      <c r="AB1677">
        <v>14.5</v>
      </c>
    </row>
    <row r="1678" spans="10:28">
      <c r="J1678" s="340" t="str">
        <f t="shared" si="101"/>
        <v>2005AllSexNon-Maori215</v>
      </c>
      <c r="K1678">
        <v>2005</v>
      </c>
      <c r="L1678" t="s">
        <v>17</v>
      </c>
      <c r="M1678" t="s">
        <v>19</v>
      </c>
      <c r="N1678">
        <v>21</v>
      </c>
      <c r="O1678">
        <v>5</v>
      </c>
      <c r="P1678">
        <v>1</v>
      </c>
      <c r="Q1678">
        <v>0.87967084541431795</v>
      </c>
      <c r="R1678">
        <v>1.7</v>
      </c>
      <c r="T1678" s="340" t="str">
        <f t="shared" si="102"/>
        <v>2004AllSexAllEth21Hanging, strangulation and suffocation</v>
      </c>
      <c r="U1678">
        <v>2004</v>
      </c>
      <c r="V1678" t="s">
        <v>17</v>
      </c>
      <c r="W1678" t="s">
        <v>27</v>
      </c>
      <c r="X1678">
        <v>21</v>
      </c>
      <c r="Y1678" t="s">
        <v>43</v>
      </c>
      <c r="Z1678">
        <v>4</v>
      </c>
      <c r="AA1678">
        <v>6</v>
      </c>
      <c r="AB1678">
        <v>66.7</v>
      </c>
    </row>
    <row r="1679" spans="10:28">
      <c r="J1679" s="340" t="str">
        <f t="shared" si="101"/>
        <v>2005AllSexNon-Maori221</v>
      </c>
      <c r="K1679">
        <v>2005</v>
      </c>
      <c r="L1679" t="s">
        <v>17</v>
      </c>
      <c r="M1679" t="s">
        <v>19</v>
      </c>
      <c r="N1679">
        <v>22</v>
      </c>
      <c r="O1679">
        <v>1</v>
      </c>
      <c r="P1679">
        <v>13</v>
      </c>
      <c r="Q1679">
        <v>14.005507896029901</v>
      </c>
      <c r="R1679">
        <v>7.6</v>
      </c>
      <c r="T1679" s="340" t="str">
        <f t="shared" si="102"/>
        <v>2004AllSexAllEth22Hanging, strangulation and suffocation</v>
      </c>
      <c r="U1679">
        <v>2004</v>
      </c>
      <c r="V1679" t="s">
        <v>17</v>
      </c>
      <c r="W1679" t="s">
        <v>27</v>
      </c>
      <c r="X1679">
        <v>22</v>
      </c>
      <c r="Y1679" t="s">
        <v>43</v>
      </c>
      <c r="Z1679">
        <v>87</v>
      </c>
      <c r="AA1679">
        <v>114</v>
      </c>
      <c r="AB1679">
        <v>76.3</v>
      </c>
    </row>
    <row r="1680" spans="10:28">
      <c r="J1680" s="340" t="str">
        <f t="shared" si="101"/>
        <v>2005AllSexNon-Maori222</v>
      </c>
      <c r="K1680">
        <v>2005</v>
      </c>
      <c r="L1680" t="s">
        <v>17</v>
      </c>
      <c r="M1680" t="s">
        <v>19</v>
      </c>
      <c r="N1680">
        <v>22</v>
      </c>
      <c r="O1680">
        <v>2</v>
      </c>
      <c r="P1680">
        <v>15</v>
      </c>
      <c r="Q1680">
        <v>15.781125921273301</v>
      </c>
      <c r="R1680">
        <v>8</v>
      </c>
      <c r="T1680" s="340" t="str">
        <f t="shared" si="102"/>
        <v>2004AllSexAllEth23Hanging, strangulation and suffocation</v>
      </c>
      <c r="U1680">
        <v>2004</v>
      </c>
      <c r="V1680" t="s">
        <v>17</v>
      </c>
      <c r="W1680" t="s">
        <v>27</v>
      </c>
      <c r="X1680">
        <v>23</v>
      </c>
      <c r="Y1680" t="s">
        <v>43</v>
      </c>
      <c r="Z1680">
        <v>116</v>
      </c>
      <c r="AA1680">
        <v>201</v>
      </c>
      <c r="AB1680">
        <v>57.7</v>
      </c>
    </row>
    <row r="1681" spans="10:28">
      <c r="J1681" s="340" t="str">
        <f t="shared" si="101"/>
        <v>2005AllSexNon-Maori223</v>
      </c>
      <c r="K1681">
        <v>2005</v>
      </c>
      <c r="L1681" t="s">
        <v>17</v>
      </c>
      <c r="M1681" t="s">
        <v>19</v>
      </c>
      <c r="N1681">
        <v>22</v>
      </c>
      <c r="O1681">
        <v>3</v>
      </c>
      <c r="P1681">
        <v>9</v>
      </c>
      <c r="Q1681">
        <v>9.2664738490411001</v>
      </c>
      <c r="R1681">
        <v>6.1</v>
      </c>
      <c r="T1681" s="340" t="str">
        <f t="shared" si="102"/>
        <v>2004AllSexAllEth24Hanging, strangulation and suffocation</v>
      </c>
      <c r="U1681">
        <v>2004</v>
      </c>
      <c r="V1681" t="s">
        <v>17</v>
      </c>
      <c r="W1681" t="s">
        <v>27</v>
      </c>
      <c r="X1681">
        <v>24</v>
      </c>
      <c r="Y1681" t="s">
        <v>43</v>
      </c>
      <c r="Z1681">
        <v>45</v>
      </c>
      <c r="AA1681">
        <v>118</v>
      </c>
      <c r="AB1681">
        <v>38.1</v>
      </c>
    </row>
    <row r="1682" spans="10:28">
      <c r="J1682" s="340" t="str">
        <f t="shared" si="101"/>
        <v>2005AllSexNon-Maori224</v>
      </c>
      <c r="K1682">
        <v>2005</v>
      </c>
      <c r="L1682" t="s">
        <v>17</v>
      </c>
      <c r="M1682" t="s">
        <v>19</v>
      </c>
      <c r="N1682">
        <v>22</v>
      </c>
      <c r="O1682">
        <v>4</v>
      </c>
      <c r="P1682">
        <v>20</v>
      </c>
      <c r="Q1682">
        <v>20.316247011748398</v>
      </c>
      <c r="R1682">
        <v>8.9</v>
      </c>
      <c r="T1682" s="340" t="str">
        <f t="shared" si="102"/>
        <v>2004AllSexAllEth25Hanging, strangulation and suffocation</v>
      </c>
      <c r="U1682">
        <v>2004</v>
      </c>
      <c r="V1682" t="s">
        <v>17</v>
      </c>
      <c r="W1682" t="s">
        <v>27</v>
      </c>
      <c r="X1682">
        <v>25</v>
      </c>
      <c r="Y1682" t="s">
        <v>43</v>
      </c>
      <c r="Z1682">
        <v>18</v>
      </c>
      <c r="AA1682">
        <v>55</v>
      </c>
      <c r="AB1682">
        <v>32.700000000000003</v>
      </c>
    </row>
    <row r="1683" spans="10:28">
      <c r="J1683" s="340" t="str">
        <f t="shared" si="101"/>
        <v>2005AllSexNon-Maori225</v>
      </c>
      <c r="K1683">
        <v>2005</v>
      </c>
      <c r="L1683" t="s">
        <v>17</v>
      </c>
      <c r="M1683" t="s">
        <v>19</v>
      </c>
      <c r="N1683">
        <v>22</v>
      </c>
      <c r="O1683">
        <v>5</v>
      </c>
      <c r="P1683">
        <v>10</v>
      </c>
      <c r="Q1683">
        <v>10.337902553787</v>
      </c>
      <c r="R1683">
        <v>6.4</v>
      </c>
      <c r="T1683" s="340" t="str">
        <f t="shared" si="102"/>
        <v>2004AllSexAllEth22Jumping from a high place</v>
      </c>
      <c r="U1683">
        <v>2004</v>
      </c>
      <c r="V1683" t="s">
        <v>17</v>
      </c>
      <c r="W1683" t="s">
        <v>27</v>
      </c>
      <c r="X1683">
        <v>22</v>
      </c>
      <c r="Y1683" t="s">
        <v>44</v>
      </c>
      <c r="Z1683">
        <v>1</v>
      </c>
      <c r="AA1683">
        <v>114</v>
      </c>
      <c r="AB1683">
        <v>0.9</v>
      </c>
    </row>
    <row r="1684" spans="10:28">
      <c r="J1684" s="340" t="str">
        <f t="shared" si="101"/>
        <v>2005AllSexNon-Maori231</v>
      </c>
      <c r="K1684">
        <v>2005</v>
      </c>
      <c r="L1684" t="s">
        <v>17</v>
      </c>
      <c r="M1684" t="s">
        <v>19</v>
      </c>
      <c r="N1684">
        <v>23</v>
      </c>
      <c r="O1684">
        <v>1</v>
      </c>
      <c r="P1684">
        <v>26</v>
      </c>
      <c r="Q1684">
        <v>11.7827357854427</v>
      </c>
      <c r="R1684">
        <v>4.5</v>
      </c>
      <c r="T1684" s="340" t="str">
        <f t="shared" si="102"/>
        <v>2004AllSexAllEth23Jumping from a high place</v>
      </c>
      <c r="U1684">
        <v>2004</v>
      </c>
      <c r="V1684" t="s">
        <v>17</v>
      </c>
      <c r="W1684" t="s">
        <v>27</v>
      </c>
      <c r="X1684">
        <v>23</v>
      </c>
      <c r="Y1684" t="s">
        <v>44</v>
      </c>
      <c r="Z1684">
        <v>2</v>
      </c>
      <c r="AA1684">
        <v>201</v>
      </c>
      <c r="AB1684">
        <v>1</v>
      </c>
    </row>
    <row r="1685" spans="10:28">
      <c r="J1685" s="340" t="str">
        <f t="shared" si="101"/>
        <v>2005AllSexNon-Maori232</v>
      </c>
      <c r="K1685">
        <v>2005</v>
      </c>
      <c r="L1685" t="s">
        <v>17</v>
      </c>
      <c r="M1685" t="s">
        <v>19</v>
      </c>
      <c r="N1685">
        <v>23</v>
      </c>
      <c r="O1685">
        <v>2</v>
      </c>
      <c r="P1685">
        <v>18</v>
      </c>
      <c r="Q1685">
        <v>7.9863671322583603</v>
      </c>
      <c r="R1685">
        <v>3.7</v>
      </c>
      <c r="T1685" s="340" t="str">
        <f t="shared" si="102"/>
        <v>2004AllSexAllEth24Jumping from a high place</v>
      </c>
      <c r="U1685">
        <v>2004</v>
      </c>
      <c r="V1685" t="s">
        <v>17</v>
      </c>
      <c r="W1685" t="s">
        <v>27</v>
      </c>
      <c r="X1685">
        <v>24</v>
      </c>
      <c r="Y1685" t="s">
        <v>44</v>
      </c>
      <c r="Z1685">
        <v>4</v>
      </c>
      <c r="AA1685">
        <v>118</v>
      </c>
      <c r="AB1685">
        <v>3.4</v>
      </c>
    </row>
    <row r="1686" spans="10:28">
      <c r="J1686" s="340" t="str">
        <f t="shared" si="101"/>
        <v>2005AllSexNon-Maori233</v>
      </c>
      <c r="K1686">
        <v>2005</v>
      </c>
      <c r="L1686" t="s">
        <v>17</v>
      </c>
      <c r="M1686" t="s">
        <v>19</v>
      </c>
      <c r="N1686">
        <v>23</v>
      </c>
      <c r="O1686">
        <v>3</v>
      </c>
      <c r="P1686">
        <v>35</v>
      </c>
      <c r="Q1686">
        <v>16.199151121423998</v>
      </c>
      <c r="R1686">
        <v>5.4</v>
      </c>
      <c r="T1686" s="340" t="str">
        <f t="shared" si="102"/>
        <v>2004AllSexAllEth25Jumping from a high place</v>
      </c>
      <c r="U1686">
        <v>2004</v>
      </c>
      <c r="V1686" t="s">
        <v>17</v>
      </c>
      <c r="W1686" t="s">
        <v>27</v>
      </c>
      <c r="X1686">
        <v>25</v>
      </c>
      <c r="Y1686" t="s">
        <v>44</v>
      </c>
      <c r="Z1686">
        <v>3</v>
      </c>
      <c r="AA1686">
        <v>55</v>
      </c>
      <c r="AB1686">
        <v>5.5</v>
      </c>
    </row>
    <row r="1687" spans="10:28">
      <c r="J1687" s="340" t="str">
        <f t="shared" si="101"/>
        <v>2005AllSexNon-Maori234</v>
      </c>
      <c r="K1687">
        <v>2005</v>
      </c>
      <c r="L1687" t="s">
        <v>17</v>
      </c>
      <c r="M1687" t="s">
        <v>19</v>
      </c>
      <c r="N1687">
        <v>23</v>
      </c>
      <c r="O1687">
        <v>4</v>
      </c>
      <c r="P1687">
        <v>33</v>
      </c>
      <c r="Q1687">
        <v>16.752833556115</v>
      </c>
      <c r="R1687">
        <v>5.7</v>
      </c>
      <c r="T1687" s="340" t="str">
        <f t="shared" si="102"/>
        <v>2004AllSexAllEth22Other</v>
      </c>
      <c r="U1687">
        <v>2004</v>
      </c>
      <c r="V1687" t="s">
        <v>17</v>
      </c>
      <c r="W1687" t="s">
        <v>27</v>
      </c>
      <c r="X1687">
        <v>22</v>
      </c>
      <c r="Y1687" t="s">
        <v>45</v>
      </c>
      <c r="Z1687">
        <v>1</v>
      </c>
      <c r="AA1687">
        <v>114</v>
      </c>
      <c r="AB1687">
        <v>0.9</v>
      </c>
    </row>
    <row r="1688" spans="10:28">
      <c r="J1688" s="340" t="str">
        <f t="shared" si="101"/>
        <v>2005AllSexNon-Maori235</v>
      </c>
      <c r="K1688">
        <v>2005</v>
      </c>
      <c r="L1688" t="s">
        <v>17</v>
      </c>
      <c r="M1688" t="s">
        <v>19</v>
      </c>
      <c r="N1688">
        <v>23</v>
      </c>
      <c r="O1688">
        <v>5</v>
      </c>
      <c r="P1688">
        <v>45</v>
      </c>
      <c r="Q1688">
        <v>29.409498869856701</v>
      </c>
      <c r="R1688">
        <v>8.6</v>
      </c>
      <c r="T1688" s="340" t="str">
        <f t="shared" si="102"/>
        <v>2004AllSexAllEth23Other</v>
      </c>
      <c r="U1688">
        <v>2004</v>
      </c>
      <c r="V1688" t="s">
        <v>17</v>
      </c>
      <c r="W1688" t="s">
        <v>27</v>
      </c>
      <c r="X1688">
        <v>23</v>
      </c>
      <c r="Y1688" t="s">
        <v>45</v>
      </c>
      <c r="Z1688">
        <v>7</v>
      </c>
      <c r="AA1688">
        <v>201</v>
      </c>
      <c r="AB1688">
        <v>3.5</v>
      </c>
    </row>
    <row r="1689" spans="10:28">
      <c r="J1689" s="340" t="str">
        <f t="shared" si="101"/>
        <v>2005AllSexNon-Maori241</v>
      </c>
      <c r="K1689">
        <v>2005</v>
      </c>
      <c r="L1689" t="s">
        <v>17</v>
      </c>
      <c r="M1689" t="s">
        <v>19</v>
      </c>
      <c r="N1689">
        <v>24</v>
      </c>
      <c r="O1689">
        <v>1</v>
      </c>
      <c r="P1689">
        <v>20</v>
      </c>
      <c r="Q1689">
        <v>8.5268005392649702</v>
      </c>
      <c r="R1689">
        <v>3.7</v>
      </c>
      <c r="T1689" s="340" t="str">
        <f t="shared" si="102"/>
        <v>2004AllSexAllEth24Other</v>
      </c>
      <c r="U1689">
        <v>2004</v>
      </c>
      <c r="V1689" t="s">
        <v>17</v>
      </c>
      <c r="W1689" t="s">
        <v>27</v>
      </c>
      <c r="X1689">
        <v>24</v>
      </c>
      <c r="Y1689" t="s">
        <v>45</v>
      </c>
      <c r="Z1689">
        <v>7</v>
      </c>
      <c r="AA1689">
        <v>118</v>
      </c>
      <c r="AB1689">
        <v>5.9</v>
      </c>
    </row>
    <row r="1690" spans="10:28">
      <c r="J1690" s="340" t="str">
        <f t="shared" si="101"/>
        <v>2005AllSexNon-Maori242</v>
      </c>
      <c r="K1690">
        <v>2005</v>
      </c>
      <c r="L1690" t="s">
        <v>17</v>
      </c>
      <c r="M1690" t="s">
        <v>19</v>
      </c>
      <c r="N1690">
        <v>24</v>
      </c>
      <c r="O1690">
        <v>2</v>
      </c>
      <c r="P1690">
        <v>24</v>
      </c>
      <c r="Q1690">
        <v>11.8499411407493</v>
      </c>
      <c r="R1690">
        <v>4.7</v>
      </c>
      <c r="T1690" s="340" t="str">
        <f t="shared" si="102"/>
        <v>2004AllSexAllEth25Other</v>
      </c>
      <c r="U1690">
        <v>2004</v>
      </c>
      <c r="V1690" t="s">
        <v>17</v>
      </c>
      <c r="W1690" t="s">
        <v>27</v>
      </c>
      <c r="X1690">
        <v>25</v>
      </c>
      <c r="Y1690" t="s">
        <v>45</v>
      </c>
      <c r="Z1690">
        <v>1</v>
      </c>
      <c r="AA1690">
        <v>55</v>
      </c>
      <c r="AB1690">
        <v>1.8</v>
      </c>
    </row>
    <row r="1691" spans="10:28">
      <c r="J1691" s="340" t="str">
        <f t="shared" si="101"/>
        <v>2005AllSexNon-Maori243</v>
      </c>
      <c r="K1691">
        <v>2005</v>
      </c>
      <c r="L1691" t="s">
        <v>17</v>
      </c>
      <c r="M1691" t="s">
        <v>19</v>
      </c>
      <c r="N1691">
        <v>24</v>
      </c>
      <c r="O1691">
        <v>3</v>
      </c>
      <c r="P1691">
        <v>15</v>
      </c>
      <c r="Q1691">
        <v>8.5158265368384498</v>
      </c>
      <c r="R1691">
        <v>4.3</v>
      </c>
      <c r="T1691" s="340" t="str">
        <f t="shared" si="102"/>
        <v>2004AllSexAllEth22Poisoning by gases and vapours</v>
      </c>
      <c r="U1691">
        <v>2004</v>
      </c>
      <c r="V1691" t="s">
        <v>17</v>
      </c>
      <c r="W1691" t="s">
        <v>27</v>
      </c>
      <c r="X1691">
        <v>22</v>
      </c>
      <c r="Y1691" t="s">
        <v>46</v>
      </c>
      <c r="Z1691">
        <v>16</v>
      </c>
      <c r="AA1691">
        <v>114</v>
      </c>
      <c r="AB1691">
        <v>14</v>
      </c>
    </row>
    <row r="1692" spans="10:28">
      <c r="J1692" s="340" t="str">
        <f t="shared" si="101"/>
        <v>2005AllSexNon-Maori244</v>
      </c>
      <c r="K1692">
        <v>2005</v>
      </c>
      <c r="L1692" t="s">
        <v>17</v>
      </c>
      <c r="M1692" t="s">
        <v>19</v>
      </c>
      <c r="N1692">
        <v>24</v>
      </c>
      <c r="O1692">
        <v>4</v>
      </c>
      <c r="P1692">
        <v>39</v>
      </c>
      <c r="Q1692">
        <v>25.7168479421093</v>
      </c>
      <c r="R1692">
        <v>8.1</v>
      </c>
      <c r="T1692" s="340" t="str">
        <f t="shared" si="102"/>
        <v>2004AllSexAllEth23Poisoning by gases and vapours</v>
      </c>
      <c r="U1692">
        <v>2004</v>
      </c>
      <c r="V1692" t="s">
        <v>17</v>
      </c>
      <c r="W1692" t="s">
        <v>27</v>
      </c>
      <c r="X1692">
        <v>23</v>
      </c>
      <c r="Y1692" t="s">
        <v>46</v>
      </c>
      <c r="Z1692">
        <v>41</v>
      </c>
      <c r="AA1692">
        <v>201</v>
      </c>
      <c r="AB1692">
        <v>20.399999999999999</v>
      </c>
    </row>
    <row r="1693" spans="10:28">
      <c r="J1693" s="340" t="str">
        <f t="shared" si="101"/>
        <v>2005AllSexNon-Maori245</v>
      </c>
      <c r="K1693">
        <v>2005</v>
      </c>
      <c r="L1693" t="s">
        <v>17</v>
      </c>
      <c r="M1693" t="s">
        <v>19</v>
      </c>
      <c r="N1693">
        <v>24</v>
      </c>
      <c r="O1693">
        <v>5</v>
      </c>
      <c r="P1693">
        <v>24</v>
      </c>
      <c r="Q1693">
        <v>21.229806158819098</v>
      </c>
      <c r="R1693">
        <v>8.5</v>
      </c>
      <c r="T1693" s="340" t="str">
        <f t="shared" si="102"/>
        <v>2004AllSexAllEth24Poisoning by gases and vapours</v>
      </c>
      <c r="U1693">
        <v>2004</v>
      </c>
      <c r="V1693" t="s">
        <v>17</v>
      </c>
      <c r="W1693" t="s">
        <v>27</v>
      </c>
      <c r="X1693">
        <v>24</v>
      </c>
      <c r="Y1693" t="s">
        <v>46</v>
      </c>
      <c r="Z1693">
        <v>27</v>
      </c>
      <c r="AA1693">
        <v>118</v>
      </c>
      <c r="AB1693">
        <v>22.9</v>
      </c>
    </row>
    <row r="1694" spans="10:28">
      <c r="J1694" s="340" t="str">
        <f t="shared" si="101"/>
        <v>2005AllSexNon-Maori251</v>
      </c>
      <c r="K1694">
        <v>2005</v>
      </c>
      <c r="L1694" t="s">
        <v>17</v>
      </c>
      <c r="M1694" t="s">
        <v>19</v>
      </c>
      <c r="N1694">
        <v>25</v>
      </c>
      <c r="O1694">
        <v>1</v>
      </c>
      <c r="P1694">
        <v>13</v>
      </c>
      <c r="Q1694">
        <v>13.692682481786401</v>
      </c>
      <c r="R1694">
        <v>7.4</v>
      </c>
      <c r="T1694" s="340" t="str">
        <f t="shared" si="102"/>
        <v>2004AllSexAllEth25Poisoning by gases and vapours</v>
      </c>
      <c r="U1694">
        <v>2004</v>
      </c>
      <c r="V1694" t="s">
        <v>17</v>
      </c>
      <c r="W1694" t="s">
        <v>27</v>
      </c>
      <c r="X1694">
        <v>25</v>
      </c>
      <c r="Y1694" t="s">
        <v>46</v>
      </c>
      <c r="Z1694">
        <v>11</v>
      </c>
      <c r="AA1694">
        <v>55</v>
      </c>
      <c r="AB1694">
        <v>20</v>
      </c>
    </row>
    <row r="1695" spans="10:28">
      <c r="J1695" s="340" t="str">
        <f t="shared" si="101"/>
        <v>2005AllSexNon-Maori252</v>
      </c>
      <c r="K1695">
        <v>2005</v>
      </c>
      <c r="L1695" t="s">
        <v>17</v>
      </c>
      <c r="M1695" t="s">
        <v>19</v>
      </c>
      <c r="N1695">
        <v>25</v>
      </c>
      <c r="O1695">
        <v>2</v>
      </c>
      <c r="P1695">
        <v>8</v>
      </c>
      <c r="Q1695">
        <v>7.94435268496622</v>
      </c>
      <c r="R1695">
        <v>5.5</v>
      </c>
      <c r="T1695" s="340" t="str">
        <f t="shared" si="102"/>
        <v>2004AllSexAllEth22Poisoning by solids and liquids</v>
      </c>
      <c r="U1695">
        <v>2004</v>
      </c>
      <c r="V1695" t="s">
        <v>17</v>
      </c>
      <c r="W1695" t="s">
        <v>27</v>
      </c>
      <c r="X1695">
        <v>22</v>
      </c>
      <c r="Y1695" t="s">
        <v>47</v>
      </c>
      <c r="Z1695">
        <v>5</v>
      </c>
      <c r="AA1695">
        <v>114</v>
      </c>
      <c r="AB1695">
        <v>4.4000000000000004</v>
      </c>
    </row>
    <row r="1696" spans="10:28">
      <c r="J1696" s="340" t="str">
        <f t="shared" si="101"/>
        <v>2005AllSexNon-Maori253</v>
      </c>
      <c r="K1696">
        <v>2005</v>
      </c>
      <c r="L1696" t="s">
        <v>17</v>
      </c>
      <c r="M1696" t="s">
        <v>19</v>
      </c>
      <c r="N1696">
        <v>25</v>
      </c>
      <c r="O1696">
        <v>3</v>
      </c>
      <c r="P1696">
        <v>13</v>
      </c>
      <c r="Q1696">
        <v>12.5690146359838</v>
      </c>
      <c r="R1696">
        <v>6.8</v>
      </c>
      <c r="T1696" s="340" t="str">
        <f t="shared" si="102"/>
        <v>2004AllSexAllEth23Poisoning by solids and liquids</v>
      </c>
      <c r="U1696">
        <v>2004</v>
      </c>
      <c r="V1696" t="s">
        <v>17</v>
      </c>
      <c r="W1696" t="s">
        <v>27</v>
      </c>
      <c r="X1696">
        <v>23</v>
      </c>
      <c r="Y1696" t="s">
        <v>47</v>
      </c>
      <c r="Z1696">
        <v>19</v>
      </c>
      <c r="AA1696">
        <v>201</v>
      </c>
      <c r="AB1696">
        <v>9.5</v>
      </c>
    </row>
    <row r="1697" spans="10:28">
      <c r="J1697" s="340" t="str">
        <f t="shared" si="101"/>
        <v>2005AllSexNon-Maori254</v>
      </c>
      <c r="K1697">
        <v>2005</v>
      </c>
      <c r="L1697" t="s">
        <v>17</v>
      </c>
      <c r="M1697" t="s">
        <v>19</v>
      </c>
      <c r="N1697">
        <v>25</v>
      </c>
      <c r="O1697">
        <v>4</v>
      </c>
      <c r="P1697">
        <v>7</v>
      </c>
      <c r="Q1697">
        <v>6.8967234954933003</v>
      </c>
      <c r="R1697">
        <v>5.0999999999999996</v>
      </c>
      <c r="T1697" s="340" t="str">
        <f t="shared" si="102"/>
        <v>2004AllSexAllEth24Poisoning by solids and liquids</v>
      </c>
      <c r="U1697">
        <v>2004</v>
      </c>
      <c r="V1697" t="s">
        <v>17</v>
      </c>
      <c r="W1697" t="s">
        <v>27</v>
      </c>
      <c r="X1697">
        <v>24</v>
      </c>
      <c r="Y1697" t="s">
        <v>47</v>
      </c>
      <c r="Z1697">
        <v>14</v>
      </c>
      <c r="AA1697">
        <v>118</v>
      </c>
      <c r="AB1697">
        <v>11.9</v>
      </c>
    </row>
    <row r="1698" spans="10:28">
      <c r="J1698" s="340" t="str">
        <f t="shared" si="101"/>
        <v>2005AllSexNon-Maori255</v>
      </c>
      <c r="K1698">
        <v>2005</v>
      </c>
      <c r="L1698" t="s">
        <v>17</v>
      </c>
      <c r="M1698" t="s">
        <v>19</v>
      </c>
      <c r="N1698">
        <v>25</v>
      </c>
      <c r="O1698">
        <v>5</v>
      </c>
      <c r="P1698">
        <v>3</v>
      </c>
      <c r="Q1698">
        <v>4.1945199322325601</v>
      </c>
      <c r="R1698">
        <v>4.7</v>
      </c>
      <c r="T1698" s="340" t="str">
        <f t="shared" si="102"/>
        <v>2004AllSexAllEth25Poisoning by solids and liquids</v>
      </c>
      <c r="U1698">
        <v>2004</v>
      </c>
      <c r="V1698" t="s">
        <v>17</v>
      </c>
      <c r="W1698" t="s">
        <v>27</v>
      </c>
      <c r="X1698">
        <v>25</v>
      </c>
      <c r="Y1698" t="s">
        <v>47</v>
      </c>
      <c r="Z1698">
        <v>8</v>
      </c>
      <c r="AA1698">
        <v>55</v>
      </c>
      <c r="AB1698">
        <v>14.5</v>
      </c>
    </row>
    <row r="1699" spans="10:28">
      <c r="J1699" s="340" t="str">
        <f t="shared" si="101"/>
        <v>2005FemaleAllEth211</v>
      </c>
      <c r="K1699">
        <v>2005</v>
      </c>
      <c r="L1699" t="s">
        <v>8</v>
      </c>
      <c r="M1699" t="s">
        <v>27</v>
      </c>
      <c r="N1699">
        <v>21</v>
      </c>
      <c r="O1699">
        <v>1</v>
      </c>
      <c r="P1699">
        <v>0</v>
      </c>
      <c r="Q1699">
        <v>0</v>
      </c>
      <c r="T1699" s="340" t="str">
        <f t="shared" si="102"/>
        <v>2004AllSexAllEth23Sharp object</v>
      </c>
      <c r="U1699">
        <v>2004</v>
      </c>
      <c r="V1699" t="s">
        <v>17</v>
      </c>
      <c r="W1699" t="s">
        <v>27</v>
      </c>
      <c r="X1699">
        <v>23</v>
      </c>
      <c r="Y1699" t="s">
        <v>48</v>
      </c>
      <c r="Z1699">
        <v>1</v>
      </c>
      <c r="AA1699">
        <v>201</v>
      </c>
      <c r="AB1699">
        <v>0.5</v>
      </c>
    </row>
    <row r="1700" spans="10:28">
      <c r="J1700" s="340" t="str">
        <f t="shared" si="101"/>
        <v>2005FemaleAllEth212</v>
      </c>
      <c r="K1700">
        <v>2005</v>
      </c>
      <c r="L1700" t="s">
        <v>8</v>
      </c>
      <c r="M1700" t="s">
        <v>27</v>
      </c>
      <c r="N1700">
        <v>21</v>
      </c>
      <c r="O1700">
        <v>2</v>
      </c>
      <c r="P1700">
        <v>0</v>
      </c>
      <c r="Q1700">
        <v>0</v>
      </c>
      <c r="T1700" s="340" t="str">
        <f t="shared" si="102"/>
        <v>2004AllSexAllEth24Sharp object</v>
      </c>
      <c r="U1700">
        <v>2004</v>
      </c>
      <c r="V1700" t="s">
        <v>17</v>
      </c>
      <c r="W1700" t="s">
        <v>27</v>
      </c>
      <c r="X1700">
        <v>24</v>
      </c>
      <c r="Y1700" t="s">
        <v>48</v>
      </c>
      <c r="Z1700">
        <v>2</v>
      </c>
      <c r="AA1700">
        <v>118</v>
      </c>
      <c r="AB1700">
        <v>1.7</v>
      </c>
    </row>
    <row r="1701" spans="10:28">
      <c r="J1701" s="340" t="str">
        <f t="shared" si="101"/>
        <v>2005FemaleAllEth213</v>
      </c>
      <c r="K1701">
        <v>2005</v>
      </c>
      <c r="L1701" t="s">
        <v>8</v>
      </c>
      <c r="M1701" t="s">
        <v>27</v>
      </c>
      <c r="N1701">
        <v>21</v>
      </c>
      <c r="O1701">
        <v>3</v>
      </c>
      <c r="P1701">
        <v>1</v>
      </c>
      <c r="Q1701">
        <v>1.25643234238067</v>
      </c>
      <c r="R1701">
        <v>2.5</v>
      </c>
      <c r="T1701" s="340" t="str">
        <f t="shared" si="102"/>
        <v>2004AllSexAllEth25Sharp object</v>
      </c>
      <c r="U1701">
        <v>2004</v>
      </c>
      <c r="V1701" t="s">
        <v>17</v>
      </c>
      <c r="W1701" t="s">
        <v>27</v>
      </c>
      <c r="X1701">
        <v>25</v>
      </c>
      <c r="Y1701" t="s">
        <v>48</v>
      </c>
      <c r="Z1701">
        <v>3</v>
      </c>
      <c r="AA1701">
        <v>55</v>
      </c>
      <c r="AB1701">
        <v>5.5</v>
      </c>
    </row>
    <row r="1702" spans="10:28">
      <c r="J1702" s="340" t="str">
        <f t="shared" si="101"/>
        <v>2005FemaleAllEth214</v>
      </c>
      <c r="K1702">
        <v>2005</v>
      </c>
      <c r="L1702" t="s">
        <v>8</v>
      </c>
      <c r="M1702" t="s">
        <v>27</v>
      </c>
      <c r="N1702">
        <v>21</v>
      </c>
      <c r="O1702">
        <v>4</v>
      </c>
      <c r="P1702">
        <v>0</v>
      </c>
      <c r="Q1702">
        <v>0</v>
      </c>
      <c r="T1702" s="340" t="str">
        <f t="shared" si="102"/>
        <v>2004AllSexAllEth22Submersion (drowning)</v>
      </c>
      <c r="U1702">
        <v>2004</v>
      </c>
      <c r="V1702" t="s">
        <v>17</v>
      </c>
      <c r="W1702" t="s">
        <v>27</v>
      </c>
      <c r="X1702">
        <v>22</v>
      </c>
      <c r="Y1702" t="s">
        <v>49</v>
      </c>
      <c r="Z1702">
        <v>2</v>
      </c>
      <c r="AA1702">
        <v>114</v>
      </c>
      <c r="AB1702">
        <v>1.8</v>
      </c>
    </row>
    <row r="1703" spans="10:28">
      <c r="J1703" s="340" t="str">
        <f t="shared" si="101"/>
        <v>2005FemaleAllEth215</v>
      </c>
      <c r="K1703">
        <v>2005</v>
      </c>
      <c r="L1703" t="s">
        <v>8</v>
      </c>
      <c r="M1703" t="s">
        <v>27</v>
      </c>
      <c r="N1703">
        <v>21</v>
      </c>
      <c r="O1703">
        <v>5</v>
      </c>
      <c r="P1703">
        <v>1</v>
      </c>
      <c r="Q1703">
        <v>0.97200173802149903</v>
      </c>
      <c r="R1703">
        <v>1.9</v>
      </c>
      <c r="T1703" s="340" t="str">
        <f t="shared" si="102"/>
        <v>2004AllSexAllEth23Submersion (drowning)</v>
      </c>
      <c r="U1703">
        <v>2004</v>
      </c>
      <c r="V1703" t="s">
        <v>17</v>
      </c>
      <c r="W1703" t="s">
        <v>27</v>
      </c>
      <c r="X1703">
        <v>23</v>
      </c>
      <c r="Y1703" t="s">
        <v>49</v>
      </c>
      <c r="Z1703">
        <v>5</v>
      </c>
      <c r="AA1703">
        <v>201</v>
      </c>
      <c r="AB1703">
        <v>2.5</v>
      </c>
    </row>
    <row r="1704" spans="10:28">
      <c r="J1704" s="340" t="str">
        <f t="shared" si="101"/>
        <v>2005FemaleAllEth221</v>
      </c>
      <c r="K1704">
        <v>2005</v>
      </c>
      <c r="L1704" t="s">
        <v>8</v>
      </c>
      <c r="M1704" t="s">
        <v>27</v>
      </c>
      <c r="N1704">
        <v>22</v>
      </c>
      <c r="O1704">
        <v>1</v>
      </c>
      <c r="P1704">
        <v>3</v>
      </c>
      <c r="Q1704">
        <v>6.28186579700112</v>
      </c>
      <c r="R1704">
        <v>7.1</v>
      </c>
      <c r="T1704" s="340" t="str">
        <f t="shared" si="102"/>
        <v>2004AllSexAllEth24Submersion (drowning)</v>
      </c>
      <c r="U1704">
        <v>2004</v>
      </c>
      <c r="V1704" t="s">
        <v>17</v>
      </c>
      <c r="W1704" t="s">
        <v>27</v>
      </c>
      <c r="X1704">
        <v>24</v>
      </c>
      <c r="Y1704" t="s">
        <v>49</v>
      </c>
      <c r="Z1704">
        <v>2</v>
      </c>
      <c r="AA1704">
        <v>118</v>
      </c>
      <c r="AB1704">
        <v>1.7</v>
      </c>
    </row>
    <row r="1705" spans="10:28">
      <c r="J1705" s="340" t="str">
        <f t="shared" si="101"/>
        <v>2005FemaleAllEth222</v>
      </c>
      <c r="K1705">
        <v>2005</v>
      </c>
      <c r="L1705" t="s">
        <v>8</v>
      </c>
      <c r="M1705" t="s">
        <v>27</v>
      </c>
      <c r="N1705">
        <v>22</v>
      </c>
      <c r="O1705">
        <v>2</v>
      </c>
      <c r="P1705">
        <v>3</v>
      </c>
      <c r="Q1705">
        <v>5.8529117201469596</v>
      </c>
      <c r="R1705">
        <v>6.6</v>
      </c>
      <c r="T1705" s="340" t="str">
        <f t="shared" si="102"/>
        <v>2004AllSexAllEth25Submersion (drowning)</v>
      </c>
      <c r="U1705">
        <v>2004</v>
      </c>
      <c r="V1705" t="s">
        <v>17</v>
      </c>
      <c r="W1705" t="s">
        <v>27</v>
      </c>
      <c r="X1705">
        <v>25</v>
      </c>
      <c r="Y1705" t="s">
        <v>49</v>
      </c>
      <c r="Z1705">
        <v>3</v>
      </c>
      <c r="AA1705">
        <v>55</v>
      </c>
      <c r="AB1705">
        <v>5.5</v>
      </c>
    </row>
    <row r="1706" spans="10:28">
      <c r="J1706" s="340" t="str">
        <f t="shared" si="101"/>
        <v>2005FemaleAllEth223</v>
      </c>
      <c r="K1706">
        <v>2005</v>
      </c>
      <c r="L1706" t="s">
        <v>8</v>
      </c>
      <c r="M1706" t="s">
        <v>27</v>
      </c>
      <c r="N1706">
        <v>22</v>
      </c>
      <c r="O1706">
        <v>3</v>
      </c>
      <c r="P1706">
        <v>5</v>
      </c>
      <c r="Q1706">
        <v>8.8605709603265908</v>
      </c>
      <c r="R1706">
        <v>7.8</v>
      </c>
      <c r="T1706" s="340" t="str">
        <f t="shared" si="102"/>
        <v>2004AllSexMaori23Firearms and explosives</v>
      </c>
      <c r="U1706">
        <v>2004</v>
      </c>
      <c r="V1706" t="s">
        <v>17</v>
      </c>
      <c r="W1706" t="s">
        <v>18</v>
      </c>
      <c r="X1706">
        <v>23</v>
      </c>
      <c r="Y1706" t="s">
        <v>42</v>
      </c>
      <c r="Z1706">
        <v>2</v>
      </c>
      <c r="AA1706">
        <v>55</v>
      </c>
      <c r="AB1706">
        <v>3.6</v>
      </c>
    </row>
    <row r="1707" spans="10:28">
      <c r="J1707" s="340" t="str">
        <f t="shared" si="101"/>
        <v>2005FemaleAllEth224</v>
      </c>
      <c r="K1707">
        <v>2005</v>
      </c>
      <c r="L1707" t="s">
        <v>8</v>
      </c>
      <c r="M1707" t="s">
        <v>27</v>
      </c>
      <c r="N1707">
        <v>22</v>
      </c>
      <c r="O1707">
        <v>4</v>
      </c>
      <c r="P1707">
        <v>9</v>
      </c>
      <c r="Q1707">
        <v>14.2556125871363</v>
      </c>
      <c r="R1707">
        <v>9.3000000000000007</v>
      </c>
      <c r="T1707" s="340" t="str">
        <f t="shared" si="102"/>
        <v>2004AllSexMaori24Firearms and explosives</v>
      </c>
      <c r="U1707">
        <v>2004</v>
      </c>
      <c r="V1707" t="s">
        <v>17</v>
      </c>
      <c r="W1707" t="s">
        <v>18</v>
      </c>
      <c r="X1707">
        <v>24</v>
      </c>
      <c r="Y1707" t="s">
        <v>42</v>
      </c>
      <c r="Z1707">
        <v>1</v>
      </c>
      <c r="AA1707">
        <v>9</v>
      </c>
      <c r="AB1707">
        <v>11.1</v>
      </c>
    </row>
    <row r="1708" spans="10:28">
      <c r="J1708" s="340" t="str">
        <f t="shared" si="101"/>
        <v>2005FemaleAllEth225</v>
      </c>
      <c r="K1708">
        <v>2005</v>
      </c>
      <c r="L1708" t="s">
        <v>8</v>
      </c>
      <c r="M1708" t="s">
        <v>27</v>
      </c>
      <c r="N1708">
        <v>22</v>
      </c>
      <c r="O1708">
        <v>5</v>
      </c>
      <c r="P1708">
        <v>3</v>
      </c>
      <c r="Q1708">
        <v>3.9706622262862998</v>
      </c>
      <c r="R1708">
        <v>4.5</v>
      </c>
      <c r="T1708" s="340" t="str">
        <f t="shared" si="102"/>
        <v>2004AllSexMaori25Firearms and explosives</v>
      </c>
      <c r="U1708">
        <v>2004</v>
      </c>
      <c r="V1708" t="s">
        <v>17</v>
      </c>
      <c r="W1708" t="s">
        <v>18</v>
      </c>
      <c r="X1708">
        <v>25</v>
      </c>
      <c r="Y1708" t="s">
        <v>42</v>
      </c>
      <c r="Z1708">
        <v>1</v>
      </c>
      <c r="AA1708">
        <v>2</v>
      </c>
      <c r="AB1708">
        <v>50</v>
      </c>
    </row>
    <row r="1709" spans="10:28">
      <c r="J1709" s="340" t="str">
        <f t="shared" si="101"/>
        <v>2005FemaleAllEth231</v>
      </c>
      <c r="K1709">
        <v>2005</v>
      </c>
      <c r="L1709" t="s">
        <v>8</v>
      </c>
      <c r="M1709" t="s">
        <v>27</v>
      </c>
      <c r="N1709">
        <v>23</v>
      </c>
      <c r="O1709">
        <v>1</v>
      </c>
      <c r="P1709">
        <v>10</v>
      </c>
      <c r="Q1709">
        <v>8.2197641303364009</v>
      </c>
      <c r="R1709">
        <v>5.0999999999999996</v>
      </c>
      <c r="T1709" s="340" t="str">
        <f t="shared" si="102"/>
        <v>2004AllSexMaori21Hanging, strangulation and suffocation</v>
      </c>
      <c r="U1709">
        <v>2004</v>
      </c>
      <c r="V1709" t="s">
        <v>17</v>
      </c>
      <c r="W1709" t="s">
        <v>18</v>
      </c>
      <c r="X1709">
        <v>21</v>
      </c>
      <c r="Y1709" t="s">
        <v>43</v>
      </c>
      <c r="Z1709">
        <v>3</v>
      </c>
      <c r="AA1709">
        <v>3</v>
      </c>
      <c r="AB1709">
        <v>100</v>
      </c>
    </row>
    <row r="1710" spans="10:28">
      <c r="J1710" s="340" t="str">
        <f t="shared" si="101"/>
        <v>2005FemaleAllEth232</v>
      </c>
      <c r="K1710">
        <v>2005</v>
      </c>
      <c r="L1710" t="s">
        <v>8</v>
      </c>
      <c r="M1710" t="s">
        <v>27</v>
      </c>
      <c r="N1710">
        <v>23</v>
      </c>
      <c r="O1710">
        <v>2</v>
      </c>
      <c r="P1710">
        <v>5</v>
      </c>
      <c r="Q1710">
        <v>3.9576520723111699</v>
      </c>
      <c r="R1710">
        <v>3.5</v>
      </c>
      <c r="T1710" s="340" t="str">
        <f t="shared" si="102"/>
        <v>2004AllSexMaori22Hanging, strangulation and suffocation</v>
      </c>
      <c r="U1710">
        <v>2004</v>
      </c>
      <c r="V1710" t="s">
        <v>17</v>
      </c>
      <c r="W1710" t="s">
        <v>18</v>
      </c>
      <c r="X1710">
        <v>22</v>
      </c>
      <c r="Y1710" t="s">
        <v>43</v>
      </c>
      <c r="Z1710">
        <v>41</v>
      </c>
      <c r="AA1710">
        <v>42</v>
      </c>
      <c r="AB1710">
        <v>97.6</v>
      </c>
    </row>
    <row r="1711" spans="10:28">
      <c r="J1711" s="340" t="str">
        <f t="shared" si="101"/>
        <v>2005FemaleAllEth233</v>
      </c>
      <c r="K1711">
        <v>2005</v>
      </c>
      <c r="L1711" t="s">
        <v>8</v>
      </c>
      <c r="M1711" t="s">
        <v>27</v>
      </c>
      <c r="N1711">
        <v>23</v>
      </c>
      <c r="O1711">
        <v>3</v>
      </c>
      <c r="P1711">
        <v>10</v>
      </c>
      <c r="Q1711">
        <v>7.9942024425753804</v>
      </c>
      <c r="R1711">
        <v>5</v>
      </c>
      <c r="T1711" s="340" t="str">
        <f t="shared" si="102"/>
        <v>2004AllSexMaori23Hanging, strangulation and suffocation</v>
      </c>
      <c r="U1711">
        <v>2004</v>
      </c>
      <c r="V1711" t="s">
        <v>17</v>
      </c>
      <c r="W1711" t="s">
        <v>18</v>
      </c>
      <c r="X1711">
        <v>23</v>
      </c>
      <c r="Y1711" t="s">
        <v>43</v>
      </c>
      <c r="Z1711">
        <v>42</v>
      </c>
      <c r="AA1711">
        <v>55</v>
      </c>
      <c r="AB1711">
        <v>76.400000000000006</v>
      </c>
    </row>
    <row r="1712" spans="10:28">
      <c r="J1712" s="340" t="str">
        <f t="shared" si="101"/>
        <v>2005FemaleAllEth234</v>
      </c>
      <c r="K1712">
        <v>2005</v>
      </c>
      <c r="L1712" t="s">
        <v>8</v>
      </c>
      <c r="M1712" t="s">
        <v>27</v>
      </c>
      <c r="N1712">
        <v>23</v>
      </c>
      <c r="O1712">
        <v>4</v>
      </c>
      <c r="P1712">
        <v>17</v>
      </c>
      <c r="Q1712">
        <v>13.8779894320413</v>
      </c>
      <c r="R1712">
        <v>6.6</v>
      </c>
      <c r="T1712" s="340" t="str">
        <f t="shared" si="102"/>
        <v>2004AllSexMaori24Hanging, strangulation and suffocation</v>
      </c>
      <c r="U1712">
        <v>2004</v>
      </c>
      <c r="V1712" t="s">
        <v>17</v>
      </c>
      <c r="W1712" t="s">
        <v>18</v>
      </c>
      <c r="X1712">
        <v>24</v>
      </c>
      <c r="Y1712" t="s">
        <v>43</v>
      </c>
      <c r="Z1712">
        <v>6</v>
      </c>
      <c r="AA1712">
        <v>9</v>
      </c>
      <c r="AB1712">
        <v>66.7</v>
      </c>
    </row>
    <row r="1713" spans="10:28">
      <c r="J1713" s="340" t="str">
        <f t="shared" si="101"/>
        <v>2005FemaleAllEth235</v>
      </c>
      <c r="K1713">
        <v>2005</v>
      </c>
      <c r="L1713" t="s">
        <v>8</v>
      </c>
      <c r="M1713" t="s">
        <v>27</v>
      </c>
      <c r="N1713">
        <v>23</v>
      </c>
      <c r="O1713">
        <v>5</v>
      </c>
      <c r="P1713">
        <v>12</v>
      </c>
      <c r="Q1713">
        <v>10.258366187288001</v>
      </c>
      <c r="R1713">
        <v>5.8</v>
      </c>
      <c r="T1713" s="340" t="str">
        <f t="shared" si="102"/>
        <v>2004AllSexMaori23Other</v>
      </c>
      <c r="U1713">
        <v>2004</v>
      </c>
      <c r="V1713" t="s">
        <v>17</v>
      </c>
      <c r="W1713" t="s">
        <v>18</v>
      </c>
      <c r="X1713">
        <v>23</v>
      </c>
      <c r="Y1713" t="s">
        <v>45</v>
      </c>
      <c r="Z1713">
        <v>1</v>
      </c>
      <c r="AA1713">
        <v>55</v>
      </c>
      <c r="AB1713">
        <v>1.8</v>
      </c>
    </row>
    <row r="1714" spans="10:28">
      <c r="J1714" s="340" t="str">
        <f t="shared" si="101"/>
        <v>2005FemaleAllEth241</v>
      </c>
      <c r="K1714">
        <v>2005</v>
      </c>
      <c r="L1714" t="s">
        <v>8</v>
      </c>
      <c r="M1714" t="s">
        <v>27</v>
      </c>
      <c r="N1714">
        <v>24</v>
      </c>
      <c r="O1714">
        <v>1</v>
      </c>
      <c r="P1714">
        <v>4</v>
      </c>
      <c r="Q1714">
        <v>3.3370047468958299</v>
      </c>
      <c r="R1714">
        <v>3.3</v>
      </c>
      <c r="T1714" s="340" t="str">
        <f t="shared" si="102"/>
        <v>2004AllSexMaori23Poisoning by gases and vapours</v>
      </c>
      <c r="U1714">
        <v>2004</v>
      </c>
      <c r="V1714" t="s">
        <v>17</v>
      </c>
      <c r="W1714" t="s">
        <v>18</v>
      </c>
      <c r="X1714">
        <v>23</v>
      </c>
      <c r="Y1714" t="s">
        <v>46</v>
      </c>
      <c r="Z1714">
        <v>3</v>
      </c>
      <c r="AA1714">
        <v>55</v>
      </c>
      <c r="AB1714">
        <v>5.5</v>
      </c>
    </row>
    <row r="1715" spans="10:28">
      <c r="J1715" s="340" t="str">
        <f t="shared" si="101"/>
        <v>2005FemaleAllEth242</v>
      </c>
      <c r="K1715">
        <v>2005</v>
      </c>
      <c r="L1715" t="s">
        <v>8</v>
      </c>
      <c r="M1715" t="s">
        <v>27</v>
      </c>
      <c r="N1715">
        <v>24</v>
      </c>
      <c r="O1715">
        <v>2</v>
      </c>
      <c r="P1715">
        <v>4</v>
      </c>
      <c r="Q1715">
        <v>3.7443503446388098</v>
      </c>
      <c r="R1715">
        <v>3.7</v>
      </c>
      <c r="T1715" s="340" t="str">
        <f t="shared" si="102"/>
        <v>2004AllSexMaori23Poisoning by solids and liquids</v>
      </c>
      <c r="U1715">
        <v>2004</v>
      </c>
      <c r="V1715" t="s">
        <v>17</v>
      </c>
      <c r="W1715" t="s">
        <v>18</v>
      </c>
      <c r="X1715">
        <v>23</v>
      </c>
      <c r="Y1715" t="s">
        <v>47</v>
      </c>
      <c r="Z1715">
        <v>5</v>
      </c>
      <c r="AA1715">
        <v>55</v>
      </c>
      <c r="AB1715">
        <v>9.1</v>
      </c>
    </row>
    <row r="1716" spans="10:28">
      <c r="J1716" s="340" t="str">
        <f t="shared" si="101"/>
        <v>2005FemaleAllEth243</v>
      </c>
      <c r="K1716">
        <v>2005</v>
      </c>
      <c r="L1716" t="s">
        <v>8</v>
      </c>
      <c r="M1716" t="s">
        <v>27</v>
      </c>
      <c r="N1716">
        <v>24</v>
      </c>
      <c r="O1716">
        <v>3</v>
      </c>
      <c r="P1716">
        <v>4</v>
      </c>
      <c r="Q1716">
        <v>4.1149218075046896</v>
      </c>
      <c r="R1716">
        <v>4</v>
      </c>
      <c r="T1716" s="340" t="str">
        <f t="shared" si="102"/>
        <v>2004AllSexMaori24Poisoning by solids and liquids</v>
      </c>
      <c r="U1716">
        <v>2004</v>
      </c>
      <c r="V1716" t="s">
        <v>17</v>
      </c>
      <c r="W1716" t="s">
        <v>18</v>
      </c>
      <c r="X1716">
        <v>24</v>
      </c>
      <c r="Y1716" t="s">
        <v>47</v>
      </c>
      <c r="Z1716">
        <v>1</v>
      </c>
      <c r="AA1716">
        <v>9</v>
      </c>
      <c r="AB1716">
        <v>11.1</v>
      </c>
    </row>
    <row r="1717" spans="10:28">
      <c r="J1717" s="340" t="str">
        <f t="shared" si="101"/>
        <v>2005FemaleAllEth244</v>
      </c>
      <c r="K1717">
        <v>2005</v>
      </c>
      <c r="L1717" t="s">
        <v>8</v>
      </c>
      <c r="M1717" t="s">
        <v>27</v>
      </c>
      <c r="N1717">
        <v>24</v>
      </c>
      <c r="O1717">
        <v>4</v>
      </c>
      <c r="P1717">
        <v>10</v>
      </c>
      <c r="Q1717">
        <v>11.207176379889299</v>
      </c>
      <c r="R1717">
        <v>6.9</v>
      </c>
      <c r="T1717" s="340" t="str">
        <f t="shared" si="102"/>
        <v>2004AllSexMaori23Sharp object</v>
      </c>
      <c r="U1717">
        <v>2004</v>
      </c>
      <c r="V1717" t="s">
        <v>17</v>
      </c>
      <c r="W1717" t="s">
        <v>18</v>
      </c>
      <c r="X1717">
        <v>23</v>
      </c>
      <c r="Y1717" t="s">
        <v>48</v>
      </c>
      <c r="Z1717">
        <v>1</v>
      </c>
      <c r="AA1717">
        <v>55</v>
      </c>
      <c r="AB1717">
        <v>1.8</v>
      </c>
    </row>
    <row r="1718" spans="10:28">
      <c r="J1718" s="340" t="str">
        <f t="shared" si="101"/>
        <v>2005FemaleAllEth245</v>
      </c>
      <c r="K1718">
        <v>2005</v>
      </c>
      <c r="L1718" t="s">
        <v>8</v>
      </c>
      <c r="M1718" t="s">
        <v>27</v>
      </c>
      <c r="N1718">
        <v>24</v>
      </c>
      <c r="O1718">
        <v>5</v>
      </c>
      <c r="P1718">
        <v>9</v>
      </c>
      <c r="Q1718">
        <v>11.332346444762999</v>
      </c>
      <c r="R1718">
        <v>7.4</v>
      </c>
      <c r="T1718" s="340" t="str">
        <f t="shared" si="102"/>
        <v>2004AllSexMaori24Sharp object</v>
      </c>
      <c r="U1718">
        <v>2004</v>
      </c>
      <c r="V1718" t="s">
        <v>17</v>
      </c>
      <c r="W1718" t="s">
        <v>18</v>
      </c>
      <c r="X1718">
        <v>24</v>
      </c>
      <c r="Y1718" t="s">
        <v>48</v>
      </c>
      <c r="Z1718">
        <v>1</v>
      </c>
      <c r="AA1718">
        <v>9</v>
      </c>
      <c r="AB1718">
        <v>11.1</v>
      </c>
    </row>
    <row r="1719" spans="10:28">
      <c r="J1719" s="340" t="str">
        <f t="shared" si="101"/>
        <v>2005FemaleAllEth251</v>
      </c>
      <c r="K1719">
        <v>2005</v>
      </c>
      <c r="L1719" t="s">
        <v>8</v>
      </c>
      <c r="M1719" t="s">
        <v>27</v>
      </c>
      <c r="N1719">
        <v>25</v>
      </c>
      <c r="O1719">
        <v>1</v>
      </c>
      <c r="P1719">
        <v>6</v>
      </c>
      <c r="Q1719">
        <v>11.9847562323568</v>
      </c>
      <c r="R1719">
        <v>9.6</v>
      </c>
      <c r="T1719" s="340" t="str">
        <f t="shared" si="102"/>
        <v>2004AllSexMaori25Sharp object</v>
      </c>
      <c r="U1719">
        <v>2004</v>
      </c>
      <c r="V1719" t="s">
        <v>17</v>
      </c>
      <c r="W1719" t="s">
        <v>18</v>
      </c>
      <c r="X1719">
        <v>25</v>
      </c>
      <c r="Y1719" t="s">
        <v>48</v>
      </c>
      <c r="Z1719">
        <v>1</v>
      </c>
      <c r="AA1719">
        <v>2</v>
      </c>
      <c r="AB1719">
        <v>50</v>
      </c>
    </row>
    <row r="1720" spans="10:28">
      <c r="J1720" s="340" t="str">
        <f t="shared" si="101"/>
        <v>2005FemaleAllEth252</v>
      </c>
      <c r="K1720">
        <v>2005</v>
      </c>
      <c r="L1720" t="s">
        <v>8</v>
      </c>
      <c r="M1720" t="s">
        <v>27</v>
      </c>
      <c r="N1720">
        <v>25</v>
      </c>
      <c r="O1720">
        <v>2</v>
      </c>
      <c r="P1720">
        <v>1</v>
      </c>
      <c r="Q1720">
        <v>1.7794920488938599</v>
      </c>
      <c r="R1720">
        <v>3.5</v>
      </c>
      <c r="T1720" s="340" t="str">
        <f t="shared" si="102"/>
        <v>2004AllSexMaori22Submersion (drowning)</v>
      </c>
      <c r="U1720">
        <v>2004</v>
      </c>
      <c r="V1720" t="s">
        <v>17</v>
      </c>
      <c r="W1720" t="s">
        <v>18</v>
      </c>
      <c r="X1720">
        <v>22</v>
      </c>
      <c r="Y1720" t="s">
        <v>49</v>
      </c>
      <c r="Z1720">
        <v>1</v>
      </c>
      <c r="AA1720">
        <v>42</v>
      </c>
      <c r="AB1720">
        <v>2.4</v>
      </c>
    </row>
    <row r="1721" spans="10:28">
      <c r="J1721" s="340" t="str">
        <f t="shared" si="101"/>
        <v>2005FemaleAllEth253</v>
      </c>
      <c r="K1721">
        <v>2005</v>
      </c>
      <c r="L1721" t="s">
        <v>8</v>
      </c>
      <c r="M1721" t="s">
        <v>27</v>
      </c>
      <c r="N1721">
        <v>25</v>
      </c>
      <c r="O1721">
        <v>3</v>
      </c>
      <c r="P1721">
        <v>6</v>
      </c>
      <c r="Q1721">
        <v>10.0250847336474</v>
      </c>
      <c r="R1721">
        <v>8</v>
      </c>
      <c r="T1721" s="340" t="str">
        <f t="shared" si="102"/>
        <v>2004AllSexMaori23Submersion (drowning)</v>
      </c>
      <c r="U1721">
        <v>2004</v>
      </c>
      <c r="V1721" t="s">
        <v>17</v>
      </c>
      <c r="W1721" t="s">
        <v>18</v>
      </c>
      <c r="X1721">
        <v>23</v>
      </c>
      <c r="Y1721" t="s">
        <v>49</v>
      </c>
      <c r="Z1721">
        <v>1</v>
      </c>
      <c r="AA1721">
        <v>55</v>
      </c>
      <c r="AB1721">
        <v>1.8</v>
      </c>
    </row>
    <row r="1722" spans="10:28">
      <c r="J1722" s="340" t="str">
        <f t="shared" si="101"/>
        <v>2005FemaleAllEth254</v>
      </c>
      <c r="K1722">
        <v>2005</v>
      </c>
      <c r="L1722" t="s">
        <v>8</v>
      </c>
      <c r="M1722" t="s">
        <v>27</v>
      </c>
      <c r="N1722">
        <v>25</v>
      </c>
      <c r="O1722">
        <v>4</v>
      </c>
      <c r="P1722">
        <v>2</v>
      </c>
      <c r="Q1722">
        <v>3.21919738530026</v>
      </c>
      <c r="R1722">
        <v>4.5</v>
      </c>
      <c r="T1722" s="340" t="str">
        <f t="shared" si="102"/>
        <v>2004AllSexNon-Maori21Firearms and explosives</v>
      </c>
      <c r="U1722">
        <v>2004</v>
      </c>
      <c r="V1722" t="s">
        <v>17</v>
      </c>
      <c r="W1722" t="s">
        <v>19</v>
      </c>
      <c r="X1722">
        <v>21</v>
      </c>
      <c r="Y1722" t="s">
        <v>42</v>
      </c>
      <c r="Z1722">
        <v>2</v>
      </c>
      <c r="AA1722">
        <v>3</v>
      </c>
      <c r="AB1722">
        <v>66.7</v>
      </c>
    </row>
    <row r="1723" spans="10:28">
      <c r="J1723" s="340" t="str">
        <f t="shared" si="101"/>
        <v>2005FemaleAllEth255</v>
      </c>
      <c r="K1723">
        <v>2005</v>
      </c>
      <c r="L1723" t="s">
        <v>8</v>
      </c>
      <c r="M1723" t="s">
        <v>27</v>
      </c>
      <c r="N1723">
        <v>25</v>
      </c>
      <c r="O1723">
        <v>5</v>
      </c>
      <c r="P1723">
        <v>1</v>
      </c>
      <c r="Q1723">
        <v>2.1140113092211399</v>
      </c>
      <c r="R1723">
        <v>4.0999999999999996</v>
      </c>
      <c r="T1723" s="340" t="str">
        <f t="shared" si="102"/>
        <v>2004AllSexNon-Maori22Firearms and explosives</v>
      </c>
      <c r="U1723">
        <v>2004</v>
      </c>
      <c r="V1723" t="s">
        <v>17</v>
      </c>
      <c r="W1723" t="s">
        <v>19</v>
      </c>
      <c r="X1723">
        <v>22</v>
      </c>
      <c r="Y1723" t="s">
        <v>42</v>
      </c>
      <c r="Z1723">
        <v>2</v>
      </c>
      <c r="AA1723">
        <v>72</v>
      </c>
      <c r="AB1723">
        <v>2.8</v>
      </c>
    </row>
    <row r="1724" spans="10:28">
      <c r="J1724" s="340" t="str">
        <f t="shared" si="101"/>
        <v>2005FemaleMaori211</v>
      </c>
      <c r="K1724">
        <v>2005</v>
      </c>
      <c r="L1724" t="s">
        <v>8</v>
      </c>
      <c r="M1724" t="s">
        <v>18</v>
      </c>
      <c r="N1724">
        <v>21</v>
      </c>
      <c r="O1724">
        <v>1</v>
      </c>
      <c r="P1724">
        <v>0</v>
      </c>
      <c r="Q1724">
        <v>0</v>
      </c>
      <c r="T1724" s="340" t="str">
        <f t="shared" si="102"/>
        <v>2004AllSexNon-Maori23Firearms and explosives</v>
      </c>
      <c r="U1724">
        <v>2004</v>
      </c>
      <c r="V1724" t="s">
        <v>17</v>
      </c>
      <c r="W1724" t="s">
        <v>19</v>
      </c>
      <c r="X1724">
        <v>23</v>
      </c>
      <c r="Y1724" t="s">
        <v>42</v>
      </c>
      <c r="Z1724">
        <v>8</v>
      </c>
      <c r="AA1724">
        <v>146</v>
      </c>
      <c r="AB1724">
        <v>5.5</v>
      </c>
    </row>
    <row r="1725" spans="10:28">
      <c r="J1725" s="340" t="str">
        <f t="shared" si="101"/>
        <v>2005FemaleMaori212</v>
      </c>
      <c r="K1725">
        <v>2005</v>
      </c>
      <c r="L1725" t="s">
        <v>8</v>
      </c>
      <c r="M1725" t="s">
        <v>18</v>
      </c>
      <c r="N1725">
        <v>21</v>
      </c>
      <c r="O1725">
        <v>2</v>
      </c>
      <c r="P1725">
        <v>0</v>
      </c>
      <c r="Q1725">
        <v>0</v>
      </c>
      <c r="T1725" s="340" t="str">
        <f t="shared" si="102"/>
        <v>2004AllSexNon-Maori24Firearms and explosives</v>
      </c>
      <c r="U1725">
        <v>2004</v>
      </c>
      <c r="V1725" t="s">
        <v>17</v>
      </c>
      <c r="W1725" t="s">
        <v>19</v>
      </c>
      <c r="X1725">
        <v>24</v>
      </c>
      <c r="Y1725" t="s">
        <v>42</v>
      </c>
      <c r="Z1725">
        <v>16</v>
      </c>
      <c r="AA1725">
        <v>109</v>
      </c>
      <c r="AB1725">
        <v>14.7</v>
      </c>
    </row>
    <row r="1726" spans="10:28">
      <c r="J1726" s="340" t="str">
        <f t="shared" si="101"/>
        <v>2005FemaleMaori213</v>
      </c>
      <c r="K1726">
        <v>2005</v>
      </c>
      <c r="L1726" t="s">
        <v>8</v>
      </c>
      <c r="M1726" t="s">
        <v>18</v>
      </c>
      <c r="N1726">
        <v>21</v>
      </c>
      <c r="O1726">
        <v>3</v>
      </c>
      <c r="P1726">
        <v>1</v>
      </c>
      <c r="Q1726">
        <v>6.1713494914217204</v>
      </c>
      <c r="R1726">
        <v>12.1</v>
      </c>
      <c r="T1726" s="340" t="str">
        <f t="shared" si="102"/>
        <v>2004AllSexNon-Maori25Firearms and explosives</v>
      </c>
      <c r="U1726">
        <v>2004</v>
      </c>
      <c r="V1726" t="s">
        <v>17</v>
      </c>
      <c r="W1726" t="s">
        <v>19</v>
      </c>
      <c r="X1726">
        <v>25</v>
      </c>
      <c r="Y1726" t="s">
        <v>42</v>
      </c>
      <c r="Z1726">
        <v>7</v>
      </c>
      <c r="AA1726">
        <v>53</v>
      </c>
      <c r="AB1726">
        <v>13.2</v>
      </c>
    </row>
    <row r="1727" spans="10:28">
      <c r="J1727" s="340" t="str">
        <f t="shared" si="101"/>
        <v>2005FemaleMaori214</v>
      </c>
      <c r="K1727">
        <v>2005</v>
      </c>
      <c r="L1727" t="s">
        <v>8</v>
      </c>
      <c r="M1727" t="s">
        <v>18</v>
      </c>
      <c r="N1727">
        <v>21</v>
      </c>
      <c r="O1727">
        <v>4</v>
      </c>
      <c r="P1727">
        <v>0</v>
      </c>
      <c r="Q1727">
        <v>0</v>
      </c>
      <c r="T1727" s="340" t="str">
        <f t="shared" si="102"/>
        <v>2004AllSexNon-Maori21Hanging, strangulation and suffocation</v>
      </c>
      <c r="U1727">
        <v>2004</v>
      </c>
      <c r="V1727" t="s">
        <v>17</v>
      </c>
      <c r="W1727" t="s">
        <v>19</v>
      </c>
      <c r="X1727">
        <v>21</v>
      </c>
      <c r="Y1727" t="s">
        <v>43</v>
      </c>
      <c r="Z1727">
        <v>1</v>
      </c>
      <c r="AA1727">
        <v>3</v>
      </c>
      <c r="AB1727">
        <v>33.299999999999997</v>
      </c>
    </row>
    <row r="1728" spans="10:28">
      <c r="J1728" s="340" t="str">
        <f t="shared" si="101"/>
        <v>2005FemaleMaori215</v>
      </c>
      <c r="K1728">
        <v>2005</v>
      </c>
      <c r="L1728" t="s">
        <v>8</v>
      </c>
      <c r="M1728" t="s">
        <v>18</v>
      </c>
      <c r="N1728">
        <v>21</v>
      </c>
      <c r="O1728">
        <v>5</v>
      </c>
      <c r="P1728">
        <v>1</v>
      </c>
      <c r="Q1728">
        <v>2.20836686892746</v>
      </c>
      <c r="R1728">
        <v>4.3</v>
      </c>
      <c r="T1728" s="340" t="str">
        <f t="shared" si="102"/>
        <v>2004AllSexNon-Maori22Hanging, strangulation and suffocation</v>
      </c>
      <c r="U1728">
        <v>2004</v>
      </c>
      <c r="V1728" t="s">
        <v>17</v>
      </c>
      <c r="W1728" t="s">
        <v>19</v>
      </c>
      <c r="X1728">
        <v>22</v>
      </c>
      <c r="Y1728" t="s">
        <v>43</v>
      </c>
      <c r="Z1728">
        <v>46</v>
      </c>
      <c r="AA1728">
        <v>72</v>
      </c>
      <c r="AB1728">
        <v>63.9</v>
      </c>
    </row>
    <row r="1729" spans="10:28">
      <c r="J1729" s="340" t="str">
        <f t="shared" si="101"/>
        <v>2005FemaleMaori221</v>
      </c>
      <c r="K1729">
        <v>2005</v>
      </c>
      <c r="L1729" t="s">
        <v>8</v>
      </c>
      <c r="M1729" t="s">
        <v>18</v>
      </c>
      <c r="N1729">
        <v>22</v>
      </c>
      <c r="O1729">
        <v>1</v>
      </c>
      <c r="P1729">
        <v>1</v>
      </c>
      <c r="Q1729">
        <v>25.227053893124999</v>
      </c>
      <c r="R1729">
        <v>49.4</v>
      </c>
      <c r="T1729" s="340" t="str">
        <f t="shared" si="102"/>
        <v>2004AllSexNon-Maori23Hanging, strangulation and suffocation</v>
      </c>
      <c r="U1729">
        <v>2004</v>
      </c>
      <c r="V1729" t="s">
        <v>17</v>
      </c>
      <c r="W1729" t="s">
        <v>19</v>
      </c>
      <c r="X1729">
        <v>23</v>
      </c>
      <c r="Y1729" t="s">
        <v>43</v>
      </c>
      <c r="Z1729">
        <v>74</v>
      </c>
      <c r="AA1729">
        <v>146</v>
      </c>
      <c r="AB1729">
        <v>50.7</v>
      </c>
    </row>
    <row r="1730" spans="10:28">
      <c r="J1730" s="340" t="str">
        <f t="shared" si="101"/>
        <v>2005FemaleMaori222</v>
      </c>
      <c r="K1730">
        <v>2005</v>
      </c>
      <c r="L1730" t="s">
        <v>8</v>
      </c>
      <c r="M1730" t="s">
        <v>18</v>
      </c>
      <c r="N1730">
        <v>22</v>
      </c>
      <c r="O1730">
        <v>2</v>
      </c>
      <c r="P1730">
        <v>0</v>
      </c>
      <c r="Q1730">
        <v>0</v>
      </c>
      <c r="T1730" s="340" t="str">
        <f t="shared" si="102"/>
        <v>2004AllSexNon-Maori24Hanging, strangulation and suffocation</v>
      </c>
      <c r="U1730">
        <v>2004</v>
      </c>
      <c r="V1730" t="s">
        <v>17</v>
      </c>
      <c r="W1730" t="s">
        <v>19</v>
      </c>
      <c r="X1730">
        <v>24</v>
      </c>
      <c r="Y1730" t="s">
        <v>43</v>
      </c>
      <c r="Z1730">
        <v>39</v>
      </c>
      <c r="AA1730">
        <v>109</v>
      </c>
      <c r="AB1730">
        <v>35.799999999999997</v>
      </c>
    </row>
    <row r="1731" spans="10:28">
      <c r="J1731" s="340" t="str">
        <f t="shared" si="101"/>
        <v>2005FemaleMaori223</v>
      </c>
      <c r="K1731">
        <v>2005</v>
      </c>
      <c r="L1731" t="s">
        <v>8</v>
      </c>
      <c r="M1731" t="s">
        <v>18</v>
      </c>
      <c r="N1731">
        <v>22</v>
      </c>
      <c r="O1731">
        <v>3</v>
      </c>
      <c r="P1731">
        <v>5</v>
      </c>
      <c r="Q1731">
        <v>54.481740841759397</v>
      </c>
      <c r="R1731">
        <v>47.8</v>
      </c>
      <c r="T1731" s="340" t="str">
        <f t="shared" si="102"/>
        <v>2004AllSexNon-Maori25Hanging, strangulation and suffocation</v>
      </c>
      <c r="U1731">
        <v>2004</v>
      </c>
      <c r="V1731" t="s">
        <v>17</v>
      </c>
      <c r="W1731" t="s">
        <v>19</v>
      </c>
      <c r="X1731">
        <v>25</v>
      </c>
      <c r="Y1731" t="s">
        <v>43</v>
      </c>
      <c r="Z1731">
        <v>18</v>
      </c>
      <c r="AA1731">
        <v>53</v>
      </c>
      <c r="AB1731">
        <v>34</v>
      </c>
    </row>
    <row r="1732" spans="10:28">
      <c r="J1732" s="340" t="str">
        <f t="shared" ref="J1732:J1795" si="103">K1732&amp;L1732&amp;M1732&amp;N1732&amp;O1732</f>
        <v>2005FemaleMaori224</v>
      </c>
      <c r="K1732">
        <v>2005</v>
      </c>
      <c r="L1732" t="s">
        <v>8</v>
      </c>
      <c r="M1732" t="s">
        <v>18</v>
      </c>
      <c r="N1732">
        <v>22</v>
      </c>
      <c r="O1732">
        <v>4</v>
      </c>
      <c r="P1732">
        <v>3</v>
      </c>
      <c r="Q1732">
        <v>21.619103919058801</v>
      </c>
      <c r="R1732">
        <v>24.5</v>
      </c>
      <c r="T1732" s="340" t="str">
        <f t="shared" si="102"/>
        <v>2004AllSexNon-Maori22Jumping from a high place</v>
      </c>
      <c r="U1732">
        <v>2004</v>
      </c>
      <c r="V1732" t="s">
        <v>17</v>
      </c>
      <c r="W1732" t="s">
        <v>19</v>
      </c>
      <c r="X1732">
        <v>22</v>
      </c>
      <c r="Y1732" t="s">
        <v>44</v>
      </c>
      <c r="Z1732">
        <v>1</v>
      </c>
      <c r="AA1732">
        <v>72</v>
      </c>
      <c r="AB1732">
        <v>1.4</v>
      </c>
    </row>
    <row r="1733" spans="10:28">
      <c r="J1733" s="340" t="str">
        <f t="shared" si="103"/>
        <v>2005FemaleMaori225</v>
      </c>
      <c r="K1733">
        <v>2005</v>
      </c>
      <c r="L1733" t="s">
        <v>8</v>
      </c>
      <c r="M1733" t="s">
        <v>18</v>
      </c>
      <c r="N1733">
        <v>22</v>
      </c>
      <c r="O1733">
        <v>5</v>
      </c>
      <c r="P1733">
        <v>2</v>
      </c>
      <c r="Q1733">
        <v>7.9762443446973297</v>
      </c>
      <c r="R1733">
        <v>11.1</v>
      </c>
      <c r="T1733" s="340" t="str">
        <f t="shared" ref="T1733:T1796" si="104">U1733&amp;V1733&amp;W1733&amp;X1733&amp;Y1733</f>
        <v>2004AllSexNon-Maori23Jumping from a high place</v>
      </c>
      <c r="U1733">
        <v>2004</v>
      </c>
      <c r="V1733" t="s">
        <v>17</v>
      </c>
      <c r="W1733" t="s">
        <v>19</v>
      </c>
      <c r="X1733">
        <v>23</v>
      </c>
      <c r="Y1733" t="s">
        <v>44</v>
      </c>
      <c r="Z1733">
        <v>2</v>
      </c>
      <c r="AA1733">
        <v>146</v>
      </c>
      <c r="AB1733">
        <v>1.4</v>
      </c>
    </row>
    <row r="1734" spans="10:28">
      <c r="J1734" s="340" t="str">
        <f t="shared" si="103"/>
        <v>2005FemaleMaori231</v>
      </c>
      <c r="K1734">
        <v>2005</v>
      </c>
      <c r="L1734" t="s">
        <v>8</v>
      </c>
      <c r="M1734" t="s">
        <v>18</v>
      </c>
      <c r="N1734">
        <v>23</v>
      </c>
      <c r="O1734">
        <v>1</v>
      </c>
      <c r="P1734">
        <v>1</v>
      </c>
      <c r="Q1734">
        <v>14.4859678458158</v>
      </c>
      <c r="R1734">
        <v>28.4</v>
      </c>
      <c r="T1734" s="340" t="str">
        <f t="shared" si="104"/>
        <v>2004AllSexNon-Maori24Jumping from a high place</v>
      </c>
      <c r="U1734">
        <v>2004</v>
      </c>
      <c r="V1734" t="s">
        <v>17</v>
      </c>
      <c r="W1734" t="s">
        <v>19</v>
      </c>
      <c r="X1734">
        <v>24</v>
      </c>
      <c r="Y1734" t="s">
        <v>44</v>
      </c>
      <c r="Z1734">
        <v>4</v>
      </c>
      <c r="AA1734">
        <v>109</v>
      </c>
      <c r="AB1734">
        <v>3.7</v>
      </c>
    </row>
    <row r="1735" spans="10:28">
      <c r="J1735" s="340" t="str">
        <f t="shared" si="103"/>
        <v>2005FemaleMaori232</v>
      </c>
      <c r="K1735">
        <v>2005</v>
      </c>
      <c r="L1735" t="s">
        <v>8</v>
      </c>
      <c r="M1735" t="s">
        <v>18</v>
      </c>
      <c r="N1735">
        <v>23</v>
      </c>
      <c r="O1735">
        <v>2</v>
      </c>
      <c r="P1735">
        <v>0</v>
      </c>
      <c r="Q1735">
        <v>0</v>
      </c>
      <c r="T1735" s="340" t="str">
        <f t="shared" si="104"/>
        <v>2004AllSexNon-Maori25Jumping from a high place</v>
      </c>
      <c r="U1735">
        <v>2004</v>
      </c>
      <c r="V1735" t="s">
        <v>17</v>
      </c>
      <c r="W1735" t="s">
        <v>19</v>
      </c>
      <c r="X1735">
        <v>25</v>
      </c>
      <c r="Y1735" t="s">
        <v>44</v>
      </c>
      <c r="Z1735">
        <v>3</v>
      </c>
      <c r="AA1735">
        <v>53</v>
      </c>
      <c r="AB1735">
        <v>5.7</v>
      </c>
    </row>
    <row r="1736" spans="10:28">
      <c r="J1736" s="340" t="str">
        <f t="shared" si="103"/>
        <v>2005FemaleMaori233</v>
      </c>
      <c r="K1736">
        <v>2005</v>
      </c>
      <c r="L1736" t="s">
        <v>8</v>
      </c>
      <c r="M1736" t="s">
        <v>18</v>
      </c>
      <c r="N1736">
        <v>23</v>
      </c>
      <c r="O1736">
        <v>3</v>
      </c>
      <c r="P1736">
        <v>2</v>
      </c>
      <c r="Q1736">
        <v>13.9137815594153</v>
      </c>
      <c r="R1736">
        <v>19.3</v>
      </c>
      <c r="T1736" s="340" t="str">
        <f t="shared" si="104"/>
        <v>2004AllSexNon-Maori22Other</v>
      </c>
      <c r="U1736">
        <v>2004</v>
      </c>
      <c r="V1736" t="s">
        <v>17</v>
      </c>
      <c r="W1736" t="s">
        <v>19</v>
      </c>
      <c r="X1736">
        <v>22</v>
      </c>
      <c r="Y1736" t="s">
        <v>45</v>
      </c>
      <c r="Z1736">
        <v>1</v>
      </c>
      <c r="AA1736">
        <v>72</v>
      </c>
      <c r="AB1736">
        <v>1.4</v>
      </c>
    </row>
    <row r="1737" spans="10:28">
      <c r="J1737" s="340" t="str">
        <f t="shared" si="103"/>
        <v>2005FemaleMaori234</v>
      </c>
      <c r="K1737">
        <v>2005</v>
      </c>
      <c r="L1737" t="s">
        <v>8</v>
      </c>
      <c r="M1737" t="s">
        <v>18</v>
      </c>
      <c r="N1737">
        <v>23</v>
      </c>
      <c r="O1737">
        <v>4</v>
      </c>
      <c r="P1737">
        <v>4</v>
      </c>
      <c r="Q1737">
        <v>18.7283871194177</v>
      </c>
      <c r="R1737">
        <v>18.399999999999999</v>
      </c>
      <c r="T1737" s="340" t="str">
        <f t="shared" si="104"/>
        <v>2004AllSexNon-Maori23Other</v>
      </c>
      <c r="U1737">
        <v>2004</v>
      </c>
      <c r="V1737" t="s">
        <v>17</v>
      </c>
      <c r="W1737" t="s">
        <v>19</v>
      </c>
      <c r="X1737">
        <v>23</v>
      </c>
      <c r="Y1737" t="s">
        <v>45</v>
      </c>
      <c r="Z1737">
        <v>6</v>
      </c>
      <c r="AA1737">
        <v>146</v>
      </c>
      <c r="AB1737">
        <v>4.0999999999999996</v>
      </c>
    </row>
    <row r="1738" spans="10:28">
      <c r="J1738" s="340" t="str">
        <f t="shared" si="103"/>
        <v>2005FemaleMaori235</v>
      </c>
      <c r="K1738">
        <v>2005</v>
      </c>
      <c r="L1738" t="s">
        <v>8</v>
      </c>
      <c r="M1738" t="s">
        <v>18</v>
      </c>
      <c r="N1738">
        <v>23</v>
      </c>
      <c r="O1738">
        <v>5</v>
      </c>
      <c r="P1738">
        <v>4</v>
      </c>
      <c r="Q1738">
        <v>10.8665790964747</v>
      </c>
      <c r="R1738">
        <v>10.6</v>
      </c>
      <c r="T1738" s="340" t="str">
        <f t="shared" si="104"/>
        <v>2004AllSexNon-Maori24Other</v>
      </c>
      <c r="U1738">
        <v>2004</v>
      </c>
      <c r="V1738" t="s">
        <v>17</v>
      </c>
      <c r="W1738" t="s">
        <v>19</v>
      </c>
      <c r="X1738">
        <v>24</v>
      </c>
      <c r="Y1738" t="s">
        <v>45</v>
      </c>
      <c r="Z1738">
        <v>7</v>
      </c>
      <c r="AA1738">
        <v>109</v>
      </c>
      <c r="AB1738">
        <v>6.4</v>
      </c>
    </row>
    <row r="1739" spans="10:28">
      <c r="J1739" s="340" t="str">
        <f t="shared" si="103"/>
        <v>2005FemaleMaori241</v>
      </c>
      <c r="K1739">
        <v>2005</v>
      </c>
      <c r="L1739" t="s">
        <v>8</v>
      </c>
      <c r="M1739" t="s">
        <v>18</v>
      </c>
      <c r="N1739">
        <v>24</v>
      </c>
      <c r="O1739">
        <v>1</v>
      </c>
      <c r="P1739">
        <v>0</v>
      </c>
      <c r="Q1739">
        <v>0</v>
      </c>
      <c r="T1739" s="340" t="str">
        <f t="shared" si="104"/>
        <v>2004AllSexNon-Maori25Other</v>
      </c>
      <c r="U1739">
        <v>2004</v>
      </c>
      <c r="V1739" t="s">
        <v>17</v>
      </c>
      <c r="W1739" t="s">
        <v>19</v>
      </c>
      <c r="X1739">
        <v>25</v>
      </c>
      <c r="Y1739" t="s">
        <v>45</v>
      </c>
      <c r="Z1739">
        <v>1</v>
      </c>
      <c r="AA1739">
        <v>53</v>
      </c>
      <c r="AB1739">
        <v>1.9</v>
      </c>
    </row>
    <row r="1740" spans="10:28">
      <c r="J1740" s="340" t="str">
        <f t="shared" si="103"/>
        <v>2005FemaleMaori242</v>
      </c>
      <c r="K1740">
        <v>2005</v>
      </c>
      <c r="L1740" t="s">
        <v>8</v>
      </c>
      <c r="M1740" t="s">
        <v>18</v>
      </c>
      <c r="N1740">
        <v>24</v>
      </c>
      <c r="O1740">
        <v>2</v>
      </c>
      <c r="P1740">
        <v>0</v>
      </c>
      <c r="Q1740">
        <v>0</v>
      </c>
      <c r="T1740" s="340" t="str">
        <f t="shared" si="104"/>
        <v>2004AllSexNon-Maori22Poisoning by gases and vapours</v>
      </c>
      <c r="U1740">
        <v>2004</v>
      </c>
      <c r="V1740" t="s">
        <v>17</v>
      </c>
      <c r="W1740" t="s">
        <v>19</v>
      </c>
      <c r="X1740">
        <v>22</v>
      </c>
      <c r="Y1740" t="s">
        <v>46</v>
      </c>
      <c r="Z1740">
        <v>16</v>
      </c>
      <c r="AA1740">
        <v>72</v>
      </c>
      <c r="AB1740">
        <v>22.2</v>
      </c>
    </row>
    <row r="1741" spans="10:28">
      <c r="J1741" s="340" t="str">
        <f t="shared" si="103"/>
        <v>2005FemaleMaori243</v>
      </c>
      <c r="K1741">
        <v>2005</v>
      </c>
      <c r="L1741" t="s">
        <v>8</v>
      </c>
      <c r="M1741" t="s">
        <v>18</v>
      </c>
      <c r="N1741">
        <v>24</v>
      </c>
      <c r="O1741">
        <v>3</v>
      </c>
      <c r="P1741">
        <v>0</v>
      </c>
      <c r="Q1741">
        <v>0</v>
      </c>
      <c r="T1741" s="340" t="str">
        <f t="shared" si="104"/>
        <v>2004AllSexNon-Maori23Poisoning by gases and vapours</v>
      </c>
      <c r="U1741">
        <v>2004</v>
      </c>
      <c r="V1741" t="s">
        <v>17</v>
      </c>
      <c r="W1741" t="s">
        <v>19</v>
      </c>
      <c r="X1741">
        <v>23</v>
      </c>
      <c r="Y1741" t="s">
        <v>46</v>
      </c>
      <c r="Z1741">
        <v>38</v>
      </c>
      <c r="AA1741">
        <v>146</v>
      </c>
      <c r="AB1741">
        <v>26</v>
      </c>
    </row>
    <row r="1742" spans="10:28">
      <c r="J1742" s="340" t="str">
        <f t="shared" si="103"/>
        <v>2005FemaleMaori244</v>
      </c>
      <c r="K1742">
        <v>2005</v>
      </c>
      <c r="L1742" t="s">
        <v>8</v>
      </c>
      <c r="M1742" t="s">
        <v>18</v>
      </c>
      <c r="N1742">
        <v>24</v>
      </c>
      <c r="O1742">
        <v>4</v>
      </c>
      <c r="P1742">
        <v>0</v>
      </c>
      <c r="Q1742">
        <v>0</v>
      </c>
      <c r="T1742" s="340" t="str">
        <f t="shared" si="104"/>
        <v>2004AllSexNon-Maori24Poisoning by gases and vapours</v>
      </c>
      <c r="U1742">
        <v>2004</v>
      </c>
      <c r="V1742" t="s">
        <v>17</v>
      </c>
      <c r="W1742" t="s">
        <v>19</v>
      </c>
      <c r="X1742">
        <v>24</v>
      </c>
      <c r="Y1742" t="s">
        <v>46</v>
      </c>
      <c r="Z1742">
        <v>27</v>
      </c>
      <c r="AA1742">
        <v>109</v>
      </c>
      <c r="AB1742">
        <v>24.8</v>
      </c>
    </row>
    <row r="1743" spans="10:28">
      <c r="J1743" s="340" t="str">
        <f t="shared" si="103"/>
        <v>2005FemaleMaori245</v>
      </c>
      <c r="K1743">
        <v>2005</v>
      </c>
      <c r="L1743" t="s">
        <v>8</v>
      </c>
      <c r="M1743" t="s">
        <v>18</v>
      </c>
      <c r="N1743">
        <v>24</v>
      </c>
      <c r="O1743">
        <v>5</v>
      </c>
      <c r="P1743">
        <v>2</v>
      </c>
      <c r="Q1743">
        <v>9.7484588993772192</v>
      </c>
      <c r="R1743">
        <v>13.5</v>
      </c>
      <c r="T1743" s="340" t="str">
        <f t="shared" si="104"/>
        <v>2004AllSexNon-Maori25Poisoning by gases and vapours</v>
      </c>
      <c r="U1743">
        <v>2004</v>
      </c>
      <c r="V1743" t="s">
        <v>17</v>
      </c>
      <c r="W1743" t="s">
        <v>19</v>
      </c>
      <c r="X1743">
        <v>25</v>
      </c>
      <c r="Y1743" t="s">
        <v>46</v>
      </c>
      <c r="Z1743">
        <v>11</v>
      </c>
      <c r="AA1743">
        <v>53</v>
      </c>
      <c r="AB1743">
        <v>20.8</v>
      </c>
    </row>
    <row r="1744" spans="10:28">
      <c r="J1744" s="340" t="str">
        <f t="shared" si="103"/>
        <v>2005FemaleMaori251</v>
      </c>
      <c r="K1744">
        <v>2005</v>
      </c>
      <c r="L1744" t="s">
        <v>8</v>
      </c>
      <c r="M1744" t="s">
        <v>18</v>
      </c>
      <c r="N1744">
        <v>25</v>
      </c>
      <c r="O1744">
        <v>1</v>
      </c>
      <c r="P1744">
        <v>0</v>
      </c>
      <c r="Q1744">
        <v>0</v>
      </c>
      <c r="T1744" s="340" t="str">
        <f t="shared" si="104"/>
        <v>2004AllSexNon-Maori22Poisoning by solids and liquids</v>
      </c>
      <c r="U1744">
        <v>2004</v>
      </c>
      <c r="V1744" t="s">
        <v>17</v>
      </c>
      <c r="W1744" t="s">
        <v>19</v>
      </c>
      <c r="X1744">
        <v>22</v>
      </c>
      <c r="Y1744" t="s">
        <v>47</v>
      </c>
      <c r="Z1744">
        <v>5</v>
      </c>
      <c r="AA1744">
        <v>72</v>
      </c>
      <c r="AB1744">
        <v>6.9</v>
      </c>
    </row>
    <row r="1745" spans="10:28">
      <c r="J1745" s="340" t="str">
        <f t="shared" si="103"/>
        <v>2005FemaleMaori252</v>
      </c>
      <c r="K1745">
        <v>2005</v>
      </c>
      <c r="L1745" t="s">
        <v>8</v>
      </c>
      <c r="M1745" t="s">
        <v>18</v>
      </c>
      <c r="N1745">
        <v>25</v>
      </c>
      <c r="O1745">
        <v>2</v>
      </c>
      <c r="P1745">
        <v>0</v>
      </c>
      <c r="Q1745">
        <v>0</v>
      </c>
      <c r="T1745" s="340" t="str">
        <f t="shared" si="104"/>
        <v>2004AllSexNon-Maori23Poisoning by solids and liquids</v>
      </c>
      <c r="U1745">
        <v>2004</v>
      </c>
      <c r="V1745" t="s">
        <v>17</v>
      </c>
      <c r="W1745" t="s">
        <v>19</v>
      </c>
      <c r="X1745">
        <v>23</v>
      </c>
      <c r="Y1745" t="s">
        <v>47</v>
      </c>
      <c r="Z1745">
        <v>14</v>
      </c>
      <c r="AA1745">
        <v>146</v>
      </c>
      <c r="AB1745">
        <v>9.6</v>
      </c>
    </row>
    <row r="1746" spans="10:28">
      <c r="J1746" s="340" t="str">
        <f t="shared" si="103"/>
        <v>2005FemaleMaori253</v>
      </c>
      <c r="K1746">
        <v>2005</v>
      </c>
      <c r="L1746" t="s">
        <v>8</v>
      </c>
      <c r="M1746" t="s">
        <v>18</v>
      </c>
      <c r="N1746">
        <v>25</v>
      </c>
      <c r="O1746">
        <v>3</v>
      </c>
      <c r="P1746">
        <v>0</v>
      </c>
      <c r="Q1746">
        <v>0</v>
      </c>
      <c r="T1746" s="340" t="str">
        <f t="shared" si="104"/>
        <v>2004AllSexNon-Maori24Poisoning by solids and liquids</v>
      </c>
      <c r="U1746">
        <v>2004</v>
      </c>
      <c r="V1746" t="s">
        <v>17</v>
      </c>
      <c r="W1746" t="s">
        <v>19</v>
      </c>
      <c r="X1746">
        <v>24</v>
      </c>
      <c r="Y1746" t="s">
        <v>47</v>
      </c>
      <c r="Z1746">
        <v>13</v>
      </c>
      <c r="AA1746">
        <v>109</v>
      </c>
      <c r="AB1746">
        <v>11.9</v>
      </c>
    </row>
    <row r="1747" spans="10:28">
      <c r="J1747" s="340" t="str">
        <f t="shared" si="103"/>
        <v>2005FemaleMaori254</v>
      </c>
      <c r="K1747">
        <v>2005</v>
      </c>
      <c r="L1747" t="s">
        <v>8</v>
      </c>
      <c r="M1747" t="s">
        <v>18</v>
      </c>
      <c r="N1747">
        <v>25</v>
      </c>
      <c r="O1747">
        <v>4</v>
      </c>
      <c r="P1747">
        <v>0</v>
      </c>
      <c r="Q1747">
        <v>0</v>
      </c>
      <c r="T1747" s="340" t="str">
        <f t="shared" si="104"/>
        <v>2004AllSexNon-Maori25Poisoning by solids and liquids</v>
      </c>
      <c r="U1747">
        <v>2004</v>
      </c>
      <c r="V1747" t="s">
        <v>17</v>
      </c>
      <c r="W1747" t="s">
        <v>19</v>
      </c>
      <c r="X1747">
        <v>25</v>
      </c>
      <c r="Y1747" t="s">
        <v>47</v>
      </c>
      <c r="Z1747">
        <v>8</v>
      </c>
      <c r="AA1747">
        <v>53</v>
      </c>
      <c r="AB1747">
        <v>15.1</v>
      </c>
    </row>
    <row r="1748" spans="10:28">
      <c r="J1748" s="340" t="str">
        <f t="shared" si="103"/>
        <v>2005FemaleMaori255</v>
      </c>
      <c r="K1748">
        <v>2005</v>
      </c>
      <c r="L1748" t="s">
        <v>8</v>
      </c>
      <c r="M1748" t="s">
        <v>18</v>
      </c>
      <c r="N1748">
        <v>25</v>
      </c>
      <c r="O1748">
        <v>5</v>
      </c>
      <c r="P1748">
        <v>0</v>
      </c>
      <c r="Q1748">
        <v>0</v>
      </c>
      <c r="T1748" s="340" t="str">
        <f t="shared" si="104"/>
        <v>2004AllSexNon-Maori24Sharp object</v>
      </c>
      <c r="U1748">
        <v>2004</v>
      </c>
      <c r="V1748" t="s">
        <v>17</v>
      </c>
      <c r="W1748" t="s">
        <v>19</v>
      </c>
      <c r="X1748">
        <v>24</v>
      </c>
      <c r="Y1748" t="s">
        <v>48</v>
      </c>
      <c r="Z1748">
        <v>1</v>
      </c>
      <c r="AA1748">
        <v>109</v>
      </c>
      <c r="AB1748">
        <v>0.9</v>
      </c>
    </row>
    <row r="1749" spans="10:28">
      <c r="J1749" s="340" t="str">
        <f t="shared" si="103"/>
        <v>2005FemaleNon-Maori211</v>
      </c>
      <c r="K1749">
        <v>2005</v>
      </c>
      <c r="L1749" t="s">
        <v>8</v>
      </c>
      <c r="M1749" t="s">
        <v>19</v>
      </c>
      <c r="N1749">
        <v>21</v>
      </c>
      <c r="O1749">
        <v>1</v>
      </c>
      <c r="P1749">
        <v>0</v>
      </c>
      <c r="Q1749">
        <v>0</v>
      </c>
      <c r="T1749" s="340" t="str">
        <f t="shared" si="104"/>
        <v>2004AllSexNon-Maori25Sharp object</v>
      </c>
      <c r="U1749">
        <v>2004</v>
      </c>
      <c r="V1749" t="s">
        <v>17</v>
      </c>
      <c r="W1749" t="s">
        <v>19</v>
      </c>
      <c r="X1749">
        <v>25</v>
      </c>
      <c r="Y1749" t="s">
        <v>48</v>
      </c>
      <c r="Z1749">
        <v>2</v>
      </c>
      <c r="AA1749">
        <v>53</v>
      </c>
      <c r="AB1749">
        <v>3.8</v>
      </c>
    </row>
    <row r="1750" spans="10:28">
      <c r="J1750" s="340" t="str">
        <f t="shared" si="103"/>
        <v>2005FemaleNon-Maori212</v>
      </c>
      <c r="K1750">
        <v>2005</v>
      </c>
      <c r="L1750" t="s">
        <v>8</v>
      </c>
      <c r="M1750" t="s">
        <v>19</v>
      </c>
      <c r="N1750">
        <v>21</v>
      </c>
      <c r="O1750">
        <v>2</v>
      </c>
      <c r="P1750">
        <v>0</v>
      </c>
      <c r="Q1750">
        <v>0</v>
      </c>
      <c r="T1750" s="340" t="str">
        <f t="shared" si="104"/>
        <v>2004AllSexNon-Maori22Submersion (drowning)</v>
      </c>
      <c r="U1750">
        <v>2004</v>
      </c>
      <c r="V1750" t="s">
        <v>17</v>
      </c>
      <c r="W1750" t="s">
        <v>19</v>
      </c>
      <c r="X1750">
        <v>22</v>
      </c>
      <c r="Y1750" t="s">
        <v>49</v>
      </c>
      <c r="Z1750">
        <v>1</v>
      </c>
      <c r="AA1750">
        <v>72</v>
      </c>
      <c r="AB1750">
        <v>1.4</v>
      </c>
    </row>
    <row r="1751" spans="10:28">
      <c r="J1751" s="340" t="str">
        <f t="shared" si="103"/>
        <v>2005FemaleNon-Maori213</v>
      </c>
      <c r="K1751">
        <v>2005</v>
      </c>
      <c r="L1751" t="s">
        <v>8</v>
      </c>
      <c r="M1751" t="s">
        <v>19</v>
      </c>
      <c r="N1751">
        <v>21</v>
      </c>
      <c r="O1751">
        <v>3</v>
      </c>
      <c r="P1751">
        <v>0</v>
      </c>
      <c r="Q1751">
        <v>0</v>
      </c>
      <c r="T1751" s="340" t="str">
        <f t="shared" si="104"/>
        <v>2004AllSexNon-Maori23Submersion (drowning)</v>
      </c>
      <c r="U1751">
        <v>2004</v>
      </c>
      <c r="V1751" t="s">
        <v>17</v>
      </c>
      <c r="W1751" t="s">
        <v>19</v>
      </c>
      <c r="X1751">
        <v>23</v>
      </c>
      <c r="Y1751" t="s">
        <v>49</v>
      </c>
      <c r="Z1751">
        <v>4</v>
      </c>
      <c r="AA1751">
        <v>146</v>
      </c>
      <c r="AB1751">
        <v>2.7</v>
      </c>
    </row>
    <row r="1752" spans="10:28">
      <c r="J1752" s="340" t="str">
        <f t="shared" si="103"/>
        <v>2005FemaleNon-Maori214</v>
      </c>
      <c r="K1752">
        <v>2005</v>
      </c>
      <c r="L1752" t="s">
        <v>8</v>
      </c>
      <c r="M1752" t="s">
        <v>19</v>
      </c>
      <c r="N1752">
        <v>21</v>
      </c>
      <c r="O1752">
        <v>4</v>
      </c>
      <c r="P1752">
        <v>0</v>
      </c>
      <c r="Q1752">
        <v>0</v>
      </c>
      <c r="T1752" s="340" t="str">
        <f t="shared" si="104"/>
        <v>2004AllSexNon-Maori24Submersion (drowning)</v>
      </c>
      <c r="U1752">
        <v>2004</v>
      </c>
      <c r="V1752" t="s">
        <v>17</v>
      </c>
      <c r="W1752" t="s">
        <v>19</v>
      </c>
      <c r="X1752">
        <v>24</v>
      </c>
      <c r="Y1752" t="s">
        <v>49</v>
      </c>
      <c r="Z1752">
        <v>2</v>
      </c>
      <c r="AA1752">
        <v>109</v>
      </c>
      <c r="AB1752">
        <v>1.8</v>
      </c>
    </row>
    <row r="1753" spans="10:28">
      <c r="J1753" s="340" t="str">
        <f t="shared" si="103"/>
        <v>2005FemaleNon-Maori215</v>
      </c>
      <c r="K1753">
        <v>2005</v>
      </c>
      <c r="L1753" t="s">
        <v>8</v>
      </c>
      <c r="M1753" t="s">
        <v>19</v>
      </c>
      <c r="N1753">
        <v>21</v>
      </c>
      <c r="O1753">
        <v>5</v>
      </c>
      <c r="P1753">
        <v>0</v>
      </c>
      <c r="Q1753">
        <v>0</v>
      </c>
      <c r="T1753" s="340" t="str">
        <f t="shared" si="104"/>
        <v>2004AllSexNon-Maori25Submersion (drowning)</v>
      </c>
      <c r="U1753">
        <v>2004</v>
      </c>
      <c r="V1753" t="s">
        <v>17</v>
      </c>
      <c r="W1753" t="s">
        <v>19</v>
      </c>
      <c r="X1753">
        <v>25</v>
      </c>
      <c r="Y1753" t="s">
        <v>49</v>
      </c>
      <c r="Z1753">
        <v>3</v>
      </c>
      <c r="AA1753">
        <v>53</v>
      </c>
      <c r="AB1753">
        <v>5.7</v>
      </c>
    </row>
    <row r="1754" spans="10:28">
      <c r="J1754" s="340" t="str">
        <f t="shared" si="103"/>
        <v>2005FemaleNon-Maori221</v>
      </c>
      <c r="K1754">
        <v>2005</v>
      </c>
      <c r="L1754" t="s">
        <v>8</v>
      </c>
      <c r="M1754" t="s">
        <v>19</v>
      </c>
      <c r="N1754">
        <v>22</v>
      </c>
      <c r="O1754">
        <v>1</v>
      </c>
      <c r="P1754">
        <v>2</v>
      </c>
      <c r="Q1754">
        <v>4.5101314237791801</v>
      </c>
      <c r="R1754">
        <v>6.3</v>
      </c>
      <c r="T1754" s="340" t="str">
        <f t="shared" si="104"/>
        <v>2004FemaleAllEth23Firearms and explosives</v>
      </c>
      <c r="U1754">
        <v>2004</v>
      </c>
      <c r="V1754" t="s">
        <v>8</v>
      </c>
      <c r="W1754" t="s">
        <v>27</v>
      </c>
      <c r="X1754">
        <v>23</v>
      </c>
      <c r="Y1754" t="s">
        <v>42</v>
      </c>
      <c r="Z1754">
        <v>1</v>
      </c>
      <c r="AA1754">
        <v>40</v>
      </c>
      <c r="AB1754">
        <v>2.5</v>
      </c>
    </row>
    <row r="1755" spans="10:28">
      <c r="J1755" s="340" t="str">
        <f t="shared" si="103"/>
        <v>2005FemaleNon-Maori222</v>
      </c>
      <c r="K1755">
        <v>2005</v>
      </c>
      <c r="L1755" t="s">
        <v>8</v>
      </c>
      <c r="M1755" t="s">
        <v>19</v>
      </c>
      <c r="N1755">
        <v>22</v>
      </c>
      <c r="O1755">
        <v>2</v>
      </c>
      <c r="P1755">
        <v>3</v>
      </c>
      <c r="Q1755">
        <v>6.5548281385391904</v>
      </c>
      <c r="R1755">
        <v>7.4</v>
      </c>
      <c r="T1755" s="340" t="str">
        <f t="shared" si="104"/>
        <v>2004FemaleAllEth24Firearms and explosives</v>
      </c>
      <c r="U1755">
        <v>2004</v>
      </c>
      <c r="V1755" t="s">
        <v>8</v>
      </c>
      <c r="W1755" t="s">
        <v>27</v>
      </c>
      <c r="X1755">
        <v>24</v>
      </c>
      <c r="Y1755" t="s">
        <v>42</v>
      </c>
      <c r="Z1755">
        <v>1</v>
      </c>
      <c r="AA1755">
        <v>30</v>
      </c>
      <c r="AB1755">
        <v>3.3</v>
      </c>
    </row>
    <row r="1756" spans="10:28">
      <c r="J1756" s="340" t="str">
        <f t="shared" si="103"/>
        <v>2005FemaleNon-Maori223</v>
      </c>
      <c r="K1756">
        <v>2005</v>
      </c>
      <c r="L1756" t="s">
        <v>8</v>
      </c>
      <c r="M1756" t="s">
        <v>19</v>
      </c>
      <c r="N1756">
        <v>22</v>
      </c>
      <c r="O1756">
        <v>3</v>
      </c>
      <c r="P1756">
        <v>0</v>
      </c>
      <c r="Q1756">
        <v>0</v>
      </c>
      <c r="T1756" s="340" t="str">
        <f t="shared" si="104"/>
        <v>2004FemaleAllEth21Hanging, strangulation and suffocation</v>
      </c>
      <c r="U1756">
        <v>2004</v>
      </c>
      <c r="V1756" t="s">
        <v>8</v>
      </c>
      <c r="W1756" t="s">
        <v>27</v>
      </c>
      <c r="X1756">
        <v>21</v>
      </c>
      <c r="Y1756" t="s">
        <v>43</v>
      </c>
      <c r="Z1756">
        <v>2</v>
      </c>
      <c r="AA1756">
        <v>2</v>
      </c>
      <c r="AB1756">
        <v>100</v>
      </c>
    </row>
    <row r="1757" spans="10:28">
      <c r="J1757" s="340" t="str">
        <f t="shared" si="103"/>
        <v>2005FemaleNon-Maori224</v>
      </c>
      <c r="K1757">
        <v>2005</v>
      </c>
      <c r="L1757" t="s">
        <v>8</v>
      </c>
      <c r="M1757" t="s">
        <v>19</v>
      </c>
      <c r="N1757">
        <v>22</v>
      </c>
      <c r="O1757">
        <v>4</v>
      </c>
      <c r="P1757">
        <v>6</v>
      </c>
      <c r="Q1757">
        <v>12.2350522404373</v>
      </c>
      <c r="R1757">
        <v>9.8000000000000007</v>
      </c>
      <c r="T1757" s="340" t="str">
        <f t="shared" si="104"/>
        <v>2004FemaleAllEth22Hanging, strangulation and suffocation</v>
      </c>
      <c r="U1757">
        <v>2004</v>
      </c>
      <c r="V1757" t="s">
        <v>8</v>
      </c>
      <c r="W1757" t="s">
        <v>27</v>
      </c>
      <c r="X1757">
        <v>22</v>
      </c>
      <c r="Y1757" t="s">
        <v>43</v>
      </c>
      <c r="Z1757">
        <v>27</v>
      </c>
      <c r="AA1757">
        <v>31</v>
      </c>
      <c r="AB1757">
        <v>87.1</v>
      </c>
    </row>
    <row r="1758" spans="10:28">
      <c r="J1758" s="340" t="str">
        <f t="shared" si="103"/>
        <v>2005FemaleNon-Maori225</v>
      </c>
      <c r="K1758">
        <v>2005</v>
      </c>
      <c r="L1758" t="s">
        <v>8</v>
      </c>
      <c r="M1758" t="s">
        <v>19</v>
      </c>
      <c r="N1758">
        <v>22</v>
      </c>
      <c r="O1758">
        <v>5</v>
      </c>
      <c r="P1758">
        <v>1</v>
      </c>
      <c r="Q1758">
        <v>2.02295276555135</v>
      </c>
      <c r="R1758">
        <v>4</v>
      </c>
      <c r="T1758" s="340" t="str">
        <f t="shared" si="104"/>
        <v>2004FemaleAllEth23Hanging, strangulation and suffocation</v>
      </c>
      <c r="U1758">
        <v>2004</v>
      </c>
      <c r="V1758" t="s">
        <v>8</v>
      </c>
      <c r="W1758" t="s">
        <v>27</v>
      </c>
      <c r="X1758">
        <v>23</v>
      </c>
      <c r="Y1758" t="s">
        <v>43</v>
      </c>
      <c r="Z1758">
        <v>15</v>
      </c>
      <c r="AA1758">
        <v>40</v>
      </c>
      <c r="AB1758">
        <v>37.5</v>
      </c>
    </row>
    <row r="1759" spans="10:28">
      <c r="J1759" s="340" t="str">
        <f t="shared" si="103"/>
        <v>2005FemaleNon-Maori231</v>
      </c>
      <c r="K1759">
        <v>2005</v>
      </c>
      <c r="L1759" t="s">
        <v>8</v>
      </c>
      <c r="M1759" t="s">
        <v>19</v>
      </c>
      <c r="N1759">
        <v>23</v>
      </c>
      <c r="O1759">
        <v>1</v>
      </c>
      <c r="P1759">
        <v>9</v>
      </c>
      <c r="Q1759">
        <v>7.7334985327969097</v>
      </c>
      <c r="R1759">
        <v>5.0999999999999996</v>
      </c>
      <c r="T1759" s="340" t="str">
        <f t="shared" si="104"/>
        <v>2004FemaleAllEth24Hanging, strangulation and suffocation</v>
      </c>
      <c r="U1759">
        <v>2004</v>
      </c>
      <c r="V1759" t="s">
        <v>8</v>
      </c>
      <c r="W1759" t="s">
        <v>27</v>
      </c>
      <c r="X1759">
        <v>24</v>
      </c>
      <c r="Y1759" t="s">
        <v>43</v>
      </c>
      <c r="Z1759">
        <v>13</v>
      </c>
      <c r="AA1759">
        <v>30</v>
      </c>
      <c r="AB1759">
        <v>43.3</v>
      </c>
    </row>
    <row r="1760" spans="10:28">
      <c r="J1760" s="340" t="str">
        <f t="shared" si="103"/>
        <v>2005FemaleNon-Maori232</v>
      </c>
      <c r="K1760">
        <v>2005</v>
      </c>
      <c r="L1760" t="s">
        <v>8</v>
      </c>
      <c r="M1760" t="s">
        <v>19</v>
      </c>
      <c r="N1760">
        <v>23</v>
      </c>
      <c r="O1760">
        <v>2</v>
      </c>
      <c r="P1760">
        <v>5</v>
      </c>
      <c r="Q1760">
        <v>4.2632577271184999</v>
      </c>
      <c r="R1760">
        <v>3.7</v>
      </c>
      <c r="T1760" s="340" t="str">
        <f t="shared" si="104"/>
        <v>2004FemaleAllEth25Hanging, strangulation and suffocation</v>
      </c>
      <c r="U1760">
        <v>2004</v>
      </c>
      <c r="V1760" t="s">
        <v>8</v>
      </c>
      <c r="W1760" t="s">
        <v>27</v>
      </c>
      <c r="X1760">
        <v>25</v>
      </c>
      <c r="Y1760" t="s">
        <v>43</v>
      </c>
      <c r="Z1760">
        <v>2</v>
      </c>
      <c r="AA1760">
        <v>9</v>
      </c>
      <c r="AB1760">
        <v>22.2</v>
      </c>
    </row>
    <row r="1761" spans="10:28">
      <c r="J1761" s="340" t="str">
        <f t="shared" si="103"/>
        <v>2005FemaleNon-Maori233</v>
      </c>
      <c r="K1761">
        <v>2005</v>
      </c>
      <c r="L1761" t="s">
        <v>8</v>
      </c>
      <c r="M1761" t="s">
        <v>19</v>
      </c>
      <c r="N1761">
        <v>23</v>
      </c>
      <c r="O1761">
        <v>3</v>
      </c>
      <c r="P1761">
        <v>8</v>
      </c>
      <c r="Q1761">
        <v>7.1966157138089102</v>
      </c>
      <c r="R1761">
        <v>5</v>
      </c>
      <c r="T1761" s="340" t="str">
        <f t="shared" si="104"/>
        <v>2004FemaleAllEth23Jumping from a high place</v>
      </c>
      <c r="U1761">
        <v>2004</v>
      </c>
      <c r="V1761" t="s">
        <v>8</v>
      </c>
      <c r="W1761" t="s">
        <v>27</v>
      </c>
      <c r="X1761">
        <v>23</v>
      </c>
      <c r="Y1761" t="s">
        <v>44</v>
      </c>
      <c r="Z1761">
        <v>1</v>
      </c>
      <c r="AA1761">
        <v>40</v>
      </c>
      <c r="AB1761">
        <v>2.5</v>
      </c>
    </row>
    <row r="1762" spans="10:28">
      <c r="J1762" s="340" t="str">
        <f t="shared" si="103"/>
        <v>2005FemaleNon-Maori234</v>
      </c>
      <c r="K1762">
        <v>2005</v>
      </c>
      <c r="L1762" t="s">
        <v>8</v>
      </c>
      <c r="M1762" t="s">
        <v>19</v>
      </c>
      <c r="N1762">
        <v>23</v>
      </c>
      <c r="O1762">
        <v>4</v>
      </c>
      <c r="P1762">
        <v>13</v>
      </c>
      <c r="Q1762">
        <v>12.9456405489143</v>
      </c>
      <c r="R1762">
        <v>7</v>
      </c>
      <c r="T1762" s="340" t="str">
        <f t="shared" si="104"/>
        <v>2004FemaleAllEth24Jumping from a high place</v>
      </c>
      <c r="U1762">
        <v>2004</v>
      </c>
      <c r="V1762" t="s">
        <v>8</v>
      </c>
      <c r="W1762" t="s">
        <v>27</v>
      </c>
      <c r="X1762">
        <v>24</v>
      </c>
      <c r="Y1762" t="s">
        <v>44</v>
      </c>
      <c r="Z1762">
        <v>2</v>
      </c>
      <c r="AA1762">
        <v>30</v>
      </c>
      <c r="AB1762">
        <v>6.7</v>
      </c>
    </row>
    <row r="1763" spans="10:28">
      <c r="J1763" s="340" t="str">
        <f t="shared" si="103"/>
        <v>2005FemaleNon-Maori235</v>
      </c>
      <c r="K1763">
        <v>2005</v>
      </c>
      <c r="L1763" t="s">
        <v>8</v>
      </c>
      <c r="M1763" t="s">
        <v>19</v>
      </c>
      <c r="N1763">
        <v>23</v>
      </c>
      <c r="O1763">
        <v>5</v>
      </c>
      <c r="P1763">
        <v>8</v>
      </c>
      <c r="Q1763">
        <v>10.294857094197001</v>
      </c>
      <c r="R1763">
        <v>7.1</v>
      </c>
      <c r="T1763" s="340" t="str">
        <f t="shared" si="104"/>
        <v>2004FemaleAllEth23Other</v>
      </c>
      <c r="U1763">
        <v>2004</v>
      </c>
      <c r="V1763" t="s">
        <v>8</v>
      </c>
      <c r="W1763" t="s">
        <v>27</v>
      </c>
      <c r="X1763">
        <v>23</v>
      </c>
      <c r="Y1763" t="s">
        <v>45</v>
      </c>
      <c r="Z1763">
        <v>4</v>
      </c>
      <c r="AA1763">
        <v>40</v>
      </c>
      <c r="AB1763">
        <v>10</v>
      </c>
    </row>
    <row r="1764" spans="10:28">
      <c r="J1764" s="340" t="str">
        <f t="shared" si="103"/>
        <v>2005FemaleNon-Maori241</v>
      </c>
      <c r="K1764">
        <v>2005</v>
      </c>
      <c r="L1764" t="s">
        <v>8</v>
      </c>
      <c r="M1764" t="s">
        <v>19</v>
      </c>
      <c r="N1764">
        <v>24</v>
      </c>
      <c r="O1764">
        <v>1</v>
      </c>
      <c r="P1764">
        <v>4</v>
      </c>
      <c r="Q1764">
        <v>3.4068497925275198</v>
      </c>
      <c r="R1764">
        <v>3.3</v>
      </c>
      <c r="T1764" s="340" t="str">
        <f t="shared" si="104"/>
        <v>2004FemaleAllEth24Other</v>
      </c>
      <c r="U1764">
        <v>2004</v>
      </c>
      <c r="V1764" t="s">
        <v>8</v>
      </c>
      <c r="W1764" t="s">
        <v>27</v>
      </c>
      <c r="X1764">
        <v>24</v>
      </c>
      <c r="Y1764" t="s">
        <v>45</v>
      </c>
      <c r="Z1764">
        <v>1</v>
      </c>
      <c r="AA1764">
        <v>30</v>
      </c>
      <c r="AB1764">
        <v>3.3</v>
      </c>
    </row>
    <row r="1765" spans="10:28">
      <c r="J1765" s="340" t="str">
        <f t="shared" si="103"/>
        <v>2005FemaleNon-Maori242</v>
      </c>
      <c r="K1765">
        <v>2005</v>
      </c>
      <c r="L1765" t="s">
        <v>8</v>
      </c>
      <c r="M1765" t="s">
        <v>19</v>
      </c>
      <c r="N1765">
        <v>24</v>
      </c>
      <c r="O1765">
        <v>2</v>
      </c>
      <c r="P1765">
        <v>4</v>
      </c>
      <c r="Q1765">
        <v>3.9083406519399202</v>
      </c>
      <c r="R1765">
        <v>3.8</v>
      </c>
      <c r="T1765" s="340" t="str">
        <f t="shared" si="104"/>
        <v>2004FemaleAllEth25Other</v>
      </c>
      <c r="U1765">
        <v>2004</v>
      </c>
      <c r="V1765" t="s">
        <v>8</v>
      </c>
      <c r="W1765" t="s">
        <v>27</v>
      </c>
      <c r="X1765">
        <v>25</v>
      </c>
      <c r="Y1765" t="s">
        <v>45</v>
      </c>
      <c r="Z1765">
        <v>1</v>
      </c>
      <c r="AA1765">
        <v>9</v>
      </c>
      <c r="AB1765">
        <v>11.1</v>
      </c>
    </row>
    <row r="1766" spans="10:28">
      <c r="J1766" s="340" t="str">
        <f t="shared" si="103"/>
        <v>2005FemaleNon-Maori243</v>
      </c>
      <c r="K1766">
        <v>2005</v>
      </c>
      <c r="L1766" t="s">
        <v>8</v>
      </c>
      <c r="M1766" t="s">
        <v>19</v>
      </c>
      <c r="N1766">
        <v>24</v>
      </c>
      <c r="O1766">
        <v>3</v>
      </c>
      <c r="P1766">
        <v>4</v>
      </c>
      <c r="Q1766">
        <v>4.4476176749504504</v>
      </c>
      <c r="R1766">
        <v>4.4000000000000004</v>
      </c>
      <c r="T1766" s="340" t="str">
        <f t="shared" si="104"/>
        <v>2004FemaleAllEth22Poisoning by gases and vapours</v>
      </c>
      <c r="U1766">
        <v>2004</v>
      </c>
      <c r="V1766" t="s">
        <v>8</v>
      </c>
      <c r="W1766" t="s">
        <v>27</v>
      </c>
      <c r="X1766">
        <v>22</v>
      </c>
      <c r="Y1766" t="s">
        <v>46</v>
      </c>
      <c r="Z1766">
        <v>2</v>
      </c>
      <c r="AA1766">
        <v>31</v>
      </c>
      <c r="AB1766">
        <v>6.5</v>
      </c>
    </row>
    <row r="1767" spans="10:28">
      <c r="J1767" s="340" t="str">
        <f t="shared" si="103"/>
        <v>2005FemaleNon-Maori244</v>
      </c>
      <c r="K1767">
        <v>2005</v>
      </c>
      <c r="L1767" t="s">
        <v>8</v>
      </c>
      <c r="M1767" t="s">
        <v>19</v>
      </c>
      <c r="N1767">
        <v>24</v>
      </c>
      <c r="O1767">
        <v>4</v>
      </c>
      <c r="P1767">
        <v>10</v>
      </c>
      <c r="Q1767">
        <v>12.9007673665414</v>
      </c>
      <c r="R1767">
        <v>8</v>
      </c>
      <c r="T1767" s="340" t="str">
        <f t="shared" si="104"/>
        <v>2004FemaleAllEth23Poisoning by gases and vapours</v>
      </c>
      <c r="U1767">
        <v>2004</v>
      </c>
      <c r="V1767" t="s">
        <v>8</v>
      </c>
      <c r="W1767" t="s">
        <v>27</v>
      </c>
      <c r="X1767">
        <v>23</v>
      </c>
      <c r="Y1767" t="s">
        <v>46</v>
      </c>
      <c r="Z1767">
        <v>9</v>
      </c>
      <c r="AA1767">
        <v>40</v>
      </c>
      <c r="AB1767">
        <v>22.5</v>
      </c>
    </row>
    <row r="1768" spans="10:28">
      <c r="J1768" s="340" t="str">
        <f t="shared" si="103"/>
        <v>2005FemaleNon-Maori245</v>
      </c>
      <c r="K1768">
        <v>2005</v>
      </c>
      <c r="L1768" t="s">
        <v>8</v>
      </c>
      <c r="M1768" t="s">
        <v>19</v>
      </c>
      <c r="N1768">
        <v>24</v>
      </c>
      <c r="O1768">
        <v>5</v>
      </c>
      <c r="P1768">
        <v>7</v>
      </c>
      <c r="Q1768">
        <v>12.310137929657399</v>
      </c>
      <c r="R1768">
        <v>9.1</v>
      </c>
      <c r="T1768" s="340" t="str">
        <f t="shared" si="104"/>
        <v>2004FemaleAllEth24Poisoning by gases and vapours</v>
      </c>
      <c r="U1768">
        <v>2004</v>
      </c>
      <c r="V1768" t="s">
        <v>8</v>
      </c>
      <c r="W1768" t="s">
        <v>27</v>
      </c>
      <c r="X1768">
        <v>24</v>
      </c>
      <c r="Y1768" t="s">
        <v>46</v>
      </c>
      <c r="Z1768">
        <v>2</v>
      </c>
      <c r="AA1768">
        <v>30</v>
      </c>
      <c r="AB1768">
        <v>6.7</v>
      </c>
    </row>
    <row r="1769" spans="10:28">
      <c r="J1769" s="340" t="str">
        <f t="shared" si="103"/>
        <v>2005FemaleNon-Maori251</v>
      </c>
      <c r="K1769">
        <v>2005</v>
      </c>
      <c r="L1769" t="s">
        <v>8</v>
      </c>
      <c r="M1769" t="s">
        <v>19</v>
      </c>
      <c r="N1769">
        <v>25</v>
      </c>
      <c r="O1769">
        <v>1</v>
      </c>
      <c r="P1769">
        <v>6</v>
      </c>
      <c r="Q1769">
        <v>12.0428736112574</v>
      </c>
      <c r="R1769">
        <v>9.6</v>
      </c>
      <c r="T1769" s="340" t="str">
        <f t="shared" si="104"/>
        <v>2004FemaleAllEth25Poisoning by gases and vapours</v>
      </c>
      <c r="U1769">
        <v>2004</v>
      </c>
      <c r="V1769" t="s">
        <v>8</v>
      </c>
      <c r="W1769" t="s">
        <v>27</v>
      </c>
      <c r="X1769">
        <v>25</v>
      </c>
      <c r="Y1769" t="s">
        <v>46</v>
      </c>
      <c r="Z1769">
        <v>1</v>
      </c>
      <c r="AA1769">
        <v>9</v>
      </c>
      <c r="AB1769">
        <v>11.1</v>
      </c>
    </row>
    <row r="1770" spans="10:28">
      <c r="J1770" s="340" t="str">
        <f t="shared" si="103"/>
        <v>2005FemaleNon-Maori252</v>
      </c>
      <c r="K1770">
        <v>2005</v>
      </c>
      <c r="L1770" t="s">
        <v>8</v>
      </c>
      <c r="M1770" t="s">
        <v>19</v>
      </c>
      <c r="N1770">
        <v>25</v>
      </c>
      <c r="O1770">
        <v>2</v>
      </c>
      <c r="P1770">
        <v>1</v>
      </c>
      <c r="Q1770">
        <v>1.8084853299071599</v>
      </c>
      <c r="R1770">
        <v>3.5</v>
      </c>
      <c r="T1770" s="340" t="str">
        <f t="shared" si="104"/>
        <v>2004FemaleAllEth22Poisoning by solids and liquids</v>
      </c>
      <c r="U1770">
        <v>2004</v>
      </c>
      <c r="V1770" t="s">
        <v>8</v>
      </c>
      <c r="W1770" t="s">
        <v>27</v>
      </c>
      <c r="X1770">
        <v>22</v>
      </c>
      <c r="Y1770" t="s">
        <v>47</v>
      </c>
      <c r="Z1770">
        <v>2</v>
      </c>
      <c r="AA1770">
        <v>31</v>
      </c>
      <c r="AB1770">
        <v>6.5</v>
      </c>
    </row>
    <row r="1771" spans="10:28">
      <c r="J1771" s="340" t="str">
        <f t="shared" si="103"/>
        <v>2005FemaleNon-Maori253</v>
      </c>
      <c r="K1771">
        <v>2005</v>
      </c>
      <c r="L1771" t="s">
        <v>8</v>
      </c>
      <c r="M1771" t="s">
        <v>19</v>
      </c>
      <c r="N1771">
        <v>25</v>
      </c>
      <c r="O1771">
        <v>3</v>
      </c>
      <c r="P1771">
        <v>6</v>
      </c>
      <c r="Q1771">
        <v>10.337444051996799</v>
      </c>
      <c r="R1771">
        <v>8.3000000000000007</v>
      </c>
      <c r="T1771" s="340" t="str">
        <f t="shared" si="104"/>
        <v>2004FemaleAllEth23Poisoning by solids and liquids</v>
      </c>
      <c r="U1771">
        <v>2004</v>
      </c>
      <c r="V1771" t="s">
        <v>8</v>
      </c>
      <c r="W1771" t="s">
        <v>27</v>
      </c>
      <c r="X1771">
        <v>23</v>
      </c>
      <c r="Y1771" t="s">
        <v>47</v>
      </c>
      <c r="Z1771">
        <v>9</v>
      </c>
      <c r="AA1771">
        <v>40</v>
      </c>
      <c r="AB1771">
        <v>22.5</v>
      </c>
    </row>
    <row r="1772" spans="10:28">
      <c r="J1772" s="340" t="str">
        <f t="shared" si="103"/>
        <v>2005FemaleNon-Maori254</v>
      </c>
      <c r="K1772">
        <v>2005</v>
      </c>
      <c r="L1772" t="s">
        <v>8</v>
      </c>
      <c r="M1772" t="s">
        <v>19</v>
      </c>
      <c r="N1772">
        <v>25</v>
      </c>
      <c r="O1772">
        <v>4</v>
      </c>
      <c r="P1772">
        <v>2</v>
      </c>
      <c r="Q1772">
        <v>3.4115160002428802</v>
      </c>
      <c r="R1772">
        <v>4.7</v>
      </c>
      <c r="T1772" s="340" t="str">
        <f t="shared" si="104"/>
        <v>2004FemaleAllEth24Poisoning by solids and liquids</v>
      </c>
      <c r="U1772">
        <v>2004</v>
      </c>
      <c r="V1772" t="s">
        <v>8</v>
      </c>
      <c r="W1772" t="s">
        <v>27</v>
      </c>
      <c r="X1772">
        <v>24</v>
      </c>
      <c r="Y1772" t="s">
        <v>47</v>
      </c>
      <c r="Z1772">
        <v>8</v>
      </c>
      <c r="AA1772">
        <v>30</v>
      </c>
      <c r="AB1772">
        <v>26.7</v>
      </c>
    </row>
    <row r="1773" spans="10:28">
      <c r="J1773" s="340" t="str">
        <f t="shared" si="103"/>
        <v>2005FemaleNon-Maori255</v>
      </c>
      <c r="K1773">
        <v>2005</v>
      </c>
      <c r="L1773" t="s">
        <v>8</v>
      </c>
      <c r="M1773" t="s">
        <v>19</v>
      </c>
      <c r="N1773">
        <v>25</v>
      </c>
      <c r="O1773">
        <v>5</v>
      </c>
      <c r="P1773">
        <v>1</v>
      </c>
      <c r="Q1773">
        <v>2.47116625693931</v>
      </c>
      <c r="R1773">
        <v>4.8</v>
      </c>
      <c r="T1773" s="340" t="str">
        <f t="shared" si="104"/>
        <v>2004FemaleAllEth25Poisoning by solids and liquids</v>
      </c>
      <c r="U1773">
        <v>2004</v>
      </c>
      <c r="V1773" t="s">
        <v>8</v>
      </c>
      <c r="W1773" t="s">
        <v>27</v>
      </c>
      <c r="X1773">
        <v>25</v>
      </c>
      <c r="Y1773" t="s">
        <v>47</v>
      </c>
      <c r="Z1773">
        <v>5</v>
      </c>
      <c r="AA1773">
        <v>9</v>
      </c>
      <c r="AB1773">
        <v>55.6</v>
      </c>
    </row>
    <row r="1774" spans="10:28">
      <c r="J1774" s="340" t="str">
        <f t="shared" si="103"/>
        <v>2005MaleAllEth211</v>
      </c>
      <c r="K1774">
        <v>2005</v>
      </c>
      <c r="L1774" t="s">
        <v>20</v>
      </c>
      <c r="M1774" t="s">
        <v>27</v>
      </c>
      <c r="N1774">
        <v>21</v>
      </c>
      <c r="O1774">
        <v>1</v>
      </c>
      <c r="P1774">
        <v>0</v>
      </c>
      <c r="Q1774">
        <v>0</v>
      </c>
      <c r="T1774" s="340" t="str">
        <f t="shared" si="104"/>
        <v>2004FemaleAllEth24Sharp object</v>
      </c>
      <c r="U1774">
        <v>2004</v>
      </c>
      <c r="V1774" t="s">
        <v>8</v>
      </c>
      <c r="W1774" t="s">
        <v>27</v>
      </c>
      <c r="X1774">
        <v>24</v>
      </c>
      <c r="Y1774" t="s">
        <v>48</v>
      </c>
      <c r="Z1774">
        <v>2</v>
      </c>
      <c r="AA1774">
        <v>30</v>
      </c>
      <c r="AB1774">
        <v>6.7</v>
      </c>
    </row>
    <row r="1775" spans="10:28">
      <c r="J1775" s="340" t="str">
        <f t="shared" si="103"/>
        <v>2005MaleAllEth212</v>
      </c>
      <c r="K1775">
        <v>2005</v>
      </c>
      <c r="L1775" t="s">
        <v>20</v>
      </c>
      <c r="M1775" t="s">
        <v>27</v>
      </c>
      <c r="N1775">
        <v>21</v>
      </c>
      <c r="O1775">
        <v>2</v>
      </c>
      <c r="P1775">
        <v>0</v>
      </c>
      <c r="Q1775">
        <v>0</v>
      </c>
      <c r="T1775" s="340" t="str">
        <f t="shared" si="104"/>
        <v>2004FemaleAllEth23Submersion (drowning)</v>
      </c>
      <c r="U1775">
        <v>2004</v>
      </c>
      <c r="V1775" t="s">
        <v>8</v>
      </c>
      <c r="W1775" t="s">
        <v>27</v>
      </c>
      <c r="X1775">
        <v>23</v>
      </c>
      <c r="Y1775" t="s">
        <v>49</v>
      </c>
      <c r="Z1775">
        <v>1</v>
      </c>
      <c r="AA1775">
        <v>40</v>
      </c>
      <c r="AB1775">
        <v>2.5</v>
      </c>
    </row>
    <row r="1776" spans="10:28">
      <c r="J1776" s="340" t="str">
        <f t="shared" si="103"/>
        <v>2005MaleAllEth213</v>
      </c>
      <c r="K1776">
        <v>2005</v>
      </c>
      <c r="L1776" t="s">
        <v>20</v>
      </c>
      <c r="M1776" t="s">
        <v>27</v>
      </c>
      <c r="N1776">
        <v>21</v>
      </c>
      <c r="O1776">
        <v>3</v>
      </c>
      <c r="P1776">
        <v>0</v>
      </c>
      <c r="Q1776">
        <v>0</v>
      </c>
      <c r="T1776" s="340" t="str">
        <f t="shared" si="104"/>
        <v>2004FemaleAllEth24Submersion (drowning)</v>
      </c>
      <c r="U1776">
        <v>2004</v>
      </c>
      <c r="V1776" t="s">
        <v>8</v>
      </c>
      <c r="W1776" t="s">
        <v>27</v>
      </c>
      <c r="X1776">
        <v>24</v>
      </c>
      <c r="Y1776" t="s">
        <v>49</v>
      </c>
      <c r="Z1776">
        <v>1</v>
      </c>
      <c r="AA1776">
        <v>30</v>
      </c>
      <c r="AB1776">
        <v>3.3</v>
      </c>
    </row>
    <row r="1777" spans="10:28">
      <c r="J1777" s="340" t="str">
        <f t="shared" si="103"/>
        <v>2005MaleAllEth214</v>
      </c>
      <c r="K1777">
        <v>2005</v>
      </c>
      <c r="L1777" t="s">
        <v>20</v>
      </c>
      <c r="M1777" t="s">
        <v>27</v>
      </c>
      <c r="N1777">
        <v>21</v>
      </c>
      <c r="O1777">
        <v>4</v>
      </c>
      <c r="P1777">
        <v>0</v>
      </c>
      <c r="Q1777">
        <v>0</v>
      </c>
      <c r="T1777" s="340" t="str">
        <f t="shared" si="104"/>
        <v>2004FemaleMaori21Hanging, strangulation and suffocation</v>
      </c>
      <c r="U1777">
        <v>2004</v>
      </c>
      <c r="V1777" t="s">
        <v>8</v>
      </c>
      <c r="W1777" t="s">
        <v>18</v>
      </c>
      <c r="X1777">
        <v>21</v>
      </c>
      <c r="Y1777" t="s">
        <v>43</v>
      </c>
      <c r="Z1777">
        <v>1</v>
      </c>
      <c r="AA1777">
        <v>1</v>
      </c>
      <c r="AB1777">
        <v>100</v>
      </c>
    </row>
    <row r="1778" spans="10:28">
      <c r="J1778" s="340" t="str">
        <f t="shared" si="103"/>
        <v>2005MaleAllEth215</v>
      </c>
      <c r="K1778">
        <v>2005</v>
      </c>
      <c r="L1778" t="s">
        <v>20</v>
      </c>
      <c r="M1778" t="s">
        <v>27</v>
      </c>
      <c r="N1778">
        <v>21</v>
      </c>
      <c r="O1778">
        <v>5</v>
      </c>
      <c r="P1778">
        <v>1</v>
      </c>
      <c r="Q1778">
        <v>0.92587281519102604</v>
      </c>
      <c r="R1778">
        <v>1.8</v>
      </c>
      <c r="T1778" s="340" t="str">
        <f t="shared" si="104"/>
        <v>2004FemaleMaori22Hanging, strangulation and suffocation</v>
      </c>
      <c r="U1778">
        <v>2004</v>
      </c>
      <c r="V1778" t="s">
        <v>8</v>
      </c>
      <c r="W1778" t="s">
        <v>18</v>
      </c>
      <c r="X1778">
        <v>22</v>
      </c>
      <c r="Y1778" t="s">
        <v>43</v>
      </c>
      <c r="Z1778">
        <v>14</v>
      </c>
      <c r="AA1778">
        <v>14</v>
      </c>
      <c r="AB1778">
        <v>100</v>
      </c>
    </row>
    <row r="1779" spans="10:28">
      <c r="J1779" s="340" t="str">
        <f t="shared" si="103"/>
        <v>2005MaleAllEth221</v>
      </c>
      <c r="K1779">
        <v>2005</v>
      </c>
      <c r="L1779" t="s">
        <v>20</v>
      </c>
      <c r="M1779" t="s">
        <v>27</v>
      </c>
      <c r="N1779">
        <v>22</v>
      </c>
      <c r="O1779">
        <v>1</v>
      </c>
      <c r="P1779">
        <v>12</v>
      </c>
      <c r="Q1779">
        <v>23.059512649054501</v>
      </c>
      <c r="R1779">
        <v>13</v>
      </c>
      <c r="T1779" s="340" t="str">
        <f t="shared" si="104"/>
        <v>2004FemaleMaori23Hanging, strangulation and suffocation</v>
      </c>
      <c r="U1779">
        <v>2004</v>
      </c>
      <c r="V1779" t="s">
        <v>8</v>
      </c>
      <c r="W1779" t="s">
        <v>18</v>
      </c>
      <c r="X1779">
        <v>23</v>
      </c>
      <c r="Y1779" t="s">
        <v>43</v>
      </c>
      <c r="Z1779">
        <v>6</v>
      </c>
      <c r="AA1779">
        <v>11</v>
      </c>
      <c r="AB1779">
        <v>54.5</v>
      </c>
    </row>
    <row r="1780" spans="10:28">
      <c r="J1780" s="340" t="str">
        <f t="shared" si="103"/>
        <v>2005MaleAllEth222</v>
      </c>
      <c r="K1780">
        <v>2005</v>
      </c>
      <c r="L1780" t="s">
        <v>20</v>
      </c>
      <c r="M1780" t="s">
        <v>27</v>
      </c>
      <c r="N1780">
        <v>22</v>
      </c>
      <c r="O1780">
        <v>2</v>
      </c>
      <c r="P1780">
        <v>14</v>
      </c>
      <c r="Q1780">
        <v>25.438035168138601</v>
      </c>
      <c r="R1780">
        <v>13.3</v>
      </c>
      <c r="T1780" s="340" t="str">
        <f t="shared" si="104"/>
        <v>2004FemaleMaori24Hanging, strangulation and suffocation</v>
      </c>
      <c r="U1780">
        <v>2004</v>
      </c>
      <c r="V1780" t="s">
        <v>8</v>
      </c>
      <c r="W1780" t="s">
        <v>18</v>
      </c>
      <c r="X1780">
        <v>24</v>
      </c>
      <c r="Y1780" t="s">
        <v>43</v>
      </c>
      <c r="Z1780">
        <v>1</v>
      </c>
      <c r="AA1780">
        <v>2</v>
      </c>
      <c r="AB1780">
        <v>50</v>
      </c>
    </row>
    <row r="1781" spans="10:28">
      <c r="J1781" s="340" t="str">
        <f t="shared" si="103"/>
        <v>2005MaleAllEth223</v>
      </c>
      <c r="K1781">
        <v>2005</v>
      </c>
      <c r="L1781" t="s">
        <v>20</v>
      </c>
      <c r="M1781" t="s">
        <v>27</v>
      </c>
      <c r="N1781">
        <v>22</v>
      </c>
      <c r="O1781">
        <v>3</v>
      </c>
      <c r="P1781">
        <v>12</v>
      </c>
      <c r="Q1781">
        <v>20.484559053800499</v>
      </c>
      <c r="R1781">
        <v>11.6</v>
      </c>
      <c r="T1781" s="340" t="str">
        <f t="shared" si="104"/>
        <v>2004FemaleMaori23Other</v>
      </c>
      <c r="U1781">
        <v>2004</v>
      </c>
      <c r="V1781" t="s">
        <v>8</v>
      </c>
      <c r="W1781" t="s">
        <v>18</v>
      </c>
      <c r="X1781">
        <v>23</v>
      </c>
      <c r="Y1781" t="s">
        <v>45</v>
      </c>
      <c r="Z1781">
        <v>1</v>
      </c>
      <c r="AA1781">
        <v>11</v>
      </c>
      <c r="AB1781">
        <v>9.1</v>
      </c>
    </row>
    <row r="1782" spans="10:28">
      <c r="J1782" s="340" t="str">
        <f t="shared" si="103"/>
        <v>2005MaleAllEth224</v>
      </c>
      <c r="K1782">
        <v>2005</v>
      </c>
      <c r="L1782" t="s">
        <v>20</v>
      </c>
      <c r="M1782" t="s">
        <v>27</v>
      </c>
      <c r="N1782">
        <v>22</v>
      </c>
      <c r="O1782">
        <v>4</v>
      </c>
      <c r="P1782">
        <v>24</v>
      </c>
      <c r="Q1782">
        <v>38.004536448935099</v>
      </c>
      <c r="R1782">
        <v>15.2</v>
      </c>
      <c r="T1782" s="340" t="str">
        <f t="shared" si="104"/>
        <v>2004FemaleMaori23Poisoning by gases and vapours</v>
      </c>
      <c r="U1782">
        <v>2004</v>
      </c>
      <c r="V1782" t="s">
        <v>8</v>
      </c>
      <c r="W1782" t="s">
        <v>18</v>
      </c>
      <c r="X1782">
        <v>23</v>
      </c>
      <c r="Y1782" t="s">
        <v>46</v>
      </c>
      <c r="Z1782">
        <v>1</v>
      </c>
      <c r="AA1782">
        <v>11</v>
      </c>
      <c r="AB1782">
        <v>9.1</v>
      </c>
    </row>
    <row r="1783" spans="10:28">
      <c r="J1783" s="340" t="str">
        <f t="shared" si="103"/>
        <v>2005MaleAllEth225</v>
      </c>
      <c r="K1783">
        <v>2005</v>
      </c>
      <c r="L1783" t="s">
        <v>20</v>
      </c>
      <c r="M1783" t="s">
        <v>27</v>
      </c>
      <c r="N1783">
        <v>22</v>
      </c>
      <c r="O1783">
        <v>5</v>
      </c>
      <c r="P1783">
        <v>21</v>
      </c>
      <c r="Q1783">
        <v>29.356679184077901</v>
      </c>
      <c r="R1783">
        <v>12.6</v>
      </c>
      <c r="T1783" s="340" t="str">
        <f t="shared" si="104"/>
        <v>2004FemaleMaori23Poisoning by solids and liquids</v>
      </c>
      <c r="U1783">
        <v>2004</v>
      </c>
      <c r="V1783" t="s">
        <v>8</v>
      </c>
      <c r="W1783" t="s">
        <v>18</v>
      </c>
      <c r="X1783">
        <v>23</v>
      </c>
      <c r="Y1783" t="s">
        <v>47</v>
      </c>
      <c r="Z1783">
        <v>3</v>
      </c>
      <c r="AA1783">
        <v>11</v>
      </c>
      <c r="AB1783">
        <v>27.3</v>
      </c>
    </row>
    <row r="1784" spans="10:28">
      <c r="J1784" s="340" t="str">
        <f t="shared" si="103"/>
        <v>2005MaleAllEth231</v>
      </c>
      <c r="K1784">
        <v>2005</v>
      </c>
      <c r="L1784" t="s">
        <v>20</v>
      </c>
      <c r="M1784" t="s">
        <v>27</v>
      </c>
      <c r="N1784">
        <v>23</v>
      </c>
      <c r="O1784">
        <v>1</v>
      </c>
      <c r="P1784">
        <v>18</v>
      </c>
      <c r="Q1784">
        <v>16.381539981164501</v>
      </c>
      <c r="R1784">
        <v>7.6</v>
      </c>
      <c r="T1784" s="340" t="str">
        <f t="shared" si="104"/>
        <v>2004FemaleMaori24Sharp object</v>
      </c>
      <c r="U1784">
        <v>2004</v>
      </c>
      <c r="V1784" t="s">
        <v>8</v>
      </c>
      <c r="W1784" t="s">
        <v>18</v>
      </c>
      <c r="X1784">
        <v>24</v>
      </c>
      <c r="Y1784" t="s">
        <v>48</v>
      </c>
      <c r="Z1784">
        <v>1</v>
      </c>
      <c r="AA1784">
        <v>2</v>
      </c>
      <c r="AB1784">
        <v>50</v>
      </c>
    </row>
    <row r="1785" spans="10:28">
      <c r="J1785" s="340" t="str">
        <f t="shared" si="103"/>
        <v>2005MaleAllEth232</v>
      </c>
      <c r="K1785">
        <v>2005</v>
      </c>
      <c r="L1785" t="s">
        <v>20</v>
      </c>
      <c r="M1785" t="s">
        <v>27</v>
      </c>
      <c r="N1785">
        <v>23</v>
      </c>
      <c r="O1785">
        <v>2</v>
      </c>
      <c r="P1785">
        <v>18</v>
      </c>
      <c r="Q1785">
        <v>15.3755453479504</v>
      </c>
      <c r="R1785">
        <v>7.1</v>
      </c>
      <c r="T1785" s="340" t="str">
        <f t="shared" si="104"/>
        <v>2004FemaleNon-Maori23Firearms and explosives</v>
      </c>
      <c r="U1785">
        <v>2004</v>
      </c>
      <c r="V1785" t="s">
        <v>8</v>
      </c>
      <c r="W1785" t="s">
        <v>19</v>
      </c>
      <c r="X1785">
        <v>23</v>
      </c>
      <c r="Y1785" t="s">
        <v>42</v>
      </c>
      <c r="Z1785">
        <v>1</v>
      </c>
      <c r="AA1785">
        <v>29</v>
      </c>
      <c r="AB1785">
        <v>3.4</v>
      </c>
    </row>
    <row r="1786" spans="10:28">
      <c r="J1786" s="340" t="str">
        <f t="shared" si="103"/>
        <v>2005MaleAllEth233</v>
      </c>
      <c r="K1786">
        <v>2005</v>
      </c>
      <c r="L1786" t="s">
        <v>20</v>
      </c>
      <c r="M1786" t="s">
        <v>27</v>
      </c>
      <c r="N1786">
        <v>23</v>
      </c>
      <c r="O1786">
        <v>3</v>
      </c>
      <c r="P1786">
        <v>31</v>
      </c>
      <c r="Q1786">
        <v>26.209229651795798</v>
      </c>
      <c r="R1786">
        <v>9.1999999999999993</v>
      </c>
      <c r="T1786" s="340" t="str">
        <f t="shared" si="104"/>
        <v>2004FemaleNon-Maori24Firearms and explosives</v>
      </c>
      <c r="U1786">
        <v>2004</v>
      </c>
      <c r="V1786" t="s">
        <v>8</v>
      </c>
      <c r="W1786" t="s">
        <v>19</v>
      </c>
      <c r="X1786">
        <v>24</v>
      </c>
      <c r="Y1786" t="s">
        <v>42</v>
      </c>
      <c r="Z1786">
        <v>1</v>
      </c>
      <c r="AA1786">
        <v>28</v>
      </c>
      <c r="AB1786">
        <v>3.6</v>
      </c>
    </row>
    <row r="1787" spans="10:28">
      <c r="J1787" s="340" t="str">
        <f t="shared" si="103"/>
        <v>2005MaleAllEth234</v>
      </c>
      <c r="K1787">
        <v>2005</v>
      </c>
      <c r="L1787" t="s">
        <v>20</v>
      </c>
      <c r="M1787" t="s">
        <v>27</v>
      </c>
      <c r="N1787">
        <v>23</v>
      </c>
      <c r="O1787">
        <v>4</v>
      </c>
      <c r="P1787">
        <v>28</v>
      </c>
      <c r="Q1787">
        <v>24.0693160174872</v>
      </c>
      <c r="R1787">
        <v>8.9</v>
      </c>
      <c r="T1787" s="340" t="str">
        <f t="shared" si="104"/>
        <v>2004FemaleNon-Maori21Hanging, strangulation and suffocation</v>
      </c>
      <c r="U1787">
        <v>2004</v>
      </c>
      <c r="V1787" t="s">
        <v>8</v>
      </c>
      <c r="W1787" t="s">
        <v>19</v>
      </c>
      <c r="X1787">
        <v>21</v>
      </c>
      <c r="Y1787" t="s">
        <v>43</v>
      </c>
      <c r="Z1787">
        <v>1</v>
      </c>
      <c r="AA1787">
        <v>1</v>
      </c>
      <c r="AB1787">
        <v>100</v>
      </c>
    </row>
    <row r="1788" spans="10:28">
      <c r="J1788" s="340" t="str">
        <f t="shared" si="103"/>
        <v>2005MaleAllEth235</v>
      </c>
      <c r="K1788">
        <v>2005</v>
      </c>
      <c r="L1788" t="s">
        <v>20</v>
      </c>
      <c r="M1788" t="s">
        <v>27</v>
      </c>
      <c r="N1788">
        <v>23</v>
      </c>
      <c r="O1788">
        <v>5</v>
      </c>
      <c r="P1788">
        <v>58</v>
      </c>
      <c r="Q1788">
        <v>54.023052825029801</v>
      </c>
      <c r="R1788">
        <v>13.9</v>
      </c>
      <c r="T1788" s="340" t="str">
        <f t="shared" si="104"/>
        <v>2004FemaleNon-Maori22Hanging, strangulation and suffocation</v>
      </c>
      <c r="U1788">
        <v>2004</v>
      </c>
      <c r="V1788" t="s">
        <v>8</v>
      </c>
      <c r="W1788" t="s">
        <v>19</v>
      </c>
      <c r="X1788">
        <v>22</v>
      </c>
      <c r="Y1788" t="s">
        <v>43</v>
      </c>
      <c r="Z1788">
        <v>13</v>
      </c>
      <c r="AA1788">
        <v>17</v>
      </c>
      <c r="AB1788">
        <v>76.5</v>
      </c>
    </row>
    <row r="1789" spans="10:28">
      <c r="J1789" s="340" t="str">
        <f t="shared" si="103"/>
        <v>2005MaleAllEth241</v>
      </c>
      <c r="K1789">
        <v>2005</v>
      </c>
      <c r="L1789" t="s">
        <v>20</v>
      </c>
      <c r="M1789" t="s">
        <v>27</v>
      </c>
      <c r="N1789">
        <v>24</v>
      </c>
      <c r="O1789">
        <v>1</v>
      </c>
      <c r="P1789">
        <v>16</v>
      </c>
      <c r="Q1789">
        <v>13.3584990265805</v>
      </c>
      <c r="R1789">
        <v>6.5</v>
      </c>
      <c r="T1789" s="340" t="str">
        <f t="shared" si="104"/>
        <v>2004FemaleNon-Maori23Hanging, strangulation and suffocation</v>
      </c>
      <c r="U1789">
        <v>2004</v>
      </c>
      <c r="V1789" t="s">
        <v>8</v>
      </c>
      <c r="W1789" t="s">
        <v>19</v>
      </c>
      <c r="X1789">
        <v>23</v>
      </c>
      <c r="Y1789" t="s">
        <v>43</v>
      </c>
      <c r="Z1789">
        <v>9</v>
      </c>
      <c r="AA1789">
        <v>29</v>
      </c>
      <c r="AB1789">
        <v>31</v>
      </c>
    </row>
    <row r="1790" spans="10:28">
      <c r="J1790" s="340" t="str">
        <f t="shared" si="103"/>
        <v>2005MaleAllEth242</v>
      </c>
      <c r="K1790">
        <v>2005</v>
      </c>
      <c r="L1790" t="s">
        <v>20</v>
      </c>
      <c r="M1790" t="s">
        <v>27</v>
      </c>
      <c r="N1790">
        <v>24</v>
      </c>
      <c r="O1790">
        <v>2</v>
      </c>
      <c r="P1790">
        <v>20</v>
      </c>
      <c r="Q1790">
        <v>19.096399735190399</v>
      </c>
      <c r="R1790">
        <v>8.4</v>
      </c>
      <c r="T1790" s="340" t="str">
        <f t="shared" si="104"/>
        <v>2004FemaleNon-Maori24Hanging, strangulation and suffocation</v>
      </c>
      <c r="U1790">
        <v>2004</v>
      </c>
      <c r="V1790" t="s">
        <v>8</v>
      </c>
      <c r="W1790" t="s">
        <v>19</v>
      </c>
      <c r="X1790">
        <v>24</v>
      </c>
      <c r="Y1790" t="s">
        <v>43</v>
      </c>
      <c r="Z1790">
        <v>12</v>
      </c>
      <c r="AA1790">
        <v>28</v>
      </c>
      <c r="AB1790">
        <v>42.9</v>
      </c>
    </row>
    <row r="1791" spans="10:28">
      <c r="J1791" s="340" t="str">
        <f t="shared" si="103"/>
        <v>2005MaleAllEth243</v>
      </c>
      <c r="K1791">
        <v>2005</v>
      </c>
      <c r="L1791" t="s">
        <v>20</v>
      </c>
      <c r="M1791" t="s">
        <v>27</v>
      </c>
      <c r="N1791">
        <v>24</v>
      </c>
      <c r="O1791">
        <v>3</v>
      </c>
      <c r="P1791">
        <v>11</v>
      </c>
      <c r="Q1791">
        <v>11.764250328805399</v>
      </c>
      <c r="R1791">
        <v>7</v>
      </c>
      <c r="T1791" s="340" t="str">
        <f t="shared" si="104"/>
        <v>2004FemaleNon-Maori25Hanging, strangulation and suffocation</v>
      </c>
      <c r="U1791">
        <v>2004</v>
      </c>
      <c r="V1791" t="s">
        <v>8</v>
      </c>
      <c r="W1791" t="s">
        <v>19</v>
      </c>
      <c r="X1791">
        <v>25</v>
      </c>
      <c r="Y1791" t="s">
        <v>43</v>
      </c>
      <c r="Z1791">
        <v>2</v>
      </c>
      <c r="AA1791">
        <v>9</v>
      </c>
      <c r="AB1791">
        <v>22.2</v>
      </c>
    </row>
    <row r="1792" spans="10:28">
      <c r="J1792" s="340" t="str">
        <f t="shared" si="103"/>
        <v>2005MaleAllEth244</v>
      </c>
      <c r="K1792">
        <v>2005</v>
      </c>
      <c r="L1792" t="s">
        <v>20</v>
      </c>
      <c r="M1792" t="s">
        <v>27</v>
      </c>
      <c r="N1792">
        <v>24</v>
      </c>
      <c r="O1792">
        <v>4</v>
      </c>
      <c r="P1792">
        <v>30</v>
      </c>
      <c r="Q1792">
        <v>35.262033225257099</v>
      </c>
      <c r="R1792">
        <v>12.6</v>
      </c>
      <c r="T1792" s="340" t="str">
        <f t="shared" si="104"/>
        <v>2004FemaleNon-Maori23Jumping from a high place</v>
      </c>
      <c r="U1792">
        <v>2004</v>
      </c>
      <c r="V1792" t="s">
        <v>8</v>
      </c>
      <c r="W1792" t="s">
        <v>19</v>
      </c>
      <c r="X1792">
        <v>23</v>
      </c>
      <c r="Y1792" t="s">
        <v>44</v>
      </c>
      <c r="Z1792">
        <v>1</v>
      </c>
      <c r="AA1792">
        <v>29</v>
      </c>
      <c r="AB1792">
        <v>3.4</v>
      </c>
    </row>
    <row r="1793" spans="10:28">
      <c r="J1793" s="340" t="str">
        <f t="shared" si="103"/>
        <v>2005MaleAllEth245</v>
      </c>
      <c r="K1793">
        <v>2005</v>
      </c>
      <c r="L1793" t="s">
        <v>20</v>
      </c>
      <c r="M1793" t="s">
        <v>27</v>
      </c>
      <c r="N1793">
        <v>24</v>
      </c>
      <c r="O1793">
        <v>5</v>
      </c>
      <c r="P1793">
        <v>21</v>
      </c>
      <c r="Q1793">
        <v>27.750863749898699</v>
      </c>
      <c r="R1793">
        <v>11.9</v>
      </c>
      <c r="T1793" s="340" t="str">
        <f t="shared" si="104"/>
        <v>2004FemaleNon-Maori24Jumping from a high place</v>
      </c>
      <c r="U1793">
        <v>2004</v>
      </c>
      <c r="V1793" t="s">
        <v>8</v>
      </c>
      <c r="W1793" t="s">
        <v>19</v>
      </c>
      <c r="X1793">
        <v>24</v>
      </c>
      <c r="Y1793" t="s">
        <v>44</v>
      </c>
      <c r="Z1793">
        <v>2</v>
      </c>
      <c r="AA1793">
        <v>28</v>
      </c>
      <c r="AB1793">
        <v>7.1</v>
      </c>
    </row>
    <row r="1794" spans="10:28">
      <c r="J1794" s="340" t="str">
        <f t="shared" si="103"/>
        <v>2005MaleAllEth251</v>
      </c>
      <c r="K1794">
        <v>2005</v>
      </c>
      <c r="L1794" t="s">
        <v>20</v>
      </c>
      <c r="M1794" t="s">
        <v>27</v>
      </c>
      <c r="N1794">
        <v>25</v>
      </c>
      <c r="O1794">
        <v>1</v>
      </c>
      <c r="P1794">
        <v>7</v>
      </c>
      <c r="Q1794">
        <v>15.4950420386531</v>
      </c>
      <c r="R1794">
        <v>11.5</v>
      </c>
      <c r="T1794" s="340" t="str">
        <f t="shared" si="104"/>
        <v>2004FemaleNon-Maori23Other</v>
      </c>
      <c r="U1794">
        <v>2004</v>
      </c>
      <c r="V1794" t="s">
        <v>8</v>
      </c>
      <c r="W1794" t="s">
        <v>19</v>
      </c>
      <c r="X1794">
        <v>23</v>
      </c>
      <c r="Y1794" t="s">
        <v>45</v>
      </c>
      <c r="Z1794">
        <v>3</v>
      </c>
      <c r="AA1794">
        <v>29</v>
      </c>
      <c r="AB1794">
        <v>10.3</v>
      </c>
    </row>
    <row r="1795" spans="10:28">
      <c r="J1795" s="340" t="str">
        <f t="shared" si="103"/>
        <v>2005MaleAllEth252</v>
      </c>
      <c r="K1795">
        <v>2005</v>
      </c>
      <c r="L1795" t="s">
        <v>20</v>
      </c>
      <c r="M1795" t="s">
        <v>27</v>
      </c>
      <c r="N1795">
        <v>25</v>
      </c>
      <c r="O1795">
        <v>2</v>
      </c>
      <c r="P1795">
        <v>7</v>
      </c>
      <c r="Q1795">
        <v>15.1892833110048</v>
      </c>
      <c r="R1795">
        <v>11.3</v>
      </c>
      <c r="T1795" s="340" t="str">
        <f t="shared" si="104"/>
        <v>2004FemaleNon-Maori24Other</v>
      </c>
      <c r="U1795">
        <v>2004</v>
      </c>
      <c r="V1795" t="s">
        <v>8</v>
      </c>
      <c r="W1795" t="s">
        <v>19</v>
      </c>
      <c r="X1795">
        <v>24</v>
      </c>
      <c r="Y1795" t="s">
        <v>45</v>
      </c>
      <c r="Z1795">
        <v>1</v>
      </c>
      <c r="AA1795">
        <v>28</v>
      </c>
      <c r="AB1795">
        <v>3.6</v>
      </c>
    </row>
    <row r="1796" spans="10:28">
      <c r="J1796" s="340" t="str">
        <f t="shared" ref="J1796:J1859" si="105">K1796&amp;L1796&amp;M1796&amp;N1796&amp;O1796</f>
        <v>2005MaleAllEth253</v>
      </c>
      <c r="K1796">
        <v>2005</v>
      </c>
      <c r="L1796" t="s">
        <v>20</v>
      </c>
      <c r="M1796" t="s">
        <v>27</v>
      </c>
      <c r="N1796">
        <v>25</v>
      </c>
      <c r="O1796">
        <v>3</v>
      </c>
      <c r="P1796">
        <v>7</v>
      </c>
      <c r="Q1796">
        <v>14.8837529051281</v>
      </c>
      <c r="R1796">
        <v>11</v>
      </c>
      <c r="T1796" s="340" t="str">
        <f t="shared" si="104"/>
        <v>2004FemaleNon-Maori25Other</v>
      </c>
      <c r="U1796">
        <v>2004</v>
      </c>
      <c r="V1796" t="s">
        <v>8</v>
      </c>
      <c r="W1796" t="s">
        <v>19</v>
      </c>
      <c r="X1796">
        <v>25</v>
      </c>
      <c r="Y1796" t="s">
        <v>45</v>
      </c>
      <c r="Z1796">
        <v>1</v>
      </c>
      <c r="AA1796">
        <v>9</v>
      </c>
      <c r="AB1796">
        <v>11.1</v>
      </c>
    </row>
    <row r="1797" spans="10:28">
      <c r="J1797" s="340" t="str">
        <f t="shared" si="105"/>
        <v>2005MaleAllEth254</v>
      </c>
      <c r="K1797">
        <v>2005</v>
      </c>
      <c r="L1797" t="s">
        <v>20</v>
      </c>
      <c r="M1797" t="s">
        <v>27</v>
      </c>
      <c r="N1797">
        <v>25</v>
      </c>
      <c r="O1797">
        <v>4</v>
      </c>
      <c r="P1797">
        <v>5</v>
      </c>
      <c r="Q1797">
        <v>10.9250753519739</v>
      </c>
      <c r="R1797">
        <v>9.6</v>
      </c>
      <c r="T1797" s="340" t="str">
        <f t="shared" ref="T1797:T1860" si="106">U1797&amp;V1797&amp;W1797&amp;X1797&amp;Y1797</f>
        <v>2004FemaleNon-Maori22Poisoning by gases and vapours</v>
      </c>
      <c r="U1797">
        <v>2004</v>
      </c>
      <c r="V1797" t="s">
        <v>8</v>
      </c>
      <c r="W1797" t="s">
        <v>19</v>
      </c>
      <c r="X1797">
        <v>22</v>
      </c>
      <c r="Y1797" t="s">
        <v>46</v>
      </c>
      <c r="Z1797">
        <v>2</v>
      </c>
      <c r="AA1797">
        <v>17</v>
      </c>
      <c r="AB1797">
        <v>11.8</v>
      </c>
    </row>
    <row r="1798" spans="10:28">
      <c r="J1798" s="340" t="str">
        <f t="shared" si="105"/>
        <v>2005MaleAllEth255</v>
      </c>
      <c r="K1798">
        <v>2005</v>
      </c>
      <c r="L1798" t="s">
        <v>20</v>
      </c>
      <c r="M1798" t="s">
        <v>27</v>
      </c>
      <c r="N1798">
        <v>25</v>
      </c>
      <c r="O1798">
        <v>5</v>
      </c>
      <c r="P1798">
        <v>4</v>
      </c>
      <c r="Q1798">
        <v>10.872013780979501</v>
      </c>
      <c r="R1798">
        <v>10.7</v>
      </c>
      <c r="T1798" s="340" t="str">
        <f t="shared" si="106"/>
        <v>2004FemaleNon-Maori23Poisoning by gases and vapours</v>
      </c>
      <c r="U1798">
        <v>2004</v>
      </c>
      <c r="V1798" t="s">
        <v>8</v>
      </c>
      <c r="W1798" t="s">
        <v>19</v>
      </c>
      <c r="X1798">
        <v>23</v>
      </c>
      <c r="Y1798" t="s">
        <v>46</v>
      </c>
      <c r="Z1798">
        <v>8</v>
      </c>
      <c r="AA1798">
        <v>29</v>
      </c>
      <c r="AB1798">
        <v>27.6</v>
      </c>
    </row>
    <row r="1799" spans="10:28">
      <c r="J1799" s="340" t="str">
        <f t="shared" si="105"/>
        <v>2005MaleMaori211</v>
      </c>
      <c r="K1799">
        <v>2005</v>
      </c>
      <c r="L1799" t="s">
        <v>20</v>
      </c>
      <c r="M1799" t="s">
        <v>18</v>
      </c>
      <c r="N1799">
        <v>21</v>
      </c>
      <c r="O1799">
        <v>1</v>
      </c>
      <c r="P1799">
        <v>0</v>
      </c>
      <c r="Q1799">
        <v>0</v>
      </c>
      <c r="T1799" s="340" t="str">
        <f t="shared" si="106"/>
        <v>2004FemaleNon-Maori24Poisoning by gases and vapours</v>
      </c>
      <c r="U1799">
        <v>2004</v>
      </c>
      <c r="V1799" t="s">
        <v>8</v>
      </c>
      <c r="W1799" t="s">
        <v>19</v>
      </c>
      <c r="X1799">
        <v>24</v>
      </c>
      <c r="Y1799" t="s">
        <v>46</v>
      </c>
      <c r="Z1799">
        <v>2</v>
      </c>
      <c r="AA1799">
        <v>28</v>
      </c>
      <c r="AB1799">
        <v>7.1</v>
      </c>
    </row>
    <row r="1800" spans="10:28">
      <c r="J1800" s="340" t="str">
        <f t="shared" si="105"/>
        <v>2005MaleMaori212</v>
      </c>
      <c r="K1800">
        <v>2005</v>
      </c>
      <c r="L1800" t="s">
        <v>20</v>
      </c>
      <c r="M1800" t="s">
        <v>18</v>
      </c>
      <c r="N1800">
        <v>21</v>
      </c>
      <c r="O1800">
        <v>2</v>
      </c>
      <c r="P1800">
        <v>0</v>
      </c>
      <c r="Q1800">
        <v>0</v>
      </c>
      <c r="T1800" s="340" t="str">
        <f t="shared" si="106"/>
        <v>2004FemaleNon-Maori25Poisoning by gases and vapours</v>
      </c>
      <c r="U1800">
        <v>2004</v>
      </c>
      <c r="V1800" t="s">
        <v>8</v>
      </c>
      <c r="W1800" t="s">
        <v>19</v>
      </c>
      <c r="X1800">
        <v>25</v>
      </c>
      <c r="Y1800" t="s">
        <v>46</v>
      </c>
      <c r="Z1800">
        <v>1</v>
      </c>
      <c r="AA1800">
        <v>9</v>
      </c>
      <c r="AB1800">
        <v>11.1</v>
      </c>
    </row>
    <row r="1801" spans="10:28">
      <c r="J1801" s="340" t="str">
        <f t="shared" si="105"/>
        <v>2005MaleMaori213</v>
      </c>
      <c r="K1801">
        <v>2005</v>
      </c>
      <c r="L1801" t="s">
        <v>20</v>
      </c>
      <c r="M1801" t="s">
        <v>18</v>
      </c>
      <c r="N1801">
        <v>21</v>
      </c>
      <c r="O1801">
        <v>3</v>
      </c>
      <c r="P1801">
        <v>0</v>
      </c>
      <c r="Q1801">
        <v>0</v>
      </c>
      <c r="T1801" s="340" t="str">
        <f t="shared" si="106"/>
        <v>2004FemaleNon-Maori22Poisoning by solids and liquids</v>
      </c>
      <c r="U1801">
        <v>2004</v>
      </c>
      <c r="V1801" t="s">
        <v>8</v>
      </c>
      <c r="W1801" t="s">
        <v>19</v>
      </c>
      <c r="X1801">
        <v>22</v>
      </c>
      <c r="Y1801" t="s">
        <v>47</v>
      </c>
      <c r="Z1801">
        <v>2</v>
      </c>
      <c r="AA1801">
        <v>17</v>
      </c>
      <c r="AB1801">
        <v>11.8</v>
      </c>
    </row>
    <row r="1802" spans="10:28">
      <c r="J1802" s="340" t="str">
        <f t="shared" si="105"/>
        <v>2005MaleMaori214</v>
      </c>
      <c r="K1802">
        <v>2005</v>
      </c>
      <c r="L1802" t="s">
        <v>20</v>
      </c>
      <c r="M1802" t="s">
        <v>18</v>
      </c>
      <c r="N1802">
        <v>21</v>
      </c>
      <c r="O1802">
        <v>4</v>
      </c>
      <c r="P1802">
        <v>0</v>
      </c>
      <c r="Q1802">
        <v>0</v>
      </c>
      <c r="T1802" s="340" t="str">
        <f t="shared" si="106"/>
        <v>2004FemaleNon-Maori23Poisoning by solids and liquids</v>
      </c>
      <c r="U1802">
        <v>2004</v>
      </c>
      <c r="V1802" t="s">
        <v>8</v>
      </c>
      <c r="W1802" t="s">
        <v>19</v>
      </c>
      <c r="X1802">
        <v>23</v>
      </c>
      <c r="Y1802" t="s">
        <v>47</v>
      </c>
      <c r="Z1802">
        <v>6</v>
      </c>
      <c r="AA1802">
        <v>29</v>
      </c>
      <c r="AB1802">
        <v>20.7</v>
      </c>
    </row>
    <row r="1803" spans="10:28">
      <c r="J1803" s="340" t="str">
        <f t="shared" si="105"/>
        <v>2005MaleMaori215</v>
      </c>
      <c r="K1803">
        <v>2005</v>
      </c>
      <c r="L1803" t="s">
        <v>20</v>
      </c>
      <c r="M1803" t="s">
        <v>18</v>
      </c>
      <c r="N1803">
        <v>21</v>
      </c>
      <c r="O1803">
        <v>5</v>
      </c>
      <c r="P1803">
        <v>0</v>
      </c>
      <c r="Q1803">
        <v>0</v>
      </c>
      <c r="T1803" s="340" t="str">
        <f t="shared" si="106"/>
        <v>2004FemaleNon-Maori24Poisoning by solids and liquids</v>
      </c>
      <c r="U1803">
        <v>2004</v>
      </c>
      <c r="V1803" t="s">
        <v>8</v>
      </c>
      <c r="W1803" t="s">
        <v>19</v>
      </c>
      <c r="X1803">
        <v>24</v>
      </c>
      <c r="Y1803" t="s">
        <v>47</v>
      </c>
      <c r="Z1803">
        <v>8</v>
      </c>
      <c r="AA1803">
        <v>28</v>
      </c>
      <c r="AB1803">
        <v>28.6</v>
      </c>
    </row>
    <row r="1804" spans="10:28">
      <c r="J1804" s="340" t="str">
        <f t="shared" si="105"/>
        <v>2005MaleMaori221</v>
      </c>
      <c r="K1804">
        <v>2005</v>
      </c>
      <c r="L1804" t="s">
        <v>20</v>
      </c>
      <c r="M1804" t="s">
        <v>18</v>
      </c>
      <c r="N1804">
        <v>22</v>
      </c>
      <c r="O1804">
        <v>1</v>
      </c>
      <c r="P1804">
        <v>1</v>
      </c>
      <c r="Q1804">
        <v>23.612642527157899</v>
      </c>
      <c r="R1804">
        <v>46.3</v>
      </c>
      <c r="T1804" s="340" t="str">
        <f t="shared" si="106"/>
        <v>2004FemaleNon-Maori25Poisoning by solids and liquids</v>
      </c>
      <c r="U1804">
        <v>2004</v>
      </c>
      <c r="V1804" t="s">
        <v>8</v>
      </c>
      <c r="W1804" t="s">
        <v>19</v>
      </c>
      <c r="X1804">
        <v>25</v>
      </c>
      <c r="Y1804" t="s">
        <v>47</v>
      </c>
      <c r="Z1804">
        <v>5</v>
      </c>
      <c r="AA1804">
        <v>9</v>
      </c>
      <c r="AB1804">
        <v>55.6</v>
      </c>
    </row>
    <row r="1805" spans="10:28">
      <c r="J1805" s="340" t="str">
        <f t="shared" si="105"/>
        <v>2005MaleMaori222</v>
      </c>
      <c r="K1805">
        <v>2005</v>
      </c>
      <c r="L1805" t="s">
        <v>20</v>
      </c>
      <c r="M1805" t="s">
        <v>18</v>
      </c>
      <c r="N1805">
        <v>22</v>
      </c>
      <c r="O1805">
        <v>2</v>
      </c>
      <c r="P1805">
        <v>2</v>
      </c>
      <c r="Q1805">
        <v>32.014891806168698</v>
      </c>
      <c r="R1805">
        <v>44.4</v>
      </c>
      <c r="T1805" s="340" t="str">
        <f t="shared" si="106"/>
        <v>2004FemaleNon-Maori24Sharp object</v>
      </c>
      <c r="U1805">
        <v>2004</v>
      </c>
      <c r="V1805" t="s">
        <v>8</v>
      </c>
      <c r="W1805" t="s">
        <v>19</v>
      </c>
      <c r="X1805">
        <v>24</v>
      </c>
      <c r="Y1805" t="s">
        <v>48</v>
      </c>
      <c r="Z1805">
        <v>1</v>
      </c>
      <c r="AA1805">
        <v>28</v>
      </c>
      <c r="AB1805">
        <v>3.6</v>
      </c>
    </row>
    <row r="1806" spans="10:28">
      <c r="J1806" s="340" t="str">
        <f t="shared" si="105"/>
        <v>2005MaleMaori223</v>
      </c>
      <c r="K1806">
        <v>2005</v>
      </c>
      <c r="L1806" t="s">
        <v>20</v>
      </c>
      <c r="M1806" t="s">
        <v>18</v>
      </c>
      <c r="N1806">
        <v>22</v>
      </c>
      <c r="O1806">
        <v>3</v>
      </c>
      <c r="P1806">
        <v>3</v>
      </c>
      <c r="Q1806">
        <v>32.407125559405898</v>
      </c>
      <c r="R1806">
        <v>36.700000000000003</v>
      </c>
      <c r="T1806" s="340" t="str">
        <f t="shared" si="106"/>
        <v>2004FemaleNon-Maori23Submersion (drowning)</v>
      </c>
      <c r="U1806">
        <v>2004</v>
      </c>
      <c r="V1806" t="s">
        <v>8</v>
      </c>
      <c r="W1806" t="s">
        <v>19</v>
      </c>
      <c r="X1806">
        <v>23</v>
      </c>
      <c r="Y1806" t="s">
        <v>49</v>
      </c>
      <c r="Z1806">
        <v>1</v>
      </c>
      <c r="AA1806">
        <v>29</v>
      </c>
      <c r="AB1806">
        <v>3.4</v>
      </c>
    </row>
    <row r="1807" spans="10:28">
      <c r="J1807" s="340" t="str">
        <f t="shared" si="105"/>
        <v>2005MaleMaori224</v>
      </c>
      <c r="K1807">
        <v>2005</v>
      </c>
      <c r="L1807" t="s">
        <v>20</v>
      </c>
      <c r="M1807" t="s">
        <v>18</v>
      </c>
      <c r="N1807">
        <v>22</v>
      </c>
      <c r="O1807">
        <v>4</v>
      </c>
      <c r="P1807">
        <v>10</v>
      </c>
      <c r="Q1807">
        <v>74.293191762125403</v>
      </c>
      <c r="R1807">
        <v>46</v>
      </c>
      <c r="T1807" s="340" t="str">
        <f t="shared" si="106"/>
        <v>2004FemaleNon-Maori24Submersion (drowning)</v>
      </c>
      <c r="U1807">
        <v>2004</v>
      </c>
      <c r="V1807" t="s">
        <v>8</v>
      </c>
      <c r="W1807" t="s">
        <v>19</v>
      </c>
      <c r="X1807">
        <v>24</v>
      </c>
      <c r="Y1807" t="s">
        <v>49</v>
      </c>
      <c r="Z1807">
        <v>1</v>
      </c>
      <c r="AA1807">
        <v>28</v>
      </c>
      <c r="AB1807">
        <v>3.6</v>
      </c>
    </row>
    <row r="1808" spans="10:28">
      <c r="J1808" s="340" t="str">
        <f t="shared" si="105"/>
        <v>2005MaleMaori225</v>
      </c>
      <c r="K1808">
        <v>2005</v>
      </c>
      <c r="L1808" t="s">
        <v>20</v>
      </c>
      <c r="M1808" t="s">
        <v>18</v>
      </c>
      <c r="N1808">
        <v>22</v>
      </c>
      <c r="O1808">
        <v>5</v>
      </c>
      <c r="P1808">
        <v>12</v>
      </c>
      <c r="Q1808">
        <v>51.9919844562965</v>
      </c>
      <c r="R1808">
        <v>29.4</v>
      </c>
      <c r="T1808" s="340" t="str">
        <f t="shared" si="106"/>
        <v>2004MaleAllEth21Firearms and explosives</v>
      </c>
      <c r="U1808">
        <v>2004</v>
      </c>
      <c r="V1808" t="s">
        <v>20</v>
      </c>
      <c r="W1808" t="s">
        <v>27</v>
      </c>
      <c r="X1808">
        <v>21</v>
      </c>
      <c r="Y1808" t="s">
        <v>42</v>
      </c>
      <c r="Z1808">
        <v>2</v>
      </c>
      <c r="AA1808">
        <v>4</v>
      </c>
      <c r="AB1808">
        <v>50</v>
      </c>
    </row>
    <row r="1809" spans="10:28">
      <c r="J1809" s="340" t="str">
        <f t="shared" si="105"/>
        <v>2005MaleMaori231</v>
      </c>
      <c r="K1809">
        <v>2005</v>
      </c>
      <c r="L1809" t="s">
        <v>20</v>
      </c>
      <c r="M1809" t="s">
        <v>18</v>
      </c>
      <c r="N1809">
        <v>23</v>
      </c>
      <c r="O1809">
        <v>1</v>
      </c>
      <c r="P1809">
        <v>1</v>
      </c>
      <c r="Q1809">
        <v>14.162191592588099</v>
      </c>
      <c r="R1809">
        <v>27.8</v>
      </c>
      <c r="T1809" s="340" t="str">
        <f t="shared" si="106"/>
        <v>2004MaleAllEth22Firearms and explosives</v>
      </c>
      <c r="U1809">
        <v>2004</v>
      </c>
      <c r="V1809" t="s">
        <v>20</v>
      </c>
      <c r="W1809" t="s">
        <v>27</v>
      </c>
      <c r="X1809">
        <v>22</v>
      </c>
      <c r="Y1809" t="s">
        <v>42</v>
      </c>
      <c r="Z1809">
        <v>2</v>
      </c>
      <c r="AA1809">
        <v>83</v>
      </c>
      <c r="AB1809">
        <v>2.4</v>
      </c>
    </row>
    <row r="1810" spans="10:28">
      <c r="J1810" s="340" t="str">
        <f t="shared" si="105"/>
        <v>2005MaleMaori232</v>
      </c>
      <c r="K1810">
        <v>2005</v>
      </c>
      <c r="L1810" t="s">
        <v>20</v>
      </c>
      <c r="M1810" t="s">
        <v>18</v>
      </c>
      <c r="N1810">
        <v>23</v>
      </c>
      <c r="O1810">
        <v>2</v>
      </c>
      <c r="P1810">
        <v>5</v>
      </c>
      <c r="Q1810">
        <v>49.604434970241499</v>
      </c>
      <c r="R1810">
        <v>43.5</v>
      </c>
      <c r="T1810" s="340" t="str">
        <f t="shared" si="106"/>
        <v>2004MaleAllEth23Firearms and explosives</v>
      </c>
      <c r="U1810">
        <v>2004</v>
      </c>
      <c r="V1810" t="s">
        <v>20</v>
      </c>
      <c r="W1810" t="s">
        <v>27</v>
      </c>
      <c r="X1810">
        <v>23</v>
      </c>
      <c r="Y1810" t="s">
        <v>42</v>
      </c>
      <c r="Z1810">
        <v>9</v>
      </c>
      <c r="AA1810">
        <v>161</v>
      </c>
      <c r="AB1810">
        <v>5.6</v>
      </c>
    </row>
    <row r="1811" spans="10:28">
      <c r="J1811" s="340" t="str">
        <f t="shared" si="105"/>
        <v>2005MaleMaori233</v>
      </c>
      <c r="K1811">
        <v>2005</v>
      </c>
      <c r="L1811" t="s">
        <v>20</v>
      </c>
      <c r="M1811" t="s">
        <v>18</v>
      </c>
      <c r="N1811">
        <v>23</v>
      </c>
      <c r="O1811">
        <v>3</v>
      </c>
      <c r="P1811">
        <v>4</v>
      </c>
      <c r="Q1811">
        <v>28.772428734517501</v>
      </c>
      <c r="R1811">
        <v>28.2</v>
      </c>
      <c r="T1811" s="340" t="str">
        <f t="shared" si="106"/>
        <v>2004MaleAllEth24Firearms and explosives</v>
      </c>
      <c r="U1811">
        <v>2004</v>
      </c>
      <c r="V1811" t="s">
        <v>20</v>
      </c>
      <c r="W1811" t="s">
        <v>27</v>
      </c>
      <c r="X1811">
        <v>24</v>
      </c>
      <c r="Y1811" t="s">
        <v>42</v>
      </c>
      <c r="Z1811">
        <v>16</v>
      </c>
      <c r="AA1811">
        <v>88</v>
      </c>
      <c r="AB1811">
        <v>18.2</v>
      </c>
    </row>
    <row r="1812" spans="10:28">
      <c r="J1812" s="340" t="str">
        <f t="shared" si="105"/>
        <v>2005MaleMaori234</v>
      </c>
      <c r="K1812">
        <v>2005</v>
      </c>
      <c r="L1812" t="s">
        <v>20</v>
      </c>
      <c r="M1812" t="s">
        <v>18</v>
      </c>
      <c r="N1812">
        <v>23</v>
      </c>
      <c r="O1812">
        <v>4</v>
      </c>
      <c r="P1812">
        <v>8</v>
      </c>
      <c r="Q1812">
        <v>41.9765080536149</v>
      </c>
      <c r="R1812">
        <v>29.1</v>
      </c>
      <c r="T1812" s="340" t="str">
        <f t="shared" si="106"/>
        <v>2004MaleAllEth25Firearms and explosives</v>
      </c>
      <c r="U1812">
        <v>2004</v>
      </c>
      <c r="V1812" t="s">
        <v>20</v>
      </c>
      <c r="W1812" t="s">
        <v>27</v>
      </c>
      <c r="X1812">
        <v>25</v>
      </c>
      <c r="Y1812" t="s">
        <v>42</v>
      </c>
      <c r="Z1812">
        <v>8</v>
      </c>
      <c r="AA1812">
        <v>46</v>
      </c>
      <c r="AB1812">
        <v>17.399999999999999</v>
      </c>
    </row>
    <row r="1813" spans="10:28">
      <c r="J1813" s="340" t="str">
        <f t="shared" si="105"/>
        <v>2005MaleMaori235</v>
      </c>
      <c r="K1813">
        <v>2005</v>
      </c>
      <c r="L1813" t="s">
        <v>20</v>
      </c>
      <c r="M1813" t="s">
        <v>18</v>
      </c>
      <c r="N1813">
        <v>23</v>
      </c>
      <c r="O1813">
        <v>5</v>
      </c>
      <c r="P1813">
        <v>21</v>
      </c>
      <c r="Q1813">
        <v>70.733922982028204</v>
      </c>
      <c r="R1813">
        <v>30.3</v>
      </c>
      <c r="T1813" s="340" t="str">
        <f t="shared" si="106"/>
        <v>2004MaleAllEth21Hanging, strangulation and suffocation</v>
      </c>
      <c r="U1813">
        <v>2004</v>
      </c>
      <c r="V1813" t="s">
        <v>20</v>
      </c>
      <c r="W1813" t="s">
        <v>27</v>
      </c>
      <c r="X1813">
        <v>21</v>
      </c>
      <c r="Y1813" t="s">
        <v>43</v>
      </c>
      <c r="Z1813">
        <v>2</v>
      </c>
      <c r="AA1813">
        <v>4</v>
      </c>
      <c r="AB1813">
        <v>50</v>
      </c>
    </row>
    <row r="1814" spans="10:28">
      <c r="J1814" s="340" t="str">
        <f t="shared" si="105"/>
        <v>2005MaleMaori241</v>
      </c>
      <c r="K1814">
        <v>2005</v>
      </c>
      <c r="L1814" t="s">
        <v>20</v>
      </c>
      <c r="M1814" t="s">
        <v>18</v>
      </c>
      <c r="N1814">
        <v>24</v>
      </c>
      <c r="O1814">
        <v>1</v>
      </c>
      <c r="P1814">
        <v>0</v>
      </c>
      <c r="Q1814">
        <v>0</v>
      </c>
      <c r="T1814" s="340" t="str">
        <f t="shared" si="106"/>
        <v>2004MaleAllEth22Hanging, strangulation and suffocation</v>
      </c>
      <c r="U1814">
        <v>2004</v>
      </c>
      <c r="V1814" t="s">
        <v>20</v>
      </c>
      <c r="W1814" t="s">
        <v>27</v>
      </c>
      <c r="X1814">
        <v>22</v>
      </c>
      <c r="Y1814" t="s">
        <v>43</v>
      </c>
      <c r="Z1814">
        <v>60</v>
      </c>
      <c r="AA1814">
        <v>83</v>
      </c>
      <c r="AB1814">
        <v>72.3</v>
      </c>
    </row>
    <row r="1815" spans="10:28">
      <c r="J1815" s="340" t="str">
        <f t="shared" si="105"/>
        <v>2005MaleMaori242</v>
      </c>
      <c r="K1815">
        <v>2005</v>
      </c>
      <c r="L1815" t="s">
        <v>20</v>
      </c>
      <c r="M1815" t="s">
        <v>18</v>
      </c>
      <c r="N1815">
        <v>24</v>
      </c>
      <c r="O1815">
        <v>2</v>
      </c>
      <c r="P1815">
        <v>0</v>
      </c>
      <c r="Q1815">
        <v>0</v>
      </c>
      <c r="T1815" s="340" t="str">
        <f t="shared" si="106"/>
        <v>2004MaleAllEth23Hanging, strangulation and suffocation</v>
      </c>
      <c r="U1815">
        <v>2004</v>
      </c>
      <c r="V1815" t="s">
        <v>20</v>
      </c>
      <c r="W1815" t="s">
        <v>27</v>
      </c>
      <c r="X1815">
        <v>23</v>
      </c>
      <c r="Y1815" t="s">
        <v>43</v>
      </c>
      <c r="Z1815">
        <v>101</v>
      </c>
      <c r="AA1815">
        <v>161</v>
      </c>
      <c r="AB1815">
        <v>62.7</v>
      </c>
    </row>
    <row r="1816" spans="10:28">
      <c r="J1816" s="340" t="str">
        <f t="shared" si="105"/>
        <v>2005MaleMaori243</v>
      </c>
      <c r="K1816">
        <v>2005</v>
      </c>
      <c r="L1816" t="s">
        <v>20</v>
      </c>
      <c r="M1816" t="s">
        <v>18</v>
      </c>
      <c r="N1816">
        <v>24</v>
      </c>
      <c r="O1816">
        <v>3</v>
      </c>
      <c r="P1816">
        <v>0</v>
      </c>
      <c r="Q1816">
        <v>0</v>
      </c>
      <c r="T1816" s="340" t="str">
        <f t="shared" si="106"/>
        <v>2004MaleAllEth24Hanging, strangulation and suffocation</v>
      </c>
      <c r="U1816">
        <v>2004</v>
      </c>
      <c r="V1816" t="s">
        <v>20</v>
      </c>
      <c r="W1816" t="s">
        <v>27</v>
      </c>
      <c r="X1816">
        <v>24</v>
      </c>
      <c r="Y1816" t="s">
        <v>43</v>
      </c>
      <c r="Z1816">
        <v>32</v>
      </c>
      <c r="AA1816">
        <v>88</v>
      </c>
      <c r="AB1816">
        <v>36.4</v>
      </c>
    </row>
    <row r="1817" spans="10:28">
      <c r="J1817" s="340" t="str">
        <f t="shared" si="105"/>
        <v>2005MaleMaori244</v>
      </c>
      <c r="K1817">
        <v>2005</v>
      </c>
      <c r="L1817" t="s">
        <v>20</v>
      </c>
      <c r="M1817" t="s">
        <v>18</v>
      </c>
      <c r="N1817">
        <v>24</v>
      </c>
      <c r="O1817">
        <v>4</v>
      </c>
      <c r="P1817">
        <v>1</v>
      </c>
      <c r="Q1817">
        <v>9.6920759512513897</v>
      </c>
      <c r="R1817">
        <v>19</v>
      </c>
      <c r="T1817" s="340" t="str">
        <f t="shared" si="106"/>
        <v>2004MaleAllEth25Hanging, strangulation and suffocation</v>
      </c>
      <c r="U1817">
        <v>2004</v>
      </c>
      <c r="V1817" t="s">
        <v>20</v>
      </c>
      <c r="W1817" t="s">
        <v>27</v>
      </c>
      <c r="X1817">
        <v>25</v>
      </c>
      <c r="Y1817" t="s">
        <v>43</v>
      </c>
      <c r="Z1817">
        <v>16</v>
      </c>
      <c r="AA1817">
        <v>46</v>
      </c>
      <c r="AB1817">
        <v>34.799999999999997</v>
      </c>
    </row>
    <row r="1818" spans="10:28">
      <c r="J1818" s="340" t="str">
        <f t="shared" si="105"/>
        <v>2005MaleMaori245</v>
      </c>
      <c r="K1818">
        <v>2005</v>
      </c>
      <c r="L1818" t="s">
        <v>20</v>
      </c>
      <c r="M1818" t="s">
        <v>18</v>
      </c>
      <c r="N1818">
        <v>24</v>
      </c>
      <c r="O1818">
        <v>5</v>
      </c>
      <c r="P1818">
        <v>4</v>
      </c>
      <c r="Q1818">
        <v>22.5589550698691</v>
      </c>
      <c r="R1818">
        <v>22.1</v>
      </c>
      <c r="T1818" s="340" t="str">
        <f t="shared" si="106"/>
        <v>2004MaleAllEth22Jumping from a high place</v>
      </c>
      <c r="U1818">
        <v>2004</v>
      </c>
      <c r="V1818" t="s">
        <v>20</v>
      </c>
      <c r="W1818" t="s">
        <v>27</v>
      </c>
      <c r="X1818">
        <v>22</v>
      </c>
      <c r="Y1818" t="s">
        <v>44</v>
      </c>
      <c r="Z1818">
        <v>1</v>
      </c>
      <c r="AA1818">
        <v>83</v>
      </c>
      <c r="AB1818">
        <v>1.2</v>
      </c>
    </row>
    <row r="1819" spans="10:28">
      <c r="J1819" s="340" t="str">
        <f t="shared" si="105"/>
        <v>2005MaleMaori251</v>
      </c>
      <c r="K1819">
        <v>2005</v>
      </c>
      <c r="L1819" t="s">
        <v>20</v>
      </c>
      <c r="M1819" t="s">
        <v>18</v>
      </c>
      <c r="N1819">
        <v>25</v>
      </c>
      <c r="O1819">
        <v>1</v>
      </c>
      <c r="P1819">
        <v>0</v>
      </c>
      <c r="Q1819">
        <v>0</v>
      </c>
      <c r="T1819" s="340" t="str">
        <f t="shared" si="106"/>
        <v>2004MaleAllEth23Jumping from a high place</v>
      </c>
      <c r="U1819">
        <v>2004</v>
      </c>
      <c r="V1819" t="s">
        <v>20</v>
      </c>
      <c r="W1819" t="s">
        <v>27</v>
      </c>
      <c r="X1819">
        <v>23</v>
      </c>
      <c r="Y1819" t="s">
        <v>44</v>
      </c>
      <c r="Z1819">
        <v>1</v>
      </c>
      <c r="AA1819">
        <v>161</v>
      </c>
      <c r="AB1819">
        <v>0.6</v>
      </c>
    </row>
    <row r="1820" spans="10:28">
      <c r="J1820" s="340" t="str">
        <f t="shared" si="105"/>
        <v>2005MaleMaori252</v>
      </c>
      <c r="K1820">
        <v>2005</v>
      </c>
      <c r="L1820" t="s">
        <v>20</v>
      </c>
      <c r="M1820" t="s">
        <v>18</v>
      </c>
      <c r="N1820">
        <v>25</v>
      </c>
      <c r="O1820">
        <v>2</v>
      </c>
      <c r="P1820">
        <v>0</v>
      </c>
      <c r="Q1820">
        <v>0</v>
      </c>
      <c r="T1820" s="340" t="str">
        <f t="shared" si="106"/>
        <v>2004MaleAllEth24Jumping from a high place</v>
      </c>
      <c r="U1820">
        <v>2004</v>
      </c>
      <c r="V1820" t="s">
        <v>20</v>
      </c>
      <c r="W1820" t="s">
        <v>27</v>
      </c>
      <c r="X1820">
        <v>24</v>
      </c>
      <c r="Y1820" t="s">
        <v>44</v>
      </c>
      <c r="Z1820">
        <v>2</v>
      </c>
      <c r="AA1820">
        <v>88</v>
      </c>
      <c r="AB1820">
        <v>2.2999999999999998</v>
      </c>
    </row>
    <row r="1821" spans="10:28">
      <c r="J1821" s="340" t="str">
        <f t="shared" si="105"/>
        <v>2005MaleMaori253</v>
      </c>
      <c r="K1821">
        <v>2005</v>
      </c>
      <c r="L1821" t="s">
        <v>20</v>
      </c>
      <c r="M1821" t="s">
        <v>18</v>
      </c>
      <c r="N1821">
        <v>25</v>
      </c>
      <c r="O1821">
        <v>3</v>
      </c>
      <c r="P1821">
        <v>0</v>
      </c>
      <c r="Q1821">
        <v>0</v>
      </c>
      <c r="T1821" s="340" t="str">
        <f t="shared" si="106"/>
        <v>2004MaleAllEth25Jumping from a high place</v>
      </c>
      <c r="U1821">
        <v>2004</v>
      </c>
      <c r="V1821" t="s">
        <v>20</v>
      </c>
      <c r="W1821" t="s">
        <v>27</v>
      </c>
      <c r="X1821">
        <v>25</v>
      </c>
      <c r="Y1821" t="s">
        <v>44</v>
      </c>
      <c r="Z1821">
        <v>3</v>
      </c>
      <c r="AA1821">
        <v>46</v>
      </c>
      <c r="AB1821">
        <v>6.5</v>
      </c>
    </row>
    <row r="1822" spans="10:28">
      <c r="J1822" s="340" t="str">
        <f t="shared" si="105"/>
        <v>2005MaleMaori254</v>
      </c>
      <c r="K1822">
        <v>2005</v>
      </c>
      <c r="L1822" t="s">
        <v>20</v>
      </c>
      <c r="M1822" t="s">
        <v>18</v>
      </c>
      <c r="N1822">
        <v>25</v>
      </c>
      <c r="O1822">
        <v>4</v>
      </c>
      <c r="P1822">
        <v>0</v>
      </c>
      <c r="Q1822">
        <v>0</v>
      </c>
      <c r="T1822" s="340" t="str">
        <f t="shared" si="106"/>
        <v>2004MaleAllEth22Other</v>
      </c>
      <c r="U1822">
        <v>2004</v>
      </c>
      <c r="V1822" t="s">
        <v>20</v>
      </c>
      <c r="W1822" t="s">
        <v>27</v>
      </c>
      <c r="X1822">
        <v>22</v>
      </c>
      <c r="Y1822" t="s">
        <v>45</v>
      </c>
      <c r="Z1822">
        <v>1</v>
      </c>
      <c r="AA1822">
        <v>83</v>
      </c>
      <c r="AB1822">
        <v>1.2</v>
      </c>
    </row>
    <row r="1823" spans="10:28">
      <c r="J1823" s="340" t="str">
        <f t="shared" si="105"/>
        <v>2005MaleMaori255</v>
      </c>
      <c r="K1823">
        <v>2005</v>
      </c>
      <c r="L1823" t="s">
        <v>20</v>
      </c>
      <c r="M1823" t="s">
        <v>18</v>
      </c>
      <c r="N1823">
        <v>25</v>
      </c>
      <c r="O1823">
        <v>5</v>
      </c>
      <c r="P1823">
        <v>2</v>
      </c>
      <c r="Q1823">
        <v>41.298930195576297</v>
      </c>
      <c r="R1823">
        <v>57.2</v>
      </c>
      <c r="T1823" s="340" t="str">
        <f t="shared" si="106"/>
        <v>2004MaleAllEth23Other</v>
      </c>
      <c r="U1823">
        <v>2004</v>
      </c>
      <c r="V1823" t="s">
        <v>20</v>
      </c>
      <c r="W1823" t="s">
        <v>27</v>
      </c>
      <c r="X1823">
        <v>23</v>
      </c>
      <c r="Y1823" t="s">
        <v>45</v>
      </c>
      <c r="Z1823">
        <v>3</v>
      </c>
      <c r="AA1823">
        <v>161</v>
      </c>
      <c r="AB1823">
        <v>1.9</v>
      </c>
    </row>
    <row r="1824" spans="10:28">
      <c r="J1824" s="340" t="str">
        <f t="shared" si="105"/>
        <v>2005MaleNon-Maori211</v>
      </c>
      <c r="K1824">
        <v>2005</v>
      </c>
      <c r="L1824" t="s">
        <v>20</v>
      </c>
      <c r="M1824" t="s">
        <v>19</v>
      </c>
      <c r="N1824">
        <v>21</v>
      </c>
      <c r="O1824">
        <v>1</v>
      </c>
      <c r="P1824">
        <v>0</v>
      </c>
      <c r="Q1824">
        <v>0</v>
      </c>
      <c r="T1824" s="340" t="str">
        <f t="shared" si="106"/>
        <v>2004MaleAllEth24Other</v>
      </c>
      <c r="U1824">
        <v>2004</v>
      </c>
      <c r="V1824" t="s">
        <v>20</v>
      </c>
      <c r="W1824" t="s">
        <v>27</v>
      </c>
      <c r="X1824">
        <v>24</v>
      </c>
      <c r="Y1824" t="s">
        <v>45</v>
      </c>
      <c r="Z1824">
        <v>6</v>
      </c>
      <c r="AA1824">
        <v>88</v>
      </c>
      <c r="AB1824">
        <v>6.8</v>
      </c>
    </row>
    <row r="1825" spans="10:28">
      <c r="J1825" s="340" t="str">
        <f t="shared" si="105"/>
        <v>2005MaleNon-Maori212</v>
      </c>
      <c r="K1825">
        <v>2005</v>
      </c>
      <c r="L1825" t="s">
        <v>20</v>
      </c>
      <c r="M1825" t="s">
        <v>19</v>
      </c>
      <c r="N1825">
        <v>21</v>
      </c>
      <c r="O1825">
        <v>2</v>
      </c>
      <c r="P1825">
        <v>0</v>
      </c>
      <c r="Q1825">
        <v>0</v>
      </c>
      <c r="T1825" s="340" t="str">
        <f t="shared" si="106"/>
        <v>2004MaleAllEth22Poisoning by gases and vapours</v>
      </c>
      <c r="U1825">
        <v>2004</v>
      </c>
      <c r="V1825" t="s">
        <v>20</v>
      </c>
      <c r="W1825" t="s">
        <v>27</v>
      </c>
      <c r="X1825">
        <v>22</v>
      </c>
      <c r="Y1825" t="s">
        <v>46</v>
      </c>
      <c r="Z1825">
        <v>14</v>
      </c>
      <c r="AA1825">
        <v>83</v>
      </c>
      <c r="AB1825">
        <v>16.899999999999999</v>
      </c>
    </row>
    <row r="1826" spans="10:28">
      <c r="J1826" s="340" t="str">
        <f t="shared" si="105"/>
        <v>2005MaleNon-Maori213</v>
      </c>
      <c r="K1826">
        <v>2005</v>
      </c>
      <c r="L1826" t="s">
        <v>20</v>
      </c>
      <c r="M1826" t="s">
        <v>19</v>
      </c>
      <c r="N1826">
        <v>21</v>
      </c>
      <c r="O1826">
        <v>3</v>
      </c>
      <c r="P1826">
        <v>0</v>
      </c>
      <c r="Q1826">
        <v>0</v>
      </c>
      <c r="T1826" s="340" t="str">
        <f t="shared" si="106"/>
        <v>2004MaleAllEth23Poisoning by gases and vapours</v>
      </c>
      <c r="U1826">
        <v>2004</v>
      </c>
      <c r="V1826" t="s">
        <v>20</v>
      </c>
      <c r="W1826" t="s">
        <v>27</v>
      </c>
      <c r="X1826">
        <v>23</v>
      </c>
      <c r="Y1826" t="s">
        <v>46</v>
      </c>
      <c r="Z1826">
        <v>32</v>
      </c>
      <c r="AA1826">
        <v>161</v>
      </c>
      <c r="AB1826">
        <v>19.899999999999999</v>
      </c>
    </row>
    <row r="1827" spans="10:28">
      <c r="J1827" s="340" t="str">
        <f t="shared" si="105"/>
        <v>2005MaleNon-Maori214</v>
      </c>
      <c r="K1827">
        <v>2005</v>
      </c>
      <c r="L1827" t="s">
        <v>20</v>
      </c>
      <c r="M1827" t="s">
        <v>19</v>
      </c>
      <c r="N1827">
        <v>21</v>
      </c>
      <c r="O1827">
        <v>4</v>
      </c>
      <c r="P1827">
        <v>0</v>
      </c>
      <c r="Q1827">
        <v>0</v>
      </c>
      <c r="T1827" s="340" t="str">
        <f t="shared" si="106"/>
        <v>2004MaleAllEth24Poisoning by gases and vapours</v>
      </c>
      <c r="U1827">
        <v>2004</v>
      </c>
      <c r="V1827" t="s">
        <v>20</v>
      </c>
      <c r="W1827" t="s">
        <v>27</v>
      </c>
      <c r="X1827">
        <v>24</v>
      </c>
      <c r="Y1827" t="s">
        <v>46</v>
      </c>
      <c r="Z1827">
        <v>25</v>
      </c>
      <c r="AA1827">
        <v>88</v>
      </c>
      <c r="AB1827">
        <v>28.4</v>
      </c>
    </row>
    <row r="1828" spans="10:28">
      <c r="J1828" s="340" t="str">
        <f t="shared" si="105"/>
        <v>2005MaleNon-Maori215</v>
      </c>
      <c r="K1828">
        <v>2005</v>
      </c>
      <c r="L1828" t="s">
        <v>20</v>
      </c>
      <c r="M1828" t="s">
        <v>19</v>
      </c>
      <c r="N1828">
        <v>21</v>
      </c>
      <c r="O1828">
        <v>5</v>
      </c>
      <c r="P1828">
        <v>1</v>
      </c>
      <c r="Q1828">
        <v>1.72367120832126</v>
      </c>
      <c r="R1828">
        <v>3.4</v>
      </c>
      <c r="T1828" s="340" t="str">
        <f t="shared" si="106"/>
        <v>2004MaleAllEth25Poisoning by gases and vapours</v>
      </c>
      <c r="U1828">
        <v>2004</v>
      </c>
      <c r="V1828" t="s">
        <v>20</v>
      </c>
      <c r="W1828" t="s">
        <v>27</v>
      </c>
      <c r="X1828">
        <v>25</v>
      </c>
      <c r="Y1828" t="s">
        <v>46</v>
      </c>
      <c r="Z1828">
        <v>10</v>
      </c>
      <c r="AA1828">
        <v>46</v>
      </c>
      <c r="AB1828">
        <v>21.7</v>
      </c>
    </row>
    <row r="1829" spans="10:28">
      <c r="J1829" s="340" t="str">
        <f t="shared" si="105"/>
        <v>2005MaleNon-Maori221</v>
      </c>
      <c r="K1829">
        <v>2005</v>
      </c>
      <c r="L1829" t="s">
        <v>20</v>
      </c>
      <c r="M1829" t="s">
        <v>19</v>
      </c>
      <c r="N1829">
        <v>22</v>
      </c>
      <c r="O1829">
        <v>1</v>
      </c>
      <c r="P1829">
        <v>11</v>
      </c>
      <c r="Q1829">
        <v>22.683106177196802</v>
      </c>
      <c r="R1829">
        <v>13.4</v>
      </c>
      <c r="T1829" s="340" t="str">
        <f t="shared" si="106"/>
        <v>2004MaleAllEth22Poisoning by solids and liquids</v>
      </c>
      <c r="U1829">
        <v>2004</v>
      </c>
      <c r="V1829" t="s">
        <v>20</v>
      </c>
      <c r="W1829" t="s">
        <v>27</v>
      </c>
      <c r="X1829">
        <v>22</v>
      </c>
      <c r="Y1829" t="s">
        <v>47</v>
      </c>
      <c r="Z1829">
        <v>3</v>
      </c>
      <c r="AA1829">
        <v>83</v>
      </c>
      <c r="AB1829">
        <v>3.6</v>
      </c>
    </row>
    <row r="1830" spans="10:28">
      <c r="J1830" s="340" t="str">
        <f t="shared" si="105"/>
        <v>2005MaleNon-Maori222</v>
      </c>
      <c r="K1830">
        <v>2005</v>
      </c>
      <c r="L1830" t="s">
        <v>20</v>
      </c>
      <c r="M1830" t="s">
        <v>19</v>
      </c>
      <c r="N1830">
        <v>22</v>
      </c>
      <c r="O1830">
        <v>2</v>
      </c>
      <c r="P1830">
        <v>12</v>
      </c>
      <c r="Q1830">
        <v>24.3425911160158</v>
      </c>
      <c r="R1830">
        <v>13.8</v>
      </c>
      <c r="T1830" s="340" t="str">
        <f t="shared" si="106"/>
        <v>2004MaleAllEth23Poisoning by solids and liquids</v>
      </c>
      <c r="U1830">
        <v>2004</v>
      </c>
      <c r="V1830" t="s">
        <v>20</v>
      </c>
      <c r="W1830" t="s">
        <v>27</v>
      </c>
      <c r="X1830">
        <v>23</v>
      </c>
      <c r="Y1830" t="s">
        <v>47</v>
      </c>
      <c r="Z1830">
        <v>10</v>
      </c>
      <c r="AA1830">
        <v>161</v>
      </c>
      <c r="AB1830">
        <v>6.2</v>
      </c>
    </row>
    <row r="1831" spans="10:28">
      <c r="J1831" s="340" t="str">
        <f t="shared" si="105"/>
        <v>2005MaleNon-Maori223</v>
      </c>
      <c r="K1831">
        <v>2005</v>
      </c>
      <c r="L1831" t="s">
        <v>20</v>
      </c>
      <c r="M1831" t="s">
        <v>19</v>
      </c>
      <c r="N1831">
        <v>22</v>
      </c>
      <c r="O1831">
        <v>3</v>
      </c>
      <c r="P1831">
        <v>9</v>
      </c>
      <c r="Q1831">
        <v>18.1483005008199</v>
      </c>
      <c r="R1831">
        <v>11.9</v>
      </c>
      <c r="T1831" s="340" t="str">
        <f t="shared" si="106"/>
        <v>2004MaleAllEth24Poisoning by solids and liquids</v>
      </c>
      <c r="U1831">
        <v>2004</v>
      </c>
      <c r="V1831" t="s">
        <v>20</v>
      </c>
      <c r="W1831" t="s">
        <v>27</v>
      </c>
      <c r="X1831">
        <v>24</v>
      </c>
      <c r="Y1831" t="s">
        <v>47</v>
      </c>
      <c r="Z1831">
        <v>6</v>
      </c>
      <c r="AA1831">
        <v>88</v>
      </c>
      <c r="AB1831">
        <v>6.8</v>
      </c>
    </row>
    <row r="1832" spans="10:28">
      <c r="J1832" s="340" t="str">
        <f t="shared" si="105"/>
        <v>2005MaleNon-Maori224</v>
      </c>
      <c r="K1832">
        <v>2005</v>
      </c>
      <c r="L1832" t="s">
        <v>20</v>
      </c>
      <c r="M1832" t="s">
        <v>19</v>
      </c>
      <c r="N1832">
        <v>22</v>
      </c>
      <c r="O1832">
        <v>4</v>
      </c>
      <c r="P1832">
        <v>14</v>
      </c>
      <c r="Q1832">
        <v>28.347963942185199</v>
      </c>
      <c r="R1832">
        <v>14.8</v>
      </c>
      <c r="T1832" s="340" t="str">
        <f t="shared" si="106"/>
        <v>2004MaleAllEth25Poisoning by solids and liquids</v>
      </c>
      <c r="U1832">
        <v>2004</v>
      </c>
      <c r="V1832" t="s">
        <v>20</v>
      </c>
      <c r="W1832" t="s">
        <v>27</v>
      </c>
      <c r="X1832">
        <v>25</v>
      </c>
      <c r="Y1832" t="s">
        <v>47</v>
      </c>
      <c r="Z1832">
        <v>3</v>
      </c>
      <c r="AA1832">
        <v>46</v>
      </c>
      <c r="AB1832">
        <v>6.5</v>
      </c>
    </row>
    <row r="1833" spans="10:28">
      <c r="J1833" s="340" t="str">
        <f t="shared" si="105"/>
        <v>2005MaleNon-Maori225</v>
      </c>
      <c r="K1833">
        <v>2005</v>
      </c>
      <c r="L1833" t="s">
        <v>20</v>
      </c>
      <c r="M1833" t="s">
        <v>19</v>
      </c>
      <c r="N1833">
        <v>22</v>
      </c>
      <c r="O1833">
        <v>5</v>
      </c>
      <c r="P1833">
        <v>9</v>
      </c>
      <c r="Q1833">
        <v>19.034823182498801</v>
      </c>
      <c r="R1833">
        <v>12.4</v>
      </c>
      <c r="T1833" s="340" t="str">
        <f t="shared" si="106"/>
        <v>2004MaleAllEth23Sharp object</v>
      </c>
      <c r="U1833">
        <v>2004</v>
      </c>
      <c r="V1833" t="s">
        <v>20</v>
      </c>
      <c r="W1833" t="s">
        <v>27</v>
      </c>
      <c r="X1833">
        <v>23</v>
      </c>
      <c r="Y1833" t="s">
        <v>48</v>
      </c>
      <c r="Z1833">
        <v>1</v>
      </c>
      <c r="AA1833">
        <v>161</v>
      </c>
      <c r="AB1833">
        <v>0.6</v>
      </c>
    </row>
    <row r="1834" spans="10:28">
      <c r="J1834" s="340" t="str">
        <f t="shared" si="105"/>
        <v>2005MaleNon-Maori231</v>
      </c>
      <c r="K1834">
        <v>2005</v>
      </c>
      <c r="L1834" t="s">
        <v>20</v>
      </c>
      <c r="M1834" t="s">
        <v>19</v>
      </c>
      <c r="N1834">
        <v>23</v>
      </c>
      <c r="O1834">
        <v>1</v>
      </c>
      <c r="P1834">
        <v>17</v>
      </c>
      <c r="Q1834">
        <v>16.3117981357479</v>
      </c>
      <c r="R1834">
        <v>7.8</v>
      </c>
      <c r="T1834" s="340" t="str">
        <f t="shared" si="106"/>
        <v>2004MaleAllEth25Sharp object</v>
      </c>
      <c r="U1834">
        <v>2004</v>
      </c>
      <c r="V1834" t="s">
        <v>20</v>
      </c>
      <c r="W1834" t="s">
        <v>27</v>
      </c>
      <c r="X1834">
        <v>25</v>
      </c>
      <c r="Y1834" t="s">
        <v>48</v>
      </c>
      <c r="Z1834">
        <v>3</v>
      </c>
      <c r="AA1834">
        <v>46</v>
      </c>
      <c r="AB1834">
        <v>6.5</v>
      </c>
    </row>
    <row r="1835" spans="10:28">
      <c r="J1835" s="340" t="str">
        <f t="shared" si="105"/>
        <v>2005MaleNon-Maori232</v>
      </c>
      <c r="K1835">
        <v>2005</v>
      </c>
      <c r="L1835" t="s">
        <v>20</v>
      </c>
      <c r="M1835" t="s">
        <v>19</v>
      </c>
      <c r="N1835">
        <v>23</v>
      </c>
      <c r="O1835">
        <v>2</v>
      </c>
      <c r="P1835">
        <v>13</v>
      </c>
      <c r="Q1835">
        <v>12.0278473904604</v>
      </c>
      <c r="R1835">
        <v>6.5</v>
      </c>
      <c r="T1835" s="340" t="str">
        <f t="shared" si="106"/>
        <v>2004MaleAllEth22Submersion (drowning)</v>
      </c>
      <c r="U1835">
        <v>2004</v>
      </c>
      <c r="V1835" t="s">
        <v>20</v>
      </c>
      <c r="W1835" t="s">
        <v>27</v>
      </c>
      <c r="X1835">
        <v>22</v>
      </c>
      <c r="Y1835" t="s">
        <v>49</v>
      </c>
      <c r="Z1835">
        <v>2</v>
      </c>
      <c r="AA1835">
        <v>83</v>
      </c>
      <c r="AB1835">
        <v>2.4</v>
      </c>
    </row>
    <row r="1836" spans="10:28">
      <c r="J1836" s="340" t="str">
        <f t="shared" si="105"/>
        <v>2005MaleNon-Maori233</v>
      </c>
      <c r="K1836">
        <v>2005</v>
      </c>
      <c r="L1836" t="s">
        <v>20</v>
      </c>
      <c r="M1836" t="s">
        <v>19</v>
      </c>
      <c r="N1836">
        <v>23</v>
      </c>
      <c r="O1836">
        <v>3</v>
      </c>
      <c r="P1836">
        <v>27</v>
      </c>
      <c r="Q1836">
        <v>25.7373893619711</v>
      </c>
      <c r="R1836">
        <v>9.6999999999999993</v>
      </c>
      <c r="T1836" s="340" t="str">
        <f t="shared" si="106"/>
        <v>2004MaleAllEth23Submersion (drowning)</v>
      </c>
      <c r="U1836">
        <v>2004</v>
      </c>
      <c r="V1836" t="s">
        <v>20</v>
      </c>
      <c r="W1836" t="s">
        <v>27</v>
      </c>
      <c r="X1836">
        <v>23</v>
      </c>
      <c r="Y1836" t="s">
        <v>49</v>
      </c>
      <c r="Z1836">
        <v>4</v>
      </c>
      <c r="AA1836">
        <v>161</v>
      </c>
      <c r="AB1836">
        <v>2.5</v>
      </c>
    </row>
    <row r="1837" spans="10:28">
      <c r="J1837" s="340" t="str">
        <f t="shared" si="105"/>
        <v>2005MaleNon-Maori234</v>
      </c>
      <c r="K1837">
        <v>2005</v>
      </c>
      <c r="L1837" t="s">
        <v>20</v>
      </c>
      <c r="M1837" t="s">
        <v>19</v>
      </c>
      <c r="N1837">
        <v>23</v>
      </c>
      <c r="O1837">
        <v>4</v>
      </c>
      <c r="P1837">
        <v>20</v>
      </c>
      <c r="Q1837">
        <v>20.707239403324799</v>
      </c>
      <c r="R1837">
        <v>9.1</v>
      </c>
      <c r="T1837" s="340" t="str">
        <f t="shared" si="106"/>
        <v>2004MaleAllEth24Submersion (drowning)</v>
      </c>
      <c r="U1837">
        <v>2004</v>
      </c>
      <c r="V1837" t="s">
        <v>20</v>
      </c>
      <c r="W1837" t="s">
        <v>27</v>
      </c>
      <c r="X1837">
        <v>24</v>
      </c>
      <c r="Y1837" t="s">
        <v>49</v>
      </c>
      <c r="Z1837">
        <v>1</v>
      </c>
      <c r="AA1837">
        <v>88</v>
      </c>
      <c r="AB1837">
        <v>1.1000000000000001</v>
      </c>
    </row>
    <row r="1838" spans="10:28">
      <c r="J1838" s="340" t="str">
        <f t="shared" si="105"/>
        <v>2005MaleNon-Maori235</v>
      </c>
      <c r="K1838">
        <v>2005</v>
      </c>
      <c r="L1838" t="s">
        <v>20</v>
      </c>
      <c r="M1838" t="s">
        <v>19</v>
      </c>
      <c r="N1838">
        <v>23</v>
      </c>
      <c r="O1838">
        <v>5</v>
      </c>
      <c r="P1838">
        <v>37</v>
      </c>
      <c r="Q1838">
        <v>49.105407412811203</v>
      </c>
      <c r="R1838">
        <v>15.8</v>
      </c>
      <c r="T1838" s="340" t="str">
        <f t="shared" si="106"/>
        <v>2004MaleAllEth25Submersion (drowning)</v>
      </c>
      <c r="U1838">
        <v>2004</v>
      </c>
      <c r="V1838" t="s">
        <v>20</v>
      </c>
      <c r="W1838" t="s">
        <v>27</v>
      </c>
      <c r="X1838">
        <v>25</v>
      </c>
      <c r="Y1838" t="s">
        <v>49</v>
      </c>
      <c r="Z1838">
        <v>3</v>
      </c>
      <c r="AA1838">
        <v>46</v>
      </c>
      <c r="AB1838">
        <v>6.5</v>
      </c>
    </row>
    <row r="1839" spans="10:28">
      <c r="J1839" s="340" t="str">
        <f t="shared" si="105"/>
        <v>2005MaleNon-Maori241</v>
      </c>
      <c r="K1839">
        <v>2005</v>
      </c>
      <c r="L1839" t="s">
        <v>20</v>
      </c>
      <c r="M1839" t="s">
        <v>19</v>
      </c>
      <c r="N1839">
        <v>24</v>
      </c>
      <c r="O1839">
        <v>1</v>
      </c>
      <c r="P1839">
        <v>16</v>
      </c>
      <c r="Q1839">
        <v>13.6566802624943</v>
      </c>
      <c r="R1839">
        <v>6.7</v>
      </c>
      <c r="T1839" s="340" t="str">
        <f t="shared" si="106"/>
        <v>2004MaleMaori23Firearms and explosives</v>
      </c>
      <c r="U1839">
        <v>2004</v>
      </c>
      <c r="V1839" t="s">
        <v>20</v>
      </c>
      <c r="W1839" t="s">
        <v>18</v>
      </c>
      <c r="X1839">
        <v>23</v>
      </c>
      <c r="Y1839" t="s">
        <v>42</v>
      </c>
      <c r="Z1839">
        <v>2</v>
      </c>
      <c r="AA1839">
        <v>44</v>
      </c>
      <c r="AB1839">
        <v>4.5</v>
      </c>
    </row>
    <row r="1840" spans="10:28">
      <c r="J1840" s="340" t="str">
        <f t="shared" si="105"/>
        <v>2005MaleNon-Maori242</v>
      </c>
      <c r="K1840">
        <v>2005</v>
      </c>
      <c r="L1840" t="s">
        <v>20</v>
      </c>
      <c r="M1840" t="s">
        <v>19</v>
      </c>
      <c r="N1840">
        <v>24</v>
      </c>
      <c r="O1840">
        <v>2</v>
      </c>
      <c r="P1840">
        <v>20</v>
      </c>
      <c r="Q1840">
        <v>19.9619773806957</v>
      </c>
      <c r="R1840">
        <v>8.6999999999999993</v>
      </c>
      <c r="T1840" s="340" t="str">
        <f t="shared" si="106"/>
        <v>2004MaleMaori24Firearms and explosives</v>
      </c>
      <c r="U1840">
        <v>2004</v>
      </c>
      <c r="V1840" t="s">
        <v>20</v>
      </c>
      <c r="W1840" t="s">
        <v>18</v>
      </c>
      <c r="X1840">
        <v>24</v>
      </c>
      <c r="Y1840" t="s">
        <v>42</v>
      </c>
      <c r="Z1840">
        <v>1</v>
      </c>
      <c r="AA1840">
        <v>7</v>
      </c>
      <c r="AB1840">
        <v>14.3</v>
      </c>
    </row>
    <row r="1841" spans="10:28">
      <c r="J1841" s="340" t="str">
        <f t="shared" si="105"/>
        <v>2005MaleNon-Maori243</v>
      </c>
      <c r="K1841">
        <v>2005</v>
      </c>
      <c r="L1841" t="s">
        <v>20</v>
      </c>
      <c r="M1841" t="s">
        <v>19</v>
      </c>
      <c r="N1841">
        <v>24</v>
      </c>
      <c r="O1841">
        <v>3</v>
      </c>
      <c r="P1841">
        <v>11</v>
      </c>
      <c r="Q1841">
        <v>12.760336095528601</v>
      </c>
      <c r="R1841">
        <v>7.5</v>
      </c>
      <c r="T1841" s="340" t="str">
        <f t="shared" si="106"/>
        <v>2004MaleMaori25Firearms and explosives</v>
      </c>
      <c r="U1841">
        <v>2004</v>
      </c>
      <c r="V1841" t="s">
        <v>20</v>
      </c>
      <c r="W1841" t="s">
        <v>18</v>
      </c>
      <c r="X1841">
        <v>25</v>
      </c>
      <c r="Y1841" t="s">
        <v>42</v>
      </c>
      <c r="Z1841">
        <v>1</v>
      </c>
      <c r="AA1841">
        <v>2</v>
      </c>
      <c r="AB1841">
        <v>50</v>
      </c>
    </row>
    <row r="1842" spans="10:28">
      <c r="J1842" s="340" t="str">
        <f t="shared" si="105"/>
        <v>2005MaleNon-Maori244</v>
      </c>
      <c r="K1842">
        <v>2005</v>
      </c>
      <c r="L1842" t="s">
        <v>20</v>
      </c>
      <c r="M1842" t="s">
        <v>19</v>
      </c>
      <c r="N1842">
        <v>24</v>
      </c>
      <c r="O1842">
        <v>4</v>
      </c>
      <c r="P1842">
        <v>29</v>
      </c>
      <c r="Q1842">
        <v>39.118518374424198</v>
      </c>
      <c r="R1842">
        <v>14.2</v>
      </c>
      <c r="T1842" s="340" t="str">
        <f t="shared" si="106"/>
        <v>2004MaleMaori21Hanging, strangulation and suffocation</v>
      </c>
      <c r="U1842">
        <v>2004</v>
      </c>
      <c r="V1842" t="s">
        <v>20</v>
      </c>
      <c r="W1842" t="s">
        <v>18</v>
      </c>
      <c r="X1842">
        <v>21</v>
      </c>
      <c r="Y1842" t="s">
        <v>43</v>
      </c>
      <c r="Z1842">
        <v>2</v>
      </c>
      <c r="AA1842">
        <v>2</v>
      </c>
      <c r="AB1842">
        <v>100</v>
      </c>
    </row>
    <row r="1843" spans="10:28">
      <c r="J1843" s="340" t="str">
        <f t="shared" si="105"/>
        <v>2005MaleNon-Maori245</v>
      </c>
      <c r="K1843">
        <v>2005</v>
      </c>
      <c r="L1843" t="s">
        <v>20</v>
      </c>
      <c r="M1843" t="s">
        <v>19</v>
      </c>
      <c r="N1843">
        <v>24</v>
      </c>
      <c r="O1843">
        <v>5</v>
      </c>
      <c r="P1843">
        <v>17</v>
      </c>
      <c r="Q1843">
        <v>30.247801563473502</v>
      </c>
      <c r="R1843">
        <v>14.4</v>
      </c>
      <c r="T1843" s="340" t="str">
        <f t="shared" si="106"/>
        <v>2004MaleMaori22Hanging, strangulation and suffocation</v>
      </c>
      <c r="U1843">
        <v>2004</v>
      </c>
      <c r="V1843" t="s">
        <v>20</v>
      </c>
      <c r="W1843" t="s">
        <v>18</v>
      </c>
      <c r="X1843">
        <v>22</v>
      </c>
      <c r="Y1843" t="s">
        <v>43</v>
      </c>
      <c r="Z1843">
        <v>27</v>
      </c>
      <c r="AA1843">
        <v>28</v>
      </c>
      <c r="AB1843">
        <v>96.4</v>
      </c>
    </row>
    <row r="1844" spans="10:28">
      <c r="J1844" s="340" t="str">
        <f t="shared" si="105"/>
        <v>2005MaleNon-Maori251</v>
      </c>
      <c r="K1844">
        <v>2005</v>
      </c>
      <c r="L1844" t="s">
        <v>20</v>
      </c>
      <c r="M1844" t="s">
        <v>19</v>
      </c>
      <c r="N1844">
        <v>25</v>
      </c>
      <c r="O1844">
        <v>1</v>
      </c>
      <c r="P1844">
        <v>7</v>
      </c>
      <c r="Q1844">
        <v>15.520776012826399</v>
      </c>
      <c r="R1844">
        <v>11.5</v>
      </c>
      <c r="T1844" s="340" t="str">
        <f t="shared" si="106"/>
        <v>2004MaleMaori23Hanging, strangulation and suffocation</v>
      </c>
      <c r="U1844">
        <v>2004</v>
      </c>
      <c r="V1844" t="s">
        <v>20</v>
      </c>
      <c r="W1844" t="s">
        <v>18</v>
      </c>
      <c r="X1844">
        <v>23</v>
      </c>
      <c r="Y1844" t="s">
        <v>43</v>
      </c>
      <c r="Z1844">
        <v>36</v>
      </c>
      <c r="AA1844">
        <v>44</v>
      </c>
      <c r="AB1844">
        <v>81.8</v>
      </c>
    </row>
    <row r="1845" spans="10:28">
      <c r="J1845" s="340" t="str">
        <f t="shared" si="105"/>
        <v>2005MaleNon-Maori252</v>
      </c>
      <c r="K1845">
        <v>2005</v>
      </c>
      <c r="L1845" t="s">
        <v>20</v>
      </c>
      <c r="M1845" t="s">
        <v>19</v>
      </c>
      <c r="N1845">
        <v>25</v>
      </c>
      <c r="O1845">
        <v>2</v>
      </c>
      <c r="P1845">
        <v>7</v>
      </c>
      <c r="Q1845">
        <v>15.4194964115985</v>
      </c>
      <c r="R1845">
        <v>11.4</v>
      </c>
      <c r="T1845" s="340" t="str">
        <f t="shared" si="106"/>
        <v>2004MaleMaori24Hanging, strangulation and suffocation</v>
      </c>
      <c r="U1845">
        <v>2004</v>
      </c>
      <c r="V1845" t="s">
        <v>20</v>
      </c>
      <c r="W1845" t="s">
        <v>18</v>
      </c>
      <c r="X1845">
        <v>24</v>
      </c>
      <c r="Y1845" t="s">
        <v>43</v>
      </c>
      <c r="Z1845">
        <v>5</v>
      </c>
      <c r="AA1845">
        <v>7</v>
      </c>
      <c r="AB1845">
        <v>71.400000000000006</v>
      </c>
    </row>
    <row r="1846" spans="10:28">
      <c r="J1846" s="340" t="str">
        <f t="shared" si="105"/>
        <v>2005MaleNon-Maori253</v>
      </c>
      <c r="K1846">
        <v>2005</v>
      </c>
      <c r="L1846" t="s">
        <v>20</v>
      </c>
      <c r="M1846" t="s">
        <v>19</v>
      </c>
      <c r="N1846">
        <v>25</v>
      </c>
      <c r="O1846">
        <v>3</v>
      </c>
      <c r="P1846">
        <v>7</v>
      </c>
      <c r="Q1846">
        <v>15.4181411240321</v>
      </c>
      <c r="R1846">
        <v>11.4</v>
      </c>
      <c r="T1846" s="340" t="str">
        <f t="shared" si="106"/>
        <v>2004MaleMaori23Poisoning by gases and vapours</v>
      </c>
      <c r="U1846">
        <v>2004</v>
      </c>
      <c r="V1846" t="s">
        <v>20</v>
      </c>
      <c r="W1846" t="s">
        <v>18</v>
      </c>
      <c r="X1846">
        <v>23</v>
      </c>
      <c r="Y1846" t="s">
        <v>46</v>
      </c>
      <c r="Z1846">
        <v>2</v>
      </c>
      <c r="AA1846">
        <v>44</v>
      </c>
      <c r="AB1846">
        <v>4.5</v>
      </c>
    </row>
    <row r="1847" spans="10:28">
      <c r="J1847" s="340" t="str">
        <f t="shared" si="105"/>
        <v>2005MaleNon-Maori254</v>
      </c>
      <c r="K1847">
        <v>2005</v>
      </c>
      <c r="L1847" t="s">
        <v>20</v>
      </c>
      <c r="M1847" t="s">
        <v>19</v>
      </c>
      <c r="N1847">
        <v>25</v>
      </c>
      <c r="O1847">
        <v>4</v>
      </c>
      <c r="P1847">
        <v>5</v>
      </c>
      <c r="Q1847">
        <v>11.6605785616049</v>
      </c>
      <c r="R1847">
        <v>10.199999999999999</v>
      </c>
      <c r="T1847" s="340" t="str">
        <f t="shared" si="106"/>
        <v>2004MaleMaori23Poisoning by solids and liquids</v>
      </c>
      <c r="U1847">
        <v>2004</v>
      </c>
      <c r="V1847" t="s">
        <v>20</v>
      </c>
      <c r="W1847" t="s">
        <v>18</v>
      </c>
      <c r="X1847">
        <v>23</v>
      </c>
      <c r="Y1847" t="s">
        <v>47</v>
      </c>
      <c r="Z1847">
        <v>2</v>
      </c>
      <c r="AA1847">
        <v>44</v>
      </c>
      <c r="AB1847">
        <v>4.5</v>
      </c>
    </row>
    <row r="1848" spans="10:28">
      <c r="J1848" s="340" t="str">
        <f t="shared" si="105"/>
        <v>2005MaleNon-Maori255</v>
      </c>
      <c r="K1848">
        <v>2005</v>
      </c>
      <c r="L1848" t="s">
        <v>20</v>
      </c>
      <c r="M1848" t="s">
        <v>19</v>
      </c>
      <c r="N1848">
        <v>25</v>
      </c>
      <c r="O1848">
        <v>5</v>
      </c>
      <c r="P1848">
        <v>2</v>
      </c>
      <c r="Q1848">
        <v>6.44091115441742</v>
      </c>
      <c r="R1848">
        <v>8.9</v>
      </c>
      <c r="T1848" s="340" t="str">
        <f t="shared" si="106"/>
        <v>2004MaleMaori24Poisoning by solids and liquids</v>
      </c>
      <c r="U1848">
        <v>2004</v>
      </c>
      <c r="V1848" t="s">
        <v>20</v>
      </c>
      <c r="W1848" t="s">
        <v>18</v>
      </c>
      <c r="X1848">
        <v>24</v>
      </c>
      <c r="Y1848" t="s">
        <v>47</v>
      </c>
      <c r="Z1848">
        <v>1</v>
      </c>
      <c r="AA1848">
        <v>7</v>
      </c>
      <c r="AB1848">
        <v>14.3</v>
      </c>
    </row>
    <row r="1849" spans="10:28">
      <c r="J1849" s="340" t="str">
        <f t="shared" si="105"/>
        <v>2006AllSexAllEth211</v>
      </c>
      <c r="K1849">
        <v>2006</v>
      </c>
      <c r="L1849" t="s">
        <v>17</v>
      </c>
      <c r="M1849" t="s">
        <v>27</v>
      </c>
      <c r="N1849">
        <v>21</v>
      </c>
      <c r="O1849">
        <v>1</v>
      </c>
      <c r="P1849">
        <v>1</v>
      </c>
      <c r="Q1849">
        <v>0.556010825918409</v>
      </c>
      <c r="R1849">
        <v>1.1000000000000001</v>
      </c>
      <c r="T1849" s="340" t="str">
        <f t="shared" si="106"/>
        <v>2004MaleMaori23Sharp object</v>
      </c>
      <c r="U1849">
        <v>2004</v>
      </c>
      <c r="V1849" t="s">
        <v>20</v>
      </c>
      <c r="W1849" t="s">
        <v>18</v>
      </c>
      <c r="X1849">
        <v>23</v>
      </c>
      <c r="Y1849" t="s">
        <v>48</v>
      </c>
      <c r="Z1849">
        <v>1</v>
      </c>
      <c r="AA1849">
        <v>44</v>
      </c>
      <c r="AB1849">
        <v>2.2999999999999998</v>
      </c>
    </row>
    <row r="1850" spans="10:28">
      <c r="J1850" s="340" t="str">
        <f t="shared" si="105"/>
        <v>2006AllSexAllEth212</v>
      </c>
      <c r="K1850">
        <v>2006</v>
      </c>
      <c r="L1850" t="s">
        <v>17</v>
      </c>
      <c r="M1850" t="s">
        <v>27</v>
      </c>
      <c r="N1850">
        <v>21</v>
      </c>
      <c r="O1850">
        <v>2</v>
      </c>
      <c r="P1850">
        <v>1</v>
      </c>
      <c r="Q1850">
        <v>0.59283836182817196</v>
      </c>
      <c r="R1850">
        <v>1.2</v>
      </c>
      <c r="T1850" s="340" t="str">
        <f t="shared" si="106"/>
        <v>2004MaleMaori25Sharp object</v>
      </c>
      <c r="U1850">
        <v>2004</v>
      </c>
      <c r="V1850" t="s">
        <v>20</v>
      </c>
      <c r="W1850" t="s">
        <v>18</v>
      </c>
      <c r="X1850">
        <v>25</v>
      </c>
      <c r="Y1850" t="s">
        <v>48</v>
      </c>
      <c r="Z1850">
        <v>1</v>
      </c>
      <c r="AA1850">
        <v>2</v>
      </c>
      <c r="AB1850">
        <v>50</v>
      </c>
    </row>
    <row r="1851" spans="10:28">
      <c r="J1851" s="340" t="str">
        <f t="shared" si="105"/>
        <v>2006AllSexAllEth213</v>
      </c>
      <c r="K1851">
        <v>2006</v>
      </c>
      <c r="L1851" t="s">
        <v>17</v>
      </c>
      <c r="M1851" t="s">
        <v>27</v>
      </c>
      <c r="N1851">
        <v>21</v>
      </c>
      <c r="O1851">
        <v>3</v>
      </c>
      <c r="P1851">
        <v>1</v>
      </c>
      <c r="Q1851">
        <v>0.61385180621192903</v>
      </c>
      <c r="R1851">
        <v>1.2</v>
      </c>
      <c r="T1851" s="340" t="str">
        <f t="shared" si="106"/>
        <v>2004MaleMaori22Submersion (drowning)</v>
      </c>
      <c r="U1851">
        <v>2004</v>
      </c>
      <c r="V1851" t="s">
        <v>20</v>
      </c>
      <c r="W1851" t="s">
        <v>18</v>
      </c>
      <c r="X1851">
        <v>22</v>
      </c>
      <c r="Y1851" t="s">
        <v>49</v>
      </c>
      <c r="Z1851">
        <v>1</v>
      </c>
      <c r="AA1851">
        <v>28</v>
      </c>
      <c r="AB1851">
        <v>3.6</v>
      </c>
    </row>
    <row r="1852" spans="10:28">
      <c r="J1852" s="340" t="str">
        <f t="shared" si="105"/>
        <v>2006AllSexAllEth214</v>
      </c>
      <c r="K1852">
        <v>2006</v>
      </c>
      <c r="L1852" t="s">
        <v>17</v>
      </c>
      <c r="M1852" t="s">
        <v>27</v>
      </c>
      <c r="N1852">
        <v>21</v>
      </c>
      <c r="O1852">
        <v>4</v>
      </c>
      <c r="P1852">
        <v>1</v>
      </c>
      <c r="Q1852">
        <v>0.600994322816641</v>
      </c>
      <c r="R1852">
        <v>1.2</v>
      </c>
      <c r="T1852" s="340" t="str">
        <f t="shared" si="106"/>
        <v>2004MaleMaori23Submersion (drowning)</v>
      </c>
      <c r="U1852">
        <v>2004</v>
      </c>
      <c r="V1852" t="s">
        <v>20</v>
      </c>
      <c r="W1852" t="s">
        <v>18</v>
      </c>
      <c r="X1852">
        <v>23</v>
      </c>
      <c r="Y1852" t="s">
        <v>49</v>
      </c>
      <c r="Z1852">
        <v>1</v>
      </c>
      <c r="AA1852">
        <v>44</v>
      </c>
      <c r="AB1852">
        <v>2.2999999999999998</v>
      </c>
    </row>
    <row r="1853" spans="10:28">
      <c r="J1853" s="340" t="str">
        <f t="shared" si="105"/>
        <v>2006AllSexAllEth215</v>
      </c>
      <c r="K1853">
        <v>2006</v>
      </c>
      <c r="L1853" t="s">
        <v>17</v>
      </c>
      <c r="M1853" t="s">
        <v>27</v>
      </c>
      <c r="N1853">
        <v>21</v>
      </c>
      <c r="O1853">
        <v>5</v>
      </c>
      <c r="P1853">
        <v>2</v>
      </c>
      <c r="Q1853">
        <v>0.95021972089764095</v>
      </c>
      <c r="R1853">
        <v>1.3</v>
      </c>
      <c r="T1853" s="340" t="str">
        <f t="shared" si="106"/>
        <v>2004MaleNon-Maori21Firearms and explosives</v>
      </c>
      <c r="U1853">
        <v>2004</v>
      </c>
      <c r="V1853" t="s">
        <v>20</v>
      </c>
      <c r="W1853" t="s">
        <v>19</v>
      </c>
      <c r="X1853">
        <v>21</v>
      </c>
      <c r="Y1853" t="s">
        <v>42</v>
      </c>
      <c r="Z1853">
        <v>2</v>
      </c>
      <c r="AA1853">
        <v>2</v>
      </c>
      <c r="AB1853">
        <v>100</v>
      </c>
    </row>
    <row r="1854" spans="10:28">
      <c r="J1854" s="340" t="str">
        <f t="shared" si="105"/>
        <v>2006AllSexAllEth221</v>
      </c>
      <c r="K1854">
        <v>2006</v>
      </c>
      <c r="L1854" t="s">
        <v>17</v>
      </c>
      <c r="M1854" t="s">
        <v>27</v>
      </c>
      <c r="N1854">
        <v>22</v>
      </c>
      <c r="O1854">
        <v>1</v>
      </c>
      <c r="P1854">
        <v>14</v>
      </c>
      <c r="Q1854">
        <v>13.777404864683101</v>
      </c>
      <c r="R1854">
        <v>7.2</v>
      </c>
      <c r="T1854" s="340" t="str">
        <f t="shared" si="106"/>
        <v>2004MaleNon-Maori22Firearms and explosives</v>
      </c>
      <c r="U1854">
        <v>2004</v>
      </c>
      <c r="V1854" t="s">
        <v>20</v>
      </c>
      <c r="W1854" t="s">
        <v>19</v>
      </c>
      <c r="X1854">
        <v>22</v>
      </c>
      <c r="Y1854" t="s">
        <v>42</v>
      </c>
      <c r="Z1854">
        <v>2</v>
      </c>
      <c r="AA1854">
        <v>55</v>
      </c>
      <c r="AB1854">
        <v>3.6</v>
      </c>
    </row>
    <row r="1855" spans="10:28">
      <c r="J1855" s="340" t="str">
        <f t="shared" si="105"/>
        <v>2006AllSexAllEth222</v>
      </c>
      <c r="K1855">
        <v>2006</v>
      </c>
      <c r="L1855" t="s">
        <v>17</v>
      </c>
      <c r="M1855" t="s">
        <v>27</v>
      </c>
      <c r="N1855">
        <v>22</v>
      </c>
      <c r="O1855">
        <v>2</v>
      </c>
      <c r="P1855">
        <v>15</v>
      </c>
      <c r="Q1855">
        <v>13.869924506774399</v>
      </c>
      <c r="R1855">
        <v>7</v>
      </c>
      <c r="T1855" s="340" t="str">
        <f t="shared" si="106"/>
        <v>2004MaleNon-Maori23Firearms and explosives</v>
      </c>
      <c r="U1855">
        <v>2004</v>
      </c>
      <c r="V1855" t="s">
        <v>20</v>
      </c>
      <c r="W1855" t="s">
        <v>19</v>
      </c>
      <c r="X1855">
        <v>23</v>
      </c>
      <c r="Y1855" t="s">
        <v>42</v>
      </c>
      <c r="Z1855">
        <v>7</v>
      </c>
      <c r="AA1855">
        <v>117</v>
      </c>
      <c r="AB1855">
        <v>6</v>
      </c>
    </row>
    <row r="1856" spans="10:28">
      <c r="J1856" s="340" t="str">
        <f t="shared" si="105"/>
        <v>2006AllSexAllEth223</v>
      </c>
      <c r="K1856">
        <v>2006</v>
      </c>
      <c r="L1856" t="s">
        <v>17</v>
      </c>
      <c r="M1856" t="s">
        <v>27</v>
      </c>
      <c r="N1856">
        <v>22</v>
      </c>
      <c r="O1856">
        <v>3</v>
      </c>
      <c r="P1856">
        <v>20</v>
      </c>
      <c r="Q1856">
        <v>17.100096928548201</v>
      </c>
      <c r="R1856">
        <v>7.5</v>
      </c>
      <c r="T1856" s="340" t="str">
        <f t="shared" si="106"/>
        <v>2004MaleNon-Maori24Firearms and explosives</v>
      </c>
      <c r="U1856">
        <v>2004</v>
      </c>
      <c r="V1856" t="s">
        <v>20</v>
      </c>
      <c r="W1856" t="s">
        <v>19</v>
      </c>
      <c r="X1856">
        <v>24</v>
      </c>
      <c r="Y1856" t="s">
        <v>42</v>
      </c>
      <c r="Z1856">
        <v>15</v>
      </c>
      <c r="AA1856">
        <v>81</v>
      </c>
      <c r="AB1856">
        <v>18.5</v>
      </c>
    </row>
    <row r="1857" spans="10:28">
      <c r="J1857" s="340" t="str">
        <f t="shared" si="105"/>
        <v>2006AllSexAllEth224</v>
      </c>
      <c r="K1857">
        <v>2006</v>
      </c>
      <c r="L1857" t="s">
        <v>17</v>
      </c>
      <c r="M1857" t="s">
        <v>27</v>
      </c>
      <c r="N1857">
        <v>22</v>
      </c>
      <c r="O1857">
        <v>4</v>
      </c>
      <c r="P1857">
        <v>26</v>
      </c>
      <c r="Q1857">
        <v>20.250110691416801</v>
      </c>
      <c r="R1857">
        <v>7.8</v>
      </c>
      <c r="T1857" s="340" t="str">
        <f t="shared" si="106"/>
        <v>2004MaleNon-Maori25Firearms and explosives</v>
      </c>
      <c r="U1857">
        <v>2004</v>
      </c>
      <c r="V1857" t="s">
        <v>20</v>
      </c>
      <c r="W1857" t="s">
        <v>19</v>
      </c>
      <c r="X1857">
        <v>25</v>
      </c>
      <c r="Y1857" t="s">
        <v>42</v>
      </c>
      <c r="Z1857">
        <v>7</v>
      </c>
      <c r="AA1857">
        <v>44</v>
      </c>
      <c r="AB1857">
        <v>15.9</v>
      </c>
    </row>
    <row r="1858" spans="10:28">
      <c r="J1858" s="340" t="str">
        <f t="shared" si="105"/>
        <v>2006AllSexAllEth225</v>
      </c>
      <c r="K1858">
        <v>2006</v>
      </c>
      <c r="L1858" t="s">
        <v>17</v>
      </c>
      <c r="M1858" t="s">
        <v>27</v>
      </c>
      <c r="N1858">
        <v>22</v>
      </c>
      <c r="O1858">
        <v>5</v>
      </c>
      <c r="P1858">
        <v>36</v>
      </c>
      <c r="Q1858">
        <v>24.0603246091591</v>
      </c>
      <c r="R1858">
        <v>7.9</v>
      </c>
      <c r="T1858" s="340" t="str">
        <f t="shared" si="106"/>
        <v>2004MaleNon-Maori22Hanging, strangulation and suffocation</v>
      </c>
      <c r="U1858">
        <v>2004</v>
      </c>
      <c r="V1858" t="s">
        <v>20</v>
      </c>
      <c r="W1858" t="s">
        <v>19</v>
      </c>
      <c r="X1858">
        <v>22</v>
      </c>
      <c r="Y1858" t="s">
        <v>43</v>
      </c>
      <c r="Z1858">
        <v>33</v>
      </c>
      <c r="AA1858">
        <v>55</v>
      </c>
      <c r="AB1858">
        <v>60</v>
      </c>
    </row>
    <row r="1859" spans="10:28">
      <c r="J1859" s="340" t="str">
        <f t="shared" si="105"/>
        <v>2006AllSexAllEth231</v>
      </c>
      <c r="K1859">
        <v>2006</v>
      </c>
      <c r="L1859" t="s">
        <v>17</v>
      </c>
      <c r="M1859" t="s">
        <v>27</v>
      </c>
      <c r="N1859">
        <v>23</v>
      </c>
      <c r="O1859">
        <v>1</v>
      </c>
      <c r="P1859">
        <v>22</v>
      </c>
      <c r="Q1859">
        <v>9.5047540081629904</v>
      </c>
      <c r="R1859">
        <v>4</v>
      </c>
      <c r="T1859" s="340" t="str">
        <f t="shared" si="106"/>
        <v>2004MaleNon-Maori23Hanging, strangulation and suffocation</v>
      </c>
      <c r="U1859">
        <v>2004</v>
      </c>
      <c r="V1859" t="s">
        <v>20</v>
      </c>
      <c r="W1859" t="s">
        <v>19</v>
      </c>
      <c r="X1859">
        <v>23</v>
      </c>
      <c r="Y1859" t="s">
        <v>43</v>
      </c>
      <c r="Z1859">
        <v>65</v>
      </c>
      <c r="AA1859">
        <v>117</v>
      </c>
      <c r="AB1859">
        <v>55.6</v>
      </c>
    </row>
    <row r="1860" spans="10:28">
      <c r="J1860" s="340" t="str">
        <f t="shared" ref="J1860:J1923" si="107">K1860&amp;L1860&amp;M1860&amp;N1860&amp;O1860</f>
        <v>2006AllSexAllEth232</v>
      </c>
      <c r="K1860">
        <v>2006</v>
      </c>
      <c r="L1860" t="s">
        <v>17</v>
      </c>
      <c r="M1860" t="s">
        <v>27</v>
      </c>
      <c r="N1860">
        <v>23</v>
      </c>
      <c r="O1860">
        <v>2</v>
      </c>
      <c r="P1860">
        <v>32</v>
      </c>
      <c r="Q1860">
        <v>13.1507001589565</v>
      </c>
      <c r="R1860">
        <v>4.5999999999999996</v>
      </c>
      <c r="T1860" s="340" t="str">
        <f t="shared" si="106"/>
        <v>2004MaleNon-Maori24Hanging, strangulation and suffocation</v>
      </c>
      <c r="U1860">
        <v>2004</v>
      </c>
      <c r="V1860" t="s">
        <v>20</v>
      </c>
      <c r="W1860" t="s">
        <v>19</v>
      </c>
      <c r="X1860">
        <v>24</v>
      </c>
      <c r="Y1860" t="s">
        <v>43</v>
      </c>
      <c r="Z1860">
        <v>27</v>
      </c>
      <c r="AA1860">
        <v>81</v>
      </c>
      <c r="AB1860">
        <v>33.299999999999997</v>
      </c>
    </row>
    <row r="1861" spans="10:28">
      <c r="J1861" s="340" t="str">
        <f t="shared" si="107"/>
        <v>2006AllSexAllEth233</v>
      </c>
      <c r="K1861">
        <v>2006</v>
      </c>
      <c r="L1861" t="s">
        <v>17</v>
      </c>
      <c r="M1861" t="s">
        <v>27</v>
      </c>
      <c r="N1861">
        <v>23</v>
      </c>
      <c r="O1861">
        <v>3</v>
      </c>
      <c r="P1861">
        <v>34</v>
      </c>
      <c r="Q1861">
        <v>13.9723083636888</v>
      </c>
      <c r="R1861">
        <v>4.7</v>
      </c>
      <c r="T1861" s="340" t="str">
        <f t="shared" ref="T1861:T1924" si="108">U1861&amp;V1861&amp;W1861&amp;X1861&amp;Y1861</f>
        <v>2004MaleNon-Maori25Hanging, strangulation and suffocation</v>
      </c>
      <c r="U1861">
        <v>2004</v>
      </c>
      <c r="V1861" t="s">
        <v>20</v>
      </c>
      <c r="W1861" t="s">
        <v>19</v>
      </c>
      <c r="X1861">
        <v>25</v>
      </c>
      <c r="Y1861" t="s">
        <v>43</v>
      </c>
      <c r="Z1861">
        <v>16</v>
      </c>
      <c r="AA1861">
        <v>44</v>
      </c>
      <c r="AB1861">
        <v>36.4</v>
      </c>
    </row>
    <row r="1862" spans="10:28">
      <c r="J1862" s="340" t="str">
        <f t="shared" si="107"/>
        <v>2006AllSexAllEth234</v>
      </c>
      <c r="K1862">
        <v>2006</v>
      </c>
      <c r="L1862" t="s">
        <v>17</v>
      </c>
      <c r="M1862" t="s">
        <v>27</v>
      </c>
      <c r="N1862">
        <v>23</v>
      </c>
      <c r="O1862">
        <v>4</v>
      </c>
      <c r="P1862">
        <v>41</v>
      </c>
      <c r="Q1862">
        <v>17.1654216466126</v>
      </c>
      <c r="R1862">
        <v>5.3</v>
      </c>
      <c r="T1862" s="340" t="str">
        <f t="shared" si="108"/>
        <v>2004MaleNon-Maori22Jumping from a high place</v>
      </c>
      <c r="U1862">
        <v>2004</v>
      </c>
      <c r="V1862" t="s">
        <v>20</v>
      </c>
      <c r="W1862" t="s">
        <v>19</v>
      </c>
      <c r="X1862">
        <v>22</v>
      </c>
      <c r="Y1862" t="s">
        <v>44</v>
      </c>
      <c r="Z1862">
        <v>1</v>
      </c>
      <c r="AA1862">
        <v>55</v>
      </c>
      <c r="AB1862">
        <v>1.8</v>
      </c>
    </row>
    <row r="1863" spans="10:28">
      <c r="J1863" s="340" t="str">
        <f t="shared" si="107"/>
        <v>2006AllSexAllEth235</v>
      </c>
      <c r="K1863">
        <v>2006</v>
      </c>
      <c r="L1863" t="s">
        <v>17</v>
      </c>
      <c r="M1863" t="s">
        <v>27</v>
      </c>
      <c r="N1863">
        <v>23</v>
      </c>
      <c r="O1863">
        <v>5</v>
      </c>
      <c r="P1863">
        <v>70</v>
      </c>
      <c r="Q1863">
        <v>31.1878582508776</v>
      </c>
      <c r="R1863">
        <v>7.3</v>
      </c>
      <c r="T1863" s="340" t="str">
        <f t="shared" si="108"/>
        <v>2004MaleNon-Maori23Jumping from a high place</v>
      </c>
      <c r="U1863">
        <v>2004</v>
      </c>
      <c r="V1863" t="s">
        <v>20</v>
      </c>
      <c r="W1863" t="s">
        <v>19</v>
      </c>
      <c r="X1863">
        <v>23</v>
      </c>
      <c r="Y1863" t="s">
        <v>44</v>
      </c>
      <c r="Z1863">
        <v>1</v>
      </c>
      <c r="AA1863">
        <v>117</v>
      </c>
      <c r="AB1863">
        <v>0.9</v>
      </c>
    </row>
    <row r="1864" spans="10:28">
      <c r="J1864" s="340" t="str">
        <f t="shared" si="107"/>
        <v>2006AllSexAllEth241</v>
      </c>
      <c r="K1864">
        <v>2006</v>
      </c>
      <c r="L1864" t="s">
        <v>17</v>
      </c>
      <c r="M1864" t="s">
        <v>27</v>
      </c>
      <c r="N1864">
        <v>24</v>
      </c>
      <c r="O1864">
        <v>1</v>
      </c>
      <c r="P1864">
        <v>21</v>
      </c>
      <c r="Q1864">
        <v>8.5247018863974802</v>
      </c>
      <c r="R1864">
        <v>3.6</v>
      </c>
      <c r="T1864" s="340" t="str">
        <f t="shared" si="108"/>
        <v>2004MaleNon-Maori24Jumping from a high place</v>
      </c>
      <c r="U1864">
        <v>2004</v>
      </c>
      <c r="V1864" t="s">
        <v>20</v>
      </c>
      <c r="W1864" t="s">
        <v>19</v>
      </c>
      <c r="X1864">
        <v>24</v>
      </c>
      <c r="Y1864" t="s">
        <v>44</v>
      </c>
      <c r="Z1864">
        <v>2</v>
      </c>
      <c r="AA1864">
        <v>81</v>
      </c>
      <c r="AB1864">
        <v>2.5</v>
      </c>
    </row>
    <row r="1865" spans="10:28">
      <c r="J1865" s="340" t="str">
        <f t="shared" si="107"/>
        <v>2006AllSexAllEth242</v>
      </c>
      <c r="K1865">
        <v>2006</v>
      </c>
      <c r="L1865" t="s">
        <v>17</v>
      </c>
      <c r="M1865" t="s">
        <v>27</v>
      </c>
      <c r="N1865">
        <v>24</v>
      </c>
      <c r="O1865">
        <v>2</v>
      </c>
      <c r="P1865">
        <v>27</v>
      </c>
      <c r="Q1865">
        <v>12.4153183119709</v>
      </c>
      <c r="R1865">
        <v>4.7</v>
      </c>
      <c r="T1865" s="340" t="str">
        <f t="shared" si="108"/>
        <v>2004MaleNon-Maori25Jumping from a high place</v>
      </c>
      <c r="U1865">
        <v>2004</v>
      </c>
      <c r="V1865" t="s">
        <v>20</v>
      </c>
      <c r="W1865" t="s">
        <v>19</v>
      </c>
      <c r="X1865">
        <v>25</v>
      </c>
      <c r="Y1865" t="s">
        <v>44</v>
      </c>
      <c r="Z1865">
        <v>3</v>
      </c>
      <c r="AA1865">
        <v>44</v>
      </c>
      <c r="AB1865">
        <v>6.8</v>
      </c>
    </row>
    <row r="1866" spans="10:28">
      <c r="J1866" s="340" t="str">
        <f t="shared" si="107"/>
        <v>2006AllSexAllEth243</v>
      </c>
      <c r="K1866">
        <v>2006</v>
      </c>
      <c r="L1866" t="s">
        <v>17</v>
      </c>
      <c r="M1866" t="s">
        <v>27</v>
      </c>
      <c r="N1866">
        <v>24</v>
      </c>
      <c r="O1866">
        <v>3</v>
      </c>
      <c r="P1866">
        <v>32</v>
      </c>
      <c r="Q1866">
        <v>16.3227902507615</v>
      </c>
      <c r="R1866">
        <v>5.7</v>
      </c>
      <c r="T1866" s="340" t="str">
        <f t="shared" si="108"/>
        <v>2004MaleNon-Maori22Other</v>
      </c>
      <c r="U1866">
        <v>2004</v>
      </c>
      <c r="V1866" t="s">
        <v>20</v>
      </c>
      <c r="W1866" t="s">
        <v>19</v>
      </c>
      <c r="X1866">
        <v>22</v>
      </c>
      <c r="Y1866" t="s">
        <v>45</v>
      </c>
      <c r="Z1866">
        <v>1</v>
      </c>
      <c r="AA1866">
        <v>55</v>
      </c>
      <c r="AB1866">
        <v>1.8</v>
      </c>
    </row>
    <row r="1867" spans="10:28">
      <c r="J1867" s="340" t="str">
        <f t="shared" si="107"/>
        <v>2006AllSexAllEth244</v>
      </c>
      <c r="K1867">
        <v>2006</v>
      </c>
      <c r="L1867" t="s">
        <v>17</v>
      </c>
      <c r="M1867" t="s">
        <v>27</v>
      </c>
      <c r="N1867">
        <v>24</v>
      </c>
      <c r="O1867">
        <v>4</v>
      </c>
      <c r="P1867">
        <v>24</v>
      </c>
      <c r="Q1867">
        <v>13.3944607096868</v>
      </c>
      <c r="R1867">
        <v>5.4</v>
      </c>
      <c r="T1867" s="340" t="str">
        <f t="shared" si="108"/>
        <v>2004MaleNon-Maori23Other</v>
      </c>
      <c r="U1867">
        <v>2004</v>
      </c>
      <c r="V1867" t="s">
        <v>20</v>
      </c>
      <c r="W1867" t="s">
        <v>19</v>
      </c>
      <c r="X1867">
        <v>23</v>
      </c>
      <c r="Y1867" t="s">
        <v>45</v>
      </c>
      <c r="Z1867">
        <v>3</v>
      </c>
      <c r="AA1867">
        <v>117</v>
      </c>
      <c r="AB1867">
        <v>2.6</v>
      </c>
    </row>
    <row r="1868" spans="10:28">
      <c r="J1868" s="340" t="str">
        <f t="shared" si="107"/>
        <v>2006AllSexAllEth245</v>
      </c>
      <c r="K1868">
        <v>2006</v>
      </c>
      <c r="L1868" t="s">
        <v>17</v>
      </c>
      <c r="M1868" t="s">
        <v>27</v>
      </c>
      <c r="N1868">
        <v>24</v>
      </c>
      <c r="O1868">
        <v>5</v>
      </c>
      <c r="P1868">
        <v>31</v>
      </c>
      <c r="Q1868">
        <v>19.4430096494523</v>
      </c>
      <c r="R1868">
        <v>6.8</v>
      </c>
      <c r="T1868" s="340" t="str">
        <f t="shared" si="108"/>
        <v>2004MaleNon-Maori24Other</v>
      </c>
      <c r="U1868">
        <v>2004</v>
      </c>
      <c r="V1868" t="s">
        <v>20</v>
      </c>
      <c r="W1868" t="s">
        <v>19</v>
      </c>
      <c r="X1868">
        <v>24</v>
      </c>
      <c r="Y1868" t="s">
        <v>45</v>
      </c>
      <c r="Z1868">
        <v>6</v>
      </c>
      <c r="AA1868">
        <v>81</v>
      </c>
      <c r="AB1868">
        <v>7.4</v>
      </c>
    </row>
    <row r="1869" spans="10:28">
      <c r="J1869" s="340" t="str">
        <f t="shared" si="107"/>
        <v>2006AllSexAllEth251</v>
      </c>
      <c r="K1869">
        <v>2006</v>
      </c>
      <c r="L1869" t="s">
        <v>17</v>
      </c>
      <c r="M1869" t="s">
        <v>27</v>
      </c>
      <c r="N1869">
        <v>25</v>
      </c>
      <c r="O1869">
        <v>1</v>
      </c>
      <c r="P1869">
        <v>9</v>
      </c>
      <c r="Q1869">
        <v>9.1592642759985594</v>
      </c>
      <c r="R1869">
        <v>6</v>
      </c>
      <c r="T1869" s="340" t="str">
        <f t="shared" si="108"/>
        <v>2004MaleNon-Maori22Poisoning by gases and vapours</v>
      </c>
      <c r="U1869">
        <v>2004</v>
      </c>
      <c r="V1869" t="s">
        <v>20</v>
      </c>
      <c r="W1869" t="s">
        <v>19</v>
      </c>
      <c r="X1869">
        <v>22</v>
      </c>
      <c r="Y1869" t="s">
        <v>46</v>
      </c>
      <c r="Z1869">
        <v>14</v>
      </c>
      <c r="AA1869">
        <v>55</v>
      </c>
      <c r="AB1869">
        <v>25.5</v>
      </c>
    </row>
    <row r="1870" spans="10:28">
      <c r="J1870" s="340" t="str">
        <f t="shared" si="107"/>
        <v>2006AllSexAllEth252</v>
      </c>
      <c r="K1870">
        <v>2006</v>
      </c>
      <c r="L1870" t="s">
        <v>17</v>
      </c>
      <c r="M1870" t="s">
        <v>27</v>
      </c>
      <c r="N1870">
        <v>25</v>
      </c>
      <c r="O1870">
        <v>2</v>
      </c>
      <c r="P1870">
        <v>14</v>
      </c>
      <c r="Q1870">
        <v>13.2762762397857</v>
      </c>
      <c r="R1870">
        <v>7</v>
      </c>
      <c r="T1870" s="340" t="str">
        <f t="shared" si="108"/>
        <v>2004MaleNon-Maori23Poisoning by gases and vapours</v>
      </c>
      <c r="U1870">
        <v>2004</v>
      </c>
      <c r="V1870" t="s">
        <v>20</v>
      </c>
      <c r="W1870" t="s">
        <v>19</v>
      </c>
      <c r="X1870">
        <v>23</v>
      </c>
      <c r="Y1870" t="s">
        <v>46</v>
      </c>
      <c r="Z1870">
        <v>30</v>
      </c>
      <c r="AA1870">
        <v>117</v>
      </c>
      <c r="AB1870">
        <v>25.6</v>
      </c>
    </row>
    <row r="1871" spans="10:28">
      <c r="J1871" s="340" t="str">
        <f t="shared" si="107"/>
        <v>2006AllSexAllEth253</v>
      </c>
      <c r="K1871">
        <v>2006</v>
      </c>
      <c r="L1871" t="s">
        <v>17</v>
      </c>
      <c r="M1871" t="s">
        <v>27</v>
      </c>
      <c r="N1871">
        <v>25</v>
      </c>
      <c r="O1871">
        <v>3</v>
      </c>
      <c r="P1871">
        <v>9</v>
      </c>
      <c r="Q1871">
        <v>8.1719220241008195</v>
      </c>
      <c r="R1871">
        <v>5.3</v>
      </c>
      <c r="T1871" s="340" t="str">
        <f t="shared" si="108"/>
        <v>2004MaleNon-Maori24Poisoning by gases and vapours</v>
      </c>
      <c r="U1871">
        <v>2004</v>
      </c>
      <c r="V1871" t="s">
        <v>20</v>
      </c>
      <c r="W1871" t="s">
        <v>19</v>
      </c>
      <c r="X1871">
        <v>24</v>
      </c>
      <c r="Y1871" t="s">
        <v>46</v>
      </c>
      <c r="Z1871">
        <v>25</v>
      </c>
      <c r="AA1871">
        <v>81</v>
      </c>
      <c r="AB1871">
        <v>30.9</v>
      </c>
    </row>
    <row r="1872" spans="10:28">
      <c r="J1872" s="340" t="str">
        <f t="shared" si="107"/>
        <v>2006AllSexAllEth254</v>
      </c>
      <c r="K1872">
        <v>2006</v>
      </c>
      <c r="L1872" t="s">
        <v>17</v>
      </c>
      <c r="M1872" t="s">
        <v>27</v>
      </c>
      <c r="N1872">
        <v>25</v>
      </c>
      <c r="O1872">
        <v>4</v>
      </c>
      <c r="P1872">
        <v>8</v>
      </c>
      <c r="Q1872">
        <v>7.1992076781166601</v>
      </c>
      <c r="R1872">
        <v>5</v>
      </c>
      <c r="T1872" s="340" t="str">
        <f t="shared" si="108"/>
        <v>2004MaleNon-Maori25Poisoning by gases and vapours</v>
      </c>
      <c r="U1872">
        <v>2004</v>
      </c>
      <c r="V1872" t="s">
        <v>20</v>
      </c>
      <c r="W1872" t="s">
        <v>19</v>
      </c>
      <c r="X1872">
        <v>25</v>
      </c>
      <c r="Y1872" t="s">
        <v>46</v>
      </c>
      <c r="Z1872">
        <v>10</v>
      </c>
      <c r="AA1872">
        <v>44</v>
      </c>
      <c r="AB1872">
        <v>22.7</v>
      </c>
    </row>
    <row r="1873" spans="10:28">
      <c r="J1873" s="340" t="str">
        <f t="shared" si="107"/>
        <v>2006AllSexAllEth255</v>
      </c>
      <c r="K1873">
        <v>2006</v>
      </c>
      <c r="L1873" t="s">
        <v>17</v>
      </c>
      <c r="M1873" t="s">
        <v>27</v>
      </c>
      <c r="N1873">
        <v>25</v>
      </c>
      <c r="O1873">
        <v>5</v>
      </c>
      <c r="P1873">
        <v>9</v>
      </c>
      <c r="Q1873">
        <v>10.386482615103199</v>
      </c>
      <c r="R1873">
        <v>6.8</v>
      </c>
      <c r="T1873" s="340" t="str">
        <f t="shared" si="108"/>
        <v>2004MaleNon-Maori22Poisoning by solids and liquids</v>
      </c>
      <c r="U1873">
        <v>2004</v>
      </c>
      <c r="V1873" t="s">
        <v>20</v>
      </c>
      <c r="W1873" t="s">
        <v>19</v>
      </c>
      <c r="X1873">
        <v>22</v>
      </c>
      <c r="Y1873" t="s">
        <v>47</v>
      </c>
      <c r="Z1873">
        <v>3</v>
      </c>
      <c r="AA1873">
        <v>55</v>
      </c>
      <c r="AB1873">
        <v>5.5</v>
      </c>
    </row>
    <row r="1874" spans="10:28">
      <c r="J1874" s="340" t="str">
        <f t="shared" si="107"/>
        <v>2006AllSexMaori211</v>
      </c>
      <c r="K1874">
        <v>2006</v>
      </c>
      <c r="L1874" t="s">
        <v>17</v>
      </c>
      <c r="M1874" t="s">
        <v>18</v>
      </c>
      <c r="N1874">
        <v>21</v>
      </c>
      <c r="O1874">
        <v>1</v>
      </c>
      <c r="P1874">
        <v>1</v>
      </c>
      <c r="Q1874">
        <v>6.1639070910383298</v>
      </c>
      <c r="R1874">
        <v>12.1</v>
      </c>
      <c r="T1874" s="340" t="str">
        <f t="shared" si="108"/>
        <v>2004MaleNon-Maori23Poisoning by solids and liquids</v>
      </c>
      <c r="U1874">
        <v>2004</v>
      </c>
      <c r="V1874" t="s">
        <v>20</v>
      </c>
      <c r="W1874" t="s">
        <v>19</v>
      </c>
      <c r="X1874">
        <v>23</v>
      </c>
      <c r="Y1874" t="s">
        <v>47</v>
      </c>
      <c r="Z1874">
        <v>8</v>
      </c>
      <c r="AA1874">
        <v>117</v>
      </c>
      <c r="AB1874">
        <v>6.8</v>
      </c>
    </row>
    <row r="1875" spans="10:28">
      <c r="J1875" s="340" t="str">
        <f t="shared" si="107"/>
        <v>2006AllSexMaori212</v>
      </c>
      <c r="K1875">
        <v>2006</v>
      </c>
      <c r="L1875" t="s">
        <v>17</v>
      </c>
      <c r="M1875" t="s">
        <v>18</v>
      </c>
      <c r="N1875">
        <v>21</v>
      </c>
      <c r="O1875">
        <v>2</v>
      </c>
      <c r="P1875">
        <v>0</v>
      </c>
      <c r="Q1875">
        <v>0</v>
      </c>
      <c r="T1875" s="340" t="str">
        <f t="shared" si="108"/>
        <v>2004MaleNon-Maori24Poisoning by solids and liquids</v>
      </c>
      <c r="U1875">
        <v>2004</v>
      </c>
      <c r="V1875" t="s">
        <v>20</v>
      </c>
      <c r="W1875" t="s">
        <v>19</v>
      </c>
      <c r="X1875">
        <v>24</v>
      </c>
      <c r="Y1875" t="s">
        <v>47</v>
      </c>
      <c r="Z1875">
        <v>5</v>
      </c>
      <c r="AA1875">
        <v>81</v>
      </c>
      <c r="AB1875">
        <v>6.2</v>
      </c>
    </row>
    <row r="1876" spans="10:28">
      <c r="J1876" s="340" t="str">
        <f t="shared" si="107"/>
        <v>2006AllSexMaori213</v>
      </c>
      <c r="K1876">
        <v>2006</v>
      </c>
      <c r="L1876" t="s">
        <v>17</v>
      </c>
      <c r="M1876" t="s">
        <v>18</v>
      </c>
      <c r="N1876">
        <v>21</v>
      </c>
      <c r="O1876">
        <v>3</v>
      </c>
      <c r="P1876">
        <v>0</v>
      </c>
      <c r="Q1876">
        <v>0</v>
      </c>
      <c r="T1876" s="340" t="str">
        <f t="shared" si="108"/>
        <v>2004MaleNon-Maori25Poisoning by solids and liquids</v>
      </c>
      <c r="U1876">
        <v>2004</v>
      </c>
      <c r="V1876" t="s">
        <v>20</v>
      </c>
      <c r="W1876" t="s">
        <v>19</v>
      </c>
      <c r="X1876">
        <v>25</v>
      </c>
      <c r="Y1876" t="s">
        <v>47</v>
      </c>
      <c r="Z1876">
        <v>3</v>
      </c>
      <c r="AA1876">
        <v>44</v>
      </c>
      <c r="AB1876">
        <v>6.8</v>
      </c>
    </row>
    <row r="1877" spans="10:28">
      <c r="J1877" s="340" t="str">
        <f t="shared" si="107"/>
        <v>2006AllSexMaori214</v>
      </c>
      <c r="K1877">
        <v>2006</v>
      </c>
      <c r="L1877" t="s">
        <v>17</v>
      </c>
      <c r="M1877" t="s">
        <v>18</v>
      </c>
      <c r="N1877">
        <v>21</v>
      </c>
      <c r="O1877">
        <v>4</v>
      </c>
      <c r="P1877">
        <v>1</v>
      </c>
      <c r="Q1877">
        <v>2.01837167779868</v>
      </c>
      <c r="R1877">
        <v>4</v>
      </c>
      <c r="T1877" s="340" t="str">
        <f t="shared" si="108"/>
        <v>2004MaleNon-Maori25Sharp object</v>
      </c>
      <c r="U1877">
        <v>2004</v>
      </c>
      <c r="V1877" t="s">
        <v>20</v>
      </c>
      <c r="W1877" t="s">
        <v>19</v>
      </c>
      <c r="X1877">
        <v>25</v>
      </c>
      <c r="Y1877" t="s">
        <v>48</v>
      </c>
      <c r="Z1877">
        <v>2</v>
      </c>
      <c r="AA1877">
        <v>44</v>
      </c>
      <c r="AB1877">
        <v>4.5</v>
      </c>
    </row>
    <row r="1878" spans="10:28">
      <c r="J1878" s="340" t="str">
        <f t="shared" si="107"/>
        <v>2006AllSexMaori215</v>
      </c>
      <c r="K1878">
        <v>2006</v>
      </c>
      <c r="L1878" t="s">
        <v>17</v>
      </c>
      <c r="M1878" t="s">
        <v>18</v>
      </c>
      <c r="N1878">
        <v>21</v>
      </c>
      <c r="O1878">
        <v>5</v>
      </c>
      <c r="P1878">
        <v>2</v>
      </c>
      <c r="Q1878">
        <v>2.1531323100783899</v>
      </c>
      <c r="R1878">
        <v>3</v>
      </c>
      <c r="T1878" s="340" t="str">
        <f t="shared" si="108"/>
        <v>2004MaleNon-Maori22Submersion (drowning)</v>
      </c>
      <c r="U1878">
        <v>2004</v>
      </c>
      <c r="V1878" t="s">
        <v>20</v>
      </c>
      <c r="W1878" t="s">
        <v>19</v>
      </c>
      <c r="X1878">
        <v>22</v>
      </c>
      <c r="Y1878" t="s">
        <v>49</v>
      </c>
      <c r="Z1878">
        <v>1</v>
      </c>
      <c r="AA1878">
        <v>55</v>
      </c>
      <c r="AB1878">
        <v>1.8</v>
      </c>
    </row>
    <row r="1879" spans="10:28">
      <c r="J1879" s="340" t="str">
        <f t="shared" si="107"/>
        <v>2006AllSexMaori221</v>
      </c>
      <c r="K1879">
        <v>2006</v>
      </c>
      <c r="L1879" t="s">
        <v>17</v>
      </c>
      <c r="M1879" t="s">
        <v>18</v>
      </c>
      <c r="N1879">
        <v>22</v>
      </c>
      <c r="O1879">
        <v>1</v>
      </c>
      <c r="P1879">
        <v>2</v>
      </c>
      <c r="Q1879">
        <v>24.054133273759199</v>
      </c>
      <c r="R1879">
        <v>33.299999999999997</v>
      </c>
      <c r="T1879" s="340" t="str">
        <f t="shared" si="108"/>
        <v>2004MaleNon-Maori23Submersion (drowning)</v>
      </c>
      <c r="U1879">
        <v>2004</v>
      </c>
      <c r="V1879" t="s">
        <v>20</v>
      </c>
      <c r="W1879" t="s">
        <v>19</v>
      </c>
      <c r="X1879">
        <v>23</v>
      </c>
      <c r="Y1879" t="s">
        <v>49</v>
      </c>
      <c r="Z1879">
        <v>3</v>
      </c>
      <c r="AA1879">
        <v>117</v>
      </c>
      <c r="AB1879">
        <v>2.6</v>
      </c>
    </row>
    <row r="1880" spans="10:28">
      <c r="J1880" s="340" t="str">
        <f t="shared" si="107"/>
        <v>2006AllSexMaori222</v>
      </c>
      <c r="K1880">
        <v>2006</v>
      </c>
      <c r="L1880" t="s">
        <v>17</v>
      </c>
      <c r="M1880" t="s">
        <v>18</v>
      </c>
      <c r="N1880">
        <v>22</v>
      </c>
      <c r="O1880">
        <v>2</v>
      </c>
      <c r="P1880">
        <v>4</v>
      </c>
      <c r="Q1880">
        <v>32.406041825372299</v>
      </c>
      <c r="R1880">
        <v>31.8</v>
      </c>
      <c r="T1880" s="340" t="str">
        <f t="shared" si="108"/>
        <v>2004MaleNon-Maori24Submersion (drowning)</v>
      </c>
      <c r="U1880">
        <v>2004</v>
      </c>
      <c r="V1880" t="s">
        <v>20</v>
      </c>
      <c r="W1880" t="s">
        <v>19</v>
      </c>
      <c r="X1880">
        <v>24</v>
      </c>
      <c r="Y1880" t="s">
        <v>49</v>
      </c>
      <c r="Z1880">
        <v>1</v>
      </c>
      <c r="AA1880">
        <v>81</v>
      </c>
      <c r="AB1880">
        <v>1.2</v>
      </c>
    </row>
    <row r="1881" spans="10:28">
      <c r="J1881" s="340" t="str">
        <f t="shared" si="107"/>
        <v>2006AllSexMaori223</v>
      </c>
      <c r="K1881">
        <v>2006</v>
      </c>
      <c r="L1881" t="s">
        <v>17</v>
      </c>
      <c r="M1881" t="s">
        <v>18</v>
      </c>
      <c r="N1881">
        <v>22</v>
      </c>
      <c r="O1881">
        <v>3</v>
      </c>
      <c r="P1881">
        <v>3</v>
      </c>
      <c r="Q1881">
        <v>16.0266775736361</v>
      </c>
      <c r="R1881">
        <v>18.100000000000001</v>
      </c>
      <c r="T1881" s="340" t="str">
        <f t="shared" si="108"/>
        <v>2004MaleNon-Maori25Submersion (drowning)</v>
      </c>
      <c r="U1881">
        <v>2004</v>
      </c>
      <c r="V1881" t="s">
        <v>20</v>
      </c>
      <c r="W1881" t="s">
        <v>19</v>
      </c>
      <c r="X1881">
        <v>25</v>
      </c>
      <c r="Y1881" t="s">
        <v>49</v>
      </c>
      <c r="Z1881">
        <v>3</v>
      </c>
      <c r="AA1881">
        <v>44</v>
      </c>
      <c r="AB1881">
        <v>6.8</v>
      </c>
    </row>
    <row r="1882" spans="10:28">
      <c r="J1882" s="340" t="str">
        <f t="shared" si="107"/>
        <v>2006AllSexMaori224</v>
      </c>
      <c r="K1882">
        <v>2006</v>
      </c>
      <c r="L1882" t="s">
        <v>17</v>
      </c>
      <c r="M1882" t="s">
        <v>18</v>
      </c>
      <c r="N1882">
        <v>22</v>
      </c>
      <c r="O1882">
        <v>4</v>
      </c>
      <c r="P1882">
        <v>6</v>
      </c>
      <c r="Q1882">
        <v>21.610033842048999</v>
      </c>
      <c r="R1882">
        <v>17.3</v>
      </c>
      <c r="T1882" s="340" t="str">
        <f t="shared" si="108"/>
        <v>2005AllSexAllEth22Firearms and explosives</v>
      </c>
      <c r="U1882">
        <v>2005</v>
      </c>
      <c r="V1882" t="s">
        <v>17</v>
      </c>
      <c r="W1882" t="s">
        <v>27</v>
      </c>
      <c r="X1882">
        <v>22</v>
      </c>
      <c r="Y1882" t="s">
        <v>42</v>
      </c>
      <c r="Z1882">
        <v>10</v>
      </c>
      <c r="AA1882">
        <v>109</v>
      </c>
      <c r="AB1882">
        <v>9.1999999999999993</v>
      </c>
    </row>
    <row r="1883" spans="10:28">
      <c r="J1883" s="340" t="str">
        <f t="shared" si="107"/>
        <v>2006AllSexMaori225</v>
      </c>
      <c r="K1883">
        <v>2006</v>
      </c>
      <c r="L1883" t="s">
        <v>17</v>
      </c>
      <c r="M1883" t="s">
        <v>18</v>
      </c>
      <c r="N1883">
        <v>22</v>
      </c>
      <c r="O1883">
        <v>5</v>
      </c>
      <c r="P1883">
        <v>21</v>
      </c>
      <c r="Q1883">
        <v>42.9198812555736</v>
      </c>
      <c r="R1883">
        <v>18.399999999999999</v>
      </c>
      <c r="T1883" s="340" t="str">
        <f t="shared" si="108"/>
        <v>2005AllSexAllEth23Firearms and explosives</v>
      </c>
      <c r="U1883">
        <v>2005</v>
      </c>
      <c r="V1883" t="s">
        <v>17</v>
      </c>
      <c r="W1883" t="s">
        <v>27</v>
      </c>
      <c r="X1883">
        <v>23</v>
      </c>
      <c r="Y1883" t="s">
        <v>42</v>
      </c>
      <c r="Z1883">
        <v>13</v>
      </c>
      <c r="AA1883">
        <v>219</v>
      </c>
      <c r="AB1883">
        <v>5.9</v>
      </c>
    </row>
    <row r="1884" spans="10:28">
      <c r="J1884" s="340" t="str">
        <f t="shared" si="107"/>
        <v>2006AllSexMaori231</v>
      </c>
      <c r="K1884">
        <v>2006</v>
      </c>
      <c r="L1884" t="s">
        <v>17</v>
      </c>
      <c r="M1884" t="s">
        <v>18</v>
      </c>
      <c r="N1884">
        <v>23</v>
      </c>
      <c r="O1884">
        <v>1</v>
      </c>
      <c r="P1884">
        <v>4</v>
      </c>
      <c r="Q1884">
        <v>28.633326295511502</v>
      </c>
      <c r="R1884">
        <v>28.1</v>
      </c>
      <c r="T1884" s="340" t="str">
        <f t="shared" si="108"/>
        <v>2005AllSexAllEth24Firearms and explosives</v>
      </c>
      <c r="U1884">
        <v>2005</v>
      </c>
      <c r="V1884" t="s">
        <v>17</v>
      </c>
      <c r="W1884" t="s">
        <v>27</v>
      </c>
      <c r="X1884">
        <v>24</v>
      </c>
      <c r="Y1884" t="s">
        <v>42</v>
      </c>
      <c r="Z1884">
        <v>14</v>
      </c>
      <c r="AA1884">
        <v>136</v>
      </c>
      <c r="AB1884">
        <v>10.3</v>
      </c>
    </row>
    <row r="1885" spans="10:28">
      <c r="J1885" s="340" t="str">
        <f t="shared" si="107"/>
        <v>2006AllSexMaori232</v>
      </c>
      <c r="K1885">
        <v>2006</v>
      </c>
      <c r="L1885" t="s">
        <v>17</v>
      </c>
      <c r="M1885" t="s">
        <v>18</v>
      </c>
      <c r="N1885">
        <v>23</v>
      </c>
      <c r="O1885">
        <v>2</v>
      </c>
      <c r="P1885">
        <v>1</v>
      </c>
      <c r="Q1885">
        <v>4.9287745736890498</v>
      </c>
      <c r="R1885">
        <v>9.6999999999999993</v>
      </c>
      <c r="T1885" s="340" t="str">
        <f t="shared" si="108"/>
        <v>2005AllSexAllEth25Firearms and explosives</v>
      </c>
      <c r="U1885">
        <v>2005</v>
      </c>
      <c r="V1885" t="s">
        <v>17</v>
      </c>
      <c r="W1885" t="s">
        <v>27</v>
      </c>
      <c r="X1885">
        <v>25</v>
      </c>
      <c r="Y1885" t="s">
        <v>42</v>
      </c>
      <c r="Z1885">
        <v>7</v>
      </c>
      <c r="AA1885">
        <v>48</v>
      </c>
      <c r="AB1885">
        <v>14.6</v>
      </c>
    </row>
    <row r="1886" spans="10:28">
      <c r="J1886" s="340" t="str">
        <f t="shared" si="107"/>
        <v>2006AllSexMaori233</v>
      </c>
      <c r="K1886">
        <v>2006</v>
      </c>
      <c r="L1886" t="s">
        <v>17</v>
      </c>
      <c r="M1886" t="s">
        <v>18</v>
      </c>
      <c r="N1886">
        <v>23</v>
      </c>
      <c r="O1886">
        <v>3</v>
      </c>
      <c r="P1886">
        <v>8</v>
      </c>
      <c r="Q1886">
        <v>28.213102658346202</v>
      </c>
      <c r="R1886">
        <v>19.600000000000001</v>
      </c>
      <c r="T1886" s="340" t="str">
        <f t="shared" si="108"/>
        <v>2005AllSexAllEth21Hanging, strangulation and suffocation</v>
      </c>
      <c r="U1886">
        <v>2005</v>
      </c>
      <c r="V1886" t="s">
        <v>17</v>
      </c>
      <c r="W1886" t="s">
        <v>27</v>
      </c>
      <c r="X1886">
        <v>21</v>
      </c>
      <c r="Y1886" t="s">
        <v>43</v>
      </c>
      <c r="Z1886">
        <v>3</v>
      </c>
      <c r="AA1886">
        <v>3</v>
      </c>
      <c r="AB1886">
        <v>100</v>
      </c>
    </row>
    <row r="1887" spans="10:28">
      <c r="J1887" s="340" t="str">
        <f t="shared" si="107"/>
        <v>2006AllSexMaori234</v>
      </c>
      <c r="K1887">
        <v>2006</v>
      </c>
      <c r="L1887" t="s">
        <v>17</v>
      </c>
      <c r="M1887" t="s">
        <v>18</v>
      </c>
      <c r="N1887">
        <v>23</v>
      </c>
      <c r="O1887">
        <v>4</v>
      </c>
      <c r="P1887">
        <v>15</v>
      </c>
      <c r="Q1887">
        <v>36.975990176230503</v>
      </c>
      <c r="R1887">
        <v>18.7</v>
      </c>
      <c r="T1887" s="340" t="str">
        <f t="shared" si="108"/>
        <v>2005AllSexAllEth22Hanging, strangulation and suffocation</v>
      </c>
      <c r="U1887">
        <v>2005</v>
      </c>
      <c r="V1887" t="s">
        <v>17</v>
      </c>
      <c r="W1887" t="s">
        <v>27</v>
      </c>
      <c r="X1887">
        <v>22</v>
      </c>
      <c r="Y1887" t="s">
        <v>43</v>
      </c>
      <c r="Z1887">
        <v>79</v>
      </c>
      <c r="AA1887">
        <v>109</v>
      </c>
      <c r="AB1887">
        <v>72.5</v>
      </c>
    </row>
    <row r="1888" spans="10:28">
      <c r="J1888" s="340" t="str">
        <f t="shared" si="107"/>
        <v>2006AllSexMaori235</v>
      </c>
      <c r="K1888">
        <v>2006</v>
      </c>
      <c r="L1888" t="s">
        <v>17</v>
      </c>
      <c r="M1888" t="s">
        <v>18</v>
      </c>
      <c r="N1888">
        <v>23</v>
      </c>
      <c r="O1888">
        <v>5</v>
      </c>
      <c r="P1888">
        <v>25</v>
      </c>
      <c r="Q1888">
        <v>37.4258437587253</v>
      </c>
      <c r="R1888">
        <v>14.7</v>
      </c>
      <c r="T1888" s="340" t="str">
        <f t="shared" si="108"/>
        <v>2005AllSexAllEth23Hanging, strangulation and suffocation</v>
      </c>
      <c r="U1888">
        <v>2005</v>
      </c>
      <c r="V1888" t="s">
        <v>17</v>
      </c>
      <c r="W1888" t="s">
        <v>27</v>
      </c>
      <c r="X1888">
        <v>23</v>
      </c>
      <c r="Y1888" t="s">
        <v>43</v>
      </c>
      <c r="Z1888">
        <v>105</v>
      </c>
      <c r="AA1888">
        <v>219</v>
      </c>
      <c r="AB1888">
        <v>47.9</v>
      </c>
    </row>
    <row r="1889" spans="10:28">
      <c r="J1889" s="340" t="str">
        <f t="shared" si="107"/>
        <v>2006AllSexMaori241</v>
      </c>
      <c r="K1889">
        <v>2006</v>
      </c>
      <c r="L1889" t="s">
        <v>17</v>
      </c>
      <c r="M1889" t="s">
        <v>18</v>
      </c>
      <c r="N1889">
        <v>24</v>
      </c>
      <c r="O1889">
        <v>1</v>
      </c>
      <c r="P1889">
        <v>1</v>
      </c>
      <c r="Q1889">
        <v>12.071181636857901</v>
      </c>
      <c r="R1889">
        <v>23.7</v>
      </c>
      <c r="T1889" s="340" t="str">
        <f t="shared" si="108"/>
        <v>2005AllSexAllEth24Hanging, strangulation and suffocation</v>
      </c>
      <c r="U1889">
        <v>2005</v>
      </c>
      <c r="V1889" t="s">
        <v>17</v>
      </c>
      <c r="W1889" t="s">
        <v>27</v>
      </c>
      <c r="X1889">
        <v>24</v>
      </c>
      <c r="Y1889" t="s">
        <v>43</v>
      </c>
      <c r="Z1889">
        <v>54</v>
      </c>
      <c r="AA1889">
        <v>136</v>
      </c>
      <c r="AB1889">
        <v>39.700000000000003</v>
      </c>
    </row>
    <row r="1890" spans="10:28">
      <c r="J1890" s="340" t="str">
        <f t="shared" si="107"/>
        <v>2006AllSexMaori242</v>
      </c>
      <c r="K1890">
        <v>2006</v>
      </c>
      <c r="L1890" t="s">
        <v>17</v>
      </c>
      <c r="M1890" t="s">
        <v>18</v>
      </c>
      <c r="N1890">
        <v>24</v>
      </c>
      <c r="O1890">
        <v>2</v>
      </c>
      <c r="P1890">
        <v>2</v>
      </c>
      <c r="Q1890">
        <v>17.980656634887598</v>
      </c>
      <c r="R1890">
        <v>24.9</v>
      </c>
      <c r="T1890" s="340" t="str">
        <f t="shared" si="108"/>
        <v>2005AllSexAllEth25Hanging, strangulation and suffocation</v>
      </c>
      <c r="U1890">
        <v>2005</v>
      </c>
      <c r="V1890" t="s">
        <v>17</v>
      </c>
      <c r="W1890" t="s">
        <v>27</v>
      </c>
      <c r="X1890">
        <v>25</v>
      </c>
      <c r="Y1890" t="s">
        <v>43</v>
      </c>
      <c r="Z1890">
        <v>15</v>
      </c>
      <c r="AA1890">
        <v>48</v>
      </c>
      <c r="AB1890">
        <v>31.2</v>
      </c>
    </row>
    <row r="1891" spans="10:28">
      <c r="J1891" s="340" t="str">
        <f t="shared" si="107"/>
        <v>2006AllSexMaori243</v>
      </c>
      <c r="K1891">
        <v>2006</v>
      </c>
      <c r="L1891" t="s">
        <v>17</v>
      </c>
      <c r="M1891" t="s">
        <v>18</v>
      </c>
      <c r="N1891">
        <v>24</v>
      </c>
      <c r="O1891">
        <v>3</v>
      </c>
      <c r="P1891">
        <v>1</v>
      </c>
      <c r="Q1891">
        <v>6.4527493280889399</v>
      </c>
      <c r="R1891">
        <v>12.6</v>
      </c>
      <c r="T1891" s="340" t="str">
        <f t="shared" si="108"/>
        <v>2005AllSexAllEth22Jumping from a high place</v>
      </c>
      <c r="U1891">
        <v>2005</v>
      </c>
      <c r="V1891" t="s">
        <v>17</v>
      </c>
      <c r="W1891" t="s">
        <v>27</v>
      </c>
      <c r="X1891">
        <v>22</v>
      </c>
      <c r="Y1891" t="s">
        <v>44</v>
      </c>
      <c r="Z1891">
        <v>3</v>
      </c>
      <c r="AA1891">
        <v>109</v>
      </c>
      <c r="AB1891">
        <v>2.8</v>
      </c>
    </row>
    <row r="1892" spans="10:28">
      <c r="J1892" s="340" t="str">
        <f t="shared" si="107"/>
        <v>2006AllSexMaori244</v>
      </c>
      <c r="K1892">
        <v>2006</v>
      </c>
      <c r="L1892" t="s">
        <v>17</v>
      </c>
      <c r="M1892" t="s">
        <v>18</v>
      </c>
      <c r="N1892">
        <v>24</v>
      </c>
      <c r="O1892">
        <v>4</v>
      </c>
      <c r="P1892">
        <v>2</v>
      </c>
      <c r="Q1892">
        <v>8.8891586525948192</v>
      </c>
      <c r="R1892">
        <v>12.3</v>
      </c>
      <c r="T1892" s="340" t="str">
        <f t="shared" si="108"/>
        <v>2005AllSexAllEth23Jumping from a high place</v>
      </c>
      <c r="U1892">
        <v>2005</v>
      </c>
      <c r="V1892" t="s">
        <v>17</v>
      </c>
      <c r="W1892" t="s">
        <v>27</v>
      </c>
      <c r="X1892">
        <v>23</v>
      </c>
      <c r="Y1892" t="s">
        <v>44</v>
      </c>
      <c r="Z1892">
        <v>7</v>
      </c>
      <c r="AA1892">
        <v>219</v>
      </c>
      <c r="AB1892">
        <v>3.2</v>
      </c>
    </row>
    <row r="1893" spans="10:28">
      <c r="J1893" s="340" t="str">
        <f t="shared" si="107"/>
        <v>2006AllSexMaori245</v>
      </c>
      <c r="K1893">
        <v>2006</v>
      </c>
      <c r="L1893" t="s">
        <v>17</v>
      </c>
      <c r="M1893" t="s">
        <v>18</v>
      </c>
      <c r="N1893">
        <v>24</v>
      </c>
      <c r="O1893">
        <v>5</v>
      </c>
      <c r="P1893">
        <v>6</v>
      </c>
      <c r="Q1893">
        <v>15.0503603258955</v>
      </c>
      <c r="R1893">
        <v>12</v>
      </c>
      <c r="T1893" s="340" t="str">
        <f t="shared" si="108"/>
        <v>2005AllSexAllEth24Jumping from a high place</v>
      </c>
      <c r="U1893">
        <v>2005</v>
      </c>
      <c r="V1893" t="s">
        <v>17</v>
      </c>
      <c r="W1893" t="s">
        <v>27</v>
      </c>
      <c r="X1893">
        <v>24</v>
      </c>
      <c r="Y1893" t="s">
        <v>44</v>
      </c>
      <c r="Z1893">
        <v>3</v>
      </c>
      <c r="AA1893">
        <v>136</v>
      </c>
      <c r="AB1893">
        <v>2.2000000000000002</v>
      </c>
    </row>
    <row r="1894" spans="10:28">
      <c r="J1894" s="340" t="str">
        <f t="shared" si="107"/>
        <v>2006AllSexMaori251</v>
      </c>
      <c r="K1894">
        <v>2006</v>
      </c>
      <c r="L1894" t="s">
        <v>17</v>
      </c>
      <c r="M1894" t="s">
        <v>18</v>
      </c>
      <c r="N1894">
        <v>25</v>
      </c>
      <c r="O1894">
        <v>1</v>
      </c>
      <c r="P1894">
        <v>0</v>
      </c>
      <c r="Q1894">
        <v>0</v>
      </c>
      <c r="T1894" s="340" t="str">
        <f t="shared" si="108"/>
        <v>2005AllSexAllEth25Jumping from a high place</v>
      </c>
      <c r="U1894">
        <v>2005</v>
      </c>
      <c r="V1894" t="s">
        <v>17</v>
      </c>
      <c r="W1894" t="s">
        <v>27</v>
      </c>
      <c r="X1894">
        <v>25</v>
      </c>
      <c r="Y1894" t="s">
        <v>44</v>
      </c>
      <c r="Z1894">
        <v>2</v>
      </c>
      <c r="AA1894">
        <v>48</v>
      </c>
      <c r="AB1894">
        <v>4.2</v>
      </c>
    </row>
    <row r="1895" spans="10:28">
      <c r="J1895" s="340" t="str">
        <f t="shared" si="107"/>
        <v>2006AllSexMaori252</v>
      </c>
      <c r="K1895">
        <v>2006</v>
      </c>
      <c r="L1895" t="s">
        <v>17</v>
      </c>
      <c r="M1895" t="s">
        <v>18</v>
      </c>
      <c r="N1895">
        <v>25</v>
      </c>
      <c r="O1895">
        <v>2</v>
      </c>
      <c r="P1895">
        <v>0</v>
      </c>
      <c r="Q1895">
        <v>0</v>
      </c>
      <c r="T1895" s="340" t="str">
        <f t="shared" si="108"/>
        <v>2005AllSexAllEth22Other</v>
      </c>
      <c r="U1895">
        <v>2005</v>
      </c>
      <c r="V1895" t="s">
        <v>17</v>
      </c>
      <c r="W1895" t="s">
        <v>27</v>
      </c>
      <c r="X1895">
        <v>22</v>
      </c>
      <c r="Y1895" t="s">
        <v>45</v>
      </c>
      <c r="Z1895">
        <v>4</v>
      </c>
      <c r="AA1895">
        <v>109</v>
      </c>
      <c r="AB1895">
        <v>3.7</v>
      </c>
    </row>
    <row r="1896" spans="10:28">
      <c r="J1896" s="340" t="str">
        <f t="shared" si="107"/>
        <v>2006AllSexMaori253</v>
      </c>
      <c r="K1896">
        <v>2006</v>
      </c>
      <c r="L1896" t="s">
        <v>17</v>
      </c>
      <c r="M1896" t="s">
        <v>18</v>
      </c>
      <c r="N1896">
        <v>25</v>
      </c>
      <c r="O1896">
        <v>3</v>
      </c>
      <c r="P1896">
        <v>1</v>
      </c>
      <c r="Q1896">
        <v>24.891237093260099</v>
      </c>
      <c r="R1896">
        <v>48.8</v>
      </c>
      <c r="T1896" s="340" t="str">
        <f t="shared" si="108"/>
        <v>2005AllSexAllEth23Other</v>
      </c>
      <c r="U1896">
        <v>2005</v>
      </c>
      <c r="V1896" t="s">
        <v>17</v>
      </c>
      <c r="W1896" t="s">
        <v>27</v>
      </c>
      <c r="X1896">
        <v>23</v>
      </c>
      <c r="Y1896" t="s">
        <v>45</v>
      </c>
      <c r="Z1896">
        <v>6</v>
      </c>
      <c r="AA1896">
        <v>219</v>
      </c>
      <c r="AB1896">
        <v>2.7</v>
      </c>
    </row>
    <row r="1897" spans="10:28">
      <c r="J1897" s="340" t="str">
        <f t="shared" si="107"/>
        <v>2006AllSexMaori254</v>
      </c>
      <c r="K1897">
        <v>2006</v>
      </c>
      <c r="L1897" t="s">
        <v>17</v>
      </c>
      <c r="M1897" t="s">
        <v>18</v>
      </c>
      <c r="N1897">
        <v>25</v>
      </c>
      <c r="O1897">
        <v>4</v>
      </c>
      <c r="P1897">
        <v>0</v>
      </c>
      <c r="Q1897">
        <v>0</v>
      </c>
      <c r="T1897" s="340" t="str">
        <f t="shared" si="108"/>
        <v>2005AllSexAllEth25Other</v>
      </c>
      <c r="U1897">
        <v>2005</v>
      </c>
      <c r="V1897" t="s">
        <v>17</v>
      </c>
      <c r="W1897" t="s">
        <v>27</v>
      </c>
      <c r="X1897">
        <v>25</v>
      </c>
      <c r="Y1897" t="s">
        <v>45</v>
      </c>
      <c r="Z1897">
        <v>3</v>
      </c>
      <c r="AA1897">
        <v>48</v>
      </c>
      <c r="AB1897">
        <v>6.2</v>
      </c>
    </row>
    <row r="1898" spans="10:28">
      <c r="J1898" s="340" t="str">
        <f t="shared" si="107"/>
        <v>2006AllSexMaori255</v>
      </c>
      <c r="K1898">
        <v>2006</v>
      </c>
      <c r="L1898" t="s">
        <v>17</v>
      </c>
      <c r="M1898" t="s">
        <v>18</v>
      </c>
      <c r="N1898">
        <v>25</v>
      </c>
      <c r="O1898">
        <v>5</v>
      </c>
      <c r="P1898">
        <v>0</v>
      </c>
      <c r="Q1898">
        <v>0</v>
      </c>
      <c r="T1898" s="340" t="str">
        <f t="shared" si="108"/>
        <v>2005AllSexAllEth22Poisoning by gases and vapours</v>
      </c>
      <c r="U1898">
        <v>2005</v>
      </c>
      <c r="V1898" t="s">
        <v>17</v>
      </c>
      <c r="W1898" t="s">
        <v>27</v>
      </c>
      <c r="X1898">
        <v>22</v>
      </c>
      <c r="Y1898" t="s">
        <v>46</v>
      </c>
      <c r="Z1898">
        <v>10</v>
      </c>
      <c r="AA1898">
        <v>109</v>
      </c>
      <c r="AB1898">
        <v>9.1999999999999993</v>
      </c>
    </row>
    <row r="1899" spans="10:28">
      <c r="J1899" s="340" t="str">
        <f t="shared" si="107"/>
        <v>2006AllSexNon-Maori211</v>
      </c>
      <c r="K1899">
        <v>2006</v>
      </c>
      <c r="L1899" t="s">
        <v>17</v>
      </c>
      <c r="M1899" t="s">
        <v>19</v>
      </c>
      <c r="N1899">
        <v>21</v>
      </c>
      <c r="O1899">
        <v>1</v>
      </c>
      <c r="P1899">
        <v>0</v>
      </c>
      <c r="Q1899">
        <v>0</v>
      </c>
      <c r="T1899" s="340" t="str">
        <f t="shared" si="108"/>
        <v>2005AllSexAllEth23Poisoning by gases and vapours</v>
      </c>
      <c r="U1899">
        <v>2005</v>
      </c>
      <c r="V1899" t="s">
        <v>17</v>
      </c>
      <c r="W1899" t="s">
        <v>27</v>
      </c>
      <c r="X1899">
        <v>23</v>
      </c>
      <c r="Y1899" t="s">
        <v>46</v>
      </c>
      <c r="Z1899">
        <v>57</v>
      </c>
      <c r="AA1899">
        <v>219</v>
      </c>
      <c r="AB1899">
        <v>26</v>
      </c>
    </row>
    <row r="1900" spans="10:28">
      <c r="J1900" s="340" t="str">
        <f t="shared" si="107"/>
        <v>2006AllSexNon-Maori212</v>
      </c>
      <c r="K1900">
        <v>2006</v>
      </c>
      <c r="L1900" t="s">
        <v>17</v>
      </c>
      <c r="M1900" t="s">
        <v>19</v>
      </c>
      <c r="N1900">
        <v>21</v>
      </c>
      <c r="O1900">
        <v>2</v>
      </c>
      <c r="P1900">
        <v>1</v>
      </c>
      <c r="Q1900">
        <v>0.68158262455738505</v>
      </c>
      <c r="R1900">
        <v>1.3</v>
      </c>
      <c r="T1900" s="340" t="str">
        <f t="shared" si="108"/>
        <v>2005AllSexAllEth24Poisoning by gases and vapours</v>
      </c>
      <c r="U1900">
        <v>2005</v>
      </c>
      <c r="V1900" t="s">
        <v>17</v>
      </c>
      <c r="W1900" t="s">
        <v>27</v>
      </c>
      <c r="X1900">
        <v>24</v>
      </c>
      <c r="Y1900" t="s">
        <v>46</v>
      </c>
      <c r="Z1900">
        <v>33</v>
      </c>
      <c r="AA1900">
        <v>136</v>
      </c>
      <c r="AB1900">
        <v>24.3</v>
      </c>
    </row>
    <row r="1901" spans="10:28">
      <c r="J1901" s="340" t="str">
        <f t="shared" si="107"/>
        <v>2006AllSexNon-Maori213</v>
      </c>
      <c r="K1901">
        <v>2006</v>
      </c>
      <c r="L1901" t="s">
        <v>17</v>
      </c>
      <c r="M1901" t="s">
        <v>19</v>
      </c>
      <c r="N1901">
        <v>21</v>
      </c>
      <c r="O1901">
        <v>3</v>
      </c>
      <c r="P1901">
        <v>1</v>
      </c>
      <c r="Q1901">
        <v>0.76621270501041705</v>
      </c>
      <c r="R1901">
        <v>1.5</v>
      </c>
      <c r="T1901" s="340" t="str">
        <f t="shared" si="108"/>
        <v>2005AllSexAllEth25Poisoning by gases and vapours</v>
      </c>
      <c r="U1901">
        <v>2005</v>
      </c>
      <c r="V1901" t="s">
        <v>17</v>
      </c>
      <c r="W1901" t="s">
        <v>27</v>
      </c>
      <c r="X1901">
        <v>25</v>
      </c>
      <c r="Y1901" t="s">
        <v>46</v>
      </c>
      <c r="Z1901">
        <v>10</v>
      </c>
      <c r="AA1901">
        <v>48</v>
      </c>
      <c r="AB1901">
        <v>20.8</v>
      </c>
    </row>
    <row r="1902" spans="10:28">
      <c r="J1902" s="340" t="str">
        <f t="shared" si="107"/>
        <v>2006AllSexNon-Maori214</v>
      </c>
      <c r="K1902">
        <v>2006</v>
      </c>
      <c r="L1902" t="s">
        <v>17</v>
      </c>
      <c r="M1902" t="s">
        <v>19</v>
      </c>
      <c r="N1902">
        <v>21</v>
      </c>
      <c r="O1902">
        <v>4</v>
      </c>
      <c r="P1902">
        <v>0</v>
      </c>
      <c r="Q1902">
        <v>0</v>
      </c>
      <c r="T1902" s="340" t="str">
        <f t="shared" si="108"/>
        <v>2005AllSexAllEth22Poisoning by solids and liquids</v>
      </c>
      <c r="U1902">
        <v>2005</v>
      </c>
      <c r="V1902" t="s">
        <v>17</v>
      </c>
      <c r="W1902" t="s">
        <v>27</v>
      </c>
      <c r="X1902">
        <v>22</v>
      </c>
      <c r="Y1902" t="s">
        <v>47</v>
      </c>
      <c r="Z1902">
        <v>3</v>
      </c>
      <c r="AA1902">
        <v>109</v>
      </c>
      <c r="AB1902">
        <v>2.8</v>
      </c>
    </row>
    <row r="1903" spans="10:28">
      <c r="J1903" s="340" t="str">
        <f t="shared" si="107"/>
        <v>2006AllSexNon-Maori215</v>
      </c>
      <c r="K1903">
        <v>2006</v>
      </c>
      <c r="L1903" t="s">
        <v>17</v>
      </c>
      <c r="M1903" t="s">
        <v>19</v>
      </c>
      <c r="N1903">
        <v>21</v>
      </c>
      <c r="O1903">
        <v>5</v>
      </c>
      <c r="P1903">
        <v>0</v>
      </c>
      <c r="Q1903">
        <v>0</v>
      </c>
      <c r="T1903" s="340" t="str">
        <f t="shared" si="108"/>
        <v>2005AllSexAllEth23Poisoning by solids and liquids</v>
      </c>
      <c r="U1903">
        <v>2005</v>
      </c>
      <c r="V1903" t="s">
        <v>17</v>
      </c>
      <c r="W1903" t="s">
        <v>27</v>
      </c>
      <c r="X1903">
        <v>23</v>
      </c>
      <c r="Y1903" t="s">
        <v>47</v>
      </c>
      <c r="Z1903">
        <v>22</v>
      </c>
      <c r="AA1903">
        <v>219</v>
      </c>
      <c r="AB1903">
        <v>10</v>
      </c>
    </row>
    <row r="1904" spans="10:28">
      <c r="J1904" s="340" t="str">
        <f t="shared" si="107"/>
        <v>2006AllSexNon-Maori221</v>
      </c>
      <c r="K1904">
        <v>2006</v>
      </c>
      <c r="L1904" t="s">
        <v>17</v>
      </c>
      <c r="M1904" t="s">
        <v>19</v>
      </c>
      <c r="N1904">
        <v>22</v>
      </c>
      <c r="O1904">
        <v>1</v>
      </c>
      <c r="P1904">
        <v>12</v>
      </c>
      <c r="Q1904">
        <v>12.7675300141346</v>
      </c>
      <c r="R1904">
        <v>7.2</v>
      </c>
      <c r="T1904" s="340" t="str">
        <f t="shared" si="108"/>
        <v>2005AllSexAllEth24Poisoning by solids and liquids</v>
      </c>
      <c r="U1904">
        <v>2005</v>
      </c>
      <c r="V1904" t="s">
        <v>17</v>
      </c>
      <c r="W1904" t="s">
        <v>27</v>
      </c>
      <c r="X1904">
        <v>24</v>
      </c>
      <c r="Y1904" t="s">
        <v>47</v>
      </c>
      <c r="Z1904">
        <v>21</v>
      </c>
      <c r="AA1904">
        <v>136</v>
      </c>
      <c r="AB1904">
        <v>15.4</v>
      </c>
    </row>
    <row r="1905" spans="10:28">
      <c r="J1905" s="340" t="str">
        <f t="shared" si="107"/>
        <v>2006AllSexNon-Maori222</v>
      </c>
      <c r="K1905">
        <v>2006</v>
      </c>
      <c r="L1905" t="s">
        <v>17</v>
      </c>
      <c r="M1905" t="s">
        <v>19</v>
      </c>
      <c r="N1905">
        <v>22</v>
      </c>
      <c r="O1905">
        <v>2</v>
      </c>
      <c r="P1905">
        <v>11</v>
      </c>
      <c r="Q1905">
        <v>11.4041229167171</v>
      </c>
      <c r="R1905">
        <v>6.7</v>
      </c>
      <c r="T1905" s="340" t="str">
        <f t="shared" si="108"/>
        <v>2005AllSexAllEth25Poisoning by solids and liquids</v>
      </c>
      <c r="U1905">
        <v>2005</v>
      </c>
      <c r="V1905" t="s">
        <v>17</v>
      </c>
      <c r="W1905" t="s">
        <v>27</v>
      </c>
      <c r="X1905">
        <v>25</v>
      </c>
      <c r="Y1905" t="s">
        <v>47</v>
      </c>
      <c r="Z1905">
        <v>5</v>
      </c>
      <c r="AA1905">
        <v>48</v>
      </c>
      <c r="AB1905">
        <v>10.4</v>
      </c>
    </row>
    <row r="1906" spans="10:28">
      <c r="J1906" s="340" t="str">
        <f t="shared" si="107"/>
        <v>2006AllSexNon-Maori223</v>
      </c>
      <c r="K1906">
        <v>2006</v>
      </c>
      <c r="L1906" t="s">
        <v>17</v>
      </c>
      <c r="M1906" t="s">
        <v>19</v>
      </c>
      <c r="N1906">
        <v>22</v>
      </c>
      <c r="O1906">
        <v>3</v>
      </c>
      <c r="P1906">
        <v>17</v>
      </c>
      <c r="Q1906">
        <v>17.2261940875999</v>
      </c>
      <c r="R1906">
        <v>8.1999999999999993</v>
      </c>
      <c r="T1906" s="340" t="str">
        <f t="shared" si="108"/>
        <v>2005AllSexAllEth23Sharp object</v>
      </c>
      <c r="U1906">
        <v>2005</v>
      </c>
      <c r="V1906" t="s">
        <v>17</v>
      </c>
      <c r="W1906" t="s">
        <v>27</v>
      </c>
      <c r="X1906">
        <v>23</v>
      </c>
      <c r="Y1906" t="s">
        <v>48</v>
      </c>
      <c r="Z1906">
        <v>7</v>
      </c>
      <c r="AA1906">
        <v>219</v>
      </c>
      <c r="AB1906">
        <v>3.2</v>
      </c>
    </row>
    <row r="1907" spans="10:28">
      <c r="J1907" s="340" t="str">
        <f t="shared" si="107"/>
        <v>2006AllSexNon-Maori224</v>
      </c>
      <c r="K1907">
        <v>2006</v>
      </c>
      <c r="L1907" t="s">
        <v>17</v>
      </c>
      <c r="M1907" t="s">
        <v>19</v>
      </c>
      <c r="N1907">
        <v>22</v>
      </c>
      <c r="O1907">
        <v>4</v>
      </c>
      <c r="P1907">
        <v>20</v>
      </c>
      <c r="Q1907">
        <v>19.947188295847699</v>
      </c>
      <c r="R1907">
        <v>8.6999999999999993</v>
      </c>
      <c r="T1907" s="340" t="str">
        <f t="shared" si="108"/>
        <v>2005AllSexAllEth24Sharp object</v>
      </c>
      <c r="U1907">
        <v>2005</v>
      </c>
      <c r="V1907" t="s">
        <v>17</v>
      </c>
      <c r="W1907" t="s">
        <v>27</v>
      </c>
      <c r="X1907">
        <v>24</v>
      </c>
      <c r="Y1907" t="s">
        <v>48</v>
      </c>
      <c r="Z1907">
        <v>5</v>
      </c>
      <c r="AA1907">
        <v>136</v>
      </c>
      <c r="AB1907">
        <v>3.7</v>
      </c>
    </row>
    <row r="1908" spans="10:28">
      <c r="J1908" s="340" t="str">
        <f t="shared" si="107"/>
        <v>2006AllSexNon-Maori225</v>
      </c>
      <c r="K1908">
        <v>2006</v>
      </c>
      <c r="L1908" t="s">
        <v>17</v>
      </c>
      <c r="M1908" t="s">
        <v>19</v>
      </c>
      <c r="N1908">
        <v>22</v>
      </c>
      <c r="O1908">
        <v>5</v>
      </c>
      <c r="P1908">
        <v>15</v>
      </c>
      <c r="Q1908">
        <v>15.109763556652499</v>
      </c>
      <c r="R1908">
        <v>7.6</v>
      </c>
      <c r="T1908" s="340" t="str">
        <f t="shared" si="108"/>
        <v>2005AllSexAllEth25Sharp object</v>
      </c>
      <c r="U1908">
        <v>2005</v>
      </c>
      <c r="V1908" t="s">
        <v>17</v>
      </c>
      <c r="W1908" t="s">
        <v>27</v>
      </c>
      <c r="X1908">
        <v>25</v>
      </c>
      <c r="Y1908" t="s">
        <v>48</v>
      </c>
      <c r="Z1908">
        <v>1</v>
      </c>
      <c r="AA1908">
        <v>48</v>
      </c>
      <c r="AB1908">
        <v>2.1</v>
      </c>
    </row>
    <row r="1909" spans="10:28">
      <c r="J1909" s="340" t="str">
        <f t="shared" si="107"/>
        <v>2006AllSexNon-Maori231</v>
      </c>
      <c r="K1909">
        <v>2006</v>
      </c>
      <c r="L1909" t="s">
        <v>17</v>
      </c>
      <c r="M1909" t="s">
        <v>19</v>
      </c>
      <c r="N1909">
        <v>23</v>
      </c>
      <c r="O1909">
        <v>1</v>
      </c>
      <c r="P1909">
        <v>18</v>
      </c>
      <c r="Q1909">
        <v>8.1879844362703498</v>
      </c>
      <c r="R1909">
        <v>3.8</v>
      </c>
      <c r="T1909" s="340" t="str">
        <f t="shared" si="108"/>
        <v>2005AllSexAllEth23Submersion (drowning)</v>
      </c>
      <c r="U1909">
        <v>2005</v>
      </c>
      <c r="V1909" t="s">
        <v>17</v>
      </c>
      <c r="W1909" t="s">
        <v>27</v>
      </c>
      <c r="X1909">
        <v>23</v>
      </c>
      <c r="Y1909" t="s">
        <v>49</v>
      </c>
      <c r="Z1909">
        <v>2</v>
      </c>
      <c r="AA1909">
        <v>219</v>
      </c>
      <c r="AB1909">
        <v>0.9</v>
      </c>
    </row>
    <row r="1910" spans="10:28">
      <c r="J1910" s="340" t="str">
        <f t="shared" si="107"/>
        <v>2006AllSexNon-Maori232</v>
      </c>
      <c r="K1910">
        <v>2006</v>
      </c>
      <c r="L1910" t="s">
        <v>17</v>
      </c>
      <c r="M1910" t="s">
        <v>19</v>
      </c>
      <c r="N1910">
        <v>23</v>
      </c>
      <c r="O1910">
        <v>2</v>
      </c>
      <c r="P1910">
        <v>31</v>
      </c>
      <c r="Q1910">
        <v>13.791031425223199</v>
      </c>
      <c r="R1910">
        <v>4.9000000000000004</v>
      </c>
      <c r="T1910" s="340" t="str">
        <f t="shared" si="108"/>
        <v>2005AllSexAllEth24Submersion (drowning)</v>
      </c>
      <c r="U1910">
        <v>2005</v>
      </c>
      <c r="V1910" t="s">
        <v>17</v>
      </c>
      <c r="W1910" t="s">
        <v>27</v>
      </c>
      <c r="X1910">
        <v>24</v>
      </c>
      <c r="Y1910" t="s">
        <v>49</v>
      </c>
      <c r="Z1910">
        <v>6</v>
      </c>
      <c r="AA1910">
        <v>136</v>
      </c>
      <c r="AB1910">
        <v>4.4000000000000004</v>
      </c>
    </row>
    <row r="1911" spans="10:28">
      <c r="J1911" s="340" t="str">
        <f t="shared" si="107"/>
        <v>2006AllSexNon-Maori233</v>
      </c>
      <c r="K1911">
        <v>2006</v>
      </c>
      <c r="L1911" t="s">
        <v>17</v>
      </c>
      <c r="M1911" t="s">
        <v>19</v>
      </c>
      <c r="N1911">
        <v>23</v>
      </c>
      <c r="O1911">
        <v>3</v>
      </c>
      <c r="P1911">
        <v>26</v>
      </c>
      <c r="Q1911">
        <v>12.0491870430014</v>
      </c>
      <c r="R1911">
        <v>4.5999999999999996</v>
      </c>
      <c r="T1911" s="340" t="str">
        <f t="shared" si="108"/>
        <v>2005AllSexAllEth25Submersion (drowning)</v>
      </c>
      <c r="U1911">
        <v>2005</v>
      </c>
      <c r="V1911" t="s">
        <v>17</v>
      </c>
      <c r="W1911" t="s">
        <v>27</v>
      </c>
      <c r="X1911">
        <v>25</v>
      </c>
      <c r="Y1911" t="s">
        <v>49</v>
      </c>
      <c r="Z1911">
        <v>5</v>
      </c>
      <c r="AA1911">
        <v>48</v>
      </c>
      <c r="AB1911">
        <v>10.4</v>
      </c>
    </row>
    <row r="1912" spans="10:28">
      <c r="J1912" s="340" t="str">
        <f t="shared" si="107"/>
        <v>2006AllSexNon-Maori234</v>
      </c>
      <c r="K1912">
        <v>2006</v>
      </c>
      <c r="L1912" t="s">
        <v>17</v>
      </c>
      <c r="M1912" t="s">
        <v>19</v>
      </c>
      <c r="N1912">
        <v>23</v>
      </c>
      <c r="O1912">
        <v>4</v>
      </c>
      <c r="P1912">
        <v>26</v>
      </c>
      <c r="Q1912">
        <v>13.1847823669954</v>
      </c>
      <c r="R1912">
        <v>5.0999999999999996</v>
      </c>
      <c r="T1912" s="340" t="str">
        <f t="shared" si="108"/>
        <v>2005AllSexMaori22Firearms and explosives</v>
      </c>
      <c r="U1912">
        <v>2005</v>
      </c>
      <c r="V1912" t="s">
        <v>17</v>
      </c>
      <c r="W1912" t="s">
        <v>18</v>
      </c>
      <c r="X1912">
        <v>22</v>
      </c>
      <c r="Y1912" t="s">
        <v>42</v>
      </c>
      <c r="Z1912">
        <v>1</v>
      </c>
      <c r="AA1912">
        <v>40</v>
      </c>
      <c r="AB1912">
        <v>2.5</v>
      </c>
    </row>
    <row r="1913" spans="10:28">
      <c r="J1913" s="340" t="str">
        <f t="shared" si="107"/>
        <v>2006AllSexNon-Maori235</v>
      </c>
      <c r="K1913">
        <v>2006</v>
      </c>
      <c r="L1913" t="s">
        <v>17</v>
      </c>
      <c r="M1913" t="s">
        <v>19</v>
      </c>
      <c r="N1913">
        <v>23</v>
      </c>
      <c r="O1913">
        <v>5</v>
      </c>
      <c r="P1913">
        <v>45</v>
      </c>
      <c r="Q1913">
        <v>29.246857724817399</v>
      </c>
      <c r="R1913">
        <v>8.5</v>
      </c>
      <c r="T1913" s="340" t="str">
        <f t="shared" si="108"/>
        <v>2005AllSexMaori23Firearms and explosives</v>
      </c>
      <c r="U1913">
        <v>2005</v>
      </c>
      <c r="V1913" t="s">
        <v>17</v>
      </c>
      <c r="W1913" t="s">
        <v>18</v>
      </c>
      <c r="X1913">
        <v>23</v>
      </c>
      <c r="Y1913" t="s">
        <v>42</v>
      </c>
      <c r="Z1913">
        <v>3</v>
      </c>
      <c r="AA1913">
        <v>54</v>
      </c>
      <c r="AB1913">
        <v>5.6</v>
      </c>
    </row>
    <row r="1914" spans="10:28">
      <c r="J1914" s="340" t="str">
        <f t="shared" si="107"/>
        <v>2006AllSexNon-Maori241</v>
      </c>
      <c r="K1914">
        <v>2006</v>
      </c>
      <c r="L1914" t="s">
        <v>17</v>
      </c>
      <c r="M1914" t="s">
        <v>19</v>
      </c>
      <c r="N1914">
        <v>24</v>
      </c>
      <c r="O1914">
        <v>1</v>
      </c>
      <c r="P1914">
        <v>20</v>
      </c>
      <c r="Q1914">
        <v>8.3187135551569291</v>
      </c>
      <c r="R1914">
        <v>3.6</v>
      </c>
      <c r="T1914" s="340" t="str">
        <f t="shared" si="108"/>
        <v>2005AllSexMaori24Firearms and explosives</v>
      </c>
      <c r="U1914">
        <v>2005</v>
      </c>
      <c r="V1914" t="s">
        <v>17</v>
      </c>
      <c r="W1914" t="s">
        <v>18</v>
      </c>
      <c r="X1914">
        <v>24</v>
      </c>
      <c r="Y1914" t="s">
        <v>42</v>
      </c>
      <c r="Z1914">
        <v>3</v>
      </c>
      <c r="AA1914">
        <v>7</v>
      </c>
      <c r="AB1914">
        <v>42.9</v>
      </c>
    </row>
    <row r="1915" spans="10:28">
      <c r="J1915" s="340" t="str">
        <f t="shared" si="107"/>
        <v>2006AllSexNon-Maori242</v>
      </c>
      <c r="K1915">
        <v>2006</v>
      </c>
      <c r="L1915" t="s">
        <v>17</v>
      </c>
      <c r="M1915" t="s">
        <v>19</v>
      </c>
      <c r="N1915">
        <v>24</v>
      </c>
      <c r="O1915">
        <v>2</v>
      </c>
      <c r="P1915">
        <v>25</v>
      </c>
      <c r="Q1915">
        <v>12.034932108076401</v>
      </c>
      <c r="R1915">
        <v>4.7</v>
      </c>
      <c r="T1915" s="340" t="str">
        <f t="shared" si="108"/>
        <v>2005AllSexMaori21Hanging, strangulation and suffocation</v>
      </c>
      <c r="U1915">
        <v>2005</v>
      </c>
      <c r="V1915" t="s">
        <v>17</v>
      </c>
      <c r="W1915" t="s">
        <v>18</v>
      </c>
      <c r="X1915">
        <v>21</v>
      </c>
      <c r="Y1915" t="s">
        <v>43</v>
      </c>
      <c r="Z1915">
        <v>2</v>
      </c>
      <c r="AA1915">
        <v>2</v>
      </c>
      <c r="AB1915">
        <v>100</v>
      </c>
    </row>
    <row r="1916" spans="10:28">
      <c r="J1916" s="340" t="str">
        <f t="shared" si="107"/>
        <v>2006AllSexNon-Maori243</v>
      </c>
      <c r="K1916">
        <v>2006</v>
      </c>
      <c r="L1916" t="s">
        <v>17</v>
      </c>
      <c r="M1916" t="s">
        <v>19</v>
      </c>
      <c r="N1916">
        <v>24</v>
      </c>
      <c r="O1916">
        <v>3</v>
      </c>
      <c r="P1916">
        <v>31</v>
      </c>
      <c r="Q1916">
        <v>17.151528786180901</v>
      </c>
      <c r="R1916">
        <v>6</v>
      </c>
      <c r="T1916" s="340" t="str">
        <f t="shared" si="108"/>
        <v>2005AllSexMaori22Hanging, strangulation and suffocation</v>
      </c>
      <c r="U1916">
        <v>2005</v>
      </c>
      <c r="V1916" t="s">
        <v>17</v>
      </c>
      <c r="W1916" t="s">
        <v>18</v>
      </c>
      <c r="X1916">
        <v>22</v>
      </c>
      <c r="Y1916" t="s">
        <v>43</v>
      </c>
      <c r="Z1916">
        <v>36</v>
      </c>
      <c r="AA1916">
        <v>40</v>
      </c>
      <c r="AB1916">
        <v>90</v>
      </c>
    </row>
    <row r="1917" spans="10:28">
      <c r="J1917" s="340" t="str">
        <f t="shared" si="107"/>
        <v>2006AllSexNon-Maori244</v>
      </c>
      <c r="K1917">
        <v>2006</v>
      </c>
      <c r="L1917" t="s">
        <v>17</v>
      </c>
      <c r="M1917" t="s">
        <v>19</v>
      </c>
      <c r="N1917">
        <v>24</v>
      </c>
      <c r="O1917">
        <v>4</v>
      </c>
      <c r="P1917">
        <v>22</v>
      </c>
      <c r="Q1917">
        <v>14.1227824327792</v>
      </c>
      <c r="R1917">
        <v>5.9</v>
      </c>
      <c r="T1917" s="340" t="str">
        <f t="shared" si="108"/>
        <v>2005AllSexMaori23Hanging, strangulation and suffocation</v>
      </c>
      <c r="U1917">
        <v>2005</v>
      </c>
      <c r="V1917" t="s">
        <v>17</v>
      </c>
      <c r="W1917" t="s">
        <v>18</v>
      </c>
      <c r="X1917">
        <v>23</v>
      </c>
      <c r="Y1917" t="s">
        <v>43</v>
      </c>
      <c r="Z1917">
        <v>36</v>
      </c>
      <c r="AA1917">
        <v>54</v>
      </c>
      <c r="AB1917">
        <v>66.7</v>
      </c>
    </row>
    <row r="1918" spans="10:28">
      <c r="J1918" s="340" t="str">
        <f t="shared" si="107"/>
        <v>2006AllSexNon-Maori245</v>
      </c>
      <c r="K1918">
        <v>2006</v>
      </c>
      <c r="L1918" t="s">
        <v>17</v>
      </c>
      <c r="M1918" t="s">
        <v>19</v>
      </c>
      <c r="N1918">
        <v>24</v>
      </c>
      <c r="O1918">
        <v>5</v>
      </c>
      <c r="P1918">
        <v>25</v>
      </c>
      <c r="Q1918">
        <v>21.455359513298799</v>
      </c>
      <c r="R1918">
        <v>8.4</v>
      </c>
      <c r="T1918" s="340" t="str">
        <f t="shared" si="108"/>
        <v>2005AllSexMaori24Hanging, strangulation and suffocation</v>
      </c>
      <c r="U1918">
        <v>2005</v>
      </c>
      <c r="V1918" t="s">
        <v>17</v>
      </c>
      <c r="W1918" t="s">
        <v>18</v>
      </c>
      <c r="X1918">
        <v>24</v>
      </c>
      <c r="Y1918" t="s">
        <v>43</v>
      </c>
      <c r="Z1918">
        <v>4</v>
      </c>
      <c r="AA1918">
        <v>7</v>
      </c>
      <c r="AB1918">
        <v>57.1</v>
      </c>
    </row>
    <row r="1919" spans="10:28">
      <c r="J1919" s="340" t="str">
        <f t="shared" si="107"/>
        <v>2006AllSexNon-Maori251</v>
      </c>
      <c r="K1919">
        <v>2006</v>
      </c>
      <c r="L1919" t="s">
        <v>17</v>
      </c>
      <c r="M1919" t="s">
        <v>19</v>
      </c>
      <c r="N1919">
        <v>25</v>
      </c>
      <c r="O1919">
        <v>1</v>
      </c>
      <c r="P1919">
        <v>9</v>
      </c>
      <c r="Q1919">
        <v>9.2087705030230698</v>
      </c>
      <c r="R1919">
        <v>6</v>
      </c>
      <c r="T1919" s="340" t="str">
        <f t="shared" si="108"/>
        <v>2005AllSexMaori25Hanging, strangulation and suffocation</v>
      </c>
      <c r="U1919">
        <v>2005</v>
      </c>
      <c r="V1919" t="s">
        <v>17</v>
      </c>
      <c r="W1919" t="s">
        <v>18</v>
      </c>
      <c r="X1919">
        <v>25</v>
      </c>
      <c r="Y1919" t="s">
        <v>43</v>
      </c>
      <c r="Z1919">
        <v>1</v>
      </c>
      <c r="AA1919">
        <v>2</v>
      </c>
      <c r="AB1919">
        <v>50</v>
      </c>
    </row>
    <row r="1920" spans="10:28">
      <c r="J1920" s="340" t="str">
        <f t="shared" si="107"/>
        <v>2006AllSexNon-Maori252</v>
      </c>
      <c r="K1920">
        <v>2006</v>
      </c>
      <c r="L1920" t="s">
        <v>17</v>
      </c>
      <c r="M1920" t="s">
        <v>19</v>
      </c>
      <c r="N1920">
        <v>25</v>
      </c>
      <c r="O1920">
        <v>2</v>
      </c>
      <c r="P1920">
        <v>14</v>
      </c>
      <c r="Q1920">
        <v>13.5090717240881</v>
      </c>
      <c r="R1920">
        <v>7.1</v>
      </c>
      <c r="T1920" s="340" t="str">
        <f t="shared" si="108"/>
        <v>2005AllSexMaori22Jumping from a high place</v>
      </c>
      <c r="U1920">
        <v>2005</v>
      </c>
      <c r="V1920" t="s">
        <v>17</v>
      </c>
      <c r="W1920" t="s">
        <v>18</v>
      </c>
      <c r="X1920">
        <v>22</v>
      </c>
      <c r="Y1920" t="s">
        <v>44</v>
      </c>
      <c r="Z1920">
        <v>2</v>
      </c>
      <c r="AA1920">
        <v>40</v>
      </c>
      <c r="AB1920">
        <v>5</v>
      </c>
    </row>
    <row r="1921" spans="10:28">
      <c r="J1921" s="340" t="str">
        <f t="shared" si="107"/>
        <v>2006AllSexNon-Maori253</v>
      </c>
      <c r="K1921">
        <v>2006</v>
      </c>
      <c r="L1921" t="s">
        <v>17</v>
      </c>
      <c r="M1921" t="s">
        <v>19</v>
      </c>
      <c r="N1921">
        <v>25</v>
      </c>
      <c r="O1921">
        <v>3</v>
      </c>
      <c r="P1921">
        <v>8</v>
      </c>
      <c r="Q1921">
        <v>7.5188515857240601</v>
      </c>
      <c r="R1921">
        <v>5.2</v>
      </c>
      <c r="T1921" s="340" t="str">
        <f t="shared" si="108"/>
        <v>2005AllSexMaori22Other</v>
      </c>
      <c r="U1921">
        <v>2005</v>
      </c>
      <c r="V1921" t="s">
        <v>17</v>
      </c>
      <c r="W1921" t="s">
        <v>18</v>
      </c>
      <c r="X1921">
        <v>22</v>
      </c>
      <c r="Y1921" t="s">
        <v>45</v>
      </c>
      <c r="Z1921">
        <v>1</v>
      </c>
      <c r="AA1921">
        <v>40</v>
      </c>
      <c r="AB1921">
        <v>2.5</v>
      </c>
    </row>
    <row r="1922" spans="10:28">
      <c r="J1922" s="340" t="str">
        <f t="shared" si="107"/>
        <v>2006AllSexNon-Maori254</v>
      </c>
      <c r="K1922">
        <v>2006</v>
      </c>
      <c r="L1922" t="s">
        <v>17</v>
      </c>
      <c r="M1922" t="s">
        <v>19</v>
      </c>
      <c r="N1922">
        <v>25</v>
      </c>
      <c r="O1922">
        <v>4</v>
      </c>
      <c r="P1922">
        <v>8</v>
      </c>
      <c r="Q1922">
        <v>7.66194393027875</v>
      </c>
      <c r="R1922">
        <v>5.3</v>
      </c>
      <c r="T1922" s="340" t="str">
        <f t="shared" si="108"/>
        <v>2005AllSexMaori23Poisoning by gases and vapours</v>
      </c>
      <c r="U1922">
        <v>2005</v>
      </c>
      <c r="V1922" t="s">
        <v>17</v>
      </c>
      <c r="W1922" t="s">
        <v>18</v>
      </c>
      <c r="X1922">
        <v>23</v>
      </c>
      <c r="Y1922" t="s">
        <v>46</v>
      </c>
      <c r="Z1922">
        <v>10</v>
      </c>
      <c r="AA1922">
        <v>54</v>
      </c>
      <c r="AB1922">
        <v>18.5</v>
      </c>
    </row>
    <row r="1923" spans="10:28">
      <c r="J1923" s="340" t="str">
        <f t="shared" si="107"/>
        <v>2006AllSexNon-Maori255</v>
      </c>
      <c r="K1923">
        <v>2006</v>
      </c>
      <c r="L1923" t="s">
        <v>17</v>
      </c>
      <c r="M1923" t="s">
        <v>19</v>
      </c>
      <c r="N1923">
        <v>25</v>
      </c>
      <c r="O1923">
        <v>5</v>
      </c>
      <c r="P1923">
        <v>9</v>
      </c>
      <c r="Q1923">
        <v>12.2047721127363</v>
      </c>
      <c r="R1923">
        <v>8</v>
      </c>
      <c r="T1923" s="340" t="str">
        <f t="shared" si="108"/>
        <v>2005AllSexMaori25Poisoning by gases and vapours</v>
      </c>
      <c r="U1923">
        <v>2005</v>
      </c>
      <c r="V1923" t="s">
        <v>17</v>
      </c>
      <c r="W1923" t="s">
        <v>18</v>
      </c>
      <c r="X1923">
        <v>25</v>
      </c>
      <c r="Y1923" t="s">
        <v>46</v>
      </c>
      <c r="Z1923">
        <v>1</v>
      </c>
      <c r="AA1923">
        <v>2</v>
      </c>
      <c r="AB1923">
        <v>50</v>
      </c>
    </row>
    <row r="1924" spans="10:28">
      <c r="J1924" s="340" t="str">
        <f t="shared" ref="J1924:J1987" si="109">K1924&amp;L1924&amp;M1924&amp;N1924&amp;O1924</f>
        <v>2006FemaleAllEth211</v>
      </c>
      <c r="K1924">
        <v>2006</v>
      </c>
      <c r="L1924" t="s">
        <v>8</v>
      </c>
      <c r="M1924" t="s">
        <v>27</v>
      </c>
      <c r="N1924">
        <v>21</v>
      </c>
      <c r="O1924">
        <v>1</v>
      </c>
      <c r="P1924">
        <v>1</v>
      </c>
      <c r="Q1924">
        <v>1.13563516502901</v>
      </c>
      <c r="R1924">
        <v>2.2000000000000002</v>
      </c>
      <c r="T1924" s="340" t="str">
        <f t="shared" si="108"/>
        <v>2005AllSexMaori23Poisoning by solids and liquids</v>
      </c>
      <c r="U1924">
        <v>2005</v>
      </c>
      <c r="V1924" t="s">
        <v>17</v>
      </c>
      <c r="W1924" t="s">
        <v>18</v>
      </c>
      <c r="X1924">
        <v>23</v>
      </c>
      <c r="Y1924" t="s">
        <v>47</v>
      </c>
      <c r="Z1924">
        <v>3</v>
      </c>
      <c r="AA1924">
        <v>54</v>
      </c>
      <c r="AB1924">
        <v>5.6</v>
      </c>
    </row>
    <row r="1925" spans="10:28">
      <c r="J1925" s="340" t="str">
        <f t="shared" si="109"/>
        <v>2006FemaleAllEth212</v>
      </c>
      <c r="K1925">
        <v>2006</v>
      </c>
      <c r="L1925" t="s">
        <v>8</v>
      </c>
      <c r="M1925" t="s">
        <v>27</v>
      </c>
      <c r="N1925">
        <v>21</v>
      </c>
      <c r="O1925">
        <v>2</v>
      </c>
      <c r="P1925">
        <v>0</v>
      </c>
      <c r="Q1925">
        <v>0</v>
      </c>
      <c r="T1925" s="340" t="str">
        <f t="shared" ref="T1925:T1988" si="110">U1925&amp;V1925&amp;W1925&amp;X1925&amp;Y1925</f>
        <v>2005AllSexMaori23Sharp object</v>
      </c>
      <c r="U1925">
        <v>2005</v>
      </c>
      <c r="V1925" t="s">
        <v>17</v>
      </c>
      <c r="W1925" t="s">
        <v>18</v>
      </c>
      <c r="X1925">
        <v>23</v>
      </c>
      <c r="Y1925" t="s">
        <v>48</v>
      </c>
      <c r="Z1925">
        <v>2</v>
      </c>
      <c r="AA1925">
        <v>54</v>
      </c>
      <c r="AB1925">
        <v>3.7</v>
      </c>
    </row>
    <row r="1926" spans="10:28">
      <c r="J1926" s="340" t="str">
        <f t="shared" si="109"/>
        <v>2006FemaleAllEth213</v>
      </c>
      <c r="K1926">
        <v>2006</v>
      </c>
      <c r="L1926" t="s">
        <v>8</v>
      </c>
      <c r="M1926" t="s">
        <v>27</v>
      </c>
      <c r="N1926">
        <v>21</v>
      </c>
      <c r="O1926">
        <v>3</v>
      </c>
      <c r="P1926">
        <v>0</v>
      </c>
      <c r="Q1926">
        <v>0</v>
      </c>
      <c r="T1926" s="340" t="str">
        <f t="shared" si="110"/>
        <v>2005AllSexNon-Maori22Firearms and explosives</v>
      </c>
      <c r="U1926">
        <v>2005</v>
      </c>
      <c r="V1926" t="s">
        <v>17</v>
      </c>
      <c r="W1926" t="s">
        <v>19</v>
      </c>
      <c r="X1926">
        <v>22</v>
      </c>
      <c r="Y1926" t="s">
        <v>42</v>
      </c>
      <c r="Z1926">
        <v>9</v>
      </c>
      <c r="AA1926">
        <v>69</v>
      </c>
      <c r="AB1926">
        <v>13</v>
      </c>
    </row>
    <row r="1927" spans="10:28">
      <c r="J1927" s="340" t="str">
        <f t="shared" si="109"/>
        <v>2006FemaleAllEth214</v>
      </c>
      <c r="K1927">
        <v>2006</v>
      </c>
      <c r="L1927" t="s">
        <v>8</v>
      </c>
      <c r="M1927" t="s">
        <v>27</v>
      </c>
      <c r="N1927">
        <v>21</v>
      </c>
      <c r="O1927">
        <v>4</v>
      </c>
      <c r="P1927">
        <v>1</v>
      </c>
      <c r="Q1927">
        <v>1.2356719588009999</v>
      </c>
      <c r="R1927">
        <v>2.4</v>
      </c>
      <c r="T1927" s="340" t="str">
        <f t="shared" si="110"/>
        <v>2005AllSexNon-Maori23Firearms and explosives</v>
      </c>
      <c r="U1927">
        <v>2005</v>
      </c>
      <c r="V1927" t="s">
        <v>17</v>
      </c>
      <c r="W1927" t="s">
        <v>19</v>
      </c>
      <c r="X1927">
        <v>23</v>
      </c>
      <c r="Y1927" t="s">
        <v>42</v>
      </c>
      <c r="Z1927">
        <v>10</v>
      </c>
      <c r="AA1927">
        <v>165</v>
      </c>
      <c r="AB1927">
        <v>6.1</v>
      </c>
    </row>
    <row r="1928" spans="10:28">
      <c r="J1928" s="340" t="str">
        <f t="shared" si="109"/>
        <v>2006FemaleAllEth215</v>
      </c>
      <c r="K1928">
        <v>2006</v>
      </c>
      <c r="L1928" t="s">
        <v>8</v>
      </c>
      <c r="M1928" t="s">
        <v>27</v>
      </c>
      <c r="N1928">
        <v>21</v>
      </c>
      <c r="O1928">
        <v>5</v>
      </c>
      <c r="P1928">
        <v>2</v>
      </c>
      <c r="Q1928">
        <v>1.94598562378609</v>
      </c>
      <c r="R1928">
        <v>2.7</v>
      </c>
      <c r="T1928" s="340" t="str">
        <f t="shared" si="110"/>
        <v>2005AllSexNon-Maori24Firearms and explosives</v>
      </c>
      <c r="U1928">
        <v>2005</v>
      </c>
      <c r="V1928" t="s">
        <v>17</v>
      </c>
      <c r="W1928" t="s">
        <v>19</v>
      </c>
      <c r="X1928">
        <v>24</v>
      </c>
      <c r="Y1928" t="s">
        <v>42</v>
      </c>
      <c r="Z1928">
        <v>11</v>
      </c>
      <c r="AA1928">
        <v>129</v>
      </c>
      <c r="AB1928">
        <v>8.5</v>
      </c>
    </row>
    <row r="1929" spans="10:28">
      <c r="J1929" s="340" t="str">
        <f t="shared" si="109"/>
        <v>2006FemaleAllEth221</v>
      </c>
      <c r="K1929">
        <v>2006</v>
      </c>
      <c r="L1929" t="s">
        <v>8</v>
      </c>
      <c r="M1929" t="s">
        <v>27</v>
      </c>
      <c r="N1929">
        <v>22</v>
      </c>
      <c r="O1929">
        <v>1</v>
      </c>
      <c r="P1929">
        <v>3</v>
      </c>
      <c r="Q1929">
        <v>6.1654405837566104</v>
      </c>
      <c r="R1929">
        <v>7</v>
      </c>
      <c r="T1929" s="340" t="str">
        <f t="shared" si="110"/>
        <v>2005AllSexNon-Maori25Firearms and explosives</v>
      </c>
      <c r="U1929">
        <v>2005</v>
      </c>
      <c r="V1929" t="s">
        <v>17</v>
      </c>
      <c r="W1929" t="s">
        <v>19</v>
      </c>
      <c r="X1929">
        <v>25</v>
      </c>
      <c r="Y1929" t="s">
        <v>42</v>
      </c>
      <c r="Z1929">
        <v>7</v>
      </c>
      <c r="AA1929">
        <v>46</v>
      </c>
      <c r="AB1929">
        <v>15.2</v>
      </c>
    </row>
    <row r="1930" spans="10:28">
      <c r="J1930" s="340" t="str">
        <f t="shared" si="109"/>
        <v>2006FemaleAllEth222</v>
      </c>
      <c r="K1930">
        <v>2006</v>
      </c>
      <c r="L1930" t="s">
        <v>8</v>
      </c>
      <c r="M1930" t="s">
        <v>27</v>
      </c>
      <c r="N1930">
        <v>22</v>
      </c>
      <c r="O1930">
        <v>2</v>
      </c>
      <c r="P1930">
        <v>6</v>
      </c>
      <c r="Q1930">
        <v>11.4946355220328</v>
      </c>
      <c r="R1930">
        <v>9.1999999999999993</v>
      </c>
      <c r="T1930" s="340" t="str">
        <f t="shared" si="110"/>
        <v>2005AllSexNon-Maori21Hanging, strangulation and suffocation</v>
      </c>
      <c r="U1930">
        <v>2005</v>
      </c>
      <c r="V1930" t="s">
        <v>17</v>
      </c>
      <c r="W1930" t="s">
        <v>19</v>
      </c>
      <c r="X1930">
        <v>21</v>
      </c>
      <c r="Y1930" t="s">
        <v>43</v>
      </c>
      <c r="Z1930">
        <v>1</v>
      </c>
      <c r="AA1930">
        <v>1</v>
      </c>
      <c r="AB1930">
        <v>100</v>
      </c>
    </row>
    <row r="1931" spans="10:28">
      <c r="J1931" s="340" t="str">
        <f t="shared" si="109"/>
        <v>2006FemaleAllEth223</v>
      </c>
      <c r="K1931">
        <v>2006</v>
      </c>
      <c r="L1931" t="s">
        <v>8</v>
      </c>
      <c r="M1931" t="s">
        <v>27</v>
      </c>
      <c r="N1931">
        <v>22</v>
      </c>
      <c r="O1931">
        <v>3</v>
      </c>
      <c r="P1931">
        <v>3</v>
      </c>
      <c r="Q1931">
        <v>5.2220299502414198</v>
      </c>
      <c r="R1931">
        <v>5.9</v>
      </c>
      <c r="T1931" s="340" t="str">
        <f t="shared" si="110"/>
        <v>2005AllSexNon-Maori22Hanging, strangulation and suffocation</v>
      </c>
      <c r="U1931">
        <v>2005</v>
      </c>
      <c r="V1931" t="s">
        <v>17</v>
      </c>
      <c r="W1931" t="s">
        <v>19</v>
      </c>
      <c r="X1931">
        <v>22</v>
      </c>
      <c r="Y1931" t="s">
        <v>43</v>
      </c>
      <c r="Z1931">
        <v>43</v>
      </c>
      <c r="AA1931">
        <v>69</v>
      </c>
      <c r="AB1931">
        <v>62.3</v>
      </c>
    </row>
    <row r="1932" spans="10:28">
      <c r="J1932" s="340" t="str">
        <f t="shared" si="109"/>
        <v>2006FemaleAllEth224</v>
      </c>
      <c r="K1932">
        <v>2006</v>
      </c>
      <c r="L1932" t="s">
        <v>8</v>
      </c>
      <c r="M1932" t="s">
        <v>27</v>
      </c>
      <c r="N1932">
        <v>22</v>
      </c>
      <c r="O1932">
        <v>4</v>
      </c>
      <c r="P1932">
        <v>3</v>
      </c>
      <c r="Q1932">
        <v>4.6684789162695504</v>
      </c>
      <c r="R1932">
        <v>5.3</v>
      </c>
      <c r="T1932" s="340" t="str">
        <f t="shared" si="110"/>
        <v>2005AllSexNon-Maori23Hanging, strangulation and suffocation</v>
      </c>
      <c r="U1932">
        <v>2005</v>
      </c>
      <c r="V1932" t="s">
        <v>17</v>
      </c>
      <c r="W1932" t="s">
        <v>19</v>
      </c>
      <c r="X1932">
        <v>23</v>
      </c>
      <c r="Y1932" t="s">
        <v>43</v>
      </c>
      <c r="Z1932">
        <v>69</v>
      </c>
      <c r="AA1932">
        <v>165</v>
      </c>
      <c r="AB1932">
        <v>41.8</v>
      </c>
    </row>
    <row r="1933" spans="10:28">
      <c r="J1933" s="340" t="str">
        <f t="shared" si="109"/>
        <v>2006FemaleAllEth225</v>
      </c>
      <c r="K1933">
        <v>2006</v>
      </c>
      <c r="L1933" t="s">
        <v>8</v>
      </c>
      <c r="M1933" t="s">
        <v>27</v>
      </c>
      <c r="N1933">
        <v>22</v>
      </c>
      <c r="O1933">
        <v>5</v>
      </c>
      <c r="P1933">
        <v>7</v>
      </c>
      <c r="Q1933">
        <v>9.0999225503404393</v>
      </c>
      <c r="R1933">
        <v>6.7</v>
      </c>
      <c r="T1933" s="340" t="str">
        <f t="shared" si="110"/>
        <v>2005AllSexNon-Maori24Hanging, strangulation and suffocation</v>
      </c>
      <c r="U1933">
        <v>2005</v>
      </c>
      <c r="V1933" t="s">
        <v>17</v>
      </c>
      <c r="W1933" t="s">
        <v>19</v>
      </c>
      <c r="X1933">
        <v>24</v>
      </c>
      <c r="Y1933" t="s">
        <v>43</v>
      </c>
      <c r="Z1933">
        <v>50</v>
      </c>
      <c r="AA1933">
        <v>129</v>
      </c>
      <c r="AB1933">
        <v>38.799999999999997</v>
      </c>
    </row>
    <row r="1934" spans="10:28">
      <c r="J1934" s="340" t="str">
        <f t="shared" si="109"/>
        <v>2006FemaleAllEth231</v>
      </c>
      <c r="K1934">
        <v>2006</v>
      </c>
      <c r="L1934" t="s">
        <v>8</v>
      </c>
      <c r="M1934" t="s">
        <v>27</v>
      </c>
      <c r="N1934">
        <v>23</v>
      </c>
      <c r="O1934">
        <v>1</v>
      </c>
      <c r="P1934">
        <v>5</v>
      </c>
      <c r="Q1934">
        <v>4.1067562849079398</v>
      </c>
      <c r="R1934">
        <v>3.6</v>
      </c>
      <c r="T1934" s="340" t="str">
        <f t="shared" si="110"/>
        <v>2005AllSexNon-Maori25Hanging, strangulation and suffocation</v>
      </c>
      <c r="U1934">
        <v>2005</v>
      </c>
      <c r="V1934" t="s">
        <v>17</v>
      </c>
      <c r="W1934" t="s">
        <v>19</v>
      </c>
      <c r="X1934">
        <v>25</v>
      </c>
      <c r="Y1934" t="s">
        <v>43</v>
      </c>
      <c r="Z1934">
        <v>14</v>
      </c>
      <c r="AA1934">
        <v>46</v>
      </c>
      <c r="AB1934">
        <v>30.4</v>
      </c>
    </row>
    <row r="1935" spans="10:28">
      <c r="J1935" s="340" t="str">
        <f t="shared" si="109"/>
        <v>2006FemaleAllEth232</v>
      </c>
      <c r="K1935">
        <v>2006</v>
      </c>
      <c r="L1935" t="s">
        <v>8</v>
      </c>
      <c r="M1935" t="s">
        <v>27</v>
      </c>
      <c r="N1935">
        <v>23</v>
      </c>
      <c r="O1935">
        <v>2</v>
      </c>
      <c r="P1935">
        <v>6</v>
      </c>
      <c r="Q1935">
        <v>4.7447648869747896</v>
      </c>
      <c r="R1935">
        <v>3.8</v>
      </c>
      <c r="T1935" s="340" t="str">
        <f t="shared" si="110"/>
        <v>2005AllSexNon-Maori22Jumping from a high place</v>
      </c>
      <c r="U1935">
        <v>2005</v>
      </c>
      <c r="V1935" t="s">
        <v>17</v>
      </c>
      <c r="W1935" t="s">
        <v>19</v>
      </c>
      <c r="X1935">
        <v>22</v>
      </c>
      <c r="Y1935" t="s">
        <v>44</v>
      </c>
      <c r="Z1935">
        <v>1</v>
      </c>
      <c r="AA1935">
        <v>69</v>
      </c>
      <c r="AB1935">
        <v>1.4</v>
      </c>
    </row>
    <row r="1936" spans="10:28">
      <c r="J1936" s="340" t="str">
        <f t="shared" si="109"/>
        <v>2006FemaleAllEth233</v>
      </c>
      <c r="K1936">
        <v>2006</v>
      </c>
      <c r="L1936" t="s">
        <v>8</v>
      </c>
      <c r="M1936" t="s">
        <v>27</v>
      </c>
      <c r="N1936">
        <v>23</v>
      </c>
      <c r="O1936">
        <v>3</v>
      </c>
      <c r="P1936">
        <v>11</v>
      </c>
      <c r="Q1936">
        <v>8.7842203283754507</v>
      </c>
      <c r="R1936">
        <v>5.2</v>
      </c>
      <c r="T1936" s="340" t="str">
        <f t="shared" si="110"/>
        <v>2005AllSexNon-Maori23Jumping from a high place</v>
      </c>
      <c r="U1936">
        <v>2005</v>
      </c>
      <c r="V1936" t="s">
        <v>17</v>
      </c>
      <c r="W1936" t="s">
        <v>19</v>
      </c>
      <c r="X1936">
        <v>23</v>
      </c>
      <c r="Y1936" t="s">
        <v>44</v>
      </c>
      <c r="Z1936">
        <v>7</v>
      </c>
      <c r="AA1936">
        <v>165</v>
      </c>
      <c r="AB1936">
        <v>4.2</v>
      </c>
    </row>
    <row r="1937" spans="10:28">
      <c r="J1937" s="340" t="str">
        <f t="shared" si="109"/>
        <v>2006FemaleAllEth234</v>
      </c>
      <c r="K1937">
        <v>2006</v>
      </c>
      <c r="L1937" t="s">
        <v>8</v>
      </c>
      <c r="M1937" t="s">
        <v>27</v>
      </c>
      <c r="N1937">
        <v>23</v>
      </c>
      <c r="O1937">
        <v>4</v>
      </c>
      <c r="P1937">
        <v>12</v>
      </c>
      <c r="Q1937">
        <v>9.7824330191749507</v>
      </c>
      <c r="R1937">
        <v>5.5</v>
      </c>
      <c r="T1937" s="340" t="str">
        <f t="shared" si="110"/>
        <v>2005AllSexNon-Maori24Jumping from a high place</v>
      </c>
      <c r="U1937">
        <v>2005</v>
      </c>
      <c r="V1937" t="s">
        <v>17</v>
      </c>
      <c r="W1937" t="s">
        <v>19</v>
      </c>
      <c r="X1937">
        <v>24</v>
      </c>
      <c r="Y1937" t="s">
        <v>44</v>
      </c>
      <c r="Z1937">
        <v>3</v>
      </c>
      <c r="AA1937">
        <v>129</v>
      </c>
      <c r="AB1937">
        <v>2.2999999999999998</v>
      </c>
    </row>
    <row r="1938" spans="10:28">
      <c r="J1938" s="340" t="str">
        <f t="shared" si="109"/>
        <v>2006FemaleAllEth235</v>
      </c>
      <c r="K1938">
        <v>2006</v>
      </c>
      <c r="L1938" t="s">
        <v>8</v>
      </c>
      <c r="M1938" t="s">
        <v>27</v>
      </c>
      <c r="N1938">
        <v>23</v>
      </c>
      <c r="O1938">
        <v>5</v>
      </c>
      <c r="P1938">
        <v>19</v>
      </c>
      <c r="Q1938">
        <v>16.215639255029899</v>
      </c>
      <c r="R1938">
        <v>7.3</v>
      </c>
      <c r="T1938" s="340" t="str">
        <f t="shared" si="110"/>
        <v>2005AllSexNon-Maori25Jumping from a high place</v>
      </c>
      <c r="U1938">
        <v>2005</v>
      </c>
      <c r="V1938" t="s">
        <v>17</v>
      </c>
      <c r="W1938" t="s">
        <v>19</v>
      </c>
      <c r="X1938">
        <v>25</v>
      </c>
      <c r="Y1938" t="s">
        <v>44</v>
      </c>
      <c r="Z1938">
        <v>2</v>
      </c>
      <c r="AA1938">
        <v>46</v>
      </c>
      <c r="AB1938">
        <v>4.3</v>
      </c>
    </row>
    <row r="1939" spans="10:28">
      <c r="J1939" s="340" t="str">
        <f t="shared" si="109"/>
        <v>2006FemaleAllEth241</v>
      </c>
      <c r="K1939">
        <v>2006</v>
      </c>
      <c r="L1939" t="s">
        <v>8</v>
      </c>
      <c r="M1939" t="s">
        <v>27</v>
      </c>
      <c r="N1939">
        <v>24</v>
      </c>
      <c r="O1939">
        <v>1</v>
      </c>
      <c r="P1939">
        <v>5</v>
      </c>
      <c r="Q1939">
        <v>4.0485067445159899</v>
      </c>
      <c r="R1939">
        <v>3.5</v>
      </c>
      <c r="T1939" s="340" t="str">
        <f t="shared" si="110"/>
        <v>2005AllSexNon-Maori22Other</v>
      </c>
      <c r="U1939">
        <v>2005</v>
      </c>
      <c r="V1939" t="s">
        <v>17</v>
      </c>
      <c r="W1939" t="s">
        <v>19</v>
      </c>
      <c r="X1939">
        <v>22</v>
      </c>
      <c r="Y1939" t="s">
        <v>45</v>
      </c>
      <c r="Z1939">
        <v>3</v>
      </c>
      <c r="AA1939">
        <v>69</v>
      </c>
      <c r="AB1939">
        <v>4.3</v>
      </c>
    </row>
    <row r="1940" spans="10:28">
      <c r="J1940" s="340" t="str">
        <f t="shared" si="109"/>
        <v>2006FemaleAllEth242</v>
      </c>
      <c r="K1940">
        <v>2006</v>
      </c>
      <c r="L1940" t="s">
        <v>8</v>
      </c>
      <c r="M1940" t="s">
        <v>27</v>
      </c>
      <c r="N1940">
        <v>24</v>
      </c>
      <c r="O1940">
        <v>2</v>
      </c>
      <c r="P1940">
        <v>7</v>
      </c>
      <c r="Q1940">
        <v>6.3601937402277198</v>
      </c>
      <c r="R1940">
        <v>4.7</v>
      </c>
      <c r="T1940" s="340" t="str">
        <f t="shared" si="110"/>
        <v>2005AllSexNon-Maori23Other</v>
      </c>
      <c r="U1940">
        <v>2005</v>
      </c>
      <c r="V1940" t="s">
        <v>17</v>
      </c>
      <c r="W1940" t="s">
        <v>19</v>
      </c>
      <c r="X1940">
        <v>23</v>
      </c>
      <c r="Y1940" t="s">
        <v>45</v>
      </c>
      <c r="Z1940">
        <v>6</v>
      </c>
      <c r="AA1940">
        <v>165</v>
      </c>
      <c r="AB1940">
        <v>3.6</v>
      </c>
    </row>
    <row r="1941" spans="10:28">
      <c r="J1941" s="340" t="str">
        <f t="shared" si="109"/>
        <v>2006FemaleAllEth243</v>
      </c>
      <c r="K1941">
        <v>2006</v>
      </c>
      <c r="L1941" t="s">
        <v>8</v>
      </c>
      <c r="M1941" t="s">
        <v>27</v>
      </c>
      <c r="N1941">
        <v>24</v>
      </c>
      <c r="O1941">
        <v>3</v>
      </c>
      <c r="P1941">
        <v>8</v>
      </c>
      <c r="Q1941">
        <v>7.9885273273970103</v>
      </c>
      <c r="R1941">
        <v>5.5</v>
      </c>
      <c r="T1941" s="340" t="str">
        <f t="shared" si="110"/>
        <v>2005AllSexNon-Maori25Other</v>
      </c>
      <c r="U1941">
        <v>2005</v>
      </c>
      <c r="V1941" t="s">
        <v>17</v>
      </c>
      <c r="W1941" t="s">
        <v>19</v>
      </c>
      <c r="X1941">
        <v>25</v>
      </c>
      <c r="Y1941" t="s">
        <v>45</v>
      </c>
      <c r="Z1941">
        <v>3</v>
      </c>
      <c r="AA1941">
        <v>46</v>
      </c>
      <c r="AB1941">
        <v>6.5</v>
      </c>
    </row>
    <row r="1942" spans="10:28">
      <c r="J1942" s="340" t="str">
        <f t="shared" si="109"/>
        <v>2006FemaleAllEth244</v>
      </c>
      <c r="K1942">
        <v>2006</v>
      </c>
      <c r="L1942" t="s">
        <v>8</v>
      </c>
      <c r="M1942" t="s">
        <v>27</v>
      </c>
      <c r="N1942">
        <v>24</v>
      </c>
      <c r="O1942">
        <v>4</v>
      </c>
      <c r="P1942">
        <v>5</v>
      </c>
      <c r="Q1942">
        <v>5.4393821109910698</v>
      </c>
      <c r="R1942">
        <v>4.8</v>
      </c>
      <c r="T1942" s="340" t="str">
        <f t="shared" si="110"/>
        <v>2005AllSexNon-Maori22Poisoning by gases and vapours</v>
      </c>
      <c r="U1942">
        <v>2005</v>
      </c>
      <c r="V1942" t="s">
        <v>17</v>
      </c>
      <c r="W1942" t="s">
        <v>19</v>
      </c>
      <c r="X1942">
        <v>22</v>
      </c>
      <c r="Y1942" t="s">
        <v>46</v>
      </c>
      <c r="Z1942">
        <v>10</v>
      </c>
      <c r="AA1942">
        <v>69</v>
      </c>
      <c r="AB1942">
        <v>14.5</v>
      </c>
    </row>
    <row r="1943" spans="10:28">
      <c r="J1943" s="340" t="str">
        <f t="shared" si="109"/>
        <v>2006FemaleAllEth245</v>
      </c>
      <c r="K1943">
        <v>2006</v>
      </c>
      <c r="L1943" t="s">
        <v>8</v>
      </c>
      <c r="M1943" t="s">
        <v>27</v>
      </c>
      <c r="N1943">
        <v>24</v>
      </c>
      <c r="O1943">
        <v>5</v>
      </c>
      <c r="P1943">
        <v>4</v>
      </c>
      <c r="Q1943">
        <v>4.8886420084662801</v>
      </c>
      <c r="R1943">
        <v>4.8</v>
      </c>
      <c r="T1943" s="340" t="str">
        <f t="shared" si="110"/>
        <v>2005AllSexNon-Maori23Poisoning by gases and vapours</v>
      </c>
      <c r="U1943">
        <v>2005</v>
      </c>
      <c r="V1943" t="s">
        <v>17</v>
      </c>
      <c r="W1943" t="s">
        <v>19</v>
      </c>
      <c r="X1943">
        <v>23</v>
      </c>
      <c r="Y1943" t="s">
        <v>46</v>
      </c>
      <c r="Z1943">
        <v>47</v>
      </c>
      <c r="AA1943">
        <v>165</v>
      </c>
      <c r="AB1943">
        <v>28.5</v>
      </c>
    </row>
    <row r="1944" spans="10:28">
      <c r="J1944" s="340" t="str">
        <f t="shared" si="109"/>
        <v>2006FemaleAllEth251</v>
      </c>
      <c r="K1944">
        <v>2006</v>
      </c>
      <c r="L1944" t="s">
        <v>8</v>
      </c>
      <c r="M1944" t="s">
        <v>27</v>
      </c>
      <c r="N1944">
        <v>25</v>
      </c>
      <c r="O1944">
        <v>1</v>
      </c>
      <c r="P1944">
        <v>4</v>
      </c>
      <c r="Q1944">
        <v>7.7782736809707398</v>
      </c>
      <c r="R1944">
        <v>7.6</v>
      </c>
      <c r="T1944" s="340" t="str">
        <f t="shared" si="110"/>
        <v>2005AllSexNon-Maori24Poisoning by gases and vapours</v>
      </c>
      <c r="U1944">
        <v>2005</v>
      </c>
      <c r="V1944" t="s">
        <v>17</v>
      </c>
      <c r="W1944" t="s">
        <v>19</v>
      </c>
      <c r="X1944">
        <v>24</v>
      </c>
      <c r="Y1944" t="s">
        <v>46</v>
      </c>
      <c r="Z1944">
        <v>33</v>
      </c>
      <c r="AA1944">
        <v>129</v>
      </c>
      <c r="AB1944">
        <v>25.6</v>
      </c>
    </row>
    <row r="1945" spans="10:28">
      <c r="J1945" s="340" t="str">
        <f t="shared" si="109"/>
        <v>2006FemaleAllEth252</v>
      </c>
      <c r="K1945">
        <v>2006</v>
      </c>
      <c r="L1945" t="s">
        <v>8</v>
      </c>
      <c r="M1945" t="s">
        <v>27</v>
      </c>
      <c r="N1945">
        <v>25</v>
      </c>
      <c r="O1945">
        <v>2</v>
      </c>
      <c r="P1945">
        <v>5</v>
      </c>
      <c r="Q1945">
        <v>8.6686267813250595</v>
      </c>
      <c r="R1945">
        <v>7.6</v>
      </c>
      <c r="T1945" s="340" t="str">
        <f t="shared" si="110"/>
        <v>2005AllSexNon-Maori25Poisoning by gases and vapours</v>
      </c>
      <c r="U1945">
        <v>2005</v>
      </c>
      <c r="V1945" t="s">
        <v>17</v>
      </c>
      <c r="W1945" t="s">
        <v>19</v>
      </c>
      <c r="X1945">
        <v>25</v>
      </c>
      <c r="Y1945" t="s">
        <v>46</v>
      </c>
      <c r="Z1945">
        <v>9</v>
      </c>
      <c r="AA1945">
        <v>46</v>
      </c>
      <c r="AB1945">
        <v>19.600000000000001</v>
      </c>
    </row>
    <row r="1946" spans="10:28">
      <c r="J1946" s="340" t="str">
        <f t="shared" si="109"/>
        <v>2006FemaleAllEth253</v>
      </c>
      <c r="K1946">
        <v>2006</v>
      </c>
      <c r="L1946" t="s">
        <v>8</v>
      </c>
      <c r="M1946" t="s">
        <v>27</v>
      </c>
      <c r="N1946">
        <v>25</v>
      </c>
      <c r="O1946">
        <v>3</v>
      </c>
      <c r="P1946">
        <v>3</v>
      </c>
      <c r="Q1946">
        <v>4.8873734406468801</v>
      </c>
      <c r="R1946">
        <v>5.5</v>
      </c>
      <c r="T1946" s="340" t="str">
        <f t="shared" si="110"/>
        <v>2005AllSexNon-Maori22Poisoning by solids and liquids</v>
      </c>
      <c r="U1946">
        <v>2005</v>
      </c>
      <c r="V1946" t="s">
        <v>17</v>
      </c>
      <c r="W1946" t="s">
        <v>19</v>
      </c>
      <c r="X1946">
        <v>22</v>
      </c>
      <c r="Y1946" t="s">
        <v>47</v>
      </c>
      <c r="Z1946">
        <v>3</v>
      </c>
      <c r="AA1946">
        <v>69</v>
      </c>
      <c r="AB1946">
        <v>4.3</v>
      </c>
    </row>
    <row r="1947" spans="10:28">
      <c r="J1947" s="340" t="str">
        <f t="shared" si="109"/>
        <v>2006FemaleAllEth254</v>
      </c>
      <c r="K1947">
        <v>2006</v>
      </c>
      <c r="L1947" t="s">
        <v>8</v>
      </c>
      <c r="M1947" t="s">
        <v>27</v>
      </c>
      <c r="N1947">
        <v>25</v>
      </c>
      <c r="O1947">
        <v>4</v>
      </c>
      <c r="P1947">
        <v>3</v>
      </c>
      <c r="Q1947">
        <v>4.71069051008981</v>
      </c>
      <c r="R1947">
        <v>5.3</v>
      </c>
      <c r="T1947" s="340" t="str">
        <f t="shared" si="110"/>
        <v>2005AllSexNon-Maori23Poisoning by solids and liquids</v>
      </c>
      <c r="U1947">
        <v>2005</v>
      </c>
      <c r="V1947" t="s">
        <v>17</v>
      </c>
      <c r="W1947" t="s">
        <v>19</v>
      </c>
      <c r="X1947">
        <v>23</v>
      </c>
      <c r="Y1947" t="s">
        <v>47</v>
      </c>
      <c r="Z1947">
        <v>19</v>
      </c>
      <c r="AA1947">
        <v>165</v>
      </c>
      <c r="AB1947">
        <v>11.5</v>
      </c>
    </row>
    <row r="1948" spans="10:28">
      <c r="J1948" s="340" t="str">
        <f t="shared" si="109"/>
        <v>2006FemaleAllEth255</v>
      </c>
      <c r="K1948">
        <v>2006</v>
      </c>
      <c r="L1948" t="s">
        <v>8</v>
      </c>
      <c r="M1948" t="s">
        <v>27</v>
      </c>
      <c r="N1948">
        <v>25</v>
      </c>
      <c r="O1948">
        <v>5</v>
      </c>
      <c r="P1948">
        <v>3</v>
      </c>
      <c r="Q1948">
        <v>6.1832912745265203</v>
      </c>
      <c r="R1948">
        <v>7</v>
      </c>
      <c r="T1948" s="340" t="str">
        <f t="shared" si="110"/>
        <v>2005AllSexNon-Maori24Poisoning by solids and liquids</v>
      </c>
      <c r="U1948">
        <v>2005</v>
      </c>
      <c r="V1948" t="s">
        <v>17</v>
      </c>
      <c r="W1948" t="s">
        <v>19</v>
      </c>
      <c r="X1948">
        <v>24</v>
      </c>
      <c r="Y1948" t="s">
        <v>47</v>
      </c>
      <c r="Z1948">
        <v>21</v>
      </c>
      <c r="AA1948">
        <v>129</v>
      </c>
      <c r="AB1948">
        <v>16.3</v>
      </c>
    </row>
    <row r="1949" spans="10:28">
      <c r="J1949" s="340" t="str">
        <f t="shared" si="109"/>
        <v>2006FemaleMaori211</v>
      </c>
      <c r="K1949">
        <v>2006</v>
      </c>
      <c r="L1949" t="s">
        <v>8</v>
      </c>
      <c r="M1949" t="s">
        <v>18</v>
      </c>
      <c r="N1949">
        <v>21</v>
      </c>
      <c r="O1949">
        <v>1</v>
      </c>
      <c r="P1949">
        <v>1</v>
      </c>
      <c r="Q1949">
        <v>12.4815773186839</v>
      </c>
      <c r="R1949">
        <v>24.5</v>
      </c>
      <c r="T1949" s="340" t="str">
        <f t="shared" si="110"/>
        <v>2005AllSexNon-Maori25Poisoning by solids and liquids</v>
      </c>
      <c r="U1949">
        <v>2005</v>
      </c>
      <c r="V1949" t="s">
        <v>17</v>
      </c>
      <c r="W1949" t="s">
        <v>19</v>
      </c>
      <c r="X1949">
        <v>25</v>
      </c>
      <c r="Y1949" t="s">
        <v>47</v>
      </c>
      <c r="Z1949">
        <v>5</v>
      </c>
      <c r="AA1949">
        <v>46</v>
      </c>
      <c r="AB1949">
        <v>10.9</v>
      </c>
    </row>
    <row r="1950" spans="10:28">
      <c r="J1950" s="340" t="str">
        <f t="shared" si="109"/>
        <v>2006FemaleMaori212</v>
      </c>
      <c r="K1950">
        <v>2006</v>
      </c>
      <c r="L1950" t="s">
        <v>8</v>
      </c>
      <c r="M1950" t="s">
        <v>18</v>
      </c>
      <c r="N1950">
        <v>21</v>
      </c>
      <c r="O1950">
        <v>2</v>
      </c>
      <c r="P1950">
        <v>0</v>
      </c>
      <c r="Q1950">
        <v>0</v>
      </c>
      <c r="T1950" s="340" t="str">
        <f t="shared" si="110"/>
        <v>2005AllSexNon-Maori23Sharp object</v>
      </c>
      <c r="U1950">
        <v>2005</v>
      </c>
      <c r="V1950" t="s">
        <v>17</v>
      </c>
      <c r="W1950" t="s">
        <v>19</v>
      </c>
      <c r="X1950">
        <v>23</v>
      </c>
      <c r="Y1950" t="s">
        <v>48</v>
      </c>
      <c r="Z1950">
        <v>5</v>
      </c>
      <c r="AA1950">
        <v>165</v>
      </c>
      <c r="AB1950">
        <v>3</v>
      </c>
    </row>
    <row r="1951" spans="10:28">
      <c r="J1951" s="340" t="str">
        <f t="shared" si="109"/>
        <v>2006FemaleMaori213</v>
      </c>
      <c r="K1951">
        <v>2006</v>
      </c>
      <c r="L1951" t="s">
        <v>8</v>
      </c>
      <c r="M1951" t="s">
        <v>18</v>
      </c>
      <c r="N1951">
        <v>21</v>
      </c>
      <c r="O1951">
        <v>3</v>
      </c>
      <c r="P1951">
        <v>0</v>
      </c>
      <c r="Q1951">
        <v>0</v>
      </c>
      <c r="T1951" s="340" t="str">
        <f t="shared" si="110"/>
        <v>2005AllSexNon-Maori24Sharp object</v>
      </c>
      <c r="U1951">
        <v>2005</v>
      </c>
      <c r="V1951" t="s">
        <v>17</v>
      </c>
      <c r="W1951" t="s">
        <v>19</v>
      </c>
      <c r="X1951">
        <v>24</v>
      </c>
      <c r="Y1951" t="s">
        <v>48</v>
      </c>
      <c r="Z1951">
        <v>5</v>
      </c>
      <c r="AA1951">
        <v>129</v>
      </c>
      <c r="AB1951">
        <v>3.9</v>
      </c>
    </row>
    <row r="1952" spans="10:28">
      <c r="J1952" s="340" t="str">
        <f t="shared" si="109"/>
        <v>2006FemaleMaori214</v>
      </c>
      <c r="K1952">
        <v>2006</v>
      </c>
      <c r="L1952" t="s">
        <v>8</v>
      </c>
      <c r="M1952" t="s">
        <v>18</v>
      </c>
      <c r="N1952">
        <v>21</v>
      </c>
      <c r="O1952">
        <v>4</v>
      </c>
      <c r="P1952">
        <v>1</v>
      </c>
      <c r="Q1952">
        <v>4.13978845226573</v>
      </c>
      <c r="R1952">
        <v>8.1</v>
      </c>
      <c r="T1952" s="340" t="str">
        <f t="shared" si="110"/>
        <v>2005AllSexNon-Maori25Sharp object</v>
      </c>
      <c r="U1952">
        <v>2005</v>
      </c>
      <c r="V1952" t="s">
        <v>17</v>
      </c>
      <c r="W1952" t="s">
        <v>19</v>
      </c>
      <c r="X1952">
        <v>25</v>
      </c>
      <c r="Y1952" t="s">
        <v>48</v>
      </c>
      <c r="Z1952">
        <v>1</v>
      </c>
      <c r="AA1952">
        <v>46</v>
      </c>
      <c r="AB1952">
        <v>2.2000000000000002</v>
      </c>
    </row>
    <row r="1953" spans="10:28">
      <c r="J1953" s="340" t="str">
        <f t="shared" si="109"/>
        <v>2006FemaleMaori215</v>
      </c>
      <c r="K1953">
        <v>2006</v>
      </c>
      <c r="L1953" t="s">
        <v>8</v>
      </c>
      <c r="M1953" t="s">
        <v>18</v>
      </c>
      <c r="N1953">
        <v>21</v>
      </c>
      <c r="O1953">
        <v>5</v>
      </c>
      <c r="P1953">
        <v>2</v>
      </c>
      <c r="Q1953">
        <v>4.4279855683428302</v>
      </c>
      <c r="R1953">
        <v>6.1</v>
      </c>
      <c r="T1953" s="340" t="str">
        <f t="shared" si="110"/>
        <v>2005AllSexNon-Maori23Submersion (drowning)</v>
      </c>
      <c r="U1953">
        <v>2005</v>
      </c>
      <c r="V1953" t="s">
        <v>17</v>
      </c>
      <c r="W1953" t="s">
        <v>19</v>
      </c>
      <c r="X1953">
        <v>23</v>
      </c>
      <c r="Y1953" t="s">
        <v>49</v>
      </c>
      <c r="Z1953">
        <v>2</v>
      </c>
      <c r="AA1953">
        <v>165</v>
      </c>
      <c r="AB1953">
        <v>1.2</v>
      </c>
    </row>
    <row r="1954" spans="10:28">
      <c r="J1954" s="340" t="str">
        <f t="shared" si="109"/>
        <v>2006FemaleMaori221</v>
      </c>
      <c r="K1954">
        <v>2006</v>
      </c>
      <c r="L1954" t="s">
        <v>8</v>
      </c>
      <c r="M1954" t="s">
        <v>18</v>
      </c>
      <c r="N1954">
        <v>22</v>
      </c>
      <c r="O1954">
        <v>1</v>
      </c>
      <c r="P1954">
        <v>0</v>
      </c>
      <c r="Q1954">
        <v>0</v>
      </c>
      <c r="T1954" s="340" t="str">
        <f t="shared" si="110"/>
        <v>2005AllSexNon-Maori24Submersion (drowning)</v>
      </c>
      <c r="U1954">
        <v>2005</v>
      </c>
      <c r="V1954" t="s">
        <v>17</v>
      </c>
      <c r="W1954" t="s">
        <v>19</v>
      </c>
      <c r="X1954">
        <v>24</v>
      </c>
      <c r="Y1954" t="s">
        <v>49</v>
      </c>
      <c r="Z1954">
        <v>6</v>
      </c>
      <c r="AA1954">
        <v>129</v>
      </c>
      <c r="AB1954">
        <v>4.7</v>
      </c>
    </row>
    <row r="1955" spans="10:28">
      <c r="J1955" s="340" t="str">
        <f t="shared" si="109"/>
        <v>2006FemaleMaori222</v>
      </c>
      <c r="K1955">
        <v>2006</v>
      </c>
      <c r="L1955" t="s">
        <v>8</v>
      </c>
      <c r="M1955" t="s">
        <v>18</v>
      </c>
      <c r="N1955">
        <v>22</v>
      </c>
      <c r="O1955">
        <v>2</v>
      </c>
      <c r="P1955">
        <v>1</v>
      </c>
      <c r="Q1955">
        <v>16.643932580807501</v>
      </c>
      <c r="R1955">
        <v>32.6</v>
      </c>
      <c r="T1955" s="340" t="str">
        <f t="shared" si="110"/>
        <v>2005AllSexNon-Maori25Submersion (drowning)</v>
      </c>
      <c r="U1955">
        <v>2005</v>
      </c>
      <c r="V1955" t="s">
        <v>17</v>
      </c>
      <c r="W1955" t="s">
        <v>19</v>
      </c>
      <c r="X1955">
        <v>25</v>
      </c>
      <c r="Y1955" t="s">
        <v>49</v>
      </c>
      <c r="Z1955">
        <v>5</v>
      </c>
      <c r="AA1955">
        <v>46</v>
      </c>
      <c r="AB1955">
        <v>10.9</v>
      </c>
    </row>
    <row r="1956" spans="10:28">
      <c r="J1956" s="340" t="str">
        <f t="shared" si="109"/>
        <v>2006FemaleMaori223</v>
      </c>
      <c r="K1956">
        <v>2006</v>
      </c>
      <c r="L1956" t="s">
        <v>8</v>
      </c>
      <c r="M1956" t="s">
        <v>18</v>
      </c>
      <c r="N1956">
        <v>22</v>
      </c>
      <c r="O1956">
        <v>3</v>
      </c>
      <c r="P1956">
        <v>1</v>
      </c>
      <c r="Q1956">
        <v>10.712208338045601</v>
      </c>
      <c r="R1956">
        <v>21</v>
      </c>
      <c r="T1956" s="340" t="str">
        <f t="shared" si="110"/>
        <v>2005FemaleAllEth22Firearms and explosives</v>
      </c>
      <c r="U1956">
        <v>2005</v>
      </c>
      <c r="V1956" t="s">
        <v>8</v>
      </c>
      <c r="W1956" t="s">
        <v>27</v>
      </c>
      <c r="X1956">
        <v>22</v>
      </c>
      <c r="Y1956" t="s">
        <v>42</v>
      </c>
      <c r="Z1956">
        <v>1</v>
      </c>
      <c r="AA1956">
        <v>25</v>
      </c>
      <c r="AB1956">
        <v>4</v>
      </c>
    </row>
    <row r="1957" spans="10:28">
      <c r="J1957" s="340" t="str">
        <f t="shared" si="109"/>
        <v>2006FemaleMaori224</v>
      </c>
      <c r="K1957">
        <v>2006</v>
      </c>
      <c r="L1957" t="s">
        <v>8</v>
      </c>
      <c r="M1957" t="s">
        <v>18</v>
      </c>
      <c r="N1957">
        <v>22</v>
      </c>
      <c r="O1957">
        <v>4</v>
      </c>
      <c r="P1957">
        <v>1</v>
      </c>
      <c r="Q1957">
        <v>7.0846049405417499</v>
      </c>
      <c r="R1957">
        <v>13.9</v>
      </c>
      <c r="T1957" s="340" t="str">
        <f t="shared" si="110"/>
        <v>2005FemaleAllEth25Firearms and explosives</v>
      </c>
      <c r="U1957">
        <v>2005</v>
      </c>
      <c r="V1957" t="s">
        <v>8</v>
      </c>
      <c r="W1957" t="s">
        <v>27</v>
      </c>
      <c r="X1957">
        <v>25</v>
      </c>
      <c r="Y1957" t="s">
        <v>42</v>
      </c>
      <c r="Z1957">
        <v>1</v>
      </c>
      <c r="AA1957">
        <v>16</v>
      </c>
      <c r="AB1957">
        <v>6.2</v>
      </c>
    </row>
    <row r="1958" spans="10:28">
      <c r="J1958" s="340" t="str">
        <f t="shared" si="109"/>
        <v>2006FemaleMaori225</v>
      </c>
      <c r="K1958">
        <v>2006</v>
      </c>
      <c r="L1958" t="s">
        <v>8</v>
      </c>
      <c r="M1958" t="s">
        <v>18</v>
      </c>
      <c r="N1958">
        <v>22</v>
      </c>
      <c r="O1958">
        <v>5</v>
      </c>
      <c r="P1958">
        <v>4</v>
      </c>
      <c r="Q1958">
        <v>15.6852170921784</v>
      </c>
      <c r="R1958">
        <v>15.4</v>
      </c>
      <c r="T1958" s="340" t="str">
        <f t="shared" si="110"/>
        <v>2005FemaleAllEth21Hanging, strangulation and suffocation</v>
      </c>
      <c r="U1958">
        <v>2005</v>
      </c>
      <c r="V1958" t="s">
        <v>8</v>
      </c>
      <c r="W1958" t="s">
        <v>27</v>
      </c>
      <c r="X1958">
        <v>21</v>
      </c>
      <c r="Y1958" t="s">
        <v>43</v>
      </c>
      <c r="Z1958">
        <v>2</v>
      </c>
      <c r="AA1958">
        <v>2</v>
      </c>
      <c r="AB1958">
        <v>100</v>
      </c>
    </row>
    <row r="1959" spans="10:28">
      <c r="J1959" s="340" t="str">
        <f t="shared" si="109"/>
        <v>2006FemaleMaori231</v>
      </c>
      <c r="K1959">
        <v>2006</v>
      </c>
      <c r="L1959" t="s">
        <v>8</v>
      </c>
      <c r="M1959" t="s">
        <v>18</v>
      </c>
      <c r="N1959">
        <v>23</v>
      </c>
      <c r="O1959">
        <v>1</v>
      </c>
      <c r="P1959">
        <v>1</v>
      </c>
      <c r="Q1959">
        <v>14.460126027691899</v>
      </c>
      <c r="R1959">
        <v>28.3</v>
      </c>
      <c r="T1959" s="340" t="str">
        <f t="shared" si="110"/>
        <v>2005FemaleAllEth22Hanging, strangulation and suffocation</v>
      </c>
      <c r="U1959">
        <v>2005</v>
      </c>
      <c r="V1959" t="s">
        <v>8</v>
      </c>
      <c r="W1959" t="s">
        <v>27</v>
      </c>
      <c r="X1959">
        <v>22</v>
      </c>
      <c r="Y1959" t="s">
        <v>43</v>
      </c>
      <c r="Z1959">
        <v>19</v>
      </c>
      <c r="AA1959">
        <v>25</v>
      </c>
      <c r="AB1959">
        <v>76</v>
      </c>
    </row>
    <row r="1960" spans="10:28">
      <c r="J1960" s="340" t="str">
        <f t="shared" si="109"/>
        <v>2006FemaleMaori232</v>
      </c>
      <c r="K1960">
        <v>2006</v>
      </c>
      <c r="L1960" t="s">
        <v>8</v>
      </c>
      <c r="M1960" t="s">
        <v>18</v>
      </c>
      <c r="N1960">
        <v>23</v>
      </c>
      <c r="O1960">
        <v>2</v>
      </c>
      <c r="P1960">
        <v>0</v>
      </c>
      <c r="Q1960">
        <v>0</v>
      </c>
      <c r="T1960" s="340" t="str">
        <f t="shared" si="110"/>
        <v>2005FemaleAllEth23Hanging, strangulation and suffocation</v>
      </c>
      <c r="U1960">
        <v>2005</v>
      </c>
      <c r="V1960" t="s">
        <v>8</v>
      </c>
      <c r="W1960" t="s">
        <v>27</v>
      </c>
      <c r="X1960">
        <v>23</v>
      </c>
      <c r="Y1960" t="s">
        <v>43</v>
      </c>
      <c r="Z1960">
        <v>27</v>
      </c>
      <c r="AA1960">
        <v>58</v>
      </c>
      <c r="AB1960">
        <v>46.6</v>
      </c>
    </row>
    <row r="1961" spans="10:28">
      <c r="J1961" s="340" t="str">
        <f t="shared" si="109"/>
        <v>2006FemaleMaori233</v>
      </c>
      <c r="K1961">
        <v>2006</v>
      </c>
      <c r="L1961" t="s">
        <v>8</v>
      </c>
      <c r="M1961" t="s">
        <v>18</v>
      </c>
      <c r="N1961">
        <v>23</v>
      </c>
      <c r="O1961">
        <v>3</v>
      </c>
      <c r="P1961">
        <v>3</v>
      </c>
      <c r="Q1961">
        <v>20.7900458095089</v>
      </c>
      <c r="R1961">
        <v>23.5</v>
      </c>
      <c r="T1961" s="340" t="str">
        <f t="shared" si="110"/>
        <v>2005FemaleAllEth24Hanging, strangulation and suffocation</v>
      </c>
      <c r="U1961">
        <v>2005</v>
      </c>
      <c r="V1961" t="s">
        <v>8</v>
      </c>
      <c r="W1961" t="s">
        <v>27</v>
      </c>
      <c r="X1961">
        <v>24</v>
      </c>
      <c r="Y1961" t="s">
        <v>43</v>
      </c>
      <c r="Z1961">
        <v>14</v>
      </c>
      <c r="AA1961">
        <v>31</v>
      </c>
      <c r="AB1961">
        <v>45.2</v>
      </c>
    </row>
    <row r="1962" spans="10:28">
      <c r="J1962" s="340" t="str">
        <f t="shared" si="109"/>
        <v>2006FemaleMaori234</v>
      </c>
      <c r="K1962">
        <v>2006</v>
      </c>
      <c r="L1962" t="s">
        <v>8</v>
      </c>
      <c r="M1962" t="s">
        <v>18</v>
      </c>
      <c r="N1962">
        <v>23</v>
      </c>
      <c r="O1962">
        <v>4</v>
      </c>
      <c r="P1962">
        <v>4</v>
      </c>
      <c r="Q1962">
        <v>18.6461438991834</v>
      </c>
      <c r="R1962">
        <v>18.3</v>
      </c>
      <c r="T1962" s="340" t="str">
        <f t="shared" si="110"/>
        <v>2005FemaleAllEth25Hanging, strangulation and suffocation</v>
      </c>
      <c r="U1962">
        <v>2005</v>
      </c>
      <c r="V1962" t="s">
        <v>8</v>
      </c>
      <c r="W1962" t="s">
        <v>27</v>
      </c>
      <c r="X1962">
        <v>25</v>
      </c>
      <c r="Y1962" t="s">
        <v>43</v>
      </c>
      <c r="Z1962">
        <v>1</v>
      </c>
      <c r="AA1962">
        <v>16</v>
      </c>
      <c r="AB1962">
        <v>6.2</v>
      </c>
    </row>
    <row r="1963" spans="10:28">
      <c r="J1963" s="340" t="str">
        <f t="shared" si="109"/>
        <v>2006FemaleMaori235</v>
      </c>
      <c r="K1963">
        <v>2006</v>
      </c>
      <c r="L1963" t="s">
        <v>8</v>
      </c>
      <c r="M1963" t="s">
        <v>18</v>
      </c>
      <c r="N1963">
        <v>23</v>
      </c>
      <c r="O1963">
        <v>5</v>
      </c>
      <c r="P1963">
        <v>9</v>
      </c>
      <c r="Q1963">
        <v>24.347589518700101</v>
      </c>
      <c r="R1963">
        <v>15.9</v>
      </c>
      <c r="T1963" s="340" t="str">
        <f t="shared" si="110"/>
        <v>2005FemaleAllEth22Jumping from a high place</v>
      </c>
      <c r="U1963">
        <v>2005</v>
      </c>
      <c r="V1963" t="s">
        <v>8</v>
      </c>
      <c r="W1963" t="s">
        <v>27</v>
      </c>
      <c r="X1963">
        <v>22</v>
      </c>
      <c r="Y1963" t="s">
        <v>44</v>
      </c>
      <c r="Z1963">
        <v>1</v>
      </c>
      <c r="AA1963">
        <v>25</v>
      </c>
      <c r="AB1963">
        <v>4</v>
      </c>
    </row>
    <row r="1964" spans="10:28">
      <c r="J1964" s="340" t="str">
        <f t="shared" si="109"/>
        <v>2006FemaleMaori241</v>
      </c>
      <c r="K1964">
        <v>2006</v>
      </c>
      <c r="L1964" t="s">
        <v>8</v>
      </c>
      <c r="M1964" t="s">
        <v>18</v>
      </c>
      <c r="N1964">
        <v>24</v>
      </c>
      <c r="O1964">
        <v>1</v>
      </c>
      <c r="P1964">
        <v>0</v>
      </c>
      <c r="Q1964">
        <v>0</v>
      </c>
      <c r="T1964" s="340" t="str">
        <f t="shared" si="110"/>
        <v>2005FemaleAllEth23Jumping from a high place</v>
      </c>
      <c r="U1964">
        <v>2005</v>
      </c>
      <c r="V1964" t="s">
        <v>8</v>
      </c>
      <c r="W1964" t="s">
        <v>27</v>
      </c>
      <c r="X1964">
        <v>23</v>
      </c>
      <c r="Y1964" t="s">
        <v>44</v>
      </c>
      <c r="Z1964">
        <v>3</v>
      </c>
      <c r="AA1964">
        <v>58</v>
      </c>
      <c r="AB1964">
        <v>5.2</v>
      </c>
    </row>
    <row r="1965" spans="10:28">
      <c r="J1965" s="340" t="str">
        <f t="shared" si="109"/>
        <v>2006FemaleMaori242</v>
      </c>
      <c r="K1965">
        <v>2006</v>
      </c>
      <c r="L1965" t="s">
        <v>8</v>
      </c>
      <c r="M1965" t="s">
        <v>18</v>
      </c>
      <c r="N1965">
        <v>24</v>
      </c>
      <c r="O1965">
        <v>2</v>
      </c>
      <c r="P1965">
        <v>0</v>
      </c>
      <c r="Q1965">
        <v>0</v>
      </c>
      <c r="T1965" s="340" t="str">
        <f t="shared" si="110"/>
        <v>2005FemaleAllEth22Other</v>
      </c>
      <c r="U1965">
        <v>2005</v>
      </c>
      <c r="V1965" t="s">
        <v>8</v>
      </c>
      <c r="W1965" t="s">
        <v>27</v>
      </c>
      <c r="X1965">
        <v>22</v>
      </c>
      <c r="Y1965" t="s">
        <v>45</v>
      </c>
      <c r="Z1965">
        <v>1</v>
      </c>
      <c r="AA1965">
        <v>25</v>
      </c>
      <c r="AB1965">
        <v>4</v>
      </c>
    </row>
    <row r="1966" spans="10:28">
      <c r="J1966" s="340" t="str">
        <f t="shared" si="109"/>
        <v>2006FemaleMaori243</v>
      </c>
      <c r="K1966">
        <v>2006</v>
      </c>
      <c r="L1966" t="s">
        <v>8</v>
      </c>
      <c r="M1966" t="s">
        <v>18</v>
      </c>
      <c r="N1966">
        <v>24</v>
      </c>
      <c r="O1966">
        <v>3</v>
      </c>
      <c r="P1966">
        <v>1</v>
      </c>
      <c r="Q1966">
        <v>12.795603795777</v>
      </c>
      <c r="R1966">
        <v>25.1</v>
      </c>
      <c r="T1966" s="340" t="str">
        <f t="shared" si="110"/>
        <v>2005FemaleAllEth23Other</v>
      </c>
      <c r="U1966">
        <v>2005</v>
      </c>
      <c r="V1966" t="s">
        <v>8</v>
      </c>
      <c r="W1966" t="s">
        <v>27</v>
      </c>
      <c r="X1966">
        <v>23</v>
      </c>
      <c r="Y1966" t="s">
        <v>45</v>
      </c>
      <c r="Z1966">
        <v>2</v>
      </c>
      <c r="AA1966">
        <v>58</v>
      </c>
      <c r="AB1966">
        <v>3.4</v>
      </c>
    </row>
    <row r="1967" spans="10:28">
      <c r="J1967" s="340" t="str">
        <f t="shared" si="109"/>
        <v>2006FemaleMaori244</v>
      </c>
      <c r="K1967">
        <v>2006</v>
      </c>
      <c r="L1967" t="s">
        <v>8</v>
      </c>
      <c r="M1967" t="s">
        <v>18</v>
      </c>
      <c r="N1967">
        <v>24</v>
      </c>
      <c r="O1967">
        <v>4</v>
      </c>
      <c r="P1967">
        <v>0</v>
      </c>
      <c r="Q1967">
        <v>0</v>
      </c>
      <c r="T1967" s="340" t="str">
        <f t="shared" si="110"/>
        <v>2005FemaleAllEth25Other</v>
      </c>
      <c r="U1967">
        <v>2005</v>
      </c>
      <c r="V1967" t="s">
        <v>8</v>
      </c>
      <c r="W1967" t="s">
        <v>27</v>
      </c>
      <c r="X1967">
        <v>25</v>
      </c>
      <c r="Y1967" t="s">
        <v>45</v>
      </c>
      <c r="Z1967">
        <v>2</v>
      </c>
      <c r="AA1967">
        <v>16</v>
      </c>
      <c r="AB1967">
        <v>12.5</v>
      </c>
    </row>
    <row r="1968" spans="10:28">
      <c r="J1968" s="340" t="str">
        <f t="shared" si="109"/>
        <v>2006FemaleMaori245</v>
      </c>
      <c r="K1968">
        <v>2006</v>
      </c>
      <c r="L1968" t="s">
        <v>8</v>
      </c>
      <c r="M1968" t="s">
        <v>18</v>
      </c>
      <c r="N1968">
        <v>24</v>
      </c>
      <c r="O1968">
        <v>5</v>
      </c>
      <c r="P1968">
        <v>1</v>
      </c>
      <c r="Q1968">
        <v>4.6588709728376196</v>
      </c>
      <c r="R1968">
        <v>9.1</v>
      </c>
      <c r="T1968" s="340" t="str">
        <f t="shared" si="110"/>
        <v>2005FemaleAllEth22Poisoning by gases and vapours</v>
      </c>
      <c r="U1968">
        <v>2005</v>
      </c>
      <c r="V1968" t="s">
        <v>8</v>
      </c>
      <c r="W1968" t="s">
        <v>27</v>
      </c>
      <c r="X1968">
        <v>22</v>
      </c>
      <c r="Y1968" t="s">
        <v>46</v>
      </c>
      <c r="Z1968">
        <v>1</v>
      </c>
      <c r="AA1968">
        <v>25</v>
      </c>
      <c r="AB1968">
        <v>4</v>
      </c>
    </row>
    <row r="1969" spans="10:28">
      <c r="J1969" s="340" t="str">
        <f t="shared" si="109"/>
        <v>2006FemaleMaori251</v>
      </c>
      <c r="K1969">
        <v>2006</v>
      </c>
      <c r="L1969" t="s">
        <v>8</v>
      </c>
      <c r="M1969" t="s">
        <v>18</v>
      </c>
      <c r="N1969">
        <v>25</v>
      </c>
      <c r="O1969">
        <v>1</v>
      </c>
      <c r="P1969">
        <v>0</v>
      </c>
      <c r="Q1969">
        <v>0</v>
      </c>
      <c r="T1969" s="340" t="str">
        <f t="shared" si="110"/>
        <v>2005FemaleAllEth23Poisoning by gases and vapours</v>
      </c>
      <c r="U1969">
        <v>2005</v>
      </c>
      <c r="V1969" t="s">
        <v>8</v>
      </c>
      <c r="W1969" t="s">
        <v>27</v>
      </c>
      <c r="X1969">
        <v>23</v>
      </c>
      <c r="Y1969" t="s">
        <v>46</v>
      </c>
      <c r="Z1969">
        <v>11</v>
      </c>
      <c r="AA1969">
        <v>58</v>
      </c>
      <c r="AB1969">
        <v>19</v>
      </c>
    </row>
    <row r="1970" spans="10:28">
      <c r="J1970" s="340" t="str">
        <f t="shared" si="109"/>
        <v>2006FemaleMaori252</v>
      </c>
      <c r="K1970">
        <v>2006</v>
      </c>
      <c r="L1970" t="s">
        <v>8</v>
      </c>
      <c r="M1970" t="s">
        <v>18</v>
      </c>
      <c r="N1970">
        <v>25</v>
      </c>
      <c r="O1970">
        <v>2</v>
      </c>
      <c r="P1970">
        <v>0</v>
      </c>
      <c r="Q1970">
        <v>0</v>
      </c>
      <c r="T1970" s="340" t="str">
        <f t="shared" si="110"/>
        <v>2005FemaleAllEth24Poisoning by gases and vapours</v>
      </c>
      <c r="U1970">
        <v>2005</v>
      </c>
      <c r="V1970" t="s">
        <v>8</v>
      </c>
      <c r="W1970" t="s">
        <v>27</v>
      </c>
      <c r="X1970">
        <v>24</v>
      </c>
      <c r="Y1970" t="s">
        <v>46</v>
      </c>
      <c r="Z1970">
        <v>7</v>
      </c>
      <c r="AA1970">
        <v>31</v>
      </c>
      <c r="AB1970">
        <v>22.6</v>
      </c>
    </row>
    <row r="1971" spans="10:28">
      <c r="J1971" s="340" t="str">
        <f t="shared" si="109"/>
        <v>2006FemaleMaori253</v>
      </c>
      <c r="K1971">
        <v>2006</v>
      </c>
      <c r="L1971" t="s">
        <v>8</v>
      </c>
      <c r="M1971" t="s">
        <v>18</v>
      </c>
      <c r="N1971">
        <v>25</v>
      </c>
      <c r="O1971">
        <v>3</v>
      </c>
      <c r="P1971">
        <v>1</v>
      </c>
      <c r="Q1971">
        <v>47.547439902665097</v>
      </c>
      <c r="R1971">
        <v>93.2</v>
      </c>
      <c r="T1971" s="340" t="str">
        <f t="shared" si="110"/>
        <v>2005FemaleAllEth25Poisoning by gases and vapours</v>
      </c>
      <c r="U1971">
        <v>2005</v>
      </c>
      <c r="V1971" t="s">
        <v>8</v>
      </c>
      <c r="W1971" t="s">
        <v>27</v>
      </c>
      <c r="X1971">
        <v>25</v>
      </c>
      <c r="Y1971" t="s">
        <v>46</v>
      </c>
      <c r="Z1971">
        <v>3</v>
      </c>
      <c r="AA1971">
        <v>16</v>
      </c>
      <c r="AB1971">
        <v>18.8</v>
      </c>
    </row>
    <row r="1972" spans="10:28">
      <c r="J1972" s="340" t="str">
        <f t="shared" si="109"/>
        <v>2006FemaleMaori254</v>
      </c>
      <c r="K1972">
        <v>2006</v>
      </c>
      <c r="L1972" t="s">
        <v>8</v>
      </c>
      <c r="M1972" t="s">
        <v>18</v>
      </c>
      <c r="N1972">
        <v>25</v>
      </c>
      <c r="O1972">
        <v>4</v>
      </c>
      <c r="P1972">
        <v>0</v>
      </c>
      <c r="Q1972">
        <v>0</v>
      </c>
      <c r="T1972" s="340" t="str">
        <f t="shared" si="110"/>
        <v>2005FemaleAllEth22Poisoning by solids and liquids</v>
      </c>
      <c r="U1972">
        <v>2005</v>
      </c>
      <c r="V1972" t="s">
        <v>8</v>
      </c>
      <c r="W1972" t="s">
        <v>27</v>
      </c>
      <c r="X1972">
        <v>22</v>
      </c>
      <c r="Y1972" t="s">
        <v>47</v>
      </c>
      <c r="Z1972">
        <v>2</v>
      </c>
      <c r="AA1972">
        <v>25</v>
      </c>
      <c r="AB1972">
        <v>8</v>
      </c>
    </row>
    <row r="1973" spans="10:28">
      <c r="J1973" s="340" t="str">
        <f t="shared" si="109"/>
        <v>2006FemaleMaori255</v>
      </c>
      <c r="K1973">
        <v>2006</v>
      </c>
      <c r="L1973" t="s">
        <v>8</v>
      </c>
      <c r="M1973" t="s">
        <v>18</v>
      </c>
      <c r="N1973">
        <v>25</v>
      </c>
      <c r="O1973">
        <v>5</v>
      </c>
      <c r="P1973">
        <v>0</v>
      </c>
      <c r="Q1973">
        <v>0</v>
      </c>
      <c r="T1973" s="340" t="str">
        <f t="shared" si="110"/>
        <v>2005FemaleAllEth23Poisoning by solids and liquids</v>
      </c>
      <c r="U1973">
        <v>2005</v>
      </c>
      <c r="V1973" t="s">
        <v>8</v>
      </c>
      <c r="W1973" t="s">
        <v>27</v>
      </c>
      <c r="X1973">
        <v>23</v>
      </c>
      <c r="Y1973" t="s">
        <v>47</v>
      </c>
      <c r="Z1973">
        <v>12</v>
      </c>
      <c r="AA1973">
        <v>58</v>
      </c>
      <c r="AB1973">
        <v>20.7</v>
      </c>
    </row>
    <row r="1974" spans="10:28">
      <c r="J1974" s="340" t="str">
        <f t="shared" si="109"/>
        <v>2006FemaleNon-Maori211</v>
      </c>
      <c r="K1974">
        <v>2006</v>
      </c>
      <c r="L1974" t="s">
        <v>8</v>
      </c>
      <c r="M1974" t="s">
        <v>19</v>
      </c>
      <c r="N1974">
        <v>21</v>
      </c>
      <c r="O1974">
        <v>1</v>
      </c>
      <c r="P1974">
        <v>0</v>
      </c>
      <c r="Q1974">
        <v>0</v>
      </c>
      <c r="T1974" s="340" t="str">
        <f t="shared" si="110"/>
        <v>2005FemaleAllEth24Poisoning by solids and liquids</v>
      </c>
      <c r="U1974">
        <v>2005</v>
      </c>
      <c r="V1974" t="s">
        <v>8</v>
      </c>
      <c r="W1974" t="s">
        <v>27</v>
      </c>
      <c r="X1974">
        <v>24</v>
      </c>
      <c r="Y1974" t="s">
        <v>47</v>
      </c>
      <c r="Z1974">
        <v>6</v>
      </c>
      <c r="AA1974">
        <v>31</v>
      </c>
      <c r="AB1974">
        <v>19.399999999999999</v>
      </c>
    </row>
    <row r="1975" spans="10:28">
      <c r="J1975" s="340" t="str">
        <f t="shared" si="109"/>
        <v>2006FemaleNon-Maori212</v>
      </c>
      <c r="K1975">
        <v>2006</v>
      </c>
      <c r="L1975" t="s">
        <v>8</v>
      </c>
      <c r="M1975" t="s">
        <v>19</v>
      </c>
      <c r="N1975">
        <v>21</v>
      </c>
      <c r="O1975">
        <v>2</v>
      </c>
      <c r="P1975">
        <v>0</v>
      </c>
      <c r="Q1975">
        <v>0</v>
      </c>
      <c r="T1975" s="340" t="str">
        <f t="shared" si="110"/>
        <v>2005FemaleAllEth25Poisoning by solids and liquids</v>
      </c>
      <c r="U1975">
        <v>2005</v>
      </c>
      <c r="V1975" t="s">
        <v>8</v>
      </c>
      <c r="W1975" t="s">
        <v>27</v>
      </c>
      <c r="X1975">
        <v>25</v>
      </c>
      <c r="Y1975" t="s">
        <v>47</v>
      </c>
      <c r="Z1975">
        <v>4</v>
      </c>
      <c r="AA1975">
        <v>16</v>
      </c>
      <c r="AB1975">
        <v>25</v>
      </c>
    </row>
    <row r="1976" spans="10:28">
      <c r="J1976" s="340" t="str">
        <f t="shared" si="109"/>
        <v>2006FemaleNon-Maori213</v>
      </c>
      <c r="K1976">
        <v>2006</v>
      </c>
      <c r="L1976" t="s">
        <v>8</v>
      </c>
      <c r="M1976" t="s">
        <v>19</v>
      </c>
      <c r="N1976">
        <v>21</v>
      </c>
      <c r="O1976">
        <v>3</v>
      </c>
      <c r="P1976">
        <v>0</v>
      </c>
      <c r="Q1976">
        <v>0</v>
      </c>
      <c r="T1976" s="340" t="str">
        <f t="shared" si="110"/>
        <v>2005FemaleAllEth23Sharp object</v>
      </c>
      <c r="U1976">
        <v>2005</v>
      </c>
      <c r="V1976" t="s">
        <v>8</v>
      </c>
      <c r="W1976" t="s">
        <v>27</v>
      </c>
      <c r="X1976">
        <v>23</v>
      </c>
      <c r="Y1976" t="s">
        <v>48</v>
      </c>
      <c r="Z1976">
        <v>1</v>
      </c>
      <c r="AA1976">
        <v>58</v>
      </c>
      <c r="AB1976">
        <v>1.7</v>
      </c>
    </row>
    <row r="1977" spans="10:28">
      <c r="J1977" s="340" t="str">
        <f t="shared" si="109"/>
        <v>2006FemaleNon-Maori214</v>
      </c>
      <c r="K1977">
        <v>2006</v>
      </c>
      <c r="L1977" t="s">
        <v>8</v>
      </c>
      <c r="M1977" t="s">
        <v>19</v>
      </c>
      <c r="N1977">
        <v>21</v>
      </c>
      <c r="O1977">
        <v>4</v>
      </c>
      <c r="P1977">
        <v>0</v>
      </c>
      <c r="Q1977">
        <v>0</v>
      </c>
      <c r="T1977" s="340" t="str">
        <f t="shared" si="110"/>
        <v>2005FemaleAllEth24Sharp object</v>
      </c>
      <c r="U1977">
        <v>2005</v>
      </c>
      <c r="V1977" t="s">
        <v>8</v>
      </c>
      <c r="W1977" t="s">
        <v>27</v>
      </c>
      <c r="X1977">
        <v>24</v>
      </c>
      <c r="Y1977" t="s">
        <v>48</v>
      </c>
      <c r="Z1977">
        <v>2</v>
      </c>
      <c r="AA1977">
        <v>31</v>
      </c>
      <c r="AB1977">
        <v>6.5</v>
      </c>
    </row>
    <row r="1978" spans="10:28">
      <c r="J1978" s="340" t="str">
        <f t="shared" si="109"/>
        <v>2006FemaleNon-Maori215</v>
      </c>
      <c r="K1978">
        <v>2006</v>
      </c>
      <c r="L1978" t="s">
        <v>8</v>
      </c>
      <c r="M1978" t="s">
        <v>19</v>
      </c>
      <c r="N1978">
        <v>21</v>
      </c>
      <c r="O1978">
        <v>5</v>
      </c>
      <c r="P1978">
        <v>0</v>
      </c>
      <c r="Q1978">
        <v>0</v>
      </c>
      <c r="T1978" s="340" t="str">
        <f t="shared" si="110"/>
        <v>2005FemaleAllEth23Submersion (drowning)</v>
      </c>
      <c r="U1978">
        <v>2005</v>
      </c>
      <c r="V1978" t="s">
        <v>8</v>
      </c>
      <c r="W1978" t="s">
        <v>27</v>
      </c>
      <c r="X1978">
        <v>23</v>
      </c>
      <c r="Y1978" t="s">
        <v>49</v>
      </c>
      <c r="Z1978">
        <v>2</v>
      </c>
      <c r="AA1978">
        <v>58</v>
      </c>
      <c r="AB1978">
        <v>3.4</v>
      </c>
    </row>
    <row r="1979" spans="10:28">
      <c r="J1979" s="340" t="str">
        <f t="shared" si="109"/>
        <v>2006FemaleNon-Maori221</v>
      </c>
      <c r="K1979">
        <v>2006</v>
      </c>
      <c r="L1979" t="s">
        <v>8</v>
      </c>
      <c r="M1979" t="s">
        <v>19</v>
      </c>
      <c r="N1979">
        <v>22</v>
      </c>
      <c r="O1979">
        <v>1</v>
      </c>
      <c r="P1979">
        <v>3</v>
      </c>
      <c r="Q1979">
        <v>6.6768674231912604</v>
      </c>
      <c r="R1979">
        <v>7.6</v>
      </c>
      <c r="T1979" s="340" t="str">
        <f t="shared" si="110"/>
        <v>2005FemaleAllEth24Submersion (drowning)</v>
      </c>
      <c r="U1979">
        <v>2005</v>
      </c>
      <c r="V1979" t="s">
        <v>8</v>
      </c>
      <c r="W1979" t="s">
        <v>27</v>
      </c>
      <c r="X1979">
        <v>24</v>
      </c>
      <c r="Y1979" t="s">
        <v>49</v>
      </c>
      <c r="Z1979">
        <v>2</v>
      </c>
      <c r="AA1979">
        <v>31</v>
      </c>
      <c r="AB1979">
        <v>6.5</v>
      </c>
    </row>
    <row r="1980" spans="10:28">
      <c r="J1980" s="340" t="str">
        <f t="shared" si="109"/>
        <v>2006FemaleNon-Maori222</v>
      </c>
      <c r="K1980">
        <v>2006</v>
      </c>
      <c r="L1980" t="s">
        <v>8</v>
      </c>
      <c r="M1980" t="s">
        <v>19</v>
      </c>
      <c r="N1980">
        <v>22</v>
      </c>
      <c r="O1980">
        <v>2</v>
      </c>
      <c r="P1980">
        <v>5</v>
      </c>
      <c r="Q1980">
        <v>10.7546266528387</v>
      </c>
      <c r="R1980">
        <v>9.4</v>
      </c>
      <c r="T1980" s="340" t="str">
        <f t="shared" si="110"/>
        <v>2005FemaleAllEth25Submersion (drowning)</v>
      </c>
      <c r="U1980">
        <v>2005</v>
      </c>
      <c r="V1980" t="s">
        <v>8</v>
      </c>
      <c r="W1980" t="s">
        <v>27</v>
      </c>
      <c r="X1980">
        <v>25</v>
      </c>
      <c r="Y1980" t="s">
        <v>49</v>
      </c>
      <c r="Z1980">
        <v>5</v>
      </c>
      <c r="AA1980">
        <v>16</v>
      </c>
      <c r="AB1980">
        <v>31.2</v>
      </c>
    </row>
    <row r="1981" spans="10:28">
      <c r="J1981" s="340" t="str">
        <f t="shared" si="109"/>
        <v>2006FemaleNon-Maori223</v>
      </c>
      <c r="K1981">
        <v>2006</v>
      </c>
      <c r="L1981" t="s">
        <v>8</v>
      </c>
      <c r="M1981" t="s">
        <v>19</v>
      </c>
      <c r="N1981">
        <v>22</v>
      </c>
      <c r="O1981">
        <v>3</v>
      </c>
      <c r="P1981">
        <v>2</v>
      </c>
      <c r="Q1981">
        <v>4.1365885596519796</v>
      </c>
      <c r="R1981">
        <v>5.7</v>
      </c>
      <c r="T1981" s="340" t="str">
        <f t="shared" si="110"/>
        <v>2005FemaleMaori21Hanging, strangulation and suffocation</v>
      </c>
      <c r="U1981">
        <v>2005</v>
      </c>
      <c r="V1981" t="s">
        <v>8</v>
      </c>
      <c r="W1981" t="s">
        <v>18</v>
      </c>
      <c r="X1981">
        <v>21</v>
      </c>
      <c r="Y1981" t="s">
        <v>43</v>
      </c>
      <c r="Z1981">
        <v>2</v>
      </c>
      <c r="AA1981">
        <v>2</v>
      </c>
      <c r="AB1981">
        <v>100</v>
      </c>
    </row>
    <row r="1982" spans="10:28">
      <c r="J1982" s="340" t="str">
        <f t="shared" si="109"/>
        <v>2006FemaleNon-Maori224</v>
      </c>
      <c r="K1982">
        <v>2006</v>
      </c>
      <c r="L1982" t="s">
        <v>8</v>
      </c>
      <c r="M1982" t="s">
        <v>19</v>
      </c>
      <c r="N1982">
        <v>22</v>
      </c>
      <c r="O1982">
        <v>4</v>
      </c>
      <c r="P1982">
        <v>2</v>
      </c>
      <c r="Q1982">
        <v>4.0008649583892604</v>
      </c>
      <c r="R1982">
        <v>5.5</v>
      </c>
      <c r="T1982" s="340" t="str">
        <f t="shared" si="110"/>
        <v>2005FemaleMaori22Hanging, strangulation and suffocation</v>
      </c>
      <c r="U1982">
        <v>2005</v>
      </c>
      <c r="V1982" t="s">
        <v>8</v>
      </c>
      <c r="W1982" t="s">
        <v>18</v>
      </c>
      <c r="X1982">
        <v>22</v>
      </c>
      <c r="Y1982" t="s">
        <v>43</v>
      </c>
      <c r="Z1982">
        <v>10</v>
      </c>
      <c r="AA1982">
        <v>11</v>
      </c>
      <c r="AB1982">
        <v>90.9</v>
      </c>
    </row>
    <row r="1983" spans="10:28">
      <c r="J1983" s="340" t="str">
        <f t="shared" si="109"/>
        <v>2006FemaleNon-Maori225</v>
      </c>
      <c r="K1983">
        <v>2006</v>
      </c>
      <c r="L1983" t="s">
        <v>8</v>
      </c>
      <c r="M1983" t="s">
        <v>19</v>
      </c>
      <c r="N1983">
        <v>22</v>
      </c>
      <c r="O1983">
        <v>5</v>
      </c>
      <c r="P1983">
        <v>3</v>
      </c>
      <c r="Q1983">
        <v>5.9102910342139499</v>
      </c>
      <c r="R1983">
        <v>6.7</v>
      </c>
      <c r="T1983" s="340" t="str">
        <f t="shared" si="110"/>
        <v>2005FemaleMaori23Hanging, strangulation and suffocation</v>
      </c>
      <c r="U1983">
        <v>2005</v>
      </c>
      <c r="V1983" t="s">
        <v>8</v>
      </c>
      <c r="W1983" t="s">
        <v>18</v>
      </c>
      <c r="X1983">
        <v>23</v>
      </c>
      <c r="Y1983" t="s">
        <v>43</v>
      </c>
      <c r="Z1983">
        <v>9</v>
      </c>
      <c r="AA1983">
        <v>12</v>
      </c>
      <c r="AB1983">
        <v>75</v>
      </c>
    </row>
    <row r="1984" spans="10:28">
      <c r="J1984" s="340" t="str">
        <f t="shared" si="109"/>
        <v>2006FemaleNon-Maori231</v>
      </c>
      <c r="K1984">
        <v>2006</v>
      </c>
      <c r="L1984" t="s">
        <v>8</v>
      </c>
      <c r="M1984" t="s">
        <v>19</v>
      </c>
      <c r="N1984">
        <v>23</v>
      </c>
      <c r="O1984">
        <v>1</v>
      </c>
      <c r="P1984">
        <v>4</v>
      </c>
      <c r="Q1984">
        <v>3.4445951569648301</v>
      </c>
      <c r="R1984">
        <v>3.4</v>
      </c>
      <c r="T1984" s="340" t="str">
        <f t="shared" si="110"/>
        <v>2005FemaleMaori24Hanging, strangulation and suffocation</v>
      </c>
      <c r="U1984">
        <v>2005</v>
      </c>
      <c r="V1984" t="s">
        <v>8</v>
      </c>
      <c r="W1984" t="s">
        <v>18</v>
      </c>
      <c r="X1984">
        <v>24</v>
      </c>
      <c r="Y1984" t="s">
        <v>43</v>
      </c>
      <c r="Z1984">
        <v>2</v>
      </c>
      <c r="AA1984">
        <v>2</v>
      </c>
      <c r="AB1984">
        <v>100</v>
      </c>
    </row>
    <row r="1985" spans="10:28">
      <c r="J1985" s="340" t="str">
        <f t="shared" si="109"/>
        <v>2006FemaleNon-Maori232</v>
      </c>
      <c r="K1985">
        <v>2006</v>
      </c>
      <c r="L1985" t="s">
        <v>8</v>
      </c>
      <c r="M1985" t="s">
        <v>19</v>
      </c>
      <c r="N1985">
        <v>23</v>
      </c>
      <c r="O1985">
        <v>2</v>
      </c>
      <c r="P1985">
        <v>6</v>
      </c>
      <c r="Q1985">
        <v>5.1215502433278797</v>
      </c>
      <c r="R1985">
        <v>4.0999999999999996</v>
      </c>
      <c r="T1985" s="340" t="str">
        <f t="shared" si="110"/>
        <v>2005FemaleMaori22Jumping from a high place</v>
      </c>
      <c r="U1985">
        <v>2005</v>
      </c>
      <c r="V1985" t="s">
        <v>8</v>
      </c>
      <c r="W1985" t="s">
        <v>18</v>
      </c>
      <c r="X1985">
        <v>22</v>
      </c>
      <c r="Y1985" t="s">
        <v>44</v>
      </c>
      <c r="Z1985">
        <v>1</v>
      </c>
      <c r="AA1985">
        <v>11</v>
      </c>
      <c r="AB1985">
        <v>9.1</v>
      </c>
    </row>
    <row r="1986" spans="10:28">
      <c r="J1986" s="340" t="str">
        <f t="shared" si="109"/>
        <v>2006FemaleNon-Maori233</v>
      </c>
      <c r="K1986">
        <v>2006</v>
      </c>
      <c r="L1986" t="s">
        <v>8</v>
      </c>
      <c r="M1986" t="s">
        <v>19</v>
      </c>
      <c r="N1986">
        <v>23</v>
      </c>
      <c r="O1986">
        <v>3</v>
      </c>
      <c r="P1986">
        <v>8</v>
      </c>
      <c r="Q1986">
        <v>7.1964391773859004</v>
      </c>
      <c r="R1986">
        <v>5</v>
      </c>
      <c r="T1986" s="340" t="str">
        <f t="shared" si="110"/>
        <v>2005FemaleMaori23Poisoning by gases and vapours</v>
      </c>
      <c r="U1986">
        <v>2005</v>
      </c>
      <c r="V1986" t="s">
        <v>8</v>
      </c>
      <c r="W1986" t="s">
        <v>18</v>
      </c>
      <c r="X1986">
        <v>23</v>
      </c>
      <c r="Y1986" t="s">
        <v>46</v>
      </c>
      <c r="Z1986">
        <v>1</v>
      </c>
      <c r="AA1986">
        <v>12</v>
      </c>
      <c r="AB1986">
        <v>8.3000000000000007</v>
      </c>
    </row>
    <row r="1987" spans="10:28">
      <c r="J1987" s="340" t="str">
        <f t="shared" si="109"/>
        <v>2006FemaleNon-Maori234</v>
      </c>
      <c r="K1987">
        <v>2006</v>
      </c>
      <c r="L1987" t="s">
        <v>8</v>
      </c>
      <c r="M1987" t="s">
        <v>19</v>
      </c>
      <c r="N1987">
        <v>23</v>
      </c>
      <c r="O1987">
        <v>4</v>
      </c>
      <c r="P1987">
        <v>8</v>
      </c>
      <c r="Q1987">
        <v>7.9489052447551698</v>
      </c>
      <c r="R1987">
        <v>5.5</v>
      </c>
      <c r="T1987" s="340" t="str">
        <f t="shared" si="110"/>
        <v>2005FemaleMaori23Poisoning by solids and liquids</v>
      </c>
      <c r="U1987">
        <v>2005</v>
      </c>
      <c r="V1987" t="s">
        <v>8</v>
      </c>
      <c r="W1987" t="s">
        <v>18</v>
      </c>
      <c r="X1987">
        <v>23</v>
      </c>
      <c r="Y1987" t="s">
        <v>47</v>
      </c>
      <c r="Z1987">
        <v>2</v>
      </c>
      <c r="AA1987">
        <v>12</v>
      </c>
      <c r="AB1987">
        <v>16.7</v>
      </c>
    </row>
    <row r="1988" spans="10:28">
      <c r="J1988" s="340" t="str">
        <f t="shared" ref="J1988:J2051" si="111">K1988&amp;L1988&amp;M1988&amp;N1988&amp;O1988</f>
        <v>2006FemaleNon-Maori235</v>
      </c>
      <c r="K1988">
        <v>2006</v>
      </c>
      <c r="L1988" t="s">
        <v>8</v>
      </c>
      <c r="M1988" t="s">
        <v>19</v>
      </c>
      <c r="N1988">
        <v>23</v>
      </c>
      <c r="O1988">
        <v>5</v>
      </c>
      <c r="P1988">
        <v>10</v>
      </c>
      <c r="Q1988">
        <v>12.788518377118701</v>
      </c>
      <c r="R1988">
        <v>7.9</v>
      </c>
      <c r="T1988" s="340" t="str">
        <f t="shared" si="110"/>
        <v>2005FemaleNon-Maori22Firearms and explosives</v>
      </c>
      <c r="U1988">
        <v>2005</v>
      </c>
      <c r="V1988" t="s">
        <v>8</v>
      </c>
      <c r="W1988" t="s">
        <v>19</v>
      </c>
      <c r="X1988">
        <v>22</v>
      </c>
      <c r="Y1988" t="s">
        <v>42</v>
      </c>
      <c r="Z1988">
        <v>1</v>
      </c>
      <c r="AA1988">
        <v>14</v>
      </c>
      <c r="AB1988">
        <v>7.1</v>
      </c>
    </row>
    <row r="1989" spans="10:28">
      <c r="J1989" s="340" t="str">
        <f t="shared" si="111"/>
        <v>2006FemaleNon-Maori241</v>
      </c>
      <c r="K1989">
        <v>2006</v>
      </c>
      <c r="L1989" t="s">
        <v>8</v>
      </c>
      <c r="M1989" t="s">
        <v>19</v>
      </c>
      <c r="N1989">
        <v>24</v>
      </c>
      <c r="O1989">
        <v>1</v>
      </c>
      <c r="P1989">
        <v>5</v>
      </c>
      <c r="Q1989">
        <v>4.1460816511223202</v>
      </c>
      <c r="R1989">
        <v>3.6</v>
      </c>
      <c r="T1989" s="340" t="str">
        <f t="shared" ref="T1989:T2052" si="112">U1989&amp;V1989&amp;W1989&amp;X1989&amp;Y1989</f>
        <v>2005FemaleNon-Maori25Firearms and explosives</v>
      </c>
      <c r="U1989">
        <v>2005</v>
      </c>
      <c r="V1989" t="s">
        <v>8</v>
      </c>
      <c r="W1989" t="s">
        <v>19</v>
      </c>
      <c r="X1989">
        <v>25</v>
      </c>
      <c r="Y1989" t="s">
        <v>42</v>
      </c>
      <c r="Z1989">
        <v>1</v>
      </c>
      <c r="AA1989">
        <v>16</v>
      </c>
      <c r="AB1989">
        <v>6.2</v>
      </c>
    </row>
    <row r="1990" spans="10:28">
      <c r="J1990" s="340" t="str">
        <f t="shared" si="111"/>
        <v>2006FemaleNon-Maori242</v>
      </c>
      <c r="K1990">
        <v>2006</v>
      </c>
      <c r="L1990" t="s">
        <v>8</v>
      </c>
      <c r="M1990" t="s">
        <v>19</v>
      </c>
      <c r="N1990">
        <v>24</v>
      </c>
      <c r="O1990">
        <v>2</v>
      </c>
      <c r="P1990">
        <v>7</v>
      </c>
      <c r="Q1990">
        <v>6.6554486959286301</v>
      </c>
      <c r="R1990">
        <v>4.9000000000000004</v>
      </c>
      <c r="T1990" s="340" t="str">
        <f t="shared" si="112"/>
        <v>2005FemaleNon-Maori22Hanging, strangulation and suffocation</v>
      </c>
      <c r="U1990">
        <v>2005</v>
      </c>
      <c r="V1990" t="s">
        <v>8</v>
      </c>
      <c r="W1990" t="s">
        <v>19</v>
      </c>
      <c r="X1990">
        <v>22</v>
      </c>
      <c r="Y1990" t="s">
        <v>43</v>
      </c>
      <c r="Z1990">
        <v>9</v>
      </c>
      <c r="AA1990">
        <v>14</v>
      </c>
      <c r="AB1990">
        <v>64.3</v>
      </c>
    </row>
    <row r="1991" spans="10:28">
      <c r="J1991" s="340" t="str">
        <f t="shared" si="111"/>
        <v>2006FemaleNon-Maori243</v>
      </c>
      <c r="K1991">
        <v>2006</v>
      </c>
      <c r="L1991" t="s">
        <v>8</v>
      </c>
      <c r="M1991" t="s">
        <v>19</v>
      </c>
      <c r="N1991">
        <v>24</v>
      </c>
      <c r="O1991">
        <v>3</v>
      </c>
      <c r="P1991">
        <v>7</v>
      </c>
      <c r="Q1991">
        <v>7.5707944100083697</v>
      </c>
      <c r="R1991">
        <v>5.6</v>
      </c>
      <c r="T1991" s="340" t="str">
        <f t="shared" si="112"/>
        <v>2005FemaleNon-Maori23Hanging, strangulation and suffocation</v>
      </c>
      <c r="U1991">
        <v>2005</v>
      </c>
      <c r="V1991" t="s">
        <v>8</v>
      </c>
      <c r="W1991" t="s">
        <v>19</v>
      </c>
      <c r="X1991">
        <v>23</v>
      </c>
      <c r="Y1991" t="s">
        <v>43</v>
      </c>
      <c r="Z1991">
        <v>18</v>
      </c>
      <c r="AA1991">
        <v>46</v>
      </c>
      <c r="AB1991">
        <v>39.1</v>
      </c>
    </row>
    <row r="1992" spans="10:28">
      <c r="J1992" s="340" t="str">
        <f t="shared" si="111"/>
        <v>2006FemaleNon-Maori244</v>
      </c>
      <c r="K1992">
        <v>2006</v>
      </c>
      <c r="L1992" t="s">
        <v>8</v>
      </c>
      <c r="M1992" t="s">
        <v>19</v>
      </c>
      <c r="N1992">
        <v>24</v>
      </c>
      <c r="O1992">
        <v>4</v>
      </c>
      <c r="P1992">
        <v>5</v>
      </c>
      <c r="Q1992">
        <v>6.2679115570889801</v>
      </c>
      <c r="R1992">
        <v>5.5</v>
      </c>
      <c r="T1992" s="340" t="str">
        <f t="shared" si="112"/>
        <v>2005FemaleNon-Maori24Hanging, strangulation and suffocation</v>
      </c>
      <c r="U1992">
        <v>2005</v>
      </c>
      <c r="V1992" t="s">
        <v>8</v>
      </c>
      <c r="W1992" t="s">
        <v>19</v>
      </c>
      <c r="X1992">
        <v>24</v>
      </c>
      <c r="Y1992" t="s">
        <v>43</v>
      </c>
      <c r="Z1992">
        <v>12</v>
      </c>
      <c r="AA1992">
        <v>29</v>
      </c>
      <c r="AB1992">
        <v>41.4</v>
      </c>
    </row>
    <row r="1993" spans="10:28">
      <c r="J1993" s="340" t="str">
        <f t="shared" si="111"/>
        <v>2006FemaleNon-Maori245</v>
      </c>
      <c r="K1993">
        <v>2006</v>
      </c>
      <c r="L1993" t="s">
        <v>8</v>
      </c>
      <c r="M1993" t="s">
        <v>19</v>
      </c>
      <c r="N1993">
        <v>24</v>
      </c>
      <c r="O1993">
        <v>5</v>
      </c>
      <c r="P1993">
        <v>3</v>
      </c>
      <c r="Q1993">
        <v>5.1094037806704096</v>
      </c>
      <c r="R1993">
        <v>5.8</v>
      </c>
      <c r="T1993" s="340" t="str">
        <f t="shared" si="112"/>
        <v>2005FemaleNon-Maori25Hanging, strangulation and suffocation</v>
      </c>
      <c r="U1993">
        <v>2005</v>
      </c>
      <c r="V1993" t="s">
        <v>8</v>
      </c>
      <c r="W1993" t="s">
        <v>19</v>
      </c>
      <c r="X1993">
        <v>25</v>
      </c>
      <c r="Y1993" t="s">
        <v>43</v>
      </c>
      <c r="Z1993">
        <v>1</v>
      </c>
      <c r="AA1993">
        <v>16</v>
      </c>
      <c r="AB1993">
        <v>6.2</v>
      </c>
    </row>
    <row r="1994" spans="10:28">
      <c r="J1994" s="340" t="str">
        <f t="shared" si="111"/>
        <v>2006FemaleNon-Maori251</v>
      </c>
      <c r="K1994">
        <v>2006</v>
      </c>
      <c r="L1994" t="s">
        <v>8</v>
      </c>
      <c r="M1994" t="s">
        <v>19</v>
      </c>
      <c r="N1994">
        <v>25</v>
      </c>
      <c r="O1994">
        <v>1</v>
      </c>
      <c r="P1994">
        <v>4</v>
      </c>
      <c r="Q1994">
        <v>7.8312090991668004</v>
      </c>
      <c r="R1994">
        <v>7.7</v>
      </c>
      <c r="T1994" s="340" t="str">
        <f t="shared" si="112"/>
        <v>2005FemaleNon-Maori23Jumping from a high place</v>
      </c>
      <c r="U1994">
        <v>2005</v>
      </c>
      <c r="V1994" t="s">
        <v>8</v>
      </c>
      <c r="W1994" t="s">
        <v>19</v>
      </c>
      <c r="X1994">
        <v>23</v>
      </c>
      <c r="Y1994" t="s">
        <v>44</v>
      </c>
      <c r="Z1994">
        <v>3</v>
      </c>
      <c r="AA1994">
        <v>46</v>
      </c>
      <c r="AB1994">
        <v>6.5</v>
      </c>
    </row>
    <row r="1995" spans="10:28">
      <c r="J1995" s="340" t="str">
        <f t="shared" si="111"/>
        <v>2006FemaleNon-Maori252</v>
      </c>
      <c r="K1995">
        <v>2006</v>
      </c>
      <c r="L1995" t="s">
        <v>8</v>
      </c>
      <c r="M1995" t="s">
        <v>19</v>
      </c>
      <c r="N1995">
        <v>25</v>
      </c>
      <c r="O1995">
        <v>2</v>
      </c>
      <c r="P1995">
        <v>5</v>
      </c>
      <c r="Q1995">
        <v>8.8255974762958296</v>
      </c>
      <c r="R1995">
        <v>7.7</v>
      </c>
      <c r="T1995" s="340" t="str">
        <f t="shared" si="112"/>
        <v>2005FemaleNon-Maori22Other</v>
      </c>
      <c r="U1995">
        <v>2005</v>
      </c>
      <c r="V1995" t="s">
        <v>8</v>
      </c>
      <c r="W1995" t="s">
        <v>19</v>
      </c>
      <c r="X1995">
        <v>22</v>
      </c>
      <c r="Y1995" t="s">
        <v>45</v>
      </c>
      <c r="Z1995">
        <v>1</v>
      </c>
      <c r="AA1995">
        <v>14</v>
      </c>
      <c r="AB1995">
        <v>7.1</v>
      </c>
    </row>
    <row r="1996" spans="10:28">
      <c r="J1996" s="340" t="str">
        <f t="shared" si="111"/>
        <v>2006FemaleNon-Maori253</v>
      </c>
      <c r="K1996">
        <v>2006</v>
      </c>
      <c r="L1996" t="s">
        <v>8</v>
      </c>
      <c r="M1996" t="s">
        <v>19</v>
      </c>
      <c r="N1996">
        <v>25</v>
      </c>
      <c r="O1996">
        <v>3</v>
      </c>
      <c r="P1996">
        <v>2</v>
      </c>
      <c r="Q1996">
        <v>3.3657971352345699</v>
      </c>
      <c r="R1996">
        <v>4.7</v>
      </c>
      <c r="T1996" s="340" t="str">
        <f t="shared" si="112"/>
        <v>2005FemaleNon-Maori23Other</v>
      </c>
      <c r="U1996">
        <v>2005</v>
      </c>
      <c r="V1996" t="s">
        <v>8</v>
      </c>
      <c r="W1996" t="s">
        <v>19</v>
      </c>
      <c r="X1996">
        <v>23</v>
      </c>
      <c r="Y1996" t="s">
        <v>45</v>
      </c>
      <c r="Z1996">
        <v>2</v>
      </c>
      <c r="AA1996">
        <v>46</v>
      </c>
      <c r="AB1996">
        <v>4.3</v>
      </c>
    </row>
    <row r="1997" spans="10:28">
      <c r="J1997" s="340" t="str">
        <f t="shared" si="111"/>
        <v>2006FemaleNon-Maori254</v>
      </c>
      <c r="K1997">
        <v>2006</v>
      </c>
      <c r="L1997" t="s">
        <v>8</v>
      </c>
      <c r="M1997" t="s">
        <v>19</v>
      </c>
      <c r="N1997">
        <v>25</v>
      </c>
      <c r="O1997">
        <v>4</v>
      </c>
      <c r="P1997">
        <v>3</v>
      </c>
      <c r="Q1997">
        <v>4.9999470319368502</v>
      </c>
      <c r="R1997">
        <v>5.7</v>
      </c>
      <c r="T1997" s="340" t="str">
        <f t="shared" si="112"/>
        <v>2005FemaleNon-Maori25Other</v>
      </c>
      <c r="U1997">
        <v>2005</v>
      </c>
      <c r="V1997" t="s">
        <v>8</v>
      </c>
      <c r="W1997" t="s">
        <v>19</v>
      </c>
      <c r="X1997">
        <v>25</v>
      </c>
      <c r="Y1997" t="s">
        <v>45</v>
      </c>
      <c r="Z1997">
        <v>2</v>
      </c>
      <c r="AA1997">
        <v>16</v>
      </c>
      <c r="AB1997">
        <v>12.5</v>
      </c>
    </row>
    <row r="1998" spans="10:28">
      <c r="J1998" s="340" t="str">
        <f t="shared" si="111"/>
        <v>2006FemaleNon-Maori255</v>
      </c>
      <c r="K1998">
        <v>2006</v>
      </c>
      <c r="L1998" t="s">
        <v>8</v>
      </c>
      <c r="M1998" t="s">
        <v>19</v>
      </c>
      <c r="N1998">
        <v>25</v>
      </c>
      <c r="O1998">
        <v>5</v>
      </c>
      <c r="P1998">
        <v>3</v>
      </c>
      <c r="Q1998">
        <v>7.2276952325815902</v>
      </c>
      <c r="R1998">
        <v>8.1999999999999993</v>
      </c>
      <c r="T1998" s="340" t="str">
        <f t="shared" si="112"/>
        <v>2005FemaleNon-Maori22Poisoning by gases and vapours</v>
      </c>
      <c r="U1998">
        <v>2005</v>
      </c>
      <c r="V1998" t="s">
        <v>8</v>
      </c>
      <c r="W1998" t="s">
        <v>19</v>
      </c>
      <c r="X1998">
        <v>22</v>
      </c>
      <c r="Y1998" t="s">
        <v>46</v>
      </c>
      <c r="Z1998">
        <v>1</v>
      </c>
      <c r="AA1998">
        <v>14</v>
      </c>
      <c r="AB1998">
        <v>7.1</v>
      </c>
    </row>
    <row r="1999" spans="10:28">
      <c r="J1999" s="340" t="str">
        <f t="shared" si="111"/>
        <v>2006MaleAllEth211</v>
      </c>
      <c r="K1999">
        <v>2006</v>
      </c>
      <c r="L1999" t="s">
        <v>20</v>
      </c>
      <c r="M1999" t="s">
        <v>27</v>
      </c>
      <c r="N1999">
        <v>21</v>
      </c>
      <c r="O1999">
        <v>1</v>
      </c>
      <c r="P1999">
        <v>0</v>
      </c>
      <c r="Q1999">
        <v>0</v>
      </c>
      <c r="T1999" s="340" t="str">
        <f t="shared" si="112"/>
        <v>2005FemaleNon-Maori23Poisoning by gases and vapours</v>
      </c>
      <c r="U1999">
        <v>2005</v>
      </c>
      <c r="V1999" t="s">
        <v>8</v>
      </c>
      <c r="W1999" t="s">
        <v>19</v>
      </c>
      <c r="X1999">
        <v>23</v>
      </c>
      <c r="Y1999" t="s">
        <v>46</v>
      </c>
      <c r="Z1999">
        <v>10</v>
      </c>
      <c r="AA1999">
        <v>46</v>
      </c>
      <c r="AB1999">
        <v>21.7</v>
      </c>
    </row>
    <row r="2000" spans="10:28">
      <c r="J2000" s="340" t="str">
        <f t="shared" si="111"/>
        <v>2006MaleAllEth212</v>
      </c>
      <c r="K2000">
        <v>2006</v>
      </c>
      <c r="L2000" t="s">
        <v>20</v>
      </c>
      <c r="M2000" t="s">
        <v>27</v>
      </c>
      <c r="N2000">
        <v>21</v>
      </c>
      <c r="O2000">
        <v>2</v>
      </c>
      <c r="P2000">
        <v>1</v>
      </c>
      <c r="Q2000">
        <v>1.1551589002243701</v>
      </c>
      <c r="R2000">
        <v>2.2999999999999998</v>
      </c>
      <c r="T2000" s="340" t="str">
        <f t="shared" si="112"/>
        <v>2005FemaleNon-Maori24Poisoning by gases and vapours</v>
      </c>
      <c r="U2000">
        <v>2005</v>
      </c>
      <c r="V2000" t="s">
        <v>8</v>
      </c>
      <c r="W2000" t="s">
        <v>19</v>
      </c>
      <c r="X2000">
        <v>24</v>
      </c>
      <c r="Y2000" t="s">
        <v>46</v>
      </c>
      <c r="Z2000">
        <v>7</v>
      </c>
      <c r="AA2000">
        <v>29</v>
      </c>
      <c r="AB2000">
        <v>24.1</v>
      </c>
    </row>
    <row r="2001" spans="10:28">
      <c r="J2001" s="340" t="str">
        <f t="shared" si="111"/>
        <v>2006MaleAllEth213</v>
      </c>
      <c r="K2001">
        <v>2006</v>
      </c>
      <c r="L2001" t="s">
        <v>20</v>
      </c>
      <c r="M2001" t="s">
        <v>27</v>
      </c>
      <c r="N2001">
        <v>21</v>
      </c>
      <c r="O2001">
        <v>3</v>
      </c>
      <c r="P2001">
        <v>1</v>
      </c>
      <c r="Q2001">
        <v>1.1987311568171899</v>
      </c>
      <c r="R2001">
        <v>2.2999999999999998</v>
      </c>
      <c r="T2001" s="340" t="str">
        <f t="shared" si="112"/>
        <v>2005FemaleNon-Maori25Poisoning by gases and vapours</v>
      </c>
      <c r="U2001">
        <v>2005</v>
      </c>
      <c r="V2001" t="s">
        <v>8</v>
      </c>
      <c r="W2001" t="s">
        <v>19</v>
      </c>
      <c r="X2001">
        <v>25</v>
      </c>
      <c r="Y2001" t="s">
        <v>46</v>
      </c>
      <c r="Z2001">
        <v>3</v>
      </c>
      <c r="AA2001">
        <v>16</v>
      </c>
      <c r="AB2001">
        <v>18.8</v>
      </c>
    </row>
    <row r="2002" spans="10:28">
      <c r="J2002" s="340" t="str">
        <f t="shared" si="111"/>
        <v>2006MaleAllEth214</v>
      </c>
      <c r="K2002">
        <v>2006</v>
      </c>
      <c r="L2002" t="s">
        <v>20</v>
      </c>
      <c r="M2002" t="s">
        <v>27</v>
      </c>
      <c r="N2002">
        <v>21</v>
      </c>
      <c r="O2002">
        <v>4</v>
      </c>
      <c r="P2002">
        <v>0</v>
      </c>
      <c r="Q2002">
        <v>0</v>
      </c>
      <c r="T2002" s="340" t="str">
        <f t="shared" si="112"/>
        <v>2005FemaleNon-Maori22Poisoning by solids and liquids</v>
      </c>
      <c r="U2002">
        <v>2005</v>
      </c>
      <c r="V2002" t="s">
        <v>8</v>
      </c>
      <c r="W2002" t="s">
        <v>19</v>
      </c>
      <c r="X2002">
        <v>22</v>
      </c>
      <c r="Y2002" t="s">
        <v>47</v>
      </c>
      <c r="Z2002">
        <v>2</v>
      </c>
      <c r="AA2002">
        <v>14</v>
      </c>
      <c r="AB2002">
        <v>14.3</v>
      </c>
    </row>
    <row r="2003" spans="10:28">
      <c r="J2003" s="340" t="str">
        <f t="shared" si="111"/>
        <v>2006MaleAllEth215</v>
      </c>
      <c r="K2003">
        <v>2006</v>
      </c>
      <c r="L2003" t="s">
        <v>20</v>
      </c>
      <c r="M2003" t="s">
        <v>27</v>
      </c>
      <c r="N2003">
        <v>21</v>
      </c>
      <c r="O2003">
        <v>5</v>
      </c>
      <c r="P2003">
        <v>0</v>
      </c>
      <c r="Q2003">
        <v>0</v>
      </c>
      <c r="T2003" s="340" t="str">
        <f t="shared" si="112"/>
        <v>2005FemaleNon-Maori23Poisoning by solids and liquids</v>
      </c>
      <c r="U2003">
        <v>2005</v>
      </c>
      <c r="V2003" t="s">
        <v>8</v>
      </c>
      <c r="W2003" t="s">
        <v>19</v>
      </c>
      <c r="X2003">
        <v>23</v>
      </c>
      <c r="Y2003" t="s">
        <v>47</v>
      </c>
      <c r="Z2003">
        <v>10</v>
      </c>
      <c r="AA2003">
        <v>46</v>
      </c>
      <c r="AB2003">
        <v>21.7</v>
      </c>
    </row>
    <row r="2004" spans="10:28">
      <c r="J2004" s="340" t="str">
        <f t="shared" si="111"/>
        <v>2006MaleAllEth221</v>
      </c>
      <c r="K2004">
        <v>2006</v>
      </c>
      <c r="L2004" t="s">
        <v>20</v>
      </c>
      <c r="M2004" t="s">
        <v>27</v>
      </c>
      <c r="N2004">
        <v>22</v>
      </c>
      <c r="O2004">
        <v>1</v>
      </c>
      <c r="P2004">
        <v>11</v>
      </c>
      <c r="Q2004">
        <v>20.767037185711899</v>
      </c>
      <c r="R2004">
        <v>12.3</v>
      </c>
      <c r="T2004" s="340" t="str">
        <f t="shared" si="112"/>
        <v>2005FemaleNon-Maori24Poisoning by solids and liquids</v>
      </c>
      <c r="U2004">
        <v>2005</v>
      </c>
      <c r="V2004" t="s">
        <v>8</v>
      </c>
      <c r="W2004" t="s">
        <v>19</v>
      </c>
      <c r="X2004">
        <v>24</v>
      </c>
      <c r="Y2004" t="s">
        <v>47</v>
      </c>
      <c r="Z2004">
        <v>6</v>
      </c>
      <c r="AA2004">
        <v>29</v>
      </c>
      <c r="AB2004">
        <v>20.7</v>
      </c>
    </row>
    <row r="2005" spans="10:28">
      <c r="J2005" s="340" t="str">
        <f t="shared" si="111"/>
        <v>2006MaleAllEth222</v>
      </c>
      <c r="K2005">
        <v>2006</v>
      </c>
      <c r="L2005" t="s">
        <v>20</v>
      </c>
      <c r="M2005" t="s">
        <v>27</v>
      </c>
      <c r="N2005">
        <v>22</v>
      </c>
      <c r="O2005">
        <v>2</v>
      </c>
      <c r="P2005">
        <v>9</v>
      </c>
      <c r="Q2005">
        <v>16.083608277810601</v>
      </c>
      <c r="R2005">
        <v>10.5</v>
      </c>
      <c r="T2005" s="340" t="str">
        <f t="shared" si="112"/>
        <v>2005FemaleNon-Maori25Poisoning by solids and liquids</v>
      </c>
      <c r="U2005">
        <v>2005</v>
      </c>
      <c r="V2005" t="s">
        <v>8</v>
      </c>
      <c r="W2005" t="s">
        <v>19</v>
      </c>
      <c r="X2005">
        <v>25</v>
      </c>
      <c r="Y2005" t="s">
        <v>47</v>
      </c>
      <c r="Z2005">
        <v>4</v>
      </c>
      <c r="AA2005">
        <v>16</v>
      </c>
      <c r="AB2005">
        <v>25</v>
      </c>
    </row>
    <row r="2006" spans="10:28">
      <c r="J2006" s="340" t="str">
        <f t="shared" si="111"/>
        <v>2006MaleAllEth223</v>
      </c>
      <c r="K2006">
        <v>2006</v>
      </c>
      <c r="L2006" t="s">
        <v>20</v>
      </c>
      <c r="M2006" t="s">
        <v>27</v>
      </c>
      <c r="N2006">
        <v>22</v>
      </c>
      <c r="O2006">
        <v>3</v>
      </c>
      <c r="P2006">
        <v>17</v>
      </c>
      <c r="Q2006">
        <v>28.565187986802201</v>
      </c>
      <c r="R2006">
        <v>13.6</v>
      </c>
      <c r="T2006" s="340" t="str">
        <f t="shared" si="112"/>
        <v>2005FemaleNon-Maori23Sharp object</v>
      </c>
      <c r="U2006">
        <v>2005</v>
      </c>
      <c r="V2006" t="s">
        <v>8</v>
      </c>
      <c r="W2006" t="s">
        <v>19</v>
      </c>
      <c r="X2006">
        <v>23</v>
      </c>
      <c r="Y2006" t="s">
        <v>48</v>
      </c>
      <c r="Z2006">
        <v>1</v>
      </c>
      <c r="AA2006">
        <v>46</v>
      </c>
      <c r="AB2006">
        <v>2.2000000000000002</v>
      </c>
    </row>
    <row r="2007" spans="10:28">
      <c r="J2007" s="340" t="str">
        <f t="shared" si="111"/>
        <v>2006MaleAllEth224</v>
      </c>
      <c r="K2007">
        <v>2006</v>
      </c>
      <c r="L2007" t="s">
        <v>20</v>
      </c>
      <c r="M2007" t="s">
        <v>27</v>
      </c>
      <c r="N2007">
        <v>22</v>
      </c>
      <c r="O2007">
        <v>4</v>
      </c>
      <c r="P2007">
        <v>23</v>
      </c>
      <c r="Q2007">
        <v>35.866690701366899</v>
      </c>
      <c r="R2007">
        <v>14.7</v>
      </c>
      <c r="T2007" s="340" t="str">
        <f t="shared" si="112"/>
        <v>2005FemaleNon-Maori24Sharp object</v>
      </c>
      <c r="U2007">
        <v>2005</v>
      </c>
      <c r="V2007" t="s">
        <v>8</v>
      </c>
      <c r="W2007" t="s">
        <v>19</v>
      </c>
      <c r="X2007">
        <v>24</v>
      </c>
      <c r="Y2007" t="s">
        <v>48</v>
      </c>
      <c r="Z2007">
        <v>2</v>
      </c>
      <c r="AA2007">
        <v>29</v>
      </c>
      <c r="AB2007">
        <v>6.9</v>
      </c>
    </row>
    <row r="2008" spans="10:28">
      <c r="J2008" s="340" t="str">
        <f t="shared" si="111"/>
        <v>2006MaleAllEth225</v>
      </c>
      <c r="K2008">
        <v>2006</v>
      </c>
      <c r="L2008" t="s">
        <v>20</v>
      </c>
      <c r="M2008" t="s">
        <v>27</v>
      </c>
      <c r="N2008">
        <v>22</v>
      </c>
      <c r="O2008">
        <v>5</v>
      </c>
      <c r="P2008">
        <v>29</v>
      </c>
      <c r="Q2008">
        <v>39.898465233981902</v>
      </c>
      <c r="R2008">
        <v>14.5</v>
      </c>
      <c r="T2008" s="340" t="str">
        <f t="shared" si="112"/>
        <v>2005FemaleNon-Maori23Submersion (drowning)</v>
      </c>
      <c r="U2008">
        <v>2005</v>
      </c>
      <c r="V2008" t="s">
        <v>8</v>
      </c>
      <c r="W2008" t="s">
        <v>19</v>
      </c>
      <c r="X2008">
        <v>23</v>
      </c>
      <c r="Y2008" t="s">
        <v>49</v>
      </c>
      <c r="Z2008">
        <v>2</v>
      </c>
      <c r="AA2008">
        <v>46</v>
      </c>
      <c r="AB2008">
        <v>4.3</v>
      </c>
    </row>
    <row r="2009" spans="10:28">
      <c r="J2009" s="340" t="str">
        <f t="shared" si="111"/>
        <v>2006MaleAllEth231</v>
      </c>
      <c r="K2009">
        <v>2006</v>
      </c>
      <c r="L2009" t="s">
        <v>20</v>
      </c>
      <c r="M2009" t="s">
        <v>27</v>
      </c>
      <c r="N2009">
        <v>23</v>
      </c>
      <c r="O2009">
        <v>1</v>
      </c>
      <c r="P2009">
        <v>17</v>
      </c>
      <c r="Q2009">
        <v>15.497774796664901</v>
      </c>
      <c r="R2009">
        <v>7.4</v>
      </c>
      <c r="T2009" s="340" t="str">
        <f t="shared" si="112"/>
        <v>2005FemaleNon-Maori24Submersion (drowning)</v>
      </c>
      <c r="U2009">
        <v>2005</v>
      </c>
      <c r="V2009" t="s">
        <v>8</v>
      </c>
      <c r="W2009" t="s">
        <v>19</v>
      </c>
      <c r="X2009">
        <v>24</v>
      </c>
      <c r="Y2009" t="s">
        <v>49</v>
      </c>
      <c r="Z2009">
        <v>2</v>
      </c>
      <c r="AA2009">
        <v>29</v>
      </c>
      <c r="AB2009">
        <v>6.9</v>
      </c>
    </row>
    <row r="2010" spans="10:28">
      <c r="J2010" s="340" t="str">
        <f t="shared" si="111"/>
        <v>2006MaleAllEth232</v>
      </c>
      <c r="K2010">
        <v>2006</v>
      </c>
      <c r="L2010" t="s">
        <v>20</v>
      </c>
      <c r="M2010" t="s">
        <v>27</v>
      </c>
      <c r="N2010">
        <v>23</v>
      </c>
      <c r="O2010">
        <v>2</v>
      </c>
      <c r="P2010">
        <v>26</v>
      </c>
      <c r="Q2010">
        <v>22.244316148086298</v>
      </c>
      <c r="R2010">
        <v>8.6</v>
      </c>
      <c r="T2010" s="340" t="str">
        <f t="shared" si="112"/>
        <v>2005FemaleNon-Maori25Submersion (drowning)</v>
      </c>
      <c r="U2010">
        <v>2005</v>
      </c>
      <c r="V2010" t="s">
        <v>8</v>
      </c>
      <c r="W2010" t="s">
        <v>19</v>
      </c>
      <c r="X2010">
        <v>25</v>
      </c>
      <c r="Y2010" t="s">
        <v>49</v>
      </c>
      <c r="Z2010">
        <v>5</v>
      </c>
      <c r="AA2010">
        <v>16</v>
      </c>
      <c r="AB2010">
        <v>31.2</v>
      </c>
    </row>
    <row r="2011" spans="10:28">
      <c r="J2011" s="340" t="str">
        <f t="shared" si="111"/>
        <v>2006MaleAllEth233</v>
      </c>
      <c r="K2011">
        <v>2006</v>
      </c>
      <c r="L2011" t="s">
        <v>20</v>
      </c>
      <c r="M2011" t="s">
        <v>27</v>
      </c>
      <c r="N2011">
        <v>23</v>
      </c>
      <c r="O2011">
        <v>3</v>
      </c>
      <c r="P2011">
        <v>23</v>
      </c>
      <c r="Q2011">
        <v>19.470792643601701</v>
      </c>
      <c r="R2011">
        <v>8</v>
      </c>
      <c r="T2011" s="340" t="str">
        <f t="shared" si="112"/>
        <v>2005MaleAllEth22Firearms and explosives</v>
      </c>
      <c r="U2011">
        <v>2005</v>
      </c>
      <c r="V2011" t="s">
        <v>20</v>
      </c>
      <c r="W2011" t="s">
        <v>27</v>
      </c>
      <c r="X2011">
        <v>22</v>
      </c>
      <c r="Y2011" t="s">
        <v>42</v>
      </c>
      <c r="Z2011">
        <v>9</v>
      </c>
      <c r="AA2011">
        <v>84</v>
      </c>
      <c r="AB2011">
        <v>10.7</v>
      </c>
    </row>
    <row r="2012" spans="10:28">
      <c r="J2012" s="340" t="str">
        <f t="shared" si="111"/>
        <v>2006MaleAllEth234</v>
      </c>
      <c r="K2012">
        <v>2006</v>
      </c>
      <c r="L2012" t="s">
        <v>20</v>
      </c>
      <c r="M2012" t="s">
        <v>27</v>
      </c>
      <c r="N2012">
        <v>23</v>
      </c>
      <c r="O2012">
        <v>4</v>
      </c>
      <c r="P2012">
        <v>29</v>
      </c>
      <c r="Q2012">
        <v>24.956917140651498</v>
      </c>
      <c r="R2012">
        <v>9.1</v>
      </c>
      <c r="T2012" s="340" t="str">
        <f t="shared" si="112"/>
        <v>2005MaleAllEth23Firearms and explosives</v>
      </c>
      <c r="U2012">
        <v>2005</v>
      </c>
      <c r="V2012" t="s">
        <v>20</v>
      </c>
      <c r="W2012" t="s">
        <v>27</v>
      </c>
      <c r="X2012">
        <v>23</v>
      </c>
      <c r="Y2012" t="s">
        <v>42</v>
      </c>
      <c r="Z2012">
        <v>13</v>
      </c>
      <c r="AA2012">
        <v>161</v>
      </c>
      <c r="AB2012">
        <v>8.1</v>
      </c>
    </row>
    <row r="2013" spans="10:28">
      <c r="J2013" s="340" t="str">
        <f t="shared" si="111"/>
        <v>2006MaleAllEth235</v>
      </c>
      <c r="K2013">
        <v>2006</v>
      </c>
      <c r="L2013" t="s">
        <v>20</v>
      </c>
      <c r="M2013" t="s">
        <v>27</v>
      </c>
      <c r="N2013">
        <v>23</v>
      </c>
      <c r="O2013">
        <v>5</v>
      </c>
      <c r="P2013">
        <v>51</v>
      </c>
      <c r="Q2013">
        <v>47.544847357824203</v>
      </c>
      <c r="R2013">
        <v>13</v>
      </c>
      <c r="T2013" s="340" t="str">
        <f t="shared" si="112"/>
        <v>2005MaleAllEth24Firearms and explosives</v>
      </c>
      <c r="U2013">
        <v>2005</v>
      </c>
      <c r="V2013" t="s">
        <v>20</v>
      </c>
      <c r="W2013" t="s">
        <v>27</v>
      </c>
      <c r="X2013">
        <v>24</v>
      </c>
      <c r="Y2013" t="s">
        <v>42</v>
      </c>
      <c r="Z2013">
        <v>14</v>
      </c>
      <c r="AA2013">
        <v>105</v>
      </c>
      <c r="AB2013">
        <v>13.3</v>
      </c>
    </row>
    <row r="2014" spans="10:28">
      <c r="J2014" s="340" t="str">
        <f t="shared" si="111"/>
        <v>2006MaleAllEth241</v>
      </c>
      <c r="K2014">
        <v>2006</v>
      </c>
      <c r="L2014" t="s">
        <v>20</v>
      </c>
      <c r="M2014" t="s">
        <v>27</v>
      </c>
      <c r="N2014">
        <v>24</v>
      </c>
      <c r="O2014">
        <v>1</v>
      </c>
      <c r="P2014">
        <v>16</v>
      </c>
      <c r="Q2014">
        <v>13.0242766257865</v>
      </c>
      <c r="R2014">
        <v>6.4</v>
      </c>
      <c r="T2014" s="340" t="str">
        <f t="shared" si="112"/>
        <v>2005MaleAllEth25Firearms and explosives</v>
      </c>
      <c r="U2014">
        <v>2005</v>
      </c>
      <c r="V2014" t="s">
        <v>20</v>
      </c>
      <c r="W2014" t="s">
        <v>27</v>
      </c>
      <c r="X2014">
        <v>25</v>
      </c>
      <c r="Y2014" t="s">
        <v>42</v>
      </c>
      <c r="Z2014">
        <v>6</v>
      </c>
      <c r="AA2014">
        <v>32</v>
      </c>
      <c r="AB2014">
        <v>18.8</v>
      </c>
    </row>
    <row r="2015" spans="10:28">
      <c r="J2015" s="340" t="str">
        <f t="shared" si="111"/>
        <v>2006MaleAllEth242</v>
      </c>
      <c r="K2015">
        <v>2006</v>
      </c>
      <c r="L2015" t="s">
        <v>20</v>
      </c>
      <c r="M2015" t="s">
        <v>27</v>
      </c>
      <c r="N2015">
        <v>24</v>
      </c>
      <c r="O2015">
        <v>2</v>
      </c>
      <c r="P2015">
        <v>20</v>
      </c>
      <c r="Q2015">
        <v>18.618971121295399</v>
      </c>
      <c r="R2015">
        <v>8.1999999999999993</v>
      </c>
      <c r="T2015" s="340" t="str">
        <f t="shared" si="112"/>
        <v>2005MaleAllEth21Hanging, strangulation and suffocation</v>
      </c>
      <c r="U2015">
        <v>2005</v>
      </c>
      <c r="V2015" t="s">
        <v>20</v>
      </c>
      <c r="W2015" t="s">
        <v>27</v>
      </c>
      <c r="X2015">
        <v>21</v>
      </c>
      <c r="Y2015" t="s">
        <v>43</v>
      </c>
      <c r="Z2015">
        <v>1</v>
      </c>
      <c r="AA2015">
        <v>1</v>
      </c>
      <c r="AB2015">
        <v>100</v>
      </c>
    </row>
    <row r="2016" spans="10:28">
      <c r="J2016" s="340" t="str">
        <f t="shared" si="111"/>
        <v>2006MaleAllEth243</v>
      </c>
      <c r="K2016">
        <v>2006</v>
      </c>
      <c r="L2016" t="s">
        <v>20</v>
      </c>
      <c r="M2016" t="s">
        <v>27</v>
      </c>
      <c r="N2016">
        <v>24</v>
      </c>
      <c r="O2016">
        <v>3</v>
      </c>
      <c r="P2016">
        <v>24</v>
      </c>
      <c r="Q2016">
        <v>25.026466774132199</v>
      </c>
      <c r="R2016">
        <v>10</v>
      </c>
      <c r="T2016" s="340" t="str">
        <f t="shared" si="112"/>
        <v>2005MaleAllEth22Hanging, strangulation and suffocation</v>
      </c>
      <c r="U2016">
        <v>2005</v>
      </c>
      <c r="V2016" t="s">
        <v>20</v>
      </c>
      <c r="W2016" t="s">
        <v>27</v>
      </c>
      <c r="X2016">
        <v>22</v>
      </c>
      <c r="Y2016" t="s">
        <v>43</v>
      </c>
      <c r="Z2016">
        <v>60</v>
      </c>
      <c r="AA2016">
        <v>84</v>
      </c>
      <c r="AB2016">
        <v>71.400000000000006</v>
      </c>
    </row>
    <row r="2017" spans="10:28">
      <c r="J2017" s="340" t="str">
        <f t="shared" si="111"/>
        <v>2006MaleAllEth244</v>
      </c>
      <c r="K2017">
        <v>2006</v>
      </c>
      <c r="L2017" t="s">
        <v>20</v>
      </c>
      <c r="M2017" t="s">
        <v>27</v>
      </c>
      <c r="N2017">
        <v>24</v>
      </c>
      <c r="O2017">
        <v>4</v>
      </c>
      <c r="P2017">
        <v>19</v>
      </c>
      <c r="Q2017">
        <v>21.775060031553199</v>
      </c>
      <c r="R2017">
        <v>9.8000000000000007</v>
      </c>
      <c r="T2017" s="340" t="str">
        <f t="shared" si="112"/>
        <v>2005MaleAllEth23Hanging, strangulation and suffocation</v>
      </c>
      <c r="U2017">
        <v>2005</v>
      </c>
      <c r="V2017" t="s">
        <v>20</v>
      </c>
      <c r="W2017" t="s">
        <v>27</v>
      </c>
      <c r="X2017">
        <v>23</v>
      </c>
      <c r="Y2017" t="s">
        <v>43</v>
      </c>
      <c r="Z2017">
        <v>78</v>
      </c>
      <c r="AA2017">
        <v>161</v>
      </c>
      <c r="AB2017">
        <v>48.4</v>
      </c>
    </row>
    <row r="2018" spans="10:28">
      <c r="J2018" s="340" t="str">
        <f t="shared" si="111"/>
        <v>2006MaleAllEth245</v>
      </c>
      <c r="K2018">
        <v>2006</v>
      </c>
      <c r="L2018" t="s">
        <v>20</v>
      </c>
      <c r="M2018" t="s">
        <v>27</v>
      </c>
      <c r="N2018">
        <v>24</v>
      </c>
      <c r="O2018">
        <v>5</v>
      </c>
      <c r="P2018">
        <v>27</v>
      </c>
      <c r="Q2018">
        <v>34.788926410214899</v>
      </c>
      <c r="R2018">
        <v>13.1</v>
      </c>
      <c r="T2018" s="340" t="str">
        <f t="shared" si="112"/>
        <v>2005MaleAllEth24Hanging, strangulation and suffocation</v>
      </c>
      <c r="U2018">
        <v>2005</v>
      </c>
      <c r="V2018" t="s">
        <v>20</v>
      </c>
      <c r="W2018" t="s">
        <v>27</v>
      </c>
      <c r="X2018">
        <v>24</v>
      </c>
      <c r="Y2018" t="s">
        <v>43</v>
      </c>
      <c r="Z2018">
        <v>40</v>
      </c>
      <c r="AA2018">
        <v>105</v>
      </c>
      <c r="AB2018">
        <v>38.1</v>
      </c>
    </row>
    <row r="2019" spans="10:28">
      <c r="J2019" s="340" t="str">
        <f t="shared" si="111"/>
        <v>2006MaleAllEth251</v>
      </c>
      <c r="K2019">
        <v>2006</v>
      </c>
      <c r="L2019" t="s">
        <v>20</v>
      </c>
      <c r="M2019" t="s">
        <v>27</v>
      </c>
      <c r="N2019">
        <v>25</v>
      </c>
      <c r="O2019">
        <v>1</v>
      </c>
      <c r="P2019">
        <v>5</v>
      </c>
      <c r="Q2019">
        <v>10.674785293433899</v>
      </c>
      <c r="R2019">
        <v>9.4</v>
      </c>
      <c r="T2019" s="340" t="str">
        <f t="shared" si="112"/>
        <v>2005MaleAllEth25Hanging, strangulation and suffocation</v>
      </c>
      <c r="U2019">
        <v>2005</v>
      </c>
      <c r="V2019" t="s">
        <v>20</v>
      </c>
      <c r="W2019" t="s">
        <v>27</v>
      </c>
      <c r="X2019">
        <v>25</v>
      </c>
      <c r="Y2019" t="s">
        <v>43</v>
      </c>
      <c r="Z2019">
        <v>14</v>
      </c>
      <c r="AA2019">
        <v>32</v>
      </c>
      <c r="AB2019">
        <v>43.8</v>
      </c>
    </row>
    <row r="2020" spans="10:28">
      <c r="J2020" s="340" t="str">
        <f t="shared" si="111"/>
        <v>2006MaleAllEth252</v>
      </c>
      <c r="K2020">
        <v>2006</v>
      </c>
      <c r="L2020" t="s">
        <v>20</v>
      </c>
      <c r="M2020" t="s">
        <v>27</v>
      </c>
      <c r="N2020">
        <v>25</v>
      </c>
      <c r="O2020">
        <v>2</v>
      </c>
      <c r="P2020">
        <v>9</v>
      </c>
      <c r="Q2020">
        <v>18.838589165452401</v>
      </c>
      <c r="R2020">
        <v>12.3</v>
      </c>
      <c r="T2020" s="340" t="str">
        <f t="shared" si="112"/>
        <v>2005MaleAllEth22Jumping from a high place</v>
      </c>
      <c r="U2020">
        <v>2005</v>
      </c>
      <c r="V2020" t="s">
        <v>20</v>
      </c>
      <c r="W2020" t="s">
        <v>27</v>
      </c>
      <c r="X2020">
        <v>22</v>
      </c>
      <c r="Y2020" t="s">
        <v>44</v>
      </c>
      <c r="Z2020">
        <v>2</v>
      </c>
      <c r="AA2020">
        <v>84</v>
      </c>
      <c r="AB2020">
        <v>2.4</v>
      </c>
    </row>
    <row r="2021" spans="10:28">
      <c r="J2021" s="340" t="str">
        <f t="shared" si="111"/>
        <v>2006MaleAllEth253</v>
      </c>
      <c r="K2021">
        <v>2006</v>
      </c>
      <c r="L2021" t="s">
        <v>20</v>
      </c>
      <c r="M2021" t="s">
        <v>27</v>
      </c>
      <c r="N2021">
        <v>25</v>
      </c>
      <c r="O2021">
        <v>3</v>
      </c>
      <c r="P2021">
        <v>6</v>
      </c>
      <c r="Q2021">
        <v>12.308789247424</v>
      </c>
      <c r="R2021">
        <v>9.8000000000000007</v>
      </c>
      <c r="T2021" s="340" t="str">
        <f t="shared" si="112"/>
        <v>2005MaleAllEth23Jumping from a high place</v>
      </c>
      <c r="U2021">
        <v>2005</v>
      </c>
      <c r="V2021" t="s">
        <v>20</v>
      </c>
      <c r="W2021" t="s">
        <v>27</v>
      </c>
      <c r="X2021">
        <v>23</v>
      </c>
      <c r="Y2021" t="s">
        <v>44</v>
      </c>
      <c r="Z2021">
        <v>4</v>
      </c>
      <c r="AA2021">
        <v>161</v>
      </c>
      <c r="AB2021">
        <v>2.5</v>
      </c>
    </row>
    <row r="2022" spans="10:28">
      <c r="J2022" s="340" t="str">
        <f t="shared" si="111"/>
        <v>2006MaleAllEth254</v>
      </c>
      <c r="K2022">
        <v>2006</v>
      </c>
      <c r="L2022" t="s">
        <v>20</v>
      </c>
      <c r="M2022" t="s">
        <v>27</v>
      </c>
      <c r="N2022">
        <v>25</v>
      </c>
      <c r="O2022">
        <v>4</v>
      </c>
      <c r="P2022">
        <v>5</v>
      </c>
      <c r="Q2022">
        <v>10.540467083547201</v>
      </c>
      <c r="R2022">
        <v>9.1999999999999993</v>
      </c>
      <c r="T2022" s="340" t="str">
        <f t="shared" si="112"/>
        <v>2005MaleAllEth24Jumping from a high place</v>
      </c>
      <c r="U2022">
        <v>2005</v>
      </c>
      <c r="V2022" t="s">
        <v>20</v>
      </c>
      <c r="W2022" t="s">
        <v>27</v>
      </c>
      <c r="X2022">
        <v>24</v>
      </c>
      <c r="Y2022" t="s">
        <v>44</v>
      </c>
      <c r="Z2022">
        <v>3</v>
      </c>
      <c r="AA2022">
        <v>105</v>
      </c>
      <c r="AB2022">
        <v>2.9</v>
      </c>
    </row>
    <row r="2023" spans="10:28">
      <c r="J2023" s="340" t="str">
        <f t="shared" si="111"/>
        <v>2006MaleAllEth255</v>
      </c>
      <c r="K2023">
        <v>2006</v>
      </c>
      <c r="L2023" t="s">
        <v>20</v>
      </c>
      <c r="M2023" t="s">
        <v>27</v>
      </c>
      <c r="N2023">
        <v>25</v>
      </c>
      <c r="O2023">
        <v>5</v>
      </c>
      <c r="P2023">
        <v>6</v>
      </c>
      <c r="Q2023">
        <v>15.7337890258674</v>
      </c>
      <c r="R2023">
        <v>12.6</v>
      </c>
      <c r="T2023" s="340" t="str">
        <f t="shared" si="112"/>
        <v>2005MaleAllEth25Jumping from a high place</v>
      </c>
      <c r="U2023">
        <v>2005</v>
      </c>
      <c r="V2023" t="s">
        <v>20</v>
      </c>
      <c r="W2023" t="s">
        <v>27</v>
      </c>
      <c r="X2023">
        <v>25</v>
      </c>
      <c r="Y2023" t="s">
        <v>44</v>
      </c>
      <c r="Z2023">
        <v>2</v>
      </c>
      <c r="AA2023">
        <v>32</v>
      </c>
      <c r="AB2023">
        <v>6.2</v>
      </c>
    </row>
    <row r="2024" spans="10:28">
      <c r="J2024" s="340" t="str">
        <f t="shared" si="111"/>
        <v>2006MaleMaori211</v>
      </c>
      <c r="K2024">
        <v>2006</v>
      </c>
      <c r="L2024" t="s">
        <v>20</v>
      </c>
      <c r="M2024" t="s">
        <v>18</v>
      </c>
      <c r="N2024">
        <v>21</v>
      </c>
      <c r="O2024">
        <v>1</v>
      </c>
      <c r="P2024">
        <v>0</v>
      </c>
      <c r="Q2024">
        <v>0</v>
      </c>
      <c r="T2024" s="340" t="str">
        <f t="shared" si="112"/>
        <v>2005MaleAllEth22Other</v>
      </c>
      <c r="U2024">
        <v>2005</v>
      </c>
      <c r="V2024" t="s">
        <v>20</v>
      </c>
      <c r="W2024" t="s">
        <v>27</v>
      </c>
      <c r="X2024">
        <v>22</v>
      </c>
      <c r="Y2024" t="s">
        <v>45</v>
      </c>
      <c r="Z2024">
        <v>3</v>
      </c>
      <c r="AA2024">
        <v>84</v>
      </c>
      <c r="AB2024">
        <v>3.6</v>
      </c>
    </row>
    <row r="2025" spans="10:28">
      <c r="J2025" s="340" t="str">
        <f t="shared" si="111"/>
        <v>2006MaleMaori212</v>
      </c>
      <c r="K2025">
        <v>2006</v>
      </c>
      <c r="L2025" t="s">
        <v>20</v>
      </c>
      <c r="M2025" t="s">
        <v>18</v>
      </c>
      <c r="N2025">
        <v>21</v>
      </c>
      <c r="O2025">
        <v>2</v>
      </c>
      <c r="P2025">
        <v>0</v>
      </c>
      <c r="Q2025">
        <v>0</v>
      </c>
      <c r="T2025" s="340" t="str">
        <f t="shared" si="112"/>
        <v>2005MaleAllEth23Other</v>
      </c>
      <c r="U2025">
        <v>2005</v>
      </c>
      <c r="V2025" t="s">
        <v>20</v>
      </c>
      <c r="W2025" t="s">
        <v>27</v>
      </c>
      <c r="X2025">
        <v>23</v>
      </c>
      <c r="Y2025" t="s">
        <v>45</v>
      </c>
      <c r="Z2025">
        <v>4</v>
      </c>
      <c r="AA2025">
        <v>161</v>
      </c>
      <c r="AB2025">
        <v>2.5</v>
      </c>
    </row>
    <row r="2026" spans="10:28">
      <c r="J2026" s="340" t="str">
        <f t="shared" si="111"/>
        <v>2006MaleMaori213</v>
      </c>
      <c r="K2026">
        <v>2006</v>
      </c>
      <c r="L2026" t="s">
        <v>20</v>
      </c>
      <c r="M2026" t="s">
        <v>18</v>
      </c>
      <c r="N2026">
        <v>21</v>
      </c>
      <c r="O2026">
        <v>3</v>
      </c>
      <c r="P2026">
        <v>0</v>
      </c>
      <c r="Q2026">
        <v>0</v>
      </c>
      <c r="T2026" s="340" t="str">
        <f t="shared" si="112"/>
        <v>2005MaleAllEth25Other</v>
      </c>
      <c r="U2026">
        <v>2005</v>
      </c>
      <c r="V2026" t="s">
        <v>20</v>
      </c>
      <c r="W2026" t="s">
        <v>27</v>
      </c>
      <c r="X2026">
        <v>25</v>
      </c>
      <c r="Y2026" t="s">
        <v>45</v>
      </c>
      <c r="Z2026">
        <v>1</v>
      </c>
      <c r="AA2026">
        <v>32</v>
      </c>
      <c r="AB2026">
        <v>3.1</v>
      </c>
    </row>
    <row r="2027" spans="10:28">
      <c r="J2027" s="340" t="str">
        <f t="shared" si="111"/>
        <v>2006MaleMaori214</v>
      </c>
      <c r="K2027">
        <v>2006</v>
      </c>
      <c r="L2027" t="s">
        <v>20</v>
      </c>
      <c r="M2027" t="s">
        <v>18</v>
      </c>
      <c r="N2027">
        <v>21</v>
      </c>
      <c r="O2027">
        <v>4</v>
      </c>
      <c r="P2027">
        <v>0</v>
      </c>
      <c r="Q2027">
        <v>0</v>
      </c>
      <c r="T2027" s="340" t="str">
        <f t="shared" si="112"/>
        <v>2005MaleAllEth22Poisoning by gases and vapours</v>
      </c>
      <c r="U2027">
        <v>2005</v>
      </c>
      <c r="V2027" t="s">
        <v>20</v>
      </c>
      <c r="W2027" t="s">
        <v>27</v>
      </c>
      <c r="X2027">
        <v>22</v>
      </c>
      <c r="Y2027" t="s">
        <v>46</v>
      </c>
      <c r="Z2027">
        <v>9</v>
      </c>
      <c r="AA2027">
        <v>84</v>
      </c>
      <c r="AB2027">
        <v>10.7</v>
      </c>
    </row>
    <row r="2028" spans="10:28">
      <c r="J2028" s="340" t="str">
        <f t="shared" si="111"/>
        <v>2006MaleMaori215</v>
      </c>
      <c r="K2028">
        <v>2006</v>
      </c>
      <c r="L2028" t="s">
        <v>20</v>
      </c>
      <c r="M2028" t="s">
        <v>18</v>
      </c>
      <c r="N2028">
        <v>21</v>
      </c>
      <c r="O2028">
        <v>5</v>
      </c>
      <c r="P2028">
        <v>0</v>
      </c>
      <c r="Q2028">
        <v>0</v>
      </c>
      <c r="T2028" s="340" t="str">
        <f t="shared" si="112"/>
        <v>2005MaleAllEth23Poisoning by gases and vapours</v>
      </c>
      <c r="U2028">
        <v>2005</v>
      </c>
      <c r="V2028" t="s">
        <v>20</v>
      </c>
      <c r="W2028" t="s">
        <v>27</v>
      </c>
      <c r="X2028">
        <v>23</v>
      </c>
      <c r="Y2028" t="s">
        <v>46</v>
      </c>
      <c r="Z2028">
        <v>46</v>
      </c>
      <c r="AA2028">
        <v>161</v>
      </c>
      <c r="AB2028">
        <v>28.6</v>
      </c>
    </row>
    <row r="2029" spans="10:28">
      <c r="J2029" s="340" t="str">
        <f t="shared" si="111"/>
        <v>2006MaleMaori221</v>
      </c>
      <c r="K2029">
        <v>2006</v>
      </c>
      <c r="L2029" t="s">
        <v>20</v>
      </c>
      <c r="M2029" t="s">
        <v>18</v>
      </c>
      <c r="N2029">
        <v>22</v>
      </c>
      <c r="O2029">
        <v>1</v>
      </c>
      <c r="P2029">
        <v>2</v>
      </c>
      <c r="Q2029">
        <v>46.5409585141321</v>
      </c>
      <c r="R2029">
        <v>64.5</v>
      </c>
      <c r="T2029" s="340" t="str">
        <f t="shared" si="112"/>
        <v>2005MaleAllEth24Poisoning by gases and vapours</v>
      </c>
      <c r="U2029">
        <v>2005</v>
      </c>
      <c r="V2029" t="s">
        <v>20</v>
      </c>
      <c r="W2029" t="s">
        <v>27</v>
      </c>
      <c r="X2029">
        <v>24</v>
      </c>
      <c r="Y2029" t="s">
        <v>46</v>
      </c>
      <c r="Z2029">
        <v>26</v>
      </c>
      <c r="AA2029">
        <v>105</v>
      </c>
      <c r="AB2029">
        <v>24.8</v>
      </c>
    </row>
    <row r="2030" spans="10:28">
      <c r="J2030" s="340" t="str">
        <f t="shared" si="111"/>
        <v>2006MaleMaori222</v>
      </c>
      <c r="K2030">
        <v>2006</v>
      </c>
      <c r="L2030" t="s">
        <v>20</v>
      </c>
      <c r="M2030" t="s">
        <v>18</v>
      </c>
      <c r="N2030">
        <v>22</v>
      </c>
      <c r="O2030">
        <v>2</v>
      </c>
      <c r="P2030">
        <v>3</v>
      </c>
      <c r="Q2030">
        <v>47.3307953793637</v>
      </c>
      <c r="R2030">
        <v>53.6</v>
      </c>
      <c r="T2030" s="340" t="str">
        <f t="shared" si="112"/>
        <v>2005MaleAllEth25Poisoning by gases and vapours</v>
      </c>
      <c r="U2030">
        <v>2005</v>
      </c>
      <c r="V2030" t="s">
        <v>20</v>
      </c>
      <c r="W2030" t="s">
        <v>27</v>
      </c>
      <c r="X2030">
        <v>25</v>
      </c>
      <c r="Y2030" t="s">
        <v>46</v>
      </c>
      <c r="Z2030">
        <v>7</v>
      </c>
      <c r="AA2030">
        <v>32</v>
      </c>
      <c r="AB2030">
        <v>21.9</v>
      </c>
    </row>
    <row r="2031" spans="10:28">
      <c r="J2031" s="340" t="str">
        <f t="shared" si="111"/>
        <v>2006MaleMaori223</v>
      </c>
      <c r="K2031">
        <v>2006</v>
      </c>
      <c r="L2031" t="s">
        <v>20</v>
      </c>
      <c r="M2031" t="s">
        <v>18</v>
      </c>
      <c r="N2031">
        <v>22</v>
      </c>
      <c r="O2031">
        <v>3</v>
      </c>
      <c r="P2031">
        <v>2</v>
      </c>
      <c r="Q2031">
        <v>21.296310454423601</v>
      </c>
      <c r="R2031">
        <v>29.5</v>
      </c>
      <c r="T2031" s="340" t="str">
        <f t="shared" si="112"/>
        <v>2005MaleAllEth22Poisoning by solids and liquids</v>
      </c>
      <c r="U2031">
        <v>2005</v>
      </c>
      <c r="V2031" t="s">
        <v>20</v>
      </c>
      <c r="W2031" t="s">
        <v>27</v>
      </c>
      <c r="X2031">
        <v>22</v>
      </c>
      <c r="Y2031" t="s">
        <v>47</v>
      </c>
      <c r="Z2031">
        <v>1</v>
      </c>
      <c r="AA2031">
        <v>84</v>
      </c>
      <c r="AB2031">
        <v>1.2</v>
      </c>
    </row>
    <row r="2032" spans="10:28">
      <c r="J2032" s="340" t="str">
        <f t="shared" si="111"/>
        <v>2006MaleMaori224</v>
      </c>
      <c r="K2032">
        <v>2006</v>
      </c>
      <c r="L2032" t="s">
        <v>20</v>
      </c>
      <c r="M2032" t="s">
        <v>18</v>
      </c>
      <c r="N2032">
        <v>22</v>
      </c>
      <c r="O2032">
        <v>4</v>
      </c>
      <c r="P2032">
        <v>5</v>
      </c>
      <c r="Q2032">
        <v>36.615698860611097</v>
      </c>
      <c r="R2032">
        <v>32.1</v>
      </c>
      <c r="T2032" s="340" t="str">
        <f t="shared" si="112"/>
        <v>2005MaleAllEth23Poisoning by solids and liquids</v>
      </c>
      <c r="U2032">
        <v>2005</v>
      </c>
      <c r="V2032" t="s">
        <v>20</v>
      </c>
      <c r="W2032" t="s">
        <v>27</v>
      </c>
      <c r="X2032">
        <v>23</v>
      </c>
      <c r="Y2032" t="s">
        <v>47</v>
      </c>
      <c r="Z2032">
        <v>10</v>
      </c>
      <c r="AA2032">
        <v>161</v>
      </c>
      <c r="AB2032">
        <v>6.2</v>
      </c>
    </row>
    <row r="2033" spans="10:28">
      <c r="J2033" s="340" t="str">
        <f t="shared" si="111"/>
        <v>2006MaleMaori225</v>
      </c>
      <c r="K2033">
        <v>2006</v>
      </c>
      <c r="L2033" t="s">
        <v>20</v>
      </c>
      <c r="M2033" t="s">
        <v>18</v>
      </c>
      <c r="N2033">
        <v>22</v>
      </c>
      <c r="O2033">
        <v>5</v>
      </c>
      <c r="P2033">
        <v>17</v>
      </c>
      <c r="Q2033">
        <v>72.594665064054695</v>
      </c>
      <c r="R2033">
        <v>34.5</v>
      </c>
      <c r="T2033" s="340" t="str">
        <f t="shared" si="112"/>
        <v>2005MaleAllEth24Poisoning by solids and liquids</v>
      </c>
      <c r="U2033">
        <v>2005</v>
      </c>
      <c r="V2033" t="s">
        <v>20</v>
      </c>
      <c r="W2033" t="s">
        <v>27</v>
      </c>
      <c r="X2033">
        <v>24</v>
      </c>
      <c r="Y2033" t="s">
        <v>47</v>
      </c>
      <c r="Z2033">
        <v>15</v>
      </c>
      <c r="AA2033">
        <v>105</v>
      </c>
      <c r="AB2033">
        <v>14.3</v>
      </c>
    </row>
    <row r="2034" spans="10:28">
      <c r="J2034" s="340" t="str">
        <f t="shared" si="111"/>
        <v>2006MaleMaori231</v>
      </c>
      <c r="K2034">
        <v>2006</v>
      </c>
      <c r="L2034" t="s">
        <v>20</v>
      </c>
      <c r="M2034" t="s">
        <v>18</v>
      </c>
      <c r="N2034">
        <v>23</v>
      </c>
      <c r="O2034">
        <v>1</v>
      </c>
      <c r="P2034">
        <v>3</v>
      </c>
      <c r="Q2034">
        <v>42.440811272525799</v>
      </c>
      <c r="R2034">
        <v>48</v>
      </c>
      <c r="T2034" s="340" t="str">
        <f t="shared" si="112"/>
        <v>2005MaleAllEth25Poisoning by solids and liquids</v>
      </c>
      <c r="U2034">
        <v>2005</v>
      </c>
      <c r="V2034" t="s">
        <v>20</v>
      </c>
      <c r="W2034" t="s">
        <v>27</v>
      </c>
      <c r="X2034">
        <v>25</v>
      </c>
      <c r="Y2034" t="s">
        <v>47</v>
      </c>
      <c r="Z2034">
        <v>1</v>
      </c>
      <c r="AA2034">
        <v>32</v>
      </c>
      <c r="AB2034">
        <v>3.1</v>
      </c>
    </row>
    <row r="2035" spans="10:28">
      <c r="J2035" s="340" t="str">
        <f t="shared" si="111"/>
        <v>2006MaleMaori232</v>
      </c>
      <c r="K2035">
        <v>2006</v>
      </c>
      <c r="L2035" t="s">
        <v>20</v>
      </c>
      <c r="M2035" t="s">
        <v>18</v>
      </c>
      <c r="N2035">
        <v>23</v>
      </c>
      <c r="O2035">
        <v>2</v>
      </c>
      <c r="P2035">
        <v>1</v>
      </c>
      <c r="Q2035">
        <v>9.8984507520533604</v>
      </c>
      <c r="R2035">
        <v>19.399999999999999</v>
      </c>
      <c r="T2035" s="340" t="str">
        <f t="shared" si="112"/>
        <v>2005MaleAllEth23Sharp object</v>
      </c>
      <c r="U2035">
        <v>2005</v>
      </c>
      <c r="V2035" t="s">
        <v>20</v>
      </c>
      <c r="W2035" t="s">
        <v>27</v>
      </c>
      <c r="X2035">
        <v>23</v>
      </c>
      <c r="Y2035" t="s">
        <v>48</v>
      </c>
      <c r="Z2035">
        <v>6</v>
      </c>
      <c r="AA2035">
        <v>161</v>
      </c>
      <c r="AB2035">
        <v>3.7</v>
      </c>
    </row>
    <row r="2036" spans="10:28">
      <c r="J2036" s="340" t="str">
        <f t="shared" si="111"/>
        <v>2006MaleMaori233</v>
      </c>
      <c r="K2036">
        <v>2006</v>
      </c>
      <c r="L2036" t="s">
        <v>20</v>
      </c>
      <c r="M2036" t="s">
        <v>18</v>
      </c>
      <c r="N2036">
        <v>23</v>
      </c>
      <c r="O2036">
        <v>3</v>
      </c>
      <c r="P2036">
        <v>5</v>
      </c>
      <c r="Q2036">
        <v>35.857302043096901</v>
      </c>
      <c r="R2036">
        <v>31.4</v>
      </c>
      <c r="T2036" s="340" t="str">
        <f t="shared" si="112"/>
        <v>2005MaleAllEth24Sharp object</v>
      </c>
      <c r="U2036">
        <v>2005</v>
      </c>
      <c r="V2036" t="s">
        <v>20</v>
      </c>
      <c r="W2036" t="s">
        <v>27</v>
      </c>
      <c r="X2036">
        <v>24</v>
      </c>
      <c r="Y2036" t="s">
        <v>48</v>
      </c>
      <c r="Z2036">
        <v>3</v>
      </c>
      <c r="AA2036">
        <v>105</v>
      </c>
      <c r="AB2036">
        <v>2.9</v>
      </c>
    </row>
    <row r="2037" spans="10:28">
      <c r="J2037" s="340" t="str">
        <f t="shared" si="111"/>
        <v>2006MaleMaori234</v>
      </c>
      <c r="K2037">
        <v>2006</v>
      </c>
      <c r="L2037" t="s">
        <v>20</v>
      </c>
      <c r="M2037" t="s">
        <v>18</v>
      </c>
      <c r="N2037">
        <v>23</v>
      </c>
      <c r="O2037">
        <v>4</v>
      </c>
      <c r="P2037">
        <v>11</v>
      </c>
      <c r="Q2037">
        <v>57.543013441036798</v>
      </c>
      <c r="R2037">
        <v>34</v>
      </c>
      <c r="T2037" s="340" t="str">
        <f t="shared" si="112"/>
        <v>2005MaleAllEth25Sharp object</v>
      </c>
      <c r="U2037">
        <v>2005</v>
      </c>
      <c r="V2037" t="s">
        <v>20</v>
      </c>
      <c r="W2037" t="s">
        <v>27</v>
      </c>
      <c r="X2037">
        <v>25</v>
      </c>
      <c r="Y2037" t="s">
        <v>48</v>
      </c>
      <c r="Z2037">
        <v>1</v>
      </c>
      <c r="AA2037">
        <v>32</v>
      </c>
      <c r="AB2037">
        <v>3.1</v>
      </c>
    </row>
    <row r="2038" spans="10:28">
      <c r="J2038" s="340" t="str">
        <f t="shared" si="111"/>
        <v>2006MaleMaori235</v>
      </c>
      <c r="K2038">
        <v>2006</v>
      </c>
      <c r="L2038" t="s">
        <v>20</v>
      </c>
      <c r="M2038" t="s">
        <v>18</v>
      </c>
      <c r="N2038">
        <v>23</v>
      </c>
      <c r="O2038">
        <v>5</v>
      </c>
      <c r="P2038">
        <v>16</v>
      </c>
      <c r="Q2038">
        <v>53.730139220492603</v>
      </c>
      <c r="R2038">
        <v>26.3</v>
      </c>
      <c r="T2038" s="340" t="str">
        <f t="shared" si="112"/>
        <v>2005MaleAllEth24Submersion (drowning)</v>
      </c>
      <c r="U2038">
        <v>2005</v>
      </c>
      <c r="V2038" t="s">
        <v>20</v>
      </c>
      <c r="W2038" t="s">
        <v>27</v>
      </c>
      <c r="X2038">
        <v>24</v>
      </c>
      <c r="Y2038" t="s">
        <v>49</v>
      </c>
      <c r="Z2038">
        <v>4</v>
      </c>
      <c r="AA2038">
        <v>105</v>
      </c>
      <c r="AB2038">
        <v>3.8</v>
      </c>
    </row>
    <row r="2039" spans="10:28">
      <c r="J2039" s="340" t="str">
        <f t="shared" si="111"/>
        <v>2006MaleMaori241</v>
      </c>
      <c r="K2039">
        <v>2006</v>
      </c>
      <c r="L2039" t="s">
        <v>20</v>
      </c>
      <c r="M2039" t="s">
        <v>18</v>
      </c>
      <c r="N2039">
        <v>24</v>
      </c>
      <c r="O2039">
        <v>1</v>
      </c>
      <c r="P2039">
        <v>1</v>
      </c>
      <c r="Q2039">
        <v>23.950836155540198</v>
      </c>
      <c r="R2039">
        <v>46.9</v>
      </c>
      <c r="T2039" s="340" t="str">
        <f t="shared" si="112"/>
        <v>2005MaleMaori22Firearms and explosives</v>
      </c>
      <c r="U2039">
        <v>2005</v>
      </c>
      <c r="V2039" t="s">
        <v>20</v>
      </c>
      <c r="W2039" t="s">
        <v>18</v>
      </c>
      <c r="X2039">
        <v>22</v>
      </c>
      <c r="Y2039" t="s">
        <v>42</v>
      </c>
      <c r="Z2039">
        <v>1</v>
      </c>
      <c r="AA2039">
        <v>29</v>
      </c>
      <c r="AB2039">
        <v>3.4</v>
      </c>
    </row>
    <row r="2040" spans="10:28">
      <c r="J2040" s="340" t="str">
        <f t="shared" si="111"/>
        <v>2006MaleMaori242</v>
      </c>
      <c r="K2040">
        <v>2006</v>
      </c>
      <c r="L2040" t="s">
        <v>20</v>
      </c>
      <c r="M2040" t="s">
        <v>18</v>
      </c>
      <c r="N2040">
        <v>24</v>
      </c>
      <c r="O2040">
        <v>2</v>
      </c>
      <c r="P2040">
        <v>2</v>
      </c>
      <c r="Q2040">
        <v>35.899913189255997</v>
      </c>
      <c r="R2040">
        <v>49.8</v>
      </c>
      <c r="T2040" s="340" t="str">
        <f t="shared" si="112"/>
        <v>2005MaleMaori23Firearms and explosives</v>
      </c>
      <c r="U2040">
        <v>2005</v>
      </c>
      <c r="V2040" t="s">
        <v>20</v>
      </c>
      <c r="W2040" t="s">
        <v>18</v>
      </c>
      <c r="X2040">
        <v>23</v>
      </c>
      <c r="Y2040" t="s">
        <v>42</v>
      </c>
      <c r="Z2040">
        <v>3</v>
      </c>
      <c r="AA2040">
        <v>42</v>
      </c>
      <c r="AB2040">
        <v>7.1</v>
      </c>
    </row>
    <row r="2041" spans="10:28">
      <c r="J2041" s="340" t="str">
        <f t="shared" si="111"/>
        <v>2006MaleMaori243</v>
      </c>
      <c r="K2041">
        <v>2006</v>
      </c>
      <c r="L2041" t="s">
        <v>20</v>
      </c>
      <c r="M2041" t="s">
        <v>18</v>
      </c>
      <c r="N2041">
        <v>24</v>
      </c>
      <c r="O2041">
        <v>3</v>
      </c>
      <c r="P2041">
        <v>0</v>
      </c>
      <c r="Q2041">
        <v>0</v>
      </c>
      <c r="T2041" s="340" t="str">
        <f t="shared" si="112"/>
        <v>2005MaleMaori24Firearms and explosives</v>
      </c>
      <c r="U2041">
        <v>2005</v>
      </c>
      <c r="V2041" t="s">
        <v>20</v>
      </c>
      <c r="W2041" t="s">
        <v>18</v>
      </c>
      <c r="X2041">
        <v>24</v>
      </c>
      <c r="Y2041" t="s">
        <v>42</v>
      </c>
      <c r="Z2041">
        <v>3</v>
      </c>
      <c r="AA2041">
        <v>5</v>
      </c>
      <c r="AB2041">
        <v>60</v>
      </c>
    </row>
    <row r="2042" spans="10:28">
      <c r="J2042" s="340" t="str">
        <f t="shared" si="111"/>
        <v>2006MaleMaori244</v>
      </c>
      <c r="K2042">
        <v>2006</v>
      </c>
      <c r="L2042" t="s">
        <v>20</v>
      </c>
      <c r="M2042" t="s">
        <v>18</v>
      </c>
      <c r="N2042">
        <v>24</v>
      </c>
      <c r="O2042">
        <v>4</v>
      </c>
      <c r="P2042">
        <v>2</v>
      </c>
      <c r="Q2042">
        <v>18.682524421289699</v>
      </c>
      <c r="R2042">
        <v>25.9</v>
      </c>
      <c r="T2042" s="340" t="str">
        <f t="shared" si="112"/>
        <v>2005MaleMaori22Hanging, strangulation and suffocation</v>
      </c>
      <c r="U2042">
        <v>2005</v>
      </c>
      <c r="V2042" t="s">
        <v>20</v>
      </c>
      <c r="W2042" t="s">
        <v>18</v>
      </c>
      <c r="X2042">
        <v>22</v>
      </c>
      <c r="Y2042" t="s">
        <v>43</v>
      </c>
      <c r="Z2042">
        <v>26</v>
      </c>
      <c r="AA2042">
        <v>29</v>
      </c>
      <c r="AB2042">
        <v>89.7</v>
      </c>
    </row>
    <row r="2043" spans="10:28">
      <c r="J2043" s="340" t="str">
        <f t="shared" si="111"/>
        <v>2006MaleMaori245</v>
      </c>
      <c r="K2043">
        <v>2006</v>
      </c>
      <c r="L2043" t="s">
        <v>20</v>
      </c>
      <c r="M2043" t="s">
        <v>18</v>
      </c>
      <c r="N2043">
        <v>24</v>
      </c>
      <c r="O2043">
        <v>5</v>
      </c>
      <c r="P2043">
        <v>5</v>
      </c>
      <c r="Q2043">
        <v>27.182157904286001</v>
      </c>
      <c r="R2043">
        <v>23.8</v>
      </c>
      <c r="T2043" s="340" t="str">
        <f t="shared" si="112"/>
        <v>2005MaleMaori23Hanging, strangulation and suffocation</v>
      </c>
      <c r="U2043">
        <v>2005</v>
      </c>
      <c r="V2043" t="s">
        <v>20</v>
      </c>
      <c r="W2043" t="s">
        <v>18</v>
      </c>
      <c r="X2043">
        <v>23</v>
      </c>
      <c r="Y2043" t="s">
        <v>43</v>
      </c>
      <c r="Z2043">
        <v>27</v>
      </c>
      <c r="AA2043">
        <v>42</v>
      </c>
      <c r="AB2043">
        <v>64.3</v>
      </c>
    </row>
    <row r="2044" spans="10:28">
      <c r="J2044" s="340" t="str">
        <f t="shared" si="111"/>
        <v>2006MaleMaori251</v>
      </c>
      <c r="K2044">
        <v>2006</v>
      </c>
      <c r="L2044" t="s">
        <v>20</v>
      </c>
      <c r="M2044" t="s">
        <v>18</v>
      </c>
      <c r="N2044">
        <v>25</v>
      </c>
      <c r="O2044">
        <v>1</v>
      </c>
      <c r="P2044">
        <v>0</v>
      </c>
      <c r="Q2044">
        <v>0</v>
      </c>
      <c r="T2044" s="340" t="str">
        <f t="shared" si="112"/>
        <v>2005MaleMaori24Hanging, strangulation and suffocation</v>
      </c>
      <c r="U2044">
        <v>2005</v>
      </c>
      <c r="V2044" t="s">
        <v>20</v>
      </c>
      <c r="W2044" t="s">
        <v>18</v>
      </c>
      <c r="X2044">
        <v>24</v>
      </c>
      <c r="Y2044" t="s">
        <v>43</v>
      </c>
      <c r="Z2044">
        <v>2</v>
      </c>
      <c r="AA2044">
        <v>5</v>
      </c>
      <c r="AB2044">
        <v>40</v>
      </c>
    </row>
    <row r="2045" spans="10:28">
      <c r="J2045" s="340" t="str">
        <f t="shared" si="111"/>
        <v>2006MaleMaori252</v>
      </c>
      <c r="K2045">
        <v>2006</v>
      </c>
      <c r="L2045" t="s">
        <v>20</v>
      </c>
      <c r="M2045" t="s">
        <v>18</v>
      </c>
      <c r="N2045">
        <v>25</v>
      </c>
      <c r="O2045">
        <v>2</v>
      </c>
      <c r="P2045">
        <v>0</v>
      </c>
      <c r="Q2045">
        <v>0</v>
      </c>
      <c r="T2045" s="340" t="str">
        <f t="shared" si="112"/>
        <v>2005MaleMaori25Hanging, strangulation and suffocation</v>
      </c>
      <c r="U2045">
        <v>2005</v>
      </c>
      <c r="V2045" t="s">
        <v>20</v>
      </c>
      <c r="W2045" t="s">
        <v>18</v>
      </c>
      <c r="X2045">
        <v>25</v>
      </c>
      <c r="Y2045" t="s">
        <v>43</v>
      </c>
      <c r="Z2045">
        <v>1</v>
      </c>
      <c r="AA2045">
        <v>2</v>
      </c>
      <c r="AB2045">
        <v>50</v>
      </c>
    </row>
    <row r="2046" spans="10:28">
      <c r="J2046" s="340" t="str">
        <f t="shared" si="111"/>
        <v>2006MaleMaori253</v>
      </c>
      <c r="K2046">
        <v>2006</v>
      </c>
      <c r="L2046" t="s">
        <v>20</v>
      </c>
      <c r="M2046" t="s">
        <v>18</v>
      </c>
      <c r="N2046">
        <v>25</v>
      </c>
      <c r="O2046">
        <v>3</v>
      </c>
      <c r="P2046">
        <v>0</v>
      </c>
      <c r="Q2046">
        <v>0</v>
      </c>
      <c r="T2046" s="340" t="str">
        <f t="shared" si="112"/>
        <v>2005MaleMaori22Jumping from a high place</v>
      </c>
      <c r="U2046">
        <v>2005</v>
      </c>
      <c r="V2046" t="s">
        <v>20</v>
      </c>
      <c r="W2046" t="s">
        <v>18</v>
      </c>
      <c r="X2046">
        <v>22</v>
      </c>
      <c r="Y2046" t="s">
        <v>44</v>
      </c>
      <c r="Z2046">
        <v>1</v>
      </c>
      <c r="AA2046">
        <v>29</v>
      </c>
      <c r="AB2046">
        <v>3.4</v>
      </c>
    </row>
    <row r="2047" spans="10:28">
      <c r="J2047" s="340" t="str">
        <f t="shared" si="111"/>
        <v>2006MaleMaori254</v>
      </c>
      <c r="K2047">
        <v>2006</v>
      </c>
      <c r="L2047" t="s">
        <v>20</v>
      </c>
      <c r="M2047" t="s">
        <v>18</v>
      </c>
      <c r="N2047">
        <v>25</v>
      </c>
      <c r="O2047">
        <v>4</v>
      </c>
      <c r="P2047">
        <v>0</v>
      </c>
      <c r="Q2047">
        <v>0</v>
      </c>
      <c r="T2047" s="340" t="str">
        <f t="shared" si="112"/>
        <v>2005MaleMaori22Other</v>
      </c>
      <c r="U2047">
        <v>2005</v>
      </c>
      <c r="V2047" t="s">
        <v>20</v>
      </c>
      <c r="W2047" t="s">
        <v>18</v>
      </c>
      <c r="X2047">
        <v>22</v>
      </c>
      <c r="Y2047" t="s">
        <v>45</v>
      </c>
      <c r="Z2047">
        <v>1</v>
      </c>
      <c r="AA2047">
        <v>29</v>
      </c>
      <c r="AB2047">
        <v>3.4</v>
      </c>
    </row>
    <row r="2048" spans="10:28">
      <c r="J2048" s="340" t="str">
        <f t="shared" si="111"/>
        <v>2006MaleMaori255</v>
      </c>
      <c r="K2048">
        <v>2006</v>
      </c>
      <c r="L2048" t="s">
        <v>20</v>
      </c>
      <c r="M2048" t="s">
        <v>18</v>
      </c>
      <c r="N2048">
        <v>25</v>
      </c>
      <c r="O2048">
        <v>5</v>
      </c>
      <c r="P2048">
        <v>0</v>
      </c>
      <c r="Q2048">
        <v>0</v>
      </c>
      <c r="T2048" s="340" t="str">
        <f t="shared" si="112"/>
        <v>2005MaleMaori23Poisoning by gases and vapours</v>
      </c>
      <c r="U2048">
        <v>2005</v>
      </c>
      <c r="V2048" t="s">
        <v>20</v>
      </c>
      <c r="W2048" t="s">
        <v>18</v>
      </c>
      <c r="X2048">
        <v>23</v>
      </c>
      <c r="Y2048" t="s">
        <v>46</v>
      </c>
      <c r="Z2048">
        <v>9</v>
      </c>
      <c r="AA2048">
        <v>42</v>
      </c>
      <c r="AB2048">
        <v>21.4</v>
      </c>
    </row>
    <row r="2049" spans="10:28">
      <c r="J2049" s="340" t="str">
        <f t="shared" si="111"/>
        <v>2006MaleNon-Maori211</v>
      </c>
      <c r="K2049">
        <v>2006</v>
      </c>
      <c r="L2049" t="s">
        <v>20</v>
      </c>
      <c r="M2049" t="s">
        <v>19</v>
      </c>
      <c r="N2049">
        <v>21</v>
      </c>
      <c r="O2049">
        <v>1</v>
      </c>
      <c r="P2049">
        <v>0</v>
      </c>
      <c r="Q2049">
        <v>0</v>
      </c>
      <c r="T2049" s="340" t="str">
        <f t="shared" si="112"/>
        <v>2005MaleMaori25Poisoning by gases and vapours</v>
      </c>
      <c r="U2049">
        <v>2005</v>
      </c>
      <c r="V2049" t="s">
        <v>20</v>
      </c>
      <c r="W2049" t="s">
        <v>18</v>
      </c>
      <c r="X2049">
        <v>25</v>
      </c>
      <c r="Y2049" t="s">
        <v>46</v>
      </c>
      <c r="Z2049">
        <v>1</v>
      </c>
      <c r="AA2049">
        <v>2</v>
      </c>
      <c r="AB2049">
        <v>50</v>
      </c>
    </row>
    <row r="2050" spans="10:28">
      <c r="J2050" s="340" t="str">
        <f t="shared" si="111"/>
        <v>2006MaleNon-Maori212</v>
      </c>
      <c r="K2050">
        <v>2006</v>
      </c>
      <c r="L2050" t="s">
        <v>20</v>
      </c>
      <c r="M2050" t="s">
        <v>19</v>
      </c>
      <c r="N2050">
        <v>21</v>
      </c>
      <c r="O2050">
        <v>2</v>
      </c>
      <c r="P2050">
        <v>1</v>
      </c>
      <c r="Q2050">
        <v>1.32985171166546</v>
      </c>
      <c r="R2050">
        <v>2.6</v>
      </c>
      <c r="T2050" s="340" t="str">
        <f t="shared" si="112"/>
        <v>2005MaleMaori23Poisoning by solids and liquids</v>
      </c>
      <c r="U2050">
        <v>2005</v>
      </c>
      <c r="V2050" t="s">
        <v>20</v>
      </c>
      <c r="W2050" t="s">
        <v>18</v>
      </c>
      <c r="X2050">
        <v>23</v>
      </c>
      <c r="Y2050" t="s">
        <v>47</v>
      </c>
      <c r="Z2050">
        <v>1</v>
      </c>
      <c r="AA2050">
        <v>42</v>
      </c>
      <c r="AB2050">
        <v>2.4</v>
      </c>
    </row>
    <row r="2051" spans="10:28">
      <c r="J2051" s="340" t="str">
        <f t="shared" si="111"/>
        <v>2006MaleNon-Maori213</v>
      </c>
      <c r="K2051">
        <v>2006</v>
      </c>
      <c r="L2051" t="s">
        <v>20</v>
      </c>
      <c r="M2051" t="s">
        <v>19</v>
      </c>
      <c r="N2051">
        <v>21</v>
      </c>
      <c r="O2051">
        <v>3</v>
      </c>
      <c r="P2051">
        <v>1</v>
      </c>
      <c r="Q2051">
        <v>1.4992194656509801</v>
      </c>
      <c r="R2051">
        <v>2.9</v>
      </c>
      <c r="T2051" s="340" t="str">
        <f t="shared" si="112"/>
        <v>2005MaleMaori23Sharp object</v>
      </c>
      <c r="U2051">
        <v>2005</v>
      </c>
      <c r="V2051" t="s">
        <v>20</v>
      </c>
      <c r="W2051" t="s">
        <v>18</v>
      </c>
      <c r="X2051">
        <v>23</v>
      </c>
      <c r="Y2051" t="s">
        <v>48</v>
      </c>
      <c r="Z2051">
        <v>2</v>
      </c>
      <c r="AA2051">
        <v>42</v>
      </c>
      <c r="AB2051">
        <v>4.8</v>
      </c>
    </row>
    <row r="2052" spans="10:28">
      <c r="J2052" s="340" t="str">
        <f t="shared" ref="J2052:J2115" si="113">K2052&amp;L2052&amp;M2052&amp;N2052&amp;O2052</f>
        <v>2006MaleNon-Maori214</v>
      </c>
      <c r="K2052">
        <v>2006</v>
      </c>
      <c r="L2052" t="s">
        <v>20</v>
      </c>
      <c r="M2052" t="s">
        <v>19</v>
      </c>
      <c r="N2052">
        <v>21</v>
      </c>
      <c r="O2052">
        <v>4</v>
      </c>
      <c r="P2052">
        <v>0</v>
      </c>
      <c r="Q2052">
        <v>0</v>
      </c>
      <c r="T2052" s="340" t="str">
        <f t="shared" si="112"/>
        <v>2005MaleNon-Maori22Firearms and explosives</v>
      </c>
      <c r="U2052">
        <v>2005</v>
      </c>
      <c r="V2052" t="s">
        <v>20</v>
      </c>
      <c r="W2052" t="s">
        <v>19</v>
      </c>
      <c r="X2052">
        <v>22</v>
      </c>
      <c r="Y2052" t="s">
        <v>42</v>
      </c>
      <c r="Z2052">
        <v>8</v>
      </c>
      <c r="AA2052">
        <v>55</v>
      </c>
      <c r="AB2052">
        <v>14.5</v>
      </c>
    </row>
    <row r="2053" spans="10:28">
      <c r="J2053" s="340" t="str">
        <f t="shared" si="113"/>
        <v>2006MaleNon-Maori215</v>
      </c>
      <c r="K2053">
        <v>2006</v>
      </c>
      <c r="L2053" t="s">
        <v>20</v>
      </c>
      <c r="M2053" t="s">
        <v>19</v>
      </c>
      <c r="N2053">
        <v>21</v>
      </c>
      <c r="O2053">
        <v>5</v>
      </c>
      <c r="P2053">
        <v>0</v>
      </c>
      <c r="Q2053">
        <v>0</v>
      </c>
      <c r="T2053" s="340" t="str">
        <f t="shared" ref="T2053:T2116" si="114">U2053&amp;V2053&amp;W2053&amp;X2053&amp;Y2053</f>
        <v>2005MaleNon-Maori23Firearms and explosives</v>
      </c>
      <c r="U2053">
        <v>2005</v>
      </c>
      <c r="V2053" t="s">
        <v>20</v>
      </c>
      <c r="W2053" t="s">
        <v>19</v>
      </c>
      <c r="X2053">
        <v>23</v>
      </c>
      <c r="Y2053" t="s">
        <v>42</v>
      </c>
      <c r="Z2053">
        <v>10</v>
      </c>
      <c r="AA2053">
        <v>119</v>
      </c>
      <c r="AB2053">
        <v>8.4</v>
      </c>
    </row>
    <row r="2054" spans="10:28">
      <c r="J2054" s="340" t="str">
        <f t="shared" si="113"/>
        <v>2006MaleNon-Maori221</v>
      </c>
      <c r="K2054">
        <v>2006</v>
      </c>
      <c r="L2054" t="s">
        <v>20</v>
      </c>
      <c r="M2054" t="s">
        <v>19</v>
      </c>
      <c r="N2054">
        <v>22</v>
      </c>
      <c r="O2054">
        <v>1</v>
      </c>
      <c r="P2054">
        <v>9</v>
      </c>
      <c r="Q2054">
        <v>18.3414446260586</v>
      </c>
      <c r="R2054">
        <v>12</v>
      </c>
      <c r="T2054" s="340" t="str">
        <f t="shared" si="114"/>
        <v>2005MaleNon-Maori24Firearms and explosives</v>
      </c>
      <c r="U2054">
        <v>2005</v>
      </c>
      <c r="V2054" t="s">
        <v>20</v>
      </c>
      <c r="W2054" t="s">
        <v>19</v>
      </c>
      <c r="X2054">
        <v>24</v>
      </c>
      <c r="Y2054" t="s">
        <v>42</v>
      </c>
      <c r="Z2054">
        <v>11</v>
      </c>
      <c r="AA2054">
        <v>100</v>
      </c>
      <c r="AB2054">
        <v>11</v>
      </c>
    </row>
    <row r="2055" spans="10:28">
      <c r="J2055" s="340" t="str">
        <f t="shared" si="113"/>
        <v>2006MaleNon-Maori222</v>
      </c>
      <c r="K2055">
        <v>2006</v>
      </c>
      <c r="L2055" t="s">
        <v>20</v>
      </c>
      <c r="M2055" t="s">
        <v>19</v>
      </c>
      <c r="N2055">
        <v>22</v>
      </c>
      <c r="O2055">
        <v>2</v>
      </c>
      <c r="P2055">
        <v>6</v>
      </c>
      <c r="Q2055">
        <v>12.0053079834936</v>
      </c>
      <c r="R2055">
        <v>9.6</v>
      </c>
      <c r="T2055" s="340" t="str">
        <f t="shared" si="114"/>
        <v>2005MaleNon-Maori25Firearms and explosives</v>
      </c>
      <c r="U2055">
        <v>2005</v>
      </c>
      <c r="V2055" t="s">
        <v>20</v>
      </c>
      <c r="W2055" t="s">
        <v>19</v>
      </c>
      <c r="X2055">
        <v>25</v>
      </c>
      <c r="Y2055" t="s">
        <v>42</v>
      </c>
      <c r="Z2055">
        <v>6</v>
      </c>
      <c r="AA2055">
        <v>30</v>
      </c>
      <c r="AB2055">
        <v>20</v>
      </c>
    </row>
    <row r="2056" spans="10:28">
      <c r="J2056" s="340" t="str">
        <f t="shared" si="113"/>
        <v>2006MaleNon-Maori223</v>
      </c>
      <c r="K2056">
        <v>2006</v>
      </c>
      <c r="L2056" t="s">
        <v>20</v>
      </c>
      <c r="M2056" t="s">
        <v>19</v>
      </c>
      <c r="N2056">
        <v>22</v>
      </c>
      <c r="O2056">
        <v>3</v>
      </c>
      <c r="P2056">
        <v>15</v>
      </c>
      <c r="Q2056">
        <v>29.789898146621599</v>
      </c>
      <c r="R2056">
        <v>15.1</v>
      </c>
      <c r="T2056" s="340" t="str">
        <f t="shared" si="114"/>
        <v>2005MaleNon-Maori21Hanging, strangulation and suffocation</v>
      </c>
      <c r="U2056">
        <v>2005</v>
      </c>
      <c r="V2056" t="s">
        <v>20</v>
      </c>
      <c r="W2056" t="s">
        <v>19</v>
      </c>
      <c r="X2056">
        <v>21</v>
      </c>
      <c r="Y2056" t="s">
        <v>43</v>
      </c>
      <c r="Z2056">
        <v>1</v>
      </c>
      <c r="AA2056">
        <v>1</v>
      </c>
      <c r="AB2056">
        <v>100</v>
      </c>
    </row>
    <row r="2057" spans="10:28">
      <c r="J2057" s="340" t="str">
        <f t="shared" si="113"/>
        <v>2006MaleNon-Maori224</v>
      </c>
      <c r="K2057">
        <v>2006</v>
      </c>
      <c r="L2057" t="s">
        <v>20</v>
      </c>
      <c r="M2057" t="s">
        <v>19</v>
      </c>
      <c r="N2057">
        <v>22</v>
      </c>
      <c r="O2057">
        <v>4</v>
      </c>
      <c r="P2057">
        <v>18</v>
      </c>
      <c r="Q2057">
        <v>35.8125916033487</v>
      </c>
      <c r="R2057">
        <v>16.5</v>
      </c>
      <c r="T2057" s="340" t="str">
        <f t="shared" si="114"/>
        <v>2005MaleNon-Maori22Hanging, strangulation and suffocation</v>
      </c>
      <c r="U2057">
        <v>2005</v>
      </c>
      <c r="V2057" t="s">
        <v>20</v>
      </c>
      <c r="W2057" t="s">
        <v>19</v>
      </c>
      <c r="X2057">
        <v>22</v>
      </c>
      <c r="Y2057" t="s">
        <v>43</v>
      </c>
      <c r="Z2057">
        <v>34</v>
      </c>
      <c r="AA2057">
        <v>55</v>
      </c>
      <c r="AB2057">
        <v>61.8</v>
      </c>
    </row>
    <row r="2058" spans="10:28">
      <c r="J2058" s="340" t="str">
        <f t="shared" si="113"/>
        <v>2006MaleNon-Maori225</v>
      </c>
      <c r="K2058">
        <v>2006</v>
      </c>
      <c r="L2058" t="s">
        <v>20</v>
      </c>
      <c r="M2058" t="s">
        <v>19</v>
      </c>
      <c r="N2058">
        <v>22</v>
      </c>
      <c r="O2058">
        <v>5</v>
      </c>
      <c r="P2058">
        <v>12</v>
      </c>
      <c r="Q2058">
        <v>24.7429737789782</v>
      </c>
      <c r="R2058">
        <v>14</v>
      </c>
      <c r="T2058" s="340" t="str">
        <f t="shared" si="114"/>
        <v>2005MaleNon-Maori23Hanging, strangulation and suffocation</v>
      </c>
      <c r="U2058">
        <v>2005</v>
      </c>
      <c r="V2058" t="s">
        <v>20</v>
      </c>
      <c r="W2058" t="s">
        <v>19</v>
      </c>
      <c r="X2058">
        <v>23</v>
      </c>
      <c r="Y2058" t="s">
        <v>43</v>
      </c>
      <c r="Z2058">
        <v>51</v>
      </c>
      <c r="AA2058">
        <v>119</v>
      </c>
      <c r="AB2058">
        <v>42.9</v>
      </c>
    </row>
    <row r="2059" spans="10:28">
      <c r="J2059" s="340" t="str">
        <f t="shared" si="113"/>
        <v>2006MaleNon-Maori231</v>
      </c>
      <c r="K2059">
        <v>2006</v>
      </c>
      <c r="L2059" t="s">
        <v>20</v>
      </c>
      <c r="M2059" t="s">
        <v>19</v>
      </c>
      <c r="N2059">
        <v>23</v>
      </c>
      <c r="O2059">
        <v>1</v>
      </c>
      <c r="P2059">
        <v>14</v>
      </c>
      <c r="Q2059">
        <v>13.506953371364</v>
      </c>
      <c r="R2059">
        <v>7.1</v>
      </c>
      <c r="T2059" s="340" t="str">
        <f t="shared" si="114"/>
        <v>2005MaleNon-Maori24Hanging, strangulation and suffocation</v>
      </c>
      <c r="U2059">
        <v>2005</v>
      </c>
      <c r="V2059" t="s">
        <v>20</v>
      </c>
      <c r="W2059" t="s">
        <v>19</v>
      </c>
      <c r="X2059">
        <v>24</v>
      </c>
      <c r="Y2059" t="s">
        <v>43</v>
      </c>
      <c r="Z2059">
        <v>38</v>
      </c>
      <c r="AA2059">
        <v>100</v>
      </c>
      <c r="AB2059">
        <v>38</v>
      </c>
    </row>
    <row r="2060" spans="10:28">
      <c r="J2060" s="340" t="str">
        <f t="shared" si="113"/>
        <v>2006MaleNon-Maori232</v>
      </c>
      <c r="K2060">
        <v>2006</v>
      </c>
      <c r="L2060" t="s">
        <v>20</v>
      </c>
      <c r="M2060" t="s">
        <v>19</v>
      </c>
      <c r="N2060">
        <v>23</v>
      </c>
      <c r="O2060">
        <v>2</v>
      </c>
      <c r="P2060">
        <v>25</v>
      </c>
      <c r="Q2060">
        <v>23.2318060253567</v>
      </c>
      <c r="R2060">
        <v>9.1</v>
      </c>
      <c r="T2060" s="340" t="str">
        <f t="shared" si="114"/>
        <v>2005MaleNon-Maori25Hanging, strangulation and suffocation</v>
      </c>
      <c r="U2060">
        <v>2005</v>
      </c>
      <c r="V2060" t="s">
        <v>20</v>
      </c>
      <c r="W2060" t="s">
        <v>19</v>
      </c>
      <c r="X2060">
        <v>25</v>
      </c>
      <c r="Y2060" t="s">
        <v>43</v>
      </c>
      <c r="Z2060">
        <v>13</v>
      </c>
      <c r="AA2060">
        <v>30</v>
      </c>
      <c r="AB2060">
        <v>43.3</v>
      </c>
    </row>
    <row r="2061" spans="10:28">
      <c r="J2061" s="340" t="str">
        <f t="shared" si="113"/>
        <v>2006MaleNon-Maori233</v>
      </c>
      <c r="K2061">
        <v>2006</v>
      </c>
      <c r="L2061" t="s">
        <v>20</v>
      </c>
      <c r="M2061" t="s">
        <v>19</v>
      </c>
      <c r="N2061">
        <v>23</v>
      </c>
      <c r="O2061">
        <v>3</v>
      </c>
      <c r="P2061">
        <v>18</v>
      </c>
      <c r="Q2061">
        <v>17.205074075785902</v>
      </c>
      <c r="R2061">
        <v>7.9</v>
      </c>
      <c r="T2061" s="340" t="str">
        <f t="shared" si="114"/>
        <v>2005MaleNon-Maori22Jumping from a high place</v>
      </c>
      <c r="U2061">
        <v>2005</v>
      </c>
      <c r="V2061" t="s">
        <v>20</v>
      </c>
      <c r="W2061" t="s">
        <v>19</v>
      </c>
      <c r="X2061">
        <v>22</v>
      </c>
      <c r="Y2061" t="s">
        <v>44</v>
      </c>
      <c r="Z2061">
        <v>1</v>
      </c>
      <c r="AA2061">
        <v>55</v>
      </c>
      <c r="AB2061">
        <v>1.8</v>
      </c>
    </row>
    <row r="2062" spans="10:28">
      <c r="J2062" s="340" t="str">
        <f t="shared" si="113"/>
        <v>2006MaleNon-Maori234</v>
      </c>
      <c r="K2062">
        <v>2006</v>
      </c>
      <c r="L2062" t="s">
        <v>20</v>
      </c>
      <c r="M2062" t="s">
        <v>19</v>
      </c>
      <c r="N2062">
        <v>23</v>
      </c>
      <c r="O2062">
        <v>4</v>
      </c>
      <c r="P2062">
        <v>18</v>
      </c>
      <c r="Q2062">
        <v>18.639136424097199</v>
      </c>
      <c r="R2062">
        <v>8.6</v>
      </c>
      <c r="T2062" s="340" t="str">
        <f t="shared" si="114"/>
        <v>2005MaleNon-Maori23Jumping from a high place</v>
      </c>
      <c r="U2062">
        <v>2005</v>
      </c>
      <c r="V2062" t="s">
        <v>20</v>
      </c>
      <c r="W2062" t="s">
        <v>19</v>
      </c>
      <c r="X2062">
        <v>23</v>
      </c>
      <c r="Y2062" t="s">
        <v>44</v>
      </c>
      <c r="Z2062">
        <v>4</v>
      </c>
      <c r="AA2062">
        <v>119</v>
      </c>
      <c r="AB2062">
        <v>3.4</v>
      </c>
    </row>
    <row r="2063" spans="10:28">
      <c r="J2063" s="340" t="str">
        <f t="shared" si="113"/>
        <v>2006MaleNon-Maori235</v>
      </c>
      <c r="K2063">
        <v>2006</v>
      </c>
      <c r="L2063" t="s">
        <v>20</v>
      </c>
      <c r="M2063" t="s">
        <v>19</v>
      </c>
      <c r="N2063">
        <v>23</v>
      </c>
      <c r="O2063">
        <v>5</v>
      </c>
      <c r="P2063">
        <v>35</v>
      </c>
      <c r="Q2063">
        <v>46.236791156897603</v>
      </c>
      <c r="R2063">
        <v>15.3</v>
      </c>
      <c r="T2063" s="340" t="str">
        <f t="shared" si="114"/>
        <v>2005MaleNon-Maori24Jumping from a high place</v>
      </c>
      <c r="U2063">
        <v>2005</v>
      </c>
      <c r="V2063" t="s">
        <v>20</v>
      </c>
      <c r="W2063" t="s">
        <v>19</v>
      </c>
      <c r="X2063">
        <v>24</v>
      </c>
      <c r="Y2063" t="s">
        <v>44</v>
      </c>
      <c r="Z2063">
        <v>3</v>
      </c>
      <c r="AA2063">
        <v>100</v>
      </c>
      <c r="AB2063">
        <v>3</v>
      </c>
    </row>
    <row r="2064" spans="10:28">
      <c r="J2064" s="340" t="str">
        <f t="shared" si="113"/>
        <v>2006MaleNon-Maori241</v>
      </c>
      <c r="K2064">
        <v>2006</v>
      </c>
      <c r="L2064" t="s">
        <v>20</v>
      </c>
      <c r="M2064" t="s">
        <v>19</v>
      </c>
      <c r="N2064">
        <v>24</v>
      </c>
      <c r="O2064">
        <v>1</v>
      </c>
      <c r="P2064">
        <v>15</v>
      </c>
      <c r="Q2064">
        <v>12.5170494458219</v>
      </c>
      <c r="R2064">
        <v>6.3</v>
      </c>
      <c r="T2064" s="340" t="str">
        <f t="shared" si="114"/>
        <v>2005MaleNon-Maori25Jumping from a high place</v>
      </c>
      <c r="U2064">
        <v>2005</v>
      </c>
      <c r="V2064" t="s">
        <v>20</v>
      </c>
      <c r="W2064" t="s">
        <v>19</v>
      </c>
      <c r="X2064">
        <v>25</v>
      </c>
      <c r="Y2064" t="s">
        <v>44</v>
      </c>
      <c r="Z2064">
        <v>2</v>
      </c>
      <c r="AA2064">
        <v>30</v>
      </c>
      <c r="AB2064">
        <v>6.7</v>
      </c>
    </row>
    <row r="2065" spans="10:28">
      <c r="J2065" s="340" t="str">
        <f t="shared" si="113"/>
        <v>2006MaleNon-Maori242</v>
      </c>
      <c r="K2065">
        <v>2006</v>
      </c>
      <c r="L2065" t="s">
        <v>20</v>
      </c>
      <c r="M2065" t="s">
        <v>19</v>
      </c>
      <c r="N2065">
        <v>24</v>
      </c>
      <c r="O2065">
        <v>2</v>
      </c>
      <c r="P2065">
        <v>18</v>
      </c>
      <c r="Q2065">
        <v>17.552020685395899</v>
      </c>
      <c r="R2065">
        <v>8.1</v>
      </c>
      <c r="T2065" s="340" t="str">
        <f t="shared" si="114"/>
        <v>2005MaleNon-Maori22Other</v>
      </c>
      <c r="U2065">
        <v>2005</v>
      </c>
      <c r="V2065" t="s">
        <v>20</v>
      </c>
      <c r="W2065" t="s">
        <v>19</v>
      </c>
      <c r="X2065">
        <v>22</v>
      </c>
      <c r="Y2065" t="s">
        <v>45</v>
      </c>
      <c r="Z2065">
        <v>2</v>
      </c>
      <c r="AA2065">
        <v>55</v>
      </c>
      <c r="AB2065">
        <v>3.6</v>
      </c>
    </row>
    <row r="2066" spans="10:28">
      <c r="J2066" s="340" t="str">
        <f t="shared" si="113"/>
        <v>2006MaleNon-Maori243</v>
      </c>
      <c r="K2066">
        <v>2006</v>
      </c>
      <c r="L2066" t="s">
        <v>20</v>
      </c>
      <c r="M2066" t="s">
        <v>19</v>
      </c>
      <c r="N2066">
        <v>24</v>
      </c>
      <c r="O2066">
        <v>3</v>
      </c>
      <c r="P2066">
        <v>24</v>
      </c>
      <c r="Q2066">
        <v>27.186276806313</v>
      </c>
      <c r="R2066">
        <v>10.9</v>
      </c>
      <c r="T2066" s="340" t="str">
        <f t="shared" si="114"/>
        <v>2005MaleNon-Maori23Other</v>
      </c>
      <c r="U2066">
        <v>2005</v>
      </c>
      <c r="V2066" t="s">
        <v>20</v>
      </c>
      <c r="W2066" t="s">
        <v>19</v>
      </c>
      <c r="X2066">
        <v>23</v>
      </c>
      <c r="Y2066" t="s">
        <v>45</v>
      </c>
      <c r="Z2066">
        <v>4</v>
      </c>
      <c r="AA2066">
        <v>119</v>
      </c>
      <c r="AB2066">
        <v>3.4</v>
      </c>
    </row>
    <row r="2067" spans="10:28">
      <c r="J2067" s="340" t="str">
        <f t="shared" si="113"/>
        <v>2006MaleNon-Maori244</v>
      </c>
      <c r="K2067">
        <v>2006</v>
      </c>
      <c r="L2067" t="s">
        <v>20</v>
      </c>
      <c r="M2067" t="s">
        <v>19</v>
      </c>
      <c r="N2067">
        <v>24</v>
      </c>
      <c r="O2067">
        <v>4</v>
      </c>
      <c r="P2067">
        <v>17</v>
      </c>
      <c r="Q2067">
        <v>22.367568312343298</v>
      </c>
      <c r="R2067">
        <v>10.6</v>
      </c>
      <c r="T2067" s="340" t="str">
        <f t="shared" si="114"/>
        <v>2005MaleNon-Maori25Other</v>
      </c>
      <c r="U2067">
        <v>2005</v>
      </c>
      <c r="V2067" t="s">
        <v>20</v>
      </c>
      <c r="W2067" t="s">
        <v>19</v>
      </c>
      <c r="X2067">
        <v>25</v>
      </c>
      <c r="Y2067" t="s">
        <v>45</v>
      </c>
      <c r="Z2067">
        <v>1</v>
      </c>
      <c r="AA2067">
        <v>30</v>
      </c>
      <c r="AB2067">
        <v>3.3</v>
      </c>
    </row>
    <row r="2068" spans="10:28">
      <c r="J2068" s="340" t="str">
        <f t="shared" si="113"/>
        <v>2006MaleNon-Maori245</v>
      </c>
      <c r="K2068">
        <v>2006</v>
      </c>
      <c r="L2068" t="s">
        <v>20</v>
      </c>
      <c r="M2068" t="s">
        <v>19</v>
      </c>
      <c r="N2068">
        <v>24</v>
      </c>
      <c r="O2068">
        <v>5</v>
      </c>
      <c r="P2068">
        <v>22</v>
      </c>
      <c r="Q2068">
        <v>38.050154013443098</v>
      </c>
      <c r="R2068">
        <v>15.9</v>
      </c>
      <c r="T2068" s="340" t="str">
        <f t="shared" si="114"/>
        <v>2005MaleNon-Maori22Poisoning by gases and vapours</v>
      </c>
      <c r="U2068">
        <v>2005</v>
      </c>
      <c r="V2068" t="s">
        <v>20</v>
      </c>
      <c r="W2068" t="s">
        <v>19</v>
      </c>
      <c r="X2068">
        <v>22</v>
      </c>
      <c r="Y2068" t="s">
        <v>46</v>
      </c>
      <c r="Z2068">
        <v>9</v>
      </c>
      <c r="AA2068">
        <v>55</v>
      </c>
      <c r="AB2068">
        <v>16.399999999999999</v>
      </c>
    </row>
    <row r="2069" spans="10:28">
      <c r="J2069" s="340" t="str">
        <f t="shared" si="113"/>
        <v>2006MaleNon-Maori251</v>
      </c>
      <c r="K2069">
        <v>2006</v>
      </c>
      <c r="L2069" t="s">
        <v>20</v>
      </c>
      <c r="M2069" t="s">
        <v>19</v>
      </c>
      <c r="N2069">
        <v>25</v>
      </c>
      <c r="O2069">
        <v>1</v>
      </c>
      <c r="P2069">
        <v>5</v>
      </c>
      <c r="Q2069">
        <v>10.7122883895609</v>
      </c>
      <c r="R2069">
        <v>9.4</v>
      </c>
      <c r="T2069" s="340" t="str">
        <f t="shared" si="114"/>
        <v>2005MaleNon-Maori23Poisoning by gases and vapours</v>
      </c>
      <c r="U2069">
        <v>2005</v>
      </c>
      <c r="V2069" t="s">
        <v>20</v>
      </c>
      <c r="W2069" t="s">
        <v>19</v>
      </c>
      <c r="X2069">
        <v>23</v>
      </c>
      <c r="Y2069" t="s">
        <v>46</v>
      </c>
      <c r="Z2069">
        <v>37</v>
      </c>
      <c r="AA2069">
        <v>119</v>
      </c>
      <c r="AB2069">
        <v>31.1</v>
      </c>
    </row>
    <row r="2070" spans="10:28">
      <c r="J2070" s="340" t="str">
        <f t="shared" si="113"/>
        <v>2006MaleNon-Maori252</v>
      </c>
      <c r="K2070">
        <v>2006</v>
      </c>
      <c r="L2070" t="s">
        <v>20</v>
      </c>
      <c r="M2070" t="s">
        <v>19</v>
      </c>
      <c r="N2070">
        <v>25</v>
      </c>
      <c r="O2070">
        <v>2</v>
      </c>
      <c r="P2070">
        <v>9</v>
      </c>
      <c r="Q2070">
        <v>19.154106383851701</v>
      </c>
      <c r="R2070">
        <v>12.5</v>
      </c>
      <c r="T2070" s="340" t="str">
        <f t="shared" si="114"/>
        <v>2005MaleNon-Maori24Poisoning by gases and vapours</v>
      </c>
      <c r="U2070">
        <v>2005</v>
      </c>
      <c r="V2070" t="s">
        <v>20</v>
      </c>
      <c r="W2070" t="s">
        <v>19</v>
      </c>
      <c r="X2070">
        <v>24</v>
      </c>
      <c r="Y2070" t="s">
        <v>46</v>
      </c>
      <c r="Z2070">
        <v>26</v>
      </c>
      <c r="AA2070">
        <v>100</v>
      </c>
      <c r="AB2070">
        <v>26</v>
      </c>
    </row>
    <row r="2071" spans="10:28">
      <c r="J2071" s="340" t="str">
        <f t="shared" si="113"/>
        <v>2006MaleNon-Maori253</v>
      </c>
      <c r="K2071">
        <v>2006</v>
      </c>
      <c r="L2071" t="s">
        <v>20</v>
      </c>
      <c r="M2071" t="s">
        <v>19</v>
      </c>
      <c r="N2071">
        <v>25</v>
      </c>
      <c r="O2071">
        <v>3</v>
      </c>
      <c r="P2071">
        <v>6</v>
      </c>
      <c r="Q2071">
        <v>12.768579465802601</v>
      </c>
      <c r="R2071">
        <v>10.199999999999999</v>
      </c>
      <c r="T2071" s="340" t="str">
        <f t="shared" si="114"/>
        <v>2005MaleNon-Maori25Poisoning by gases and vapours</v>
      </c>
      <c r="U2071">
        <v>2005</v>
      </c>
      <c r="V2071" t="s">
        <v>20</v>
      </c>
      <c r="W2071" t="s">
        <v>19</v>
      </c>
      <c r="X2071">
        <v>25</v>
      </c>
      <c r="Y2071" t="s">
        <v>46</v>
      </c>
      <c r="Z2071">
        <v>6</v>
      </c>
      <c r="AA2071">
        <v>30</v>
      </c>
      <c r="AB2071">
        <v>20</v>
      </c>
    </row>
    <row r="2072" spans="10:28">
      <c r="J2072" s="340" t="str">
        <f t="shared" si="113"/>
        <v>2006MaleNon-Maori254</v>
      </c>
      <c r="K2072">
        <v>2006</v>
      </c>
      <c r="L2072" t="s">
        <v>20</v>
      </c>
      <c r="M2072" t="s">
        <v>19</v>
      </c>
      <c r="N2072">
        <v>25</v>
      </c>
      <c r="O2072">
        <v>4</v>
      </c>
      <c r="P2072">
        <v>5</v>
      </c>
      <c r="Q2072">
        <v>11.261652681546099</v>
      </c>
      <c r="R2072">
        <v>9.9</v>
      </c>
      <c r="T2072" s="340" t="str">
        <f t="shared" si="114"/>
        <v>2005MaleNon-Maori22Poisoning by solids and liquids</v>
      </c>
      <c r="U2072">
        <v>2005</v>
      </c>
      <c r="V2072" t="s">
        <v>20</v>
      </c>
      <c r="W2072" t="s">
        <v>19</v>
      </c>
      <c r="X2072">
        <v>22</v>
      </c>
      <c r="Y2072" t="s">
        <v>47</v>
      </c>
      <c r="Z2072">
        <v>1</v>
      </c>
      <c r="AA2072">
        <v>55</v>
      </c>
      <c r="AB2072">
        <v>1.8</v>
      </c>
    </row>
    <row r="2073" spans="10:28">
      <c r="J2073" s="340" t="str">
        <f t="shared" si="113"/>
        <v>2006MaleNon-Maori255</v>
      </c>
      <c r="K2073">
        <v>2006</v>
      </c>
      <c r="L2073" t="s">
        <v>20</v>
      </c>
      <c r="M2073" t="s">
        <v>19</v>
      </c>
      <c r="N2073">
        <v>25</v>
      </c>
      <c r="O2073">
        <v>5</v>
      </c>
      <c r="P2073">
        <v>6</v>
      </c>
      <c r="Q2073">
        <v>18.622833137844101</v>
      </c>
      <c r="R2073">
        <v>14.9</v>
      </c>
      <c r="T2073" s="340" t="str">
        <f t="shared" si="114"/>
        <v>2005MaleNon-Maori23Poisoning by solids and liquids</v>
      </c>
      <c r="U2073">
        <v>2005</v>
      </c>
      <c r="V2073" t="s">
        <v>20</v>
      </c>
      <c r="W2073" t="s">
        <v>19</v>
      </c>
      <c r="X2073">
        <v>23</v>
      </c>
      <c r="Y2073" t="s">
        <v>47</v>
      </c>
      <c r="Z2073">
        <v>9</v>
      </c>
      <c r="AA2073">
        <v>119</v>
      </c>
      <c r="AB2073">
        <v>7.6</v>
      </c>
    </row>
    <row r="2074" spans="10:28">
      <c r="J2074" s="340" t="str">
        <f t="shared" si="113"/>
        <v>2007AllSexAllEth211</v>
      </c>
      <c r="K2074">
        <v>2007</v>
      </c>
      <c r="L2074" t="s">
        <v>17</v>
      </c>
      <c r="M2074" t="s">
        <v>27</v>
      </c>
      <c r="N2074">
        <v>21</v>
      </c>
      <c r="O2074">
        <v>1</v>
      </c>
      <c r="P2074">
        <v>0</v>
      </c>
      <c r="Q2074">
        <v>0</v>
      </c>
      <c r="T2074" s="340" t="str">
        <f t="shared" si="114"/>
        <v>2005MaleNon-Maori24Poisoning by solids and liquids</v>
      </c>
      <c r="U2074">
        <v>2005</v>
      </c>
      <c r="V2074" t="s">
        <v>20</v>
      </c>
      <c r="W2074" t="s">
        <v>19</v>
      </c>
      <c r="X2074">
        <v>24</v>
      </c>
      <c r="Y2074" t="s">
        <v>47</v>
      </c>
      <c r="Z2074">
        <v>15</v>
      </c>
      <c r="AA2074">
        <v>100</v>
      </c>
      <c r="AB2074">
        <v>15</v>
      </c>
    </row>
    <row r="2075" spans="10:28">
      <c r="J2075" s="340" t="str">
        <f t="shared" si="113"/>
        <v>2007AllSexAllEth212</v>
      </c>
      <c r="K2075">
        <v>2007</v>
      </c>
      <c r="L2075" t="s">
        <v>17</v>
      </c>
      <c r="M2075" t="s">
        <v>27</v>
      </c>
      <c r="N2075">
        <v>21</v>
      </c>
      <c r="O2075">
        <v>2</v>
      </c>
      <c r="P2075">
        <v>0</v>
      </c>
      <c r="Q2075">
        <v>0</v>
      </c>
      <c r="T2075" s="340" t="str">
        <f t="shared" si="114"/>
        <v>2005MaleNon-Maori25Poisoning by solids and liquids</v>
      </c>
      <c r="U2075">
        <v>2005</v>
      </c>
      <c r="V2075" t="s">
        <v>20</v>
      </c>
      <c r="W2075" t="s">
        <v>19</v>
      </c>
      <c r="X2075">
        <v>25</v>
      </c>
      <c r="Y2075" t="s">
        <v>47</v>
      </c>
      <c r="Z2075">
        <v>1</v>
      </c>
      <c r="AA2075">
        <v>30</v>
      </c>
      <c r="AB2075">
        <v>3.3</v>
      </c>
    </row>
    <row r="2076" spans="10:28">
      <c r="J2076" s="340" t="str">
        <f t="shared" si="113"/>
        <v>2007AllSexAllEth213</v>
      </c>
      <c r="K2076">
        <v>2007</v>
      </c>
      <c r="L2076" t="s">
        <v>17</v>
      </c>
      <c r="M2076" t="s">
        <v>27</v>
      </c>
      <c r="N2076">
        <v>21</v>
      </c>
      <c r="O2076">
        <v>3</v>
      </c>
      <c r="P2076">
        <v>1</v>
      </c>
      <c r="Q2076">
        <v>0.61182524358319701</v>
      </c>
      <c r="R2076">
        <v>1.2</v>
      </c>
      <c r="T2076" s="340" t="str">
        <f t="shared" si="114"/>
        <v>2005MaleNon-Maori23Sharp object</v>
      </c>
      <c r="U2076">
        <v>2005</v>
      </c>
      <c r="V2076" t="s">
        <v>20</v>
      </c>
      <c r="W2076" t="s">
        <v>19</v>
      </c>
      <c r="X2076">
        <v>23</v>
      </c>
      <c r="Y2076" t="s">
        <v>48</v>
      </c>
      <c r="Z2076">
        <v>4</v>
      </c>
      <c r="AA2076">
        <v>119</v>
      </c>
      <c r="AB2076">
        <v>3.4</v>
      </c>
    </row>
    <row r="2077" spans="10:28">
      <c r="J2077" s="340" t="str">
        <f t="shared" si="113"/>
        <v>2007AllSexAllEth214</v>
      </c>
      <c r="K2077">
        <v>2007</v>
      </c>
      <c r="L2077" t="s">
        <v>17</v>
      </c>
      <c r="M2077" t="s">
        <v>27</v>
      </c>
      <c r="N2077">
        <v>21</v>
      </c>
      <c r="O2077">
        <v>4</v>
      </c>
      <c r="P2077">
        <v>0</v>
      </c>
      <c r="Q2077">
        <v>0</v>
      </c>
      <c r="T2077" s="340" t="str">
        <f t="shared" si="114"/>
        <v>2005MaleNon-Maori24Sharp object</v>
      </c>
      <c r="U2077">
        <v>2005</v>
      </c>
      <c r="V2077" t="s">
        <v>20</v>
      </c>
      <c r="W2077" t="s">
        <v>19</v>
      </c>
      <c r="X2077">
        <v>24</v>
      </c>
      <c r="Y2077" t="s">
        <v>48</v>
      </c>
      <c r="Z2077">
        <v>3</v>
      </c>
      <c r="AA2077">
        <v>100</v>
      </c>
      <c r="AB2077">
        <v>3</v>
      </c>
    </row>
    <row r="2078" spans="10:28">
      <c r="J2078" s="340" t="str">
        <f t="shared" si="113"/>
        <v>2007AllSexAllEth215</v>
      </c>
      <c r="K2078">
        <v>2007</v>
      </c>
      <c r="L2078" t="s">
        <v>17</v>
      </c>
      <c r="M2078" t="s">
        <v>27</v>
      </c>
      <c r="N2078">
        <v>21</v>
      </c>
      <c r="O2078">
        <v>5</v>
      </c>
      <c r="P2078">
        <v>1</v>
      </c>
      <c r="Q2078">
        <v>0.47324656981226698</v>
      </c>
      <c r="R2078">
        <v>0.9</v>
      </c>
      <c r="T2078" s="340" t="str">
        <f t="shared" si="114"/>
        <v>2005MaleNon-Maori25Sharp object</v>
      </c>
      <c r="U2078">
        <v>2005</v>
      </c>
      <c r="V2078" t="s">
        <v>20</v>
      </c>
      <c r="W2078" t="s">
        <v>19</v>
      </c>
      <c r="X2078">
        <v>25</v>
      </c>
      <c r="Y2078" t="s">
        <v>48</v>
      </c>
      <c r="Z2078">
        <v>1</v>
      </c>
      <c r="AA2078">
        <v>30</v>
      </c>
      <c r="AB2078">
        <v>3.3</v>
      </c>
    </row>
    <row r="2079" spans="10:28">
      <c r="J2079" s="340" t="str">
        <f t="shared" si="113"/>
        <v>2007AllSexAllEth221</v>
      </c>
      <c r="K2079">
        <v>2007</v>
      </c>
      <c r="L2079" t="s">
        <v>17</v>
      </c>
      <c r="M2079" t="s">
        <v>27</v>
      </c>
      <c r="N2079">
        <v>22</v>
      </c>
      <c r="O2079">
        <v>1</v>
      </c>
      <c r="P2079">
        <v>12</v>
      </c>
      <c r="Q2079">
        <v>11.780941947049399</v>
      </c>
      <c r="R2079">
        <v>6.7</v>
      </c>
      <c r="T2079" s="340" t="str">
        <f t="shared" si="114"/>
        <v>2005MaleNon-Maori24Submersion (drowning)</v>
      </c>
      <c r="U2079">
        <v>2005</v>
      </c>
      <c r="V2079" t="s">
        <v>20</v>
      </c>
      <c r="W2079" t="s">
        <v>19</v>
      </c>
      <c r="X2079">
        <v>24</v>
      </c>
      <c r="Y2079" t="s">
        <v>49</v>
      </c>
      <c r="Z2079">
        <v>4</v>
      </c>
      <c r="AA2079">
        <v>100</v>
      </c>
      <c r="AB2079">
        <v>4</v>
      </c>
    </row>
    <row r="2080" spans="10:28">
      <c r="J2080" s="340" t="str">
        <f t="shared" si="113"/>
        <v>2007AllSexAllEth222</v>
      </c>
      <c r="K2080">
        <v>2007</v>
      </c>
      <c r="L2080" t="s">
        <v>17</v>
      </c>
      <c r="M2080" t="s">
        <v>27</v>
      </c>
      <c r="N2080">
        <v>22</v>
      </c>
      <c r="O2080">
        <v>2</v>
      </c>
      <c r="P2080">
        <v>11</v>
      </c>
      <c r="Q2080">
        <v>10.156028828145599</v>
      </c>
      <c r="R2080">
        <v>6</v>
      </c>
      <c r="T2080" s="340" t="str">
        <f t="shared" si="114"/>
        <v>2006AllSexAllEth22Firearms and explosives</v>
      </c>
      <c r="U2080">
        <v>2006</v>
      </c>
      <c r="V2080" t="s">
        <v>17</v>
      </c>
      <c r="W2080" t="s">
        <v>27</v>
      </c>
      <c r="X2080">
        <v>22</v>
      </c>
      <c r="Y2080" t="s">
        <v>42</v>
      </c>
      <c r="Z2080">
        <v>6</v>
      </c>
      <c r="AA2080">
        <v>119</v>
      </c>
      <c r="AB2080">
        <v>5</v>
      </c>
    </row>
    <row r="2081" spans="10:28">
      <c r="J2081" s="340" t="str">
        <f t="shared" si="113"/>
        <v>2007AllSexAllEth223</v>
      </c>
      <c r="K2081">
        <v>2007</v>
      </c>
      <c r="L2081" t="s">
        <v>17</v>
      </c>
      <c r="M2081" t="s">
        <v>27</v>
      </c>
      <c r="N2081">
        <v>22</v>
      </c>
      <c r="O2081">
        <v>3</v>
      </c>
      <c r="P2081">
        <v>21</v>
      </c>
      <c r="Q2081">
        <v>17.939118145817702</v>
      </c>
      <c r="R2081">
        <v>7.7</v>
      </c>
      <c r="T2081" s="340" t="str">
        <f t="shared" si="114"/>
        <v>2006AllSexAllEth23Firearms and explosives</v>
      </c>
      <c r="U2081">
        <v>2006</v>
      </c>
      <c r="V2081" t="s">
        <v>17</v>
      </c>
      <c r="W2081" t="s">
        <v>27</v>
      </c>
      <c r="X2081">
        <v>23</v>
      </c>
      <c r="Y2081" t="s">
        <v>42</v>
      </c>
      <c r="Z2081">
        <v>16</v>
      </c>
      <c r="AA2081">
        <v>207</v>
      </c>
      <c r="AB2081">
        <v>7.7</v>
      </c>
    </row>
    <row r="2082" spans="10:28">
      <c r="J2082" s="340" t="str">
        <f t="shared" si="113"/>
        <v>2007AllSexAllEth224</v>
      </c>
      <c r="K2082">
        <v>2007</v>
      </c>
      <c r="L2082" t="s">
        <v>17</v>
      </c>
      <c r="M2082" t="s">
        <v>27</v>
      </c>
      <c r="N2082">
        <v>22</v>
      </c>
      <c r="O2082">
        <v>4</v>
      </c>
      <c r="P2082">
        <v>20</v>
      </c>
      <c r="Q2082">
        <v>15.5687798971916</v>
      </c>
      <c r="R2082">
        <v>6.8</v>
      </c>
      <c r="T2082" s="340" t="str">
        <f t="shared" si="114"/>
        <v>2006AllSexAllEth24Firearms and explosives</v>
      </c>
      <c r="U2082">
        <v>2006</v>
      </c>
      <c r="V2082" t="s">
        <v>17</v>
      </c>
      <c r="W2082" t="s">
        <v>27</v>
      </c>
      <c r="X2082">
        <v>24</v>
      </c>
      <c r="Y2082" t="s">
        <v>42</v>
      </c>
      <c r="Z2082">
        <v>21</v>
      </c>
      <c r="AA2082">
        <v>141</v>
      </c>
      <c r="AB2082">
        <v>14.9</v>
      </c>
    </row>
    <row r="2083" spans="10:28">
      <c r="J2083" s="340" t="str">
        <f t="shared" si="113"/>
        <v>2007AllSexAllEth225</v>
      </c>
      <c r="K2083">
        <v>2007</v>
      </c>
      <c r="L2083" t="s">
        <v>17</v>
      </c>
      <c r="M2083" t="s">
        <v>27</v>
      </c>
      <c r="N2083">
        <v>22</v>
      </c>
      <c r="O2083">
        <v>5</v>
      </c>
      <c r="P2083">
        <v>27</v>
      </c>
      <c r="Q2083">
        <v>18.026957145990401</v>
      </c>
      <c r="R2083">
        <v>6.8</v>
      </c>
      <c r="T2083" s="340" t="str">
        <f t="shared" si="114"/>
        <v>2006AllSexAllEth25Firearms and explosives</v>
      </c>
      <c r="U2083">
        <v>2006</v>
      </c>
      <c r="V2083" t="s">
        <v>17</v>
      </c>
      <c r="W2083" t="s">
        <v>27</v>
      </c>
      <c r="X2083">
        <v>25</v>
      </c>
      <c r="Y2083" t="s">
        <v>42</v>
      </c>
      <c r="Z2083">
        <v>5</v>
      </c>
      <c r="AA2083">
        <v>51</v>
      </c>
      <c r="AB2083">
        <v>9.8000000000000007</v>
      </c>
    </row>
    <row r="2084" spans="10:28">
      <c r="J2084" s="340" t="str">
        <f t="shared" si="113"/>
        <v>2007AllSexAllEth231</v>
      </c>
      <c r="K2084">
        <v>2007</v>
      </c>
      <c r="L2084" t="s">
        <v>17</v>
      </c>
      <c r="M2084" t="s">
        <v>27</v>
      </c>
      <c r="N2084">
        <v>23</v>
      </c>
      <c r="O2084">
        <v>1</v>
      </c>
      <c r="P2084">
        <v>28</v>
      </c>
      <c r="Q2084">
        <v>12.149812140638801</v>
      </c>
      <c r="R2084">
        <v>4.5</v>
      </c>
      <c r="T2084" s="340" t="str">
        <f t="shared" si="114"/>
        <v>2006AllSexAllEth21Hanging, strangulation and suffocation</v>
      </c>
      <c r="U2084">
        <v>2006</v>
      </c>
      <c r="V2084" t="s">
        <v>17</v>
      </c>
      <c r="W2084" t="s">
        <v>27</v>
      </c>
      <c r="X2084">
        <v>21</v>
      </c>
      <c r="Y2084" t="s">
        <v>43</v>
      </c>
      <c r="Z2084">
        <v>6</v>
      </c>
      <c r="AA2084">
        <v>6</v>
      </c>
      <c r="AB2084">
        <v>100</v>
      </c>
    </row>
    <row r="2085" spans="10:28">
      <c r="J2085" s="340" t="str">
        <f t="shared" si="113"/>
        <v>2007AllSexAllEth232</v>
      </c>
      <c r="K2085">
        <v>2007</v>
      </c>
      <c r="L2085" t="s">
        <v>17</v>
      </c>
      <c r="M2085" t="s">
        <v>27</v>
      </c>
      <c r="N2085">
        <v>23</v>
      </c>
      <c r="O2085">
        <v>2</v>
      </c>
      <c r="P2085">
        <v>31</v>
      </c>
      <c r="Q2085">
        <v>12.7894311448789</v>
      </c>
      <c r="R2085">
        <v>4.5</v>
      </c>
      <c r="T2085" s="340" t="str">
        <f t="shared" si="114"/>
        <v>2006AllSexAllEth22Hanging, strangulation and suffocation</v>
      </c>
      <c r="U2085">
        <v>2006</v>
      </c>
      <c r="V2085" t="s">
        <v>17</v>
      </c>
      <c r="W2085" t="s">
        <v>27</v>
      </c>
      <c r="X2085">
        <v>22</v>
      </c>
      <c r="Y2085" t="s">
        <v>43</v>
      </c>
      <c r="Z2085">
        <v>89</v>
      </c>
      <c r="AA2085">
        <v>119</v>
      </c>
      <c r="AB2085">
        <v>74.8</v>
      </c>
    </row>
    <row r="2086" spans="10:28">
      <c r="J2086" s="340" t="str">
        <f t="shared" si="113"/>
        <v>2007AllSexAllEth233</v>
      </c>
      <c r="K2086">
        <v>2007</v>
      </c>
      <c r="L2086" t="s">
        <v>17</v>
      </c>
      <c r="M2086" t="s">
        <v>27</v>
      </c>
      <c r="N2086">
        <v>23</v>
      </c>
      <c r="O2086">
        <v>3</v>
      </c>
      <c r="P2086">
        <v>43</v>
      </c>
      <c r="Q2086">
        <v>17.7327187488089</v>
      </c>
      <c r="R2086">
        <v>5.3</v>
      </c>
      <c r="T2086" s="340" t="str">
        <f t="shared" si="114"/>
        <v>2006AllSexAllEth23Hanging, strangulation and suffocation</v>
      </c>
      <c r="U2086">
        <v>2006</v>
      </c>
      <c r="V2086" t="s">
        <v>17</v>
      </c>
      <c r="W2086" t="s">
        <v>27</v>
      </c>
      <c r="X2086">
        <v>23</v>
      </c>
      <c r="Y2086" t="s">
        <v>43</v>
      </c>
      <c r="Z2086">
        <v>115</v>
      </c>
      <c r="AA2086">
        <v>207</v>
      </c>
      <c r="AB2086">
        <v>55.6</v>
      </c>
    </row>
    <row r="2087" spans="10:28">
      <c r="J2087" s="340" t="str">
        <f t="shared" si="113"/>
        <v>2007AllSexAllEth234</v>
      </c>
      <c r="K2087">
        <v>2007</v>
      </c>
      <c r="L2087" t="s">
        <v>17</v>
      </c>
      <c r="M2087" t="s">
        <v>27</v>
      </c>
      <c r="N2087">
        <v>23</v>
      </c>
      <c r="O2087">
        <v>4</v>
      </c>
      <c r="P2087">
        <v>43</v>
      </c>
      <c r="Q2087">
        <v>18.059075582843999</v>
      </c>
      <c r="R2087">
        <v>5.4</v>
      </c>
      <c r="T2087" s="340" t="str">
        <f t="shared" si="114"/>
        <v>2006AllSexAllEth24Hanging, strangulation and suffocation</v>
      </c>
      <c r="U2087">
        <v>2006</v>
      </c>
      <c r="V2087" t="s">
        <v>17</v>
      </c>
      <c r="W2087" t="s">
        <v>27</v>
      </c>
      <c r="X2087">
        <v>24</v>
      </c>
      <c r="Y2087" t="s">
        <v>43</v>
      </c>
      <c r="Z2087">
        <v>56</v>
      </c>
      <c r="AA2087">
        <v>141</v>
      </c>
      <c r="AB2087">
        <v>39.700000000000003</v>
      </c>
    </row>
    <row r="2088" spans="10:28">
      <c r="J2088" s="340" t="str">
        <f t="shared" si="113"/>
        <v>2007AllSexAllEth235</v>
      </c>
      <c r="K2088">
        <v>2007</v>
      </c>
      <c r="L2088" t="s">
        <v>17</v>
      </c>
      <c r="M2088" t="s">
        <v>27</v>
      </c>
      <c r="N2088">
        <v>23</v>
      </c>
      <c r="O2088">
        <v>5</v>
      </c>
      <c r="P2088">
        <v>58</v>
      </c>
      <c r="Q2088">
        <v>25.915722478530501</v>
      </c>
      <c r="R2088">
        <v>6.7</v>
      </c>
      <c r="T2088" s="340" t="str">
        <f t="shared" si="114"/>
        <v>2006AllSexAllEth25Hanging, strangulation and suffocation</v>
      </c>
      <c r="U2088">
        <v>2006</v>
      </c>
      <c r="V2088" t="s">
        <v>17</v>
      </c>
      <c r="W2088" t="s">
        <v>27</v>
      </c>
      <c r="X2088">
        <v>25</v>
      </c>
      <c r="Y2088" t="s">
        <v>43</v>
      </c>
      <c r="Z2088">
        <v>20</v>
      </c>
      <c r="AA2088">
        <v>51</v>
      </c>
      <c r="AB2088">
        <v>39.200000000000003</v>
      </c>
    </row>
    <row r="2089" spans="10:28">
      <c r="J2089" s="340" t="str">
        <f t="shared" si="113"/>
        <v>2007AllSexAllEth241</v>
      </c>
      <c r="K2089">
        <v>2007</v>
      </c>
      <c r="L2089" t="s">
        <v>17</v>
      </c>
      <c r="M2089" t="s">
        <v>27</v>
      </c>
      <c r="N2089">
        <v>24</v>
      </c>
      <c r="O2089">
        <v>1</v>
      </c>
      <c r="P2089">
        <v>20</v>
      </c>
      <c r="Q2089">
        <v>7.9149757874847104</v>
      </c>
      <c r="R2089">
        <v>3.5</v>
      </c>
      <c r="T2089" s="340" t="str">
        <f t="shared" si="114"/>
        <v>2006AllSexAllEth22Jumping from a high place</v>
      </c>
      <c r="U2089">
        <v>2006</v>
      </c>
      <c r="V2089" t="s">
        <v>17</v>
      </c>
      <c r="W2089" t="s">
        <v>27</v>
      </c>
      <c r="X2089">
        <v>22</v>
      </c>
      <c r="Y2089" t="s">
        <v>44</v>
      </c>
      <c r="Z2089">
        <v>3</v>
      </c>
      <c r="AA2089">
        <v>119</v>
      </c>
      <c r="AB2089">
        <v>2.5</v>
      </c>
    </row>
    <row r="2090" spans="10:28">
      <c r="J2090" s="340" t="str">
        <f t="shared" si="113"/>
        <v>2007AllSexAllEth242</v>
      </c>
      <c r="K2090">
        <v>2007</v>
      </c>
      <c r="L2090" t="s">
        <v>17</v>
      </c>
      <c r="M2090" t="s">
        <v>27</v>
      </c>
      <c r="N2090">
        <v>24</v>
      </c>
      <c r="O2090">
        <v>2</v>
      </c>
      <c r="P2090">
        <v>22</v>
      </c>
      <c r="Q2090">
        <v>9.8596506814562996</v>
      </c>
      <c r="R2090">
        <v>4.0999999999999996</v>
      </c>
      <c r="T2090" s="340" t="str">
        <f t="shared" si="114"/>
        <v>2006AllSexAllEth23Jumping from a high place</v>
      </c>
      <c r="U2090">
        <v>2006</v>
      </c>
      <c r="V2090" t="s">
        <v>17</v>
      </c>
      <c r="W2090" t="s">
        <v>27</v>
      </c>
      <c r="X2090">
        <v>23</v>
      </c>
      <c r="Y2090" t="s">
        <v>44</v>
      </c>
      <c r="Z2090">
        <v>4</v>
      </c>
      <c r="AA2090">
        <v>207</v>
      </c>
      <c r="AB2090">
        <v>1.9</v>
      </c>
    </row>
    <row r="2091" spans="10:28">
      <c r="J2091" s="340" t="str">
        <f t="shared" si="113"/>
        <v>2007AllSexAllEth243</v>
      </c>
      <c r="K2091">
        <v>2007</v>
      </c>
      <c r="L2091" t="s">
        <v>17</v>
      </c>
      <c r="M2091" t="s">
        <v>27</v>
      </c>
      <c r="N2091">
        <v>24</v>
      </c>
      <c r="O2091">
        <v>3</v>
      </c>
      <c r="P2091">
        <v>34</v>
      </c>
      <c r="Q2091">
        <v>16.898953744977302</v>
      </c>
      <c r="R2091">
        <v>5.7</v>
      </c>
      <c r="T2091" s="340" t="str">
        <f t="shared" si="114"/>
        <v>2006AllSexAllEth24Jumping from a high place</v>
      </c>
      <c r="U2091">
        <v>2006</v>
      </c>
      <c r="V2091" t="s">
        <v>17</v>
      </c>
      <c r="W2091" t="s">
        <v>27</v>
      </c>
      <c r="X2091">
        <v>24</v>
      </c>
      <c r="Y2091" t="s">
        <v>44</v>
      </c>
      <c r="Z2091">
        <v>1</v>
      </c>
      <c r="AA2091">
        <v>141</v>
      </c>
      <c r="AB2091">
        <v>0.7</v>
      </c>
    </row>
    <row r="2092" spans="10:28">
      <c r="J2092" s="340" t="str">
        <f t="shared" si="113"/>
        <v>2007AllSexAllEth244</v>
      </c>
      <c r="K2092">
        <v>2007</v>
      </c>
      <c r="L2092" t="s">
        <v>17</v>
      </c>
      <c r="M2092" t="s">
        <v>27</v>
      </c>
      <c r="N2092">
        <v>24</v>
      </c>
      <c r="O2092">
        <v>4</v>
      </c>
      <c r="P2092">
        <v>31</v>
      </c>
      <c r="Q2092">
        <v>16.8574199864481</v>
      </c>
      <c r="R2092">
        <v>5.9</v>
      </c>
      <c r="T2092" s="340" t="str">
        <f t="shared" si="114"/>
        <v>2006AllSexAllEth25Jumping from a high place</v>
      </c>
      <c r="U2092">
        <v>2006</v>
      </c>
      <c r="V2092" t="s">
        <v>17</v>
      </c>
      <c r="W2092" t="s">
        <v>27</v>
      </c>
      <c r="X2092">
        <v>25</v>
      </c>
      <c r="Y2092" t="s">
        <v>44</v>
      </c>
      <c r="Z2092">
        <v>2</v>
      </c>
      <c r="AA2092">
        <v>51</v>
      </c>
      <c r="AB2092">
        <v>3.9</v>
      </c>
    </row>
    <row r="2093" spans="10:28">
      <c r="J2093" s="340" t="str">
        <f t="shared" si="113"/>
        <v>2007AllSexAllEth245</v>
      </c>
      <c r="K2093">
        <v>2007</v>
      </c>
      <c r="L2093" t="s">
        <v>17</v>
      </c>
      <c r="M2093" t="s">
        <v>27</v>
      </c>
      <c r="N2093">
        <v>24</v>
      </c>
      <c r="O2093">
        <v>5</v>
      </c>
      <c r="P2093">
        <v>27</v>
      </c>
      <c r="Q2093">
        <v>16.499475182030999</v>
      </c>
      <c r="R2093">
        <v>6.2</v>
      </c>
      <c r="T2093" s="340" t="str">
        <f t="shared" si="114"/>
        <v>2006AllSexAllEth22Other</v>
      </c>
      <c r="U2093">
        <v>2006</v>
      </c>
      <c r="V2093" t="s">
        <v>17</v>
      </c>
      <c r="W2093" t="s">
        <v>27</v>
      </c>
      <c r="X2093">
        <v>22</v>
      </c>
      <c r="Y2093" t="s">
        <v>45</v>
      </c>
      <c r="Z2093">
        <v>4</v>
      </c>
      <c r="AA2093">
        <v>119</v>
      </c>
      <c r="AB2093">
        <v>3.4</v>
      </c>
    </row>
    <row r="2094" spans="10:28">
      <c r="J2094" s="340" t="str">
        <f t="shared" si="113"/>
        <v>2007AllSexAllEth251</v>
      </c>
      <c r="K2094">
        <v>2007</v>
      </c>
      <c r="L2094" t="s">
        <v>17</v>
      </c>
      <c r="M2094" t="s">
        <v>27</v>
      </c>
      <c r="N2094">
        <v>25</v>
      </c>
      <c r="O2094">
        <v>1</v>
      </c>
      <c r="P2094">
        <v>9</v>
      </c>
      <c r="Q2094">
        <v>8.9156128849945198</v>
      </c>
      <c r="R2094">
        <v>5.8</v>
      </c>
      <c r="T2094" s="340" t="str">
        <f t="shared" si="114"/>
        <v>2006AllSexAllEth23Other</v>
      </c>
      <c r="U2094">
        <v>2006</v>
      </c>
      <c r="V2094" t="s">
        <v>17</v>
      </c>
      <c r="W2094" t="s">
        <v>27</v>
      </c>
      <c r="X2094">
        <v>23</v>
      </c>
      <c r="Y2094" t="s">
        <v>45</v>
      </c>
      <c r="Z2094">
        <v>9</v>
      </c>
      <c r="AA2094">
        <v>207</v>
      </c>
      <c r="AB2094">
        <v>4.3</v>
      </c>
    </row>
    <row r="2095" spans="10:28">
      <c r="J2095" s="340" t="str">
        <f t="shared" si="113"/>
        <v>2007AllSexAllEth252</v>
      </c>
      <c r="K2095">
        <v>2007</v>
      </c>
      <c r="L2095" t="s">
        <v>17</v>
      </c>
      <c r="M2095" t="s">
        <v>27</v>
      </c>
      <c r="N2095">
        <v>25</v>
      </c>
      <c r="O2095">
        <v>2</v>
      </c>
      <c r="P2095">
        <v>10</v>
      </c>
      <c r="Q2095">
        <v>9.2347855074547596</v>
      </c>
      <c r="R2095">
        <v>5.7</v>
      </c>
      <c r="T2095" s="340" t="str">
        <f t="shared" si="114"/>
        <v>2006AllSexAllEth24Other</v>
      </c>
      <c r="U2095">
        <v>2006</v>
      </c>
      <c r="V2095" t="s">
        <v>17</v>
      </c>
      <c r="W2095" t="s">
        <v>27</v>
      </c>
      <c r="X2095">
        <v>24</v>
      </c>
      <c r="Y2095" t="s">
        <v>45</v>
      </c>
      <c r="Z2095">
        <v>5</v>
      </c>
      <c r="AA2095">
        <v>141</v>
      </c>
      <c r="AB2095">
        <v>3.5</v>
      </c>
    </row>
    <row r="2096" spans="10:28">
      <c r="J2096" s="340" t="str">
        <f t="shared" si="113"/>
        <v>2007AllSexAllEth253</v>
      </c>
      <c r="K2096">
        <v>2007</v>
      </c>
      <c r="L2096" t="s">
        <v>17</v>
      </c>
      <c r="M2096" t="s">
        <v>27</v>
      </c>
      <c r="N2096">
        <v>25</v>
      </c>
      <c r="O2096">
        <v>3</v>
      </c>
      <c r="P2096">
        <v>7</v>
      </c>
      <c r="Q2096">
        <v>6.1920360643504297</v>
      </c>
      <c r="R2096">
        <v>4.5999999999999996</v>
      </c>
      <c r="T2096" s="340" t="str">
        <f t="shared" si="114"/>
        <v>2006AllSexAllEth25Other</v>
      </c>
      <c r="U2096">
        <v>2006</v>
      </c>
      <c r="V2096" t="s">
        <v>17</v>
      </c>
      <c r="W2096" t="s">
        <v>27</v>
      </c>
      <c r="X2096">
        <v>25</v>
      </c>
      <c r="Y2096" t="s">
        <v>45</v>
      </c>
      <c r="Z2096">
        <v>4</v>
      </c>
      <c r="AA2096">
        <v>51</v>
      </c>
      <c r="AB2096">
        <v>7.8</v>
      </c>
    </row>
    <row r="2097" spans="10:28">
      <c r="J2097" s="340" t="str">
        <f t="shared" si="113"/>
        <v>2007AllSexAllEth254</v>
      </c>
      <c r="K2097">
        <v>2007</v>
      </c>
      <c r="L2097" t="s">
        <v>17</v>
      </c>
      <c r="M2097" t="s">
        <v>27</v>
      </c>
      <c r="N2097">
        <v>25</v>
      </c>
      <c r="O2097">
        <v>4</v>
      </c>
      <c r="P2097">
        <v>15</v>
      </c>
      <c r="Q2097">
        <v>13.154865748729501</v>
      </c>
      <c r="R2097">
        <v>6.7</v>
      </c>
      <c r="T2097" s="340" t="str">
        <f t="shared" si="114"/>
        <v>2006AllSexAllEth22Poisoning by gases and vapours</v>
      </c>
      <c r="U2097">
        <v>2006</v>
      </c>
      <c r="V2097" t="s">
        <v>17</v>
      </c>
      <c r="W2097" t="s">
        <v>27</v>
      </c>
      <c r="X2097">
        <v>22</v>
      </c>
      <c r="Y2097" t="s">
        <v>46</v>
      </c>
      <c r="Z2097">
        <v>12</v>
      </c>
      <c r="AA2097">
        <v>119</v>
      </c>
      <c r="AB2097">
        <v>10.1</v>
      </c>
    </row>
    <row r="2098" spans="10:28">
      <c r="J2098" s="340" t="str">
        <f t="shared" si="113"/>
        <v>2007AllSexAllEth255</v>
      </c>
      <c r="K2098">
        <v>2007</v>
      </c>
      <c r="L2098" t="s">
        <v>17</v>
      </c>
      <c r="M2098" t="s">
        <v>27</v>
      </c>
      <c r="N2098">
        <v>25</v>
      </c>
      <c r="O2098">
        <v>5</v>
      </c>
      <c r="P2098">
        <v>8</v>
      </c>
      <c r="Q2098">
        <v>8.9935310698840407</v>
      </c>
      <c r="R2098">
        <v>6.2</v>
      </c>
      <c r="T2098" s="340" t="str">
        <f t="shared" si="114"/>
        <v>2006AllSexAllEth23Poisoning by gases and vapours</v>
      </c>
      <c r="U2098">
        <v>2006</v>
      </c>
      <c r="V2098" t="s">
        <v>17</v>
      </c>
      <c r="W2098" t="s">
        <v>27</v>
      </c>
      <c r="X2098">
        <v>23</v>
      </c>
      <c r="Y2098" t="s">
        <v>46</v>
      </c>
      <c r="Z2098">
        <v>33</v>
      </c>
      <c r="AA2098">
        <v>207</v>
      </c>
      <c r="AB2098">
        <v>15.9</v>
      </c>
    </row>
    <row r="2099" spans="10:28">
      <c r="J2099" s="340" t="str">
        <f t="shared" si="113"/>
        <v>2007AllSexMaori211</v>
      </c>
      <c r="K2099">
        <v>2007</v>
      </c>
      <c r="L2099" t="s">
        <v>17</v>
      </c>
      <c r="M2099" t="s">
        <v>18</v>
      </c>
      <c r="N2099">
        <v>21</v>
      </c>
      <c r="O2099">
        <v>1</v>
      </c>
      <c r="P2099">
        <v>0</v>
      </c>
      <c r="Q2099">
        <v>0</v>
      </c>
      <c r="T2099" s="340" t="str">
        <f t="shared" si="114"/>
        <v>2006AllSexAllEth24Poisoning by gases and vapours</v>
      </c>
      <c r="U2099">
        <v>2006</v>
      </c>
      <c r="V2099" t="s">
        <v>17</v>
      </c>
      <c r="W2099" t="s">
        <v>27</v>
      </c>
      <c r="X2099">
        <v>24</v>
      </c>
      <c r="Y2099" t="s">
        <v>46</v>
      </c>
      <c r="Z2099">
        <v>30</v>
      </c>
      <c r="AA2099">
        <v>141</v>
      </c>
      <c r="AB2099">
        <v>21.3</v>
      </c>
    </row>
    <row r="2100" spans="10:28">
      <c r="J2100" s="340" t="str">
        <f t="shared" si="113"/>
        <v>2007AllSexMaori212</v>
      </c>
      <c r="K2100">
        <v>2007</v>
      </c>
      <c r="L2100" t="s">
        <v>17</v>
      </c>
      <c r="M2100" t="s">
        <v>18</v>
      </c>
      <c r="N2100">
        <v>21</v>
      </c>
      <c r="O2100">
        <v>2</v>
      </c>
      <c r="P2100">
        <v>0</v>
      </c>
      <c r="Q2100">
        <v>0</v>
      </c>
      <c r="T2100" s="340" t="str">
        <f t="shared" si="114"/>
        <v>2006AllSexAllEth25Poisoning by gases and vapours</v>
      </c>
      <c r="U2100">
        <v>2006</v>
      </c>
      <c r="V2100" t="s">
        <v>17</v>
      </c>
      <c r="W2100" t="s">
        <v>27</v>
      </c>
      <c r="X2100">
        <v>25</v>
      </c>
      <c r="Y2100" t="s">
        <v>46</v>
      </c>
      <c r="Z2100">
        <v>12</v>
      </c>
      <c r="AA2100">
        <v>51</v>
      </c>
      <c r="AB2100">
        <v>23.5</v>
      </c>
    </row>
    <row r="2101" spans="10:28">
      <c r="J2101" s="340" t="str">
        <f t="shared" si="113"/>
        <v>2007AllSexMaori213</v>
      </c>
      <c r="K2101">
        <v>2007</v>
      </c>
      <c r="L2101" t="s">
        <v>17</v>
      </c>
      <c r="M2101" t="s">
        <v>18</v>
      </c>
      <c r="N2101">
        <v>21</v>
      </c>
      <c r="O2101">
        <v>3</v>
      </c>
      <c r="P2101">
        <v>0</v>
      </c>
      <c r="Q2101">
        <v>0</v>
      </c>
      <c r="T2101" s="340" t="str">
        <f t="shared" si="114"/>
        <v>2006AllSexAllEth22Poisoning by solids and liquids</v>
      </c>
      <c r="U2101">
        <v>2006</v>
      </c>
      <c r="V2101" t="s">
        <v>17</v>
      </c>
      <c r="W2101" t="s">
        <v>27</v>
      </c>
      <c r="X2101">
        <v>22</v>
      </c>
      <c r="Y2101" t="s">
        <v>47</v>
      </c>
      <c r="Z2101">
        <v>3</v>
      </c>
      <c r="AA2101">
        <v>119</v>
      </c>
      <c r="AB2101">
        <v>2.5</v>
      </c>
    </row>
    <row r="2102" spans="10:28">
      <c r="J2102" s="340" t="str">
        <f t="shared" si="113"/>
        <v>2007AllSexMaori214</v>
      </c>
      <c r="K2102">
        <v>2007</v>
      </c>
      <c r="L2102" t="s">
        <v>17</v>
      </c>
      <c r="M2102" t="s">
        <v>18</v>
      </c>
      <c r="N2102">
        <v>21</v>
      </c>
      <c r="O2102">
        <v>4</v>
      </c>
      <c r="P2102">
        <v>0</v>
      </c>
      <c r="Q2102">
        <v>0</v>
      </c>
      <c r="T2102" s="340" t="str">
        <f t="shared" si="114"/>
        <v>2006AllSexAllEth23Poisoning by solids and liquids</v>
      </c>
      <c r="U2102">
        <v>2006</v>
      </c>
      <c r="V2102" t="s">
        <v>17</v>
      </c>
      <c r="W2102" t="s">
        <v>27</v>
      </c>
      <c r="X2102">
        <v>23</v>
      </c>
      <c r="Y2102" t="s">
        <v>47</v>
      </c>
      <c r="Z2102">
        <v>21</v>
      </c>
      <c r="AA2102">
        <v>207</v>
      </c>
      <c r="AB2102">
        <v>10.1</v>
      </c>
    </row>
    <row r="2103" spans="10:28">
      <c r="J2103" s="340" t="str">
        <f t="shared" si="113"/>
        <v>2007AllSexMaori215</v>
      </c>
      <c r="K2103">
        <v>2007</v>
      </c>
      <c r="L2103" t="s">
        <v>17</v>
      </c>
      <c r="M2103" t="s">
        <v>18</v>
      </c>
      <c r="N2103">
        <v>21</v>
      </c>
      <c r="O2103">
        <v>5</v>
      </c>
      <c r="P2103">
        <v>1</v>
      </c>
      <c r="Q2103">
        <v>1.06072125290756</v>
      </c>
      <c r="R2103">
        <v>2.1</v>
      </c>
      <c r="T2103" s="340" t="str">
        <f t="shared" si="114"/>
        <v>2006AllSexAllEth24Poisoning by solids and liquids</v>
      </c>
      <c r="U2103">
        <v>2006</v>
      </c>
      <c r="V2103" t="s">
        <v>17</v>
      </c>
      <c r="W2103" t="s">
        <v>27</v>
      </c>
      <c r="X2103">
        <v>24</v>
      </c>
      <c r="Y2103" t="s">
        <v>47</v>
      </c>
      <c r="Z2103">
        <v>21</v>
      </c>
      <c r="AA2103">
        <v>141</v>
      </c>
      <c r="AB2103">
        <v>14.9</v>
      </c>
    </row>
    <row r="2104" spans="10:28">
      <c r="J2104" s="340" t="str">
        <f t="shared" si="113"/>
        <v>2007AllSexMaori221</v>
      </c>
      <c r="K2104">
        <v>2007</v>
      </c>
      <c r="L2104" t="s">
        <v>17</v>
      </c>
      <c r="M2104" t="s">
        <v>18</v>
      </c>
      <c r="N2104">
        <v>22</v>
      </c>
      <c r="O2104">
        <v>1</v>
      </c>
      <c r="P2104">
        <v>3</v>
      </c>
      <c r="Q2104">
        <v>35.495573476049998</v>
      </c>
      <c r="R2104">
        <v>40.200000000000003</v>
      </c>
      <c r="T2104" s="340" t="str">
        <f t="shared" si="114"/>
        <v>2006AllSexAllEth25Poisoning by solids and liquids</v>
      </c>
      <c r="U2104">
        <v>2006</v>
      </c>
      <c r="V2104" t="s">
        <v>17</v>
      </c>
      <c r="W2104" t="s">
        <v>27</v>
      </c>
      <c r="X2104">
        <v>25</v>
      </c>
      <c r="Y2104" t="s">
        <v>47</v>
      </c>
      <c r="Z2104">
        <v>4</v>
      </c>
      <c r="AA2104">
        <v>51</v>
      </c>
      <c r="AB2104">
        <v>7.8</v>
      </c>
    </row>
    <row r="2105" spans="10:28">
      <c r="J2105" s="340" t="str">
        <f t="shared" si="113"/>
        <v>2007AllSexMaori222</v>
      </c>
      <c r="K2105">
        <v>2007</v>
      </c>
      <c r="L2105" t="s">
        <v>17</v>
      </c>
      <c r="M2105" t="s">
        <v>18</v>
      </c>
      <c r="N2105">
        <v>22</v>
      </c>
      <c r="O2105">
        <v>2</v>
      </c>
      <c r="P2105">
        <v>2</v>
      </c>
      <c r="Q2105">
        <v>15.9372230149845</v>
      </c>
      <c r="R2105">
        <v>22.1</v>
      </c>
      <c r="T2105" s="340" t="str">
        <f t="shared" si="114"/>
        <v>2006AllSexAllEth22Sharp object</v>
      </c>
      <c r="U2105">
        <v>2006</v>
      </c>
      <c r="V2105" t="s">
        <v>17</v>
      </c>
      <c r="W2105" t="s">
        <v>27</v>
      </c>
      <c r="X2105">
        <v>22</v>
      </c>
      <c r="Y2105" t="s">
        <v>48</v>
      </c>
      <c r="Z2105">
        <v>1</v>
      </c>
      <c r="AA2105">
        <v>119</v>
      </c>
      <c r="AB2105">
        <v>0.8</v>
      </c>
    </row>
    <row r="2106" spans="10:28">
      <c r="J2106" s="340" t="str">
        <f t="shared" si="113"/>
        <v>2007AllSexMaori223</v>
      </c>
      <c r="K2106">
        <v>2007</v>
      </c>
      <c r="L2106" t="s">
        <v>17</v>
      </c>
      <c r="M2106" t="s">
        <v>18</v>
      </c>
      <c r="N2106">
        <v>22</v>
      </c>
      <c r="O2106">
        <v>3</v>
      </c>
      <c r="P2106">
        <v>8</v>
      </c>
      <c r="Q2106">
        <v>42.031629551761696</v>
      </c>
      <c r="R2106">
        <v>29.1</v>
      </c>
      <c r="T2106" s="340" t="str">
        <f t="shared" si="114"/>
        <v>2006AllSexAllEth23Sharp object</v>
      </c>
      <c r="U2106">
        <v>2006</v>
      </c>
      <c r="V2106" t="s">
        <v>17</v>
      </c>
      <c r="W2106" t="s">
        <v>27</v>
      </c>
      <c r="X2106">
        <v>23</v>
      </c>
      <c r="Y2106" t="s">
        <v>48</v>
      </c>
      <c r="Z2106">
        <v>7</v>
      </c>
      <c r="AA2106">
        <v>207</v>
      </c>
      <c r="AB2106">
        <v>3.4</v>
      </c>
    </row>
    <row r="2107" spans="10:28">
      <c r="J2107" s="340" t="str">
        <f t="shared" si="113"/>
        <v>2007AllSexMaori224</v>
      </c>
      <c r="K2107">
        <v>2007</v>
      </c>
      <c r="L2107" t="s">
        <v>17</v>
      </c>
      <c r="M2107" t="s">
        <v>18</v>
      </c>
      <c r="N2107">
        <v>22</v>
      </c>
      <c r="O2107">
        <v>4</v>
      </c>
      <c r="P2107">
        <v>6</v>
      </c>
      <c r="Q2107">
        <v>21.253167884060598</v>
      </c>
      <c r="R2107">
        <v>17</v>
      </c>
      <c r="T2107" s="340" t="str">
        <f t="shared" si="114"/>
        <v>2006AllSexAllEth24Sharp object</v>
      </c>
      <c r="U2107">
        <v>2006</v>
      </c>
      <c r="V2107" t="s">
        <v>17</v>
      </c>
      <c r="W2107" t="s">
        <v>27</v>
      </c>
      <c r="X2107">
        <v>24</v>
      </c>
      <c r="Y2107" t="s">
        <v>48</v>
      </c>
      <c r="Z2107">
        <v>3</v>
      </c>
      <c r="AA2107">
        <v>141</v>
      </c>
      <c r="AB2107">
        <v>2.1</v>
      </c>
    </row>
    <row r="2108" spans="10:28">
      <c r="J2108" s="340" t="str">
        <f t="shared" si="113"/>
        <v>2007AllSexMaori225</v>
      </c>
      <c r="K2108">
        <v>2007</v>
      </c>
      <c r="L2108" t="s">
        <v>17</v>
      </c>
      <c r="M2108" t="s">
        <v>18</v>
      </c>
      <c r="N2108">
        <v>22</v>
      </c>
      <c r="O2108">
        <v>5</v>
      </c>
      <c r="P2108">
        <v>14</v>
      </c>
      <c r="Q2108">
        <v>28.143739464997601</v>
      </c>
      <c r="R2108">
        <v>14.7</v>
      </c>
      <c r="T2108" s="340" t="str">
        <f t="shared" si="114"/>
        <v>2006AllSexAllEth25Sharp object</v>
      </c>
      <c r="U2108">
        <v>2006</v>
      </c>
      <c r="V2108" t="s">
        <v>17</v>
      </c>
      <c r="W2108" t="s">
        <v>27</v>
      </c>
      <c r="X2108">
        <v>25</v>
      </c>
      <c r="Y2108" t="s">
        <v>48</v>
      </c>
      <c r="Z2108">
        <v>2</v>
      </c>
      <c r="AA2108">
        <v>51</v>
      </c>
      <c r="AB2108">
        <v>3.9</v>
      </c>
    </row>
    <row r="2109" spans="10:28">
      <c r="J2109" s="340" t="str">
        <f t="shared" si="113"/>
        <v>2007AllSexMaori231</v>
      </c>
      <c r="K2109">
        <v>2007</v>
      </c>
      <c r="L2109" t="s">
        <v>17</v>
      </c>
      <c r="M2109" t="s">
        <v>18</v>
      </c>
      <c r="N2109">
        <v>23</v>
      </c>
      <c r="O2109">
        <v>1</v>
      </c>
      <c r="P2109">
        <v>4</v>
      </c>
      <c r="Q2109">
        <v>28.770562300577701</v>
      </c>
      <c r="R2109">
        <v>28.2</v>
      </c>
      <c r="T2109" s="340" t="str">
        <f t="shared" si="114"/>
        <v>2006AllSexAllEth22Submersion (drowning)</v>
      </c>
      <c r="U2109">
        <v>2006</v>
      </c>
      <c r="V2109" t="s">
        <v>17</v>
      </c>
      <c r="W2109" t="s">
        <v>27</v>
      </c>
      <c r="X2109">
        <v>22</v>
      </c>
      <c r="Y2109" t="s">
        <v>49</v>
      </c>
      <c r="Z2109">
        <v>1</v>
      </c>
      <c r="AA2109">
        <v>119</v>
      </c>
      <c r="AB2109">
        <v>0.8</v>
      </c>
    </row>
    <row r="2110" spans="10:28">
      <c r="J2110" s="340" t="str">
        <f t="shared" si="113"/>
        <v>2007AllSexMaori232</v>
      </c>
      <c r="K2110">
        <v>2007</v>
      </c>
      <c r="L2110" t="s">
        <v>17</v>
      </c>
      <c r="M2110" t="s">
        <v>18</v>
      </c>
      <c r="N2110">
        <v>23</v>
      </c>
      <c r="O2110">
        <v>2</v>
      </c>
      <c r="P2110">
        <v>4</v>
      </c>
      <c r="Q2110">
        <v>19.821350853676101</v>
      </c>
      <c r="R2110">
        <v>19.399999999999999</v>
      </c>
      <c r="T2110" s="340" t="str">
        <f t="shared" si="114"/>
        <v>2006AllSexAllEth23Submersion (drowning)</v>
      </c>
      <c r="U2110">
        <v>2006</v>
      </c>
      <c r="V2110" t="s">
        <v>17</v>
      </c>
      <c r="W2110" t="s">
        <v>27</v>
      </c>
      <c r="X2110">
        <v>23</v>
      </c>
      <c r="Y2110" t="s">
        <v>49</v>
      </c>
      <c r="Z2110">
        <v>2</v>
      </c>
      <c r="AA2110">
        <v>207</v>
      </c>
      <c r="AB2110">
        <v>1</v>
      </c>
    </row>
    <row r="2111" spans="10:28">
      <c r="J2111" s="340" t="str">
        <f t="shared" si="113"/>
        <v>2007AllSexMaori233</v>
      </c>
      <c r="K2111">
        <v>2007</v>
      </c>
      <c r="L2111" t="s">
        <v>17</v>
      </c>
      <c r="M2111" t="s">
        <v>18</v>
      </c>
      <c r="N2111">
        <v>23</v>
      </c>
      <c r="O2111">
        <v>3</v>
      </c>
      <c r="P2111">
        <v>9</v>
      </c>
      <c r="Q2111">
        <v>31.922454576816101</v>
      </c>
      <c r="R2111">
        <v>20.9</v>
      </c>
      <c r="T2111" s="340" t="str">
        <f t="shared" si="114"/>
        <v>2006AllSexAllEth24Submersion (drowning)</v>
      </c>
      <c r="U2111">
        <v>2006</v>
      </c>
      <c r="V2111" t="s">
        <v>17</v>
      </c>
      <c r="W2111" t="s">
        <v>27</v>
      </c>
      <c r="X2111">
        <v>24</v>
      </c>
      <c r="Y2111" t="s">
        <v>49</v>
      </c>
      <c r="Z2111">
        <v>4</v>
      </c>
      <c r="AA2111">
        <v>141</v>
      </c>
      <c r="AB2111">
        <v>2.8</v>
      </c>
    </row>
    <row r="2112" spans="10:28">
      <c r="J2112" s="340" t="str">
        <f t="shared" si="113"/>
        <v>2007AllSexMaori234</v>
      </c>
      <c r="K2112">
        <v>2007</v>
      </c>
      <c r="L2112" t="s">
        <v>17</v>
      </c>
      <c r="M2112" t="s">
        <v>18</v>
      </c>
      <c r="N2112">
        <v>23</v>
      </c>
      <c r="O2112">
        <v>4</v>
      </c>
      <c r="P2112">
        <v>8</v>
      </c>
      <c r="Q2112">
        <v>19.831245113748601</v>
      </c>
      <c r="R2112">
        <v>13.7</v>
      </c>
      <c r="T2112" s="340" t="str">
        <f t="shared" si="114"/>
        <v>2006AllSexAllEth25Submersion (drowning)</v>
      </c>
      <c r="U2112">
        <v>2006</v>
      </c>
      <c r="V2112" t="s">
        <v>17</v>
      </c>
      <c r="W2112" t="s">
        <v>27</v>
      </c>
      <c r="X2112">
        <v>25</v>
      </c>
      <c r="Y2112" t="s">
        <v>49</v>
      </c>
      <c r="Z2112">
        <v>2</v>
      </c>
      <c r="AA2112">
        <v>51</v>
      </c>
      <c r="AB2112">
        <v>3.9</v>
      </c>
    </row>
    <row r="2113" spans="10:28">
      <c r="J2113" s="340" t="str">
        <f t="shared" si="113"/>
        <v>2007AllSexMaori235</v>
      </c>
      <c r="K2113">
        <v>2007</v>
      </c>
      <c r="L2113" t="s">
        <v>17</v>
      </c>
      <c r="M2113" t="s">
        <v>18</v>
      </c>
      <c r="N2113">
        <v>23</v>
      </c>
      <c r="O2113">
        <v>5</v>
      </c>
      <c r="P2113">
        <v>24</v>
      </c>
      <c r="Q2113">
        <v>36.1212201163207</v>
      </c>
      <c r="R2113">
        <v>14.5</v>
      </c>
      <c r="T2113" s="340" t="str">
        <f t="shared" si="114"/>
        <v>2006AllSexMaori23Firearms and explosives</v>
      </c>
      <c r="U2113">
        <v>2006</v>
      </c>
      <c r="V2113" t="s">
        <v>17</v>
      </c>
      <c r="W2113" t="s">
        <v>18</v>
      </c>
      <c r="X2113">
        <v>23</v>
      </c>
      <c r="Y2113" t="s">
        <v>42</v>
      </c>
      <c r="Z2113">
        <v>5</v>
      </c>
      <c r="AA2113">
        <v>54</v>
      </c>
      <c r="AB2113">
        <v>9.3000000000000007</v>
      </c>
    </row>
    <row r="2114" spans="10:28">
      <c r="J2114" s="340" t="str">
        <f t="shared" si="113"/>
        <v>2007AllSexMaori241</v>
      </c>
      <c r="K2114">
        <v>2007</v>
      </c>
      <c r="L2114" t="s">
        <v>17</v>
      </c>
      <c r="M2114" t="s">
        <v>18</v>
      </c>
      <c r="N2114">
        <v>24</v>
      </c>
      <c r="O2114">
        <v>1</v>
      </c>
      <c r="P2114">
        <v>2</v>
      </c>
      <c r="Q2114">
        <v>23.052187596518099</v>
      </c>
      <c r="R2114">
        <v>31.9</v>
      </c>
      <c r="T2114" s="340" t="str">
        <f t="shared" si="114"/>
        <v>2006AllSexMaori24Firearms and explosives</v>
      </c>
      <c r="U2114">
        <v>2006</v>
      </c>
      <c r="V2114" t="s">
        <v>17</v>
      </c>
      <c r="W2114" t="s">
        <v>18</v>
      </c>
      <c r="X2114">
        <v>24</v>
      </c>
      <c r="Y2114" t="s">
        <v>42</v>
      </c>
      <c r="Z2114">
        <v>1</v>
      </c>
      <c r="AA2114">
        <v>12</v>
      </c>
      <c r="AB2114">
        <v>8.3000000000000007</v>
      </c>
    </row>
    <row r="2115" spans="10:28">
      <c r="J2115" s="340" t="str">
        <f t="shared" si="113"/>
        <v>2007AllSexMaori242</v>
      </c>
      <c r="K2115">
        <v>2007</v>
      </c>
      <c r="L2115" t="s">
        <v>17</v>
      </c>
      <c r="M2115" t="s">
        <v>18</v>
      </c>
      <c r="N2115">
        <v>24</v>
      </c>
      <c r="O2115">
        <v>2</v>
      </c>
      <c r="P2115">
        <v>0</v>
      </c>
      <c r="Q2115">
        <v>0</v>
      </c>
      <c r="T2115" s="340" t="str">
        <f t="shared" si="114"/>
        <v>2006AllSexMaori21Hanging, strangulation and suffocation</v>
      </c>
      <c r="U2115">
        <v>2006</v>
      </c>
      <c r="V2115" t="s">
        <v>17</v>
      </c>
      <c r="W2115" t="s">
        <v>18</v>
      </c>
      <c r="X2115">
        <v>21</v>
      </c>
      <c r="Y2115" t="s">
        <v>43</v>
      </c>
      <c r="Z2115">
        <v>4</v>
      </c>
      <c r="AA2115">
        <v>4</v>
      </c>
      <c r="AB2115">
        <v>100</v>
      </c>
    </row>
    <row r="2116" spans="10:28">
      <c r="J2116" s="340" t="str">
        <f t="shared" ref="J2116:J2179" si="115">K2116&amp;L2116&amp;M2116&amp;N2116&amp;O2116</f>
        <v>2007AllSexMaori243</v>
      </c>
      <c r="K2116">
        <v>2007</v>
      </c>
      <c r="L2116" t="s">
        <v>17</v>
      </c>
      <c r="M2116" t="s">
        <v>18</v>
      </c>
      <c r="N2116">
        <v>24</v>
      </c>
      <c r="O2116">
        <v>3</v>
      </c>
      <c r="P2116">
        <v>0</v>
      </c>
      <c r="Q2116">
        <v>0</v>
      </c>
      <c r="T2116" s="340" t="str">
        <f t="shared" si="114"/>
        <v>2006AllSexMaori22Hanging, strangulation and suffocation</v>
      </c>
      <c r="U2116">
        <v>2006</v>
      </c>
      <c r="V2116" t="s">
        <v>17</v>
      </c>
      <c r="W2116" t="s">
        <v>18</v>
      </c>
      <c r="X2116">
        <v>22</v>
      </c>
      <c r="Y2116" t="s">
        <v>43</v>
      </c>
      <c r="Z2116">
        <v>36</v>
      </c>
      <c r="AA2116">
        <v>37</v>
      </c>
      <c r="AB2116">
        <v>97.3</v>
      </c>
    </row>
    <row r="2117" spans="10:28">
      <c r="J2117" s="340" t="str">
        <f t="shared" si="115"/>
        <v>2007AllSexMaori244</v>
      </c>
      <c r="K2117">
        <v>2007</v>
      </c>
      <c r="L2117" t="s">
        <v>17</v>
      </c>
      <c r="M2117" t="s">
        <v>18</v>
      </c>
      <c r="N2117">
        <v>24</v>
      </c>
      <c r="O2117">
        <v>4</v>
      </c>
      <c r="P2117">
        <v>2</v>
      </c>
      <c r="Q2117">
        <v>8.4844782497086797</v>
      </c>
      <c r="R2117">
        <v>11.8</v>
      </c>
      <c r="T2117" s="340" t="str">
        <f t="shared" ref="T2117:T2180" si="116">U2117&amp;V2117&amp;W2117&amp;X2117&amp;Y2117</f>
        <v>2006AllSexMaori23Hanging, strangulation and suffocation</v>
      </c>
      <c r="U2117">
        <v>2006</v>
      </c>
      <c r="V2117" t="s">
        <v>17</v>
      </c>
      <c r="W2117" t="s">
        <v>18</v>
      </c>
      <c r="X2117">
        <v>23</v>
      </c>
      <c r="Y2117" t="s">
        <v>43</v>
      </c>
      <c r="Z2117">
        <v>36</v>
      </c>
      <c r="AA2117">
        <v>54</v>
      </c>
      <c r="AB2117">
        <v>66.7</v>
      </c>
    </row>
    <row r="2118" spans="10:28">
      <c r="J2118" s="340" t="str">
        <f t="shared" si="115"/>
        <v>2007AllSexMaori245</v>
      </c>
      <c r="K2118">
        <v>2007</v>
      </c>
      <c r="L2118" t="s">
        <v>17</v>
      </c>
      <c r="M2118" t="s">
        <v>18</v>
      </c>
      <c r="N2118">
        <v>24</v>
      </c>
      <c r="O2118">
        <v>5</v>
      </c>
      <c r="P2118">
        <v>8</v>
      </c>
      <c r="Q2118">
        <v>19.1507617932992</v>
      </c>
      <c r="R2118">
        <v>13.3</v>
      </c>
      <c r="T2118" s="340" t="str">
        <f t="shared" si="116"/>
        <v>2006AllSexMaori24Hanging, strangulation and suffocation</v>
      </c>
      <c r="U2118">
        <v>2006</v>
      </c>
      <c r="V2118" t="s">
        <v>17</v>
      </c>
      <c r="W2118" t="s">
        <v>18</v>
      </c>
      <c r="X2118">
        <v>24</v>
      </c>
      <c r="Y2118" t="s">
        <v>43</v>
      </c>
      <c r="Z2118">
        <v>5</v>
      </c>
      <c r="AA2118">
        <v>12</v>
      </c>
      <c r="AB2118">
        <v>41.7</v>
      </c>
    </row>
    <row r="2119" spans="10:28">
      <c r="J2119" s="340" t="str">
        <f t="shared" si="115"/>
        <v>2007AllSexMaori251</v>
      </c>
      <c r="K2119">
        <v>2007</v>
      </c>
      <c r="L2119" t="s">
        <v>17</v>
      </c>
      <c r="M2119" t="s">
        <v>18</v>
      </c>
      <c r="N2119">
        <v>25</v>
      </c>
      <c r="O2119">
        <v>1</v>
      </c>
      <c r="P2119">
        <v>0</v>
      </c>
      <c r="Q2119">
        <v>0</v>
      </c>
      <c r="T2119" s="340" t="str">
        <f t="shared" si="116"/>
        <v>2006AllSexMaori23Jumping from a high place</v>
      </c>
      <c r="U2119">
        <v>2006</v>
      </c>
      <c r="V2119" t="s">
        <v>17</v>
      </c>
      <c r="W2119" t="s">
        <v>18</v>
      </c>
      <c r="X2119">
        <v>23</v>
      </c>
      <c r="Y2119" t="s">
        <v>44</v>
      </c>
      <c r="Z2119">
        <v>1</v>
      </c>
      <c r="AA2119">
        <v>54</v>
      </c>
      <c r="AB2119">
        <v>1.9</v>
      </c>
    </row>
    <row r="2120" spans="10:28">
      <c r="J2120" s="340" t="str">
        <f t="shared" si="115"/>
        <v>2007AllSexMaori252</v>
      </c>
      <c r="K2120">
        <v>2007</v>
      </c>
      <c r="L2120" t="s">
        <v>17</v>
      </c>
      <c r="M2120" t="s">
        <v>18</v>
      </c>
      <c r="N2120">
        <v>25</v>
      </c>
      <c r="O2120">
        <v>2</v>
      </c>
      <c r="P2120">
        <v>0</v>
      </c>
      <c r="Q2120">
        <v>0</v>
      </c>
      <c r="T2120" s="340" t="str">
        <f t="shared" si="116"/>
        <v>2006AllSexMaori23Other</v>
      </c>
      <c r="U2120">
        <v>2006</v>
      </c>
      <c r="V2120" t="s">
        <v>17</v>
      </c>
      <c r="W2120" t="s">
        <v>18</v>
      </c>
      <c r="X2120">
        <v>23</v>
      </c>
      <c r="Y2120" t="s">
        <v>45</v>
      </c>
      <c r="Z2120">
        <v>3</v>
      </c>
      <c r="AA2120">
        <v>54</v>
      </c>
      <c r="AB2120">
        <v>5.6</v>
      </c>
    </row>
    <row r="2121" spans="10:28">
      <c r="J2121" s="340" t="str">
        <f t="shared" si="115"/>
        <v>2007AllSexMaori253</v>
      </c>
      <c r="K2121">
        <v>2007</v>
      </c>
      <c r="L2121" t="s">
        <v>17</v>
      </c>
      <c r="M2121" t="s">
        <v>18</v>
      </c>
      <c r="N2121">
        <v>25</v>
      </c>
      <c r="O2121">
        <v>3</v>
      </c>
      <c r="P2121">
        <v>1</v>
      </c>
      <c r="Q2121">
        <v>23.8204475388434</v>
      </c>
      <c r="R2121">
        <v>46.7</v>
      </c>
      <c r="T2121" s="340" t="str">
        <f t="shared" si="116"/>
        <v>2006AllSexMaori24Other</v>
      </c>
      <c r="U2121">
        <v>2006</v>
      </c>
      <c r="V2121" t="s">
        <v>17</v>
      </c>
      <c r="W2121" t="s">
        <v>18</v>
      </c>
      <c r="X2121">
        <v>24</v>
      </c>
      <c r="Y2121" t="s">
        <v>45</v>
      </c>
      <c r="Z2121">
        <v>1</v>
      </c>
      <c r="AA2121">
        <v>12</v>
      </c>
      <c r="AB2121">
        <v>8.3000000000000007</v>
      </c>
    </row>
    <row r="2122" spans="10:28">
      <c r="J2122" s="340" t="str">
        <f t="shared" si="115"/>
        <v>2007AllSexMaori254</v>
      </c>
      <c r="K2122">
        <v>2007</v>
      </c>
      <c r="L2122" t="s">
        <v>17</v>
      </c>
      <c r="M2122" t="s">
        <v>18</v>
      </c>
      <c r="N2122">
        <v>25</v>
      </c>
      <c r="O2122">
        <v>4</v>
      </c>
      <c r="P2122">
        <v>0</v>
      </c>
      <c r="Q2122">
        <v>0</v>
      </c>
      <c r="T2122" s="340" t="str">
        <f t="shared" si="116"/>
        <v>2006AllSexMaori22Poisoning by gases and vapours</v>
      </c>
      <c r="U2122">
        <v>2006</v>
      </c>
      <c r="V2122" t="s">
        <v>17</v>
      </c>
      <c r="W2122" t="s">
        <v>18</v>
      </c>
      <c r="X2122">
        <v>22</v>
      </c>
      <c r="Y2122" t="s">
        <v>46</v>
      </c>
      <c r="Z2122">
        <v>1</v>
      </c>
      <c r="AA2122">
        <v>37</v>
      </c>
      <c r="AB2122">
        <v>2.7</v>
      </c>
    </row>
    <row r="2123" spans="10:28">
      <c r="J2123" s="340" t="str">
        <f t="shared" si="115"/>
        <v>2007AllSexMaori255</v>
      </c>
      <c r="K2123">
        <v>2007</v>
      </c>
      <c r="L2123" t="s">
        <v>17</v>
      </c>
      <c r="M2123" t="s">
        <v>18</v>
      </c>
      <c r="N2123">
        <v>25</v>
      </c>
      <c r="O2123">
        <v>5</v>
      </c>
      <c r="P2123">
        <v>0</v>
      </c>
      <c r="Q2123">
        <v>0</v>
      </c>
      <c r="T2123" s="340" t="str">
        <f t="shared" si="116"/>
        <v>2006AllSexMaori23Poisoning by gases and vapours</v>
      </c>
      <c r="U2123">
        <v>2006</v>
      </c>
      <c r="V2123" t="s">
        <v>17</v>
      </c>
      <c r="W2123" t="s">
        <v>18</v>
      </c>
      <c r="X2123">
        <v>23</v>
      </c>
      <c r="Y2123" t="s">
        <v>46</v>
      </c>
      <c r="Z2123">
        <v>5</v>
      </c>
      <c r="AA2123">
        <v>54</v>
      </c>
      <c r="AB2123">
        <v>9.3000000000000007</v>
      </c>
    </row>
    <row r="2124" spans="10:28">
      <c r="J2124" s="340" t="str">
        <f t="shared" si="115"/>
        <v>2007AllSexNon-Maori211</v>
      </c>
      <c r="K2124">
        <v>2007</v>
      </c>
      <c r="L2124" t="s">
        <v>17</v>
      </c>
      <c r="M2124" t="s">
        <v>19</v>
      </c>
      <c r="N2124">
        <v>21</v>
      </c>
      <c r="O2124">
        <v>1</v>
      </c>
      <c r="P2124">
        <v>0</v>
      </c>
      <c r="Q2124">
        <v>0</v>
      </c>
      <c r="T2124" s="340" t="str">
        <f t="shared" si="116"/>
        <v>2006AllSexMaori25Poisoning by gases and vapours</v>
      </c>
      <c r="U2124">
        <v>2006</v>
      </c>
      <c r="V2124" t="s">
        <v>17</v>
      </c>
      <c r="W2124" t="s">
        <v>18</v>
      </c>
      <c r="X2124">
        <v>25</v>
      </c>
      <c r="Y2124" t="s">
        <v>46</v>
      </c>
      <c r="Z2124">
        <v>1</v>
      </c>
      <c r="AA2124">
        <v>1</v>
      </c>
      <c r="AB2124">
        <v>100</v>
      </c>
    </row>
    <row r="2125" spans="10:28">
      <c r="J2125" s="340" t="str">
        <f t="shared" si="115"/>
        <v>2007AllSexNon-Maori212</v>
      </c>
      <c r="K2125">
        <v>2007</v>
      </c>
      <c r="L2125" t="s">
        <v>17</v>
      </c>
      <c r="M2125" t="s">
        <v>19</v>
      </c>
      <c r="N2125">
        <v>21</v>
      </c>
      <c r="O2125">
        <v>2</v>
      </c>
      <c r="P2125">
        <v>0</v>
      </c>
      <c r="Q2125">
        <v>0</v>
      </c>
      <c r="T2125" s="340" t="str">
        <f t="shared" si="116"/>
        <v>2006AllSexMaori23Poisoning by solids and liquids</v>
      </c>
      <c r="U2125">
        <v>2006</v>
      </c>
      <c r="V2125" t="s">
        <v>17</v>
      </c>
      <c r="W2125" t="s">
        <v>18</v>
      </c>
      <c r="X2125">
        <v>23</v>
      </c>
      <c r="Y2125" t="s">
        <v>47</v>
      </c>
      <c r="Z2125">
        <v>2</v>
      </c>
      <c r="AA2125">
        <v>54</v>
      </c>
      <c r="AB2125">
        <v>3.7</v>
      </c>
    </row>
    <row r="2126" spans="10:28">
      <c r="J2126" s="340" t="str">
        <f t="shared" si="115"/>
        <v>2007AllSexNon-Maori213</v>
      </c>
      <c r="K2126">
        <v>2007</v>
      </c>
      <c r="L2126" t="s">
        <v>17</v>
      </c>
      <c r="M2126" t="s">
        <v>19</v>
      </c>
      <c r="N2126">
        <v>21</v>
      </c>
      <c r="O2126">
        <v>3</v>
      </c>
      <c r="P2126">
        <v>1</v>
      </c>
      <c r="Q2126">
        <v>0.7667921078062</v>
      </c>
      <c r="R2126">
        <v>1.5</v>
      </c>
      <c r="T2126" s="340" t="str">
        <f t="shared" si="116"/>
        <v>2006AllSexMaori24Poisoning by solids and liquids</v>
      </c>
      <c r="U2126">
        <v>2006</v>
      </c>
      <c r="V2126" t="s">
        <v>17</v>
      </c>
      <c r="W2126" t="s">
        <v>18</v>
      </c>
      <c r="X2126">
        <v>24</v>
      </c>
      <c r="Y2126" t="s">
        <v>47</v>
      </c>
      <c r="Z2126">
        <v>3</v>
      </c>
      <c r="AA2126">
        <v>12</v>
      </c>
      <c r="AB2126">
        <v>25</v>
      </c>
    </row>
    <row r="2127" spans="10:28">
      <c r="J2127" s="340" t="str">
        <f t="shared" si="115"/>
        <v>2007AllSexNon-Maori214</v>
      </c>
      <c r="K2127">
        <v>2007</v>
      </c>
      <c r="L2127" t="s">
        <v>17</v>
      </c>
      <c r="M2127" t="s">
        <v>19</v>
      </c>
      <c r="N2127">
        <v>21</v>
      </c>
      <c r="O2127">
        <v>4</v>
      </c>
      <c r="P2127">
        <v>0</v>
      </c>
      <c r="Q2127">
        <v>0</v>
      </c>
      <c r="T2127" s="340" t="str">
        <f t="shared" si="116"/>
        <v>2006AllSexMaori23Sharp object</v>
      </c>
      <c r="U2127">
        <v>2006</v>
      </c>
      <c r="V2127" t="s">
        <v>17</v>
      </c>
      <c r="W2127" t="s">
        <v>18</v>
      </c>
      <c r="X2127">
        <v>23</v>
      </c>
      <c r="Y2127" t="s">
        <v>48</v>
      </c>
      <c r="Z2127">
        <v>2</v>
      </c>
      <c r="AA2127">
        <v>54</v>
      </c>
      <c r="AB2127">
        <v>3.7</v>
      </c>
    </row>
    <row r="2128" spans="10:28">
      <c r="J2128" s="340" t="str">
        <f t="shared" si="115"/>
        <v>2007AllSexNon-Maori215</v>
      </c>
      <c r="K2128">
        <v>2007</v>
      </c>
      <c r="L2128" t="s">
        <v>17</v>
      </c>
      <c r="M2128" t="s">
        <v>19</v>
      </c>
      <c r="N2128">
        <v>21</v>
      </c>
      <c r="O2128">
        <v>5</v>
      </c>
      <c r="P2128">
        <v>0</v>
      </c>
      <c r="Q2128">
        <v>0</v>
      </c>
      <c r="T2128" s="340" t="str">
        <f t="shared" si="116"/>
        <v>2006AllSexMaori24Sharp object</v>
      </c>
      <c r="U2128">
        <v>2006</v>
      </c>
      <c r="V2128" t="s">
        <v>17</v>
      </c>
      <c r="W2128" t="s">
        <v>18</v>
      </c>
      <c r="X2128">
        <v>24</v>
      </c>
      <c r="Y2128" t="s">
        <v>48</v>
      </c>
      <c r="Z2128">
        <v>1</v>
      </c>
      <c r="AA2128">
        <v>12</v>
      </c>
      <c r="AB2128">
        <v>8.3000000000000007</v>
      </c>
    </row>
    <row r="2129" spans="10:28">
      <c r="J2129" s="340" t="str">
        <f t="shared" si="115"/>
        <v>2007AllSexNon-Maori221</v>
      </c>
      <c r="K2129">
        <v>2007</v>
      </c>
      <c r="L2129" t="s">
        <v>17</v>
      </c>
      <c r="M2129" t="s">
        <v>19</v>
      </c>
      <c r="N2129">
        <v>22</v>
      </c>
      <c r="O2129">
        <v>1</v>
      </c>
      <c r="P2129">
        <v>9</v>
      </c>
      <c r="Q2129">
        <v>9.6046457308933704</v>
      </c>
      <c r="R2129">
        <v>6.3</v>
      </c>
      <c r="T2129" s="340" t="str">
        <f t="shared" si="116"/>
        <v>2006AllSexMaori24Submersion (drowning)</v>
      </c>
      <c r="U2129">
        <v>2006</v>
      </c>
      <c r="V2129" t="s">
        <v>17</v>
      </c>
      <c r="W2129" t="s">
        <v>18</v>
      </c>
      <c r="X2129">
        <v>24</v>
      </c>
      <c r="Y2129" t="s">
        <v>49</v>
      </c>
      <c r="Z2129">
        <v>1</v>
      </c>
      <c r="AA2129">
        <v>12</v>
      </c>
      <c r="AB2129">
        <v>8.3000000000000007</v>
      </c>
    </row>
    <row r="2130" spans="10:28">
      <c r="J2130" s="340" t="str">
        <f t="shared" si="115"/>
        <v>2007AllSexNon-Maori222</v>
      </c>
      <c r="K2130">
        <v>2007</v>
      </c>
      <c r="L2130" t="s">
        <v>17</v>
      </c>
      <c r="M2130" t="s">
        <v>19</v>
      </c>
      <c r="N2130">
        <v>22</v>
      </c>
      <c r="O2130">
        <v>2</v>
      </c>
      <c r="P2130">
        <v>9</v>
      </c>
      <c r="Q2130">
        <v>9.3631439506761094</v>
      </c>
      <c r="R2130">
        <v>6.1</v>
      </c>
      <c r="T2130" s="340" t="str">
        <f t="shared" si="116"/>
        <v>2006AllSexNon-Maori22Firearms and explosives</v>
      </c>
      <c r="U2130">
        <v>2006</v>
      </c>
      <c r="V2130" t="s">
        <v>17</v>
      </c>
      <c r="W2130" t="s">
        <v>19</v>
      </c>
      <c r="X2130">
        <v>22</v>
      </c>
      <c r="Y2130" t="s">
        <v>42</v>
      </c>
      <c r="Z2130">
        <v>6</v>
      </c>
      <c r="AA2130">
        <v>82</v>
      </c>
      <c r="AB2130">
        <v>7.3</v>
      </c>
    </row>
    <row r="2131" spans="10:28">
      <c r="J2131" s="340" t="str">
        <f t="shared" si="115"/>
        <v>2007AllSexNon-Maori223</v>
      </c>
      <c r="K2131">
        <v>2007</v>
      </c>
      <c r="L2131" t="s">
        <v>17</v>
      </c>
      <c r="M2131" t="s">
        <v>19</v>
      </c>
      <c r="N2131">
        <v>22</v>
      </c>
      <c r="O2131">
        <v>3</v>
      </c>
      <c r="P2131">
        <v>13</v>
      </c>
      <c r="Q2131">
        <v>13.2220635212195</v>
      </c>
      <c r="R2131">
        <v>7.2</v>
      </c>
      <c r="T2131" s="340" t="str">
        <f t="shared" si="116"/>
        <v>2006AllSexNon-Maori23Firearms and explosives</v>
      </c>
      <c r="U2131">
        <v>2006</v>
      </c>
      <c r="V2131" t="s">
        <v>17</v>
      </c>
      <c r="W2131" t="s">
        <v>19</v>
      </c>
      <c r="X2131">
        <v>23</v>
      </c>
      <c r="Y2131" t="s">
        <v>42</v>
      </c>
      <c r="Z2131">
        <v>11</v>
      </c>
      <c r="AA2131">
        <v>153</v>
      </c>
      <c r="AB2131">
        <v>7.2</v>
      </c>
    </row>
    <row r="2132" spans="10:28">
      <c r="J2132" s="340" t="str">
        <f t="shared" si="115"/>
        <v>2007AllSexNon-Maori224</v>
      </c>
      <c r="K2132">
        <v>2007</v>
      </c>
      <c r="L2132" t="s">
        <v>17</v>
      </c>
      <c r="M2132" t="s">
        <v>19</v>
      </c>
      <c r="N2132">
        <v>22</v>
      </c>
      <c r="O2132">
        <v>4</v>
      </c>
      <c r="P2132">
        <v>14</v>
      </c>
      <c r="Q2132">
        <v>14.006478342998101</v>
      </c>
      <c r="R2132">
        <v>7.3</v>
      </c>
      <c r="T2132" s="340" t="str">
        <f t="shared" si="116"/>
        <v>2006AllSexNon-Maori24Firearms and explosives</v>
      </c>
      <c r="U2132">
        <v>2006</v>
      </c>
      <c r="V2132" t="s">
        <v>17</v>
      </c>
      <c r="W2132" t="s">
        <v>19</v>
      </c>
      <c r="X2132">
        <v>24</v>
      </c>
      <c r="Y2132" t="s">
        <v>42</v>
      </c>
      <c r="Z2132">
        <v>20</v>
      </c>
      <c r="AA2132">
        <v>129</v>
      </c>
      <c r="AB2132">
        <v>15.5</v>
      </c>
    </row>
    <row r="2133" spans="10:28">
      <c r="J2133" s="340" t="str">
        <f t="shared" si="115"/>
        <v>2007AllSexNon-Maori225</v>
      </c>
      <c r="K2133">
        <v>2007</v>
      </c>
      <c r="L2133" t="s">
        <v>17</v>
      </c>
      <c r="M2133" t="s">
        <v>19</v>
      </c>
      <c r="N2133">
        <v>22</v>
      </c>
      <c r="O2133">
        <v>5</v>
      </c>
      <c r="P2133">
        <v>13</v>
      </c>
      <c r="Q2133">
        <v>13.0824809226105</v>
      </c>
      <c r="R2133">
        <v>7.1</v>
      </c>
      <c r="T2133" s="340" t="str">
        <f t="shared" si="116"/>
        <v>2006AllSexNon-Maori25Firearms and explosives</v>
      </c>
      <c r="U2133">
        <v>2006</v>
      </c>
      <c r="V2133" t="s">
        <v>17</v>
      </c>
      <c r="W2133" t="s">
        <v>19</v>
      </c>
      <c r="X2133">
        <v>25</v>
      </c>
      <c r="Y2133" t="s">
        <v>42</v>
      </c>
      <c r="Z2133">
        <v>5</v>
      </c>
      <c r="AA2133">
        <v>50</v>
      </c>
      <c r="AB2133">
        <v>10</v>
      </c>
    </row>
    <row r="2134" spans="10:28">
      <c r="J2134" s="340" t="str">
        <f t="shared" si="115"/>
        <v>2007AllSexNon-Maori231</v>
      </c>
      <c r="K2134">
        <v>2007</v>
      </c>
      <c r="L2134" t="s">
        <v>17</v>
      </c>
      <c r="M2134" t="s">
        <v>19</v>
      </c>
      <c r="N2134">
        <v>23</v>
      </c>
      <c r="O2134">
        <v>1</v>
      </c>
      <c r="P2134">
        <v>24</v>
      </c>
      <c r="Q2134">
        <v>10.995768262458199</v>
      </c>
      <c r="R2134">
        <v>4.4000000000000004</v>
      </c>
      <c r="T2134" s="340" t="str">
        <f t="shared" si="116"/>
        <v>2006AllSexNon-Maori21Hanging, strangulation and suffocation</v>
      </c>
      <c r="U2134">
        <v>2006</v>
      </c>
      <c r="V2134" t="s">
        <v>17</v>
      </c>
      <c r="W2134" t="s">
        <v>19</v>
      </c>
      <c r="X2134">
        <v>21</v>
      </c>
      <c r="Y2134" t="s">
        <v>43</v>
      </c>
      <c r="Z2134">
        <v>2</v>
      </c>
      <c r="AA2134">
        <v>2</v>
      </c>
      <c r="AB2134">
        <v>100</v>
      </c>
    </row>
    <row r="2135" spans="10:28">
      <c r="J2135" s="340" t="str">
        <f t="shared" si="115"/>
        <v>2007AllSexNon-Maori232</v>
      </c>
      <c r="K2135">
        <v>2007</v>
      </c>
      <c r="L2135" t="s">
        <v>17</v>
      </c>
      <c r="M2135" t="s">
        <v>19</v>
      </c>
      <c r="N2135">
        <v>23</v>
      </c>
      <c r="O2135">
        <v>2</v>
      </c>
      <c r="P2135">
        <v>27</v>
      </c>
      <c r="Q2135">
        <v>12.0759491949447</v>
      </c>
      <c r="R2135">
        <v>4.5999999999999996</v>
      </c>
      <c r="T2135" s="340" t="str">
        <f t="shared" si="116"/>
        <v>2006AllSexNon-Maori22Hanging, strangulation and suffocation</v>
      </c>
      <c r="U2135">
        <v>2006</v>
      </c>
      <c r="V2135" t="s">
        <v>17</v>
      </c>
      <c r="W2135" t="s">
        <v>19</v>
      </c>
      <c r="X2135">
        <v>22</v>
      </c>
      <c r="Y2135" t="s">
        <v>43</v>
      </c>
      <c r="Z2135">
        <v>53</v>
      </c>
      <c r="AA2135">
        <v>82</v>
      </c>
      <c r="AB2135">
        <v>64.599999999999994</v>
      </c>
    </row>
    <row r="2136" spans="10:28">
      <c r="J2136" s="340" t="str">
        <f t="shared" si="115"/>
        <v>2007AllSexNon-Maori233</v>
      </c>
      <c r="K2136">
        <v>2007</v>
      </c>
      <c r="L2136" t="s">
        <v>17</v>
      </c>
      <c r="M2136" t="s">
        <v>19</v>
      </c>
      <c r="N2136">
        <v>23</v>
      </c>
      <c r="O2136">
        <v>3</v>
      </c>
      <c r="P2136">
        <v>34</v>
      </c>
      <c r="Q2136">
        <v>15.8114108373465</v>
      </c>
      <c r="R2136">
        <v>5.3</v>
      </c>
      <c r="T2136" s="340" t="str">
        <f t="shared" si="116"/>
        <v>2006AllSexNon-Maori23Hanging, strangulation and suffocation</v>
      </c>
      <c r="U2136">
        <v>2006</v>
      </c>
      <c r="V2136" t="s">
        <v>17</v>
      </c>
      <c r="W2136" t="s">
        <v>19</v>
      </c>
      <c r="X2136">
        <v>23</v>
      </c>
      <c r="Y2136" t="s">
        <v>43</v>
      </c>
      <c r="Z2136">
        <v>79</v>
      </c>
      <c r="AA2136">
        <v>153</v>
      </c>
      <c r="AB2136">
        <v>51.6</v>
      </c>
    </row>
    <row r="2137" spans="10:28">
      <c r="J2137" s="340" t="str">
        <f t="shared" si="115"/>
        <v>2007AllSexNon-Maori234</v>
      </c>
      <c r="K2137">
        <v>2007</v>
      </c>
      <c r="L2137" t="s">
        <v>17</v>
      </c>
      <c r="M2137" t="s">
        <v>19</v>
      </c>
      <c r="N2137">
        <v>23</v>
      </c>
      <c r="O2137">
        <v>4</v>
      </c>
      <c r="P2137">
        <v>35</v>
      </c>
      <c r="Q2137">
        <v>17.762446576773399</v>
      </c>
      <c r="R2137">
        <v>5.9</v>
      </c>
      <c r="T2137" s="340" t="str">
        <f t="shared" si="116"/>
        <v>2006AllSexNon-Maori24Hanging, strangulation and suffocation</v>
      </c>
      <c r="U2137">
        <v>2006</v>
      </c>
      <c r="V2137" t="s">
        <v>17</v>
      </c>
      <c r="W2137" t="s">
        <v>19</v>
      </c>
      <c r="X2137">
        <v>24</v>
      </c>
      <c r="Y2137" t="s">
        <v>43</v>
      </c>
      <c r="Z2137">
        <v>51</v>
      </c>
      <c r="AA2137">
        <v>129</v>
      </c>
      <c r="AB2137">
        <v>39.5</v>
      </c>
    </row>
    <row r="2138" spans="10:28">
      <c r="J2138" s="340" t="str">
        <f t="shared" si="115"/>
        <v>2007AllSexNon-Maori235</v>
      </c>
      <c r="K2138">
        <v>2007</v>
      </c>
      <c r="L2138" t="s">
        <v>17</v>
      </c>
      <c r="M2138" t="s">
        <v>19</v>
      </c>
      <c r="N2138">
        <v>23</v>
      </c>
      <c r="O2138">
        <v>5</v>
      </c>
      <c r="P2138">
        <v>34</v>
      </c>
      <c r="Q2138">
        <v>22.0450258366565</v>
      </c>
      <c r="R2138">
        <v>7.4</v>
      </c>
      <c r="T2138" s="340" t="str">
        <f t="shared" si="116"/>
        <v>2006AllSexNon-Maori25Hanging, strangulation and suffocation</v>
      </c>
      <c r="U2138">
        <v>2006</v>
      </c>
      <c r="V2138" t="s">
        <v>17</v>
      </c>
      <c r="W2138" t="s">
        <v>19</v>
      </c>
      <c r="X2138">
        <v>25</v>
      </c>
      <c r="Y2138" t="s">
        <v>43</v>
      </c>
      <c r="Z2138">
        <v>20</v>
      </c>
      <c r="AA2138">
        <v>50</v>
      </c>
      <c r="AB2138">
        <v>40</v>
      </c>
    </row>
    <row r="2139" spans="10:28">
      <c r="J2139" s="340" t="str">
        <f t="shared" si="115"/>
        <v>2007AllSexNon-Maori241</v>
      </c>
      <c r="K2139">
        <v>2007</v>
      </c>
      <c r="L2139" t="s">
        <v>17</v>
      </c>
      <c r="M2139" t="s">
        <v>19</v>
      </c>
      <c r="N2139">
        <v>24</v>
      </c>
      <c r="O2139">
        <v>1</v>
      </c>
      <c r="P2139">
        <v>18</v>
      </c>
      <c r="Q2139">
        <v>7.3272168797743502</v>
      </c>
      <c r="R2139">
        <v>3.4</v>
      </c>
      <c r="T2139" s="340" t="str">
        <f t="shared" si="116"/>
        <v>2006AllSexNon-Maori22Jumping from a high place</v>
      </c>
      <c r="U2139">
        <v>2006</v>
      </c>
      <c r="V2139" t="s">
        <v>17</v>
      </c>
      <c r="W2139" t="s">
        <v>19</v>
      </c>
      <c r="X2139">
        <v>22</v>
      </c>
      <c r="Y2139" t="s">
        <v>44</v>
      </c>
      <c r="Z2139">
        <v>3</v>
      </c>
      <c r="AA2139">
        <v>82</v>
      </c>
      <c r="AB2139">
        <v>3.7</v>
      </c>
    </row>
    <row r="2140" spans="10:28">
      <c r="J2140" s="340" t="str">
        <f t="shared" si="115"/>
        <v>2007AllSexNon-Maori242</v>
      </c>
      <c r="K2140">
        <v>2007</v>
      </c>
      <c r="L2140" t="s">
        <v>17</v>
      </c>
      <c r="M2140" t="s">
        <v>19</v>
      </c>
      <c r="N2140">
        <v>24</v>
      </c>
      <c r="O2140">
        <v>2</v>
      </c>
      <c r="P2140">
        <v>22</v>
      </c>
      <c r="Q2140">
        <v>10.352897098554299</v>
      </c>
      <c r="R2140">
        <v>4.3</v>
      </c>
      <c r="T2140" s="340" t="str">
        <f t="shared" si="116"/>
        <v>2006AllSexNon-Maori23Jumping from a high place</v>
      </c>
      <c r="U2140">
        <v>2006</v>
      </c>
      <c r="V2140" t="s">
        <v>17</v>
      </c>
      <c r="W2140" t="s">
        <v>19</v>
      </c>
      <c r="X2140">
        <v>23</v>
      </c>
      <c r="Y2140" t="s">
        <v>44</v>
      </c>
      <c r="Z2140">
        <v>3</v>
      </c>
      <c r="AA2140">
        <v>153</v>
      </c>
      <c r="AB2140">
        <v>2</v>
      </c>
    </row>
    <row r="2141" spans="10:28">
      <c r="J2141" s="340" t="str">
        <f t="shared" si="115"/>
        <v>2007AllSexNon-Maori243</v>
      </c>
      <c r="K2141">
        <v>2007</v>
      </c>
      <c r="L2141" t="s">
        <v>17</v>
      </c>
      <c r="M2141" t="s">
        <v>19</v>
      </c>
      <c r="N2141">
        <v>24</v>
      </c>
      <c r="O2141">
        <v>3</v>
      </c>
      <c r="P2141">
        <v>34</v>
      </c>
      <c r="Q2141">
        <v>18.3741442659563</v>
      </c>
      <c r="R2141">
        <v>6.2</v>
      </c>
      <c r="T2141" s="340" t="str">
        <f t="shared" si="116"/>
        <v>2006AllSexNon-Maori24Jumping from a high place</v>
      </c>
      <c r="U2141">
        <v>2006</v>
      </c>
      <c r="V2141" t="s">
        <v>17</v>
      </c>
      <c r="W2141" t="s">
        <v>19</v>
      </c>
      <c r="X2141">
        <v>24</v>
      </c>
      <c r="Y2141" t="s">
        <v>44</v>
      </c>
      <c r="Z2141">
        <v>1</v>
      </c>
      <c r="AA2141">
        <v>129</v>
      </c>
      <c r="AB2141">
        <v>0.8</v>
      </c>
    </row>
    <row r="2142" spans="10:28">
      <c r="J2142" s="340" t="str">
        <f t="shared" si="115"/>
        <v>2007AllSexNon-Maori244</v>
      </c>
      <c r="K2142">
        <v>2007</v>
      </c>
      <c r="L2142" t="s">
        <v>17</v>
      </c>
      <c r="M2142" t="s">
        <v>19</v>
      </c>
      <c r="N2142">
        <v>24</v>
      </c>
      <c r="O2142">
        <v>4</v>
      </c>
      <c r="P2142">
        <v>29</v>
      </c>
      <c r="Q2142">
        <v>18.162306085007302</v>
      </c>
      <c r="R2142">
        <v>6.6</v>
      </c>
      <c r="T2142" s="340" t="str">
        <f t="shared" si="116"/>
        <v>2006AllSexNon-Maori25Jumping from a high place</v>
      </c>
      <c r="U2142">
        <v>2006</v>
      </c>
      <c r="V2142" t="s">
        <v>17</v>
      </c>
      <c r="W2142" t="s">
        <v>19</v>
      </c>
      <c r="X2142">
        <v>25</v>
      </c>
      <c r="Y2142" t="s">
        <v>44</v>
      </c>
      <c r="Z2142">
        <v>2</v>
      </c>
      <c r="AA2142">
        <v>50</v>
      </c>
      <c r="AB2142">
        <v>4</v>
      </c>
    </row>
    <row r="2143" spans="10:28">
      <c r="J2143" s="340" t="str">
        <f t="shared" si="115"/>
        <v>2007AllSexNon-Maori245</v>
      </c>
      <c r="K2143">
        <v>2007</v>
      </c>
      <c r="L2143" t="s">
        <v>17</v>
      </c>
      <c r="M2143" t="s">
        <v>19</v>
      </c>
      <c r="N2143">
        <v>24</v>
      </c>
      <c r="O2143">
        <v>5</v>
      </c>
      <c r="P2143">
        <v>19</v>
      </c>
      <c r="Q2143">
        <v>15.862987900948299</v>
      </c>
      <c r="R2143">
        <v>7.1</v>
      </c>
      <c r="T2143" s="340" t="str">
        <f t="shared" si="116"/>
        <v>2006AllSexNon-Maori22Other</v>
      </c>
      <c r="U2143">
        <v>2006</v>
      </c>
      <c r="V2143" t="s">
        <v>17</v>
      </c>
      <c r="W2143" t="s">
        <v>19</v>
      </c>
      <c r="X2143">
        <v>22</v>
      </c>
      <c r="Y2143" t="s">
        <v>45</v>
      </c>
      <c r="Z2143">
        <v>4</v>
      </c>
      <c r="AA2143">
        <v>82</v>
      </c>
      <c r="AB2143">
        <v>4.9000000000000004</v>
      </c>
    </row>
    <row r="2144" spans="10:28">
      <c r="J2144" s="340" t="str">
        <f t="shared" si="115"/>
        <v>2007AllSexNon-Maori251</v>
      </c>
      <c r="K2144">
        <v>2007</v>
      </c>
      <c r="L2144" t="s">
        <v>17</v>
      </c>
      <c r="M2144" t="s">
        <v>19</v>
      </c>
      <c r="N2144">
        <v>25</v>
      </c>
      <c r="O2144">
        <v>1</v>
      </c>
      <c r="P2144">
        <v>9</v>
      </c>
      <c r="Q2144">
        <v>8.9742263168178802</v>
      </c>
      <c r="R2144">
        <v>5.9</v>
      </c>
      <c r="T2144" s="340" t="str">
        <f t="shared" si="116"/>
        <v>2006AllSexNon-Maori23Other</v>
      </c>
      <c r="U2144">
        <v>2006</v>
      </c>
      <c r="V2144" t="s">
        <v>17</v>
      </c>
      <c r="W2144" t="s">
        <v>19</v>
      </c>
      <c r="X2144">
        <v>23</v>
      </c>
      <c r="Y2144" t="s">
        <v>45</v>
      </c>
      <c r="Z2144">
        <v>6</v>
      </c>
      <c r="AA2144">
        <v>153</v>
      </c>
      <c r="AB2144">
        <v>3.9</v>
      </c>
    </row>
    <row r="2145" spans="10:28">
      <c r="J2145" s="340" t="str">
        <f t="shared" si="115"/>
        <v>2007AllSexNon-Maori252</v>
      </c>
      <c r="K2145">
        <v>2007</v>
      </c>
      <c r="L2145" t="s">
        <v>17</v>
      </c>
      <c r="M2145" t="s">
        <v>19</v>
      </c>
      <c r="N2145">
        <v>25</v>
      </c>
      <c r="O2145">
        <v>2</v>
      </c>
      <c r="P2145">
        <v>10</v>
      </c>
      <c r="Q2145">
        <v>9.4073326894532201</v>
      </c>
      <c r="R2145">
        <v>5.8</v>
      </c>
      <c r="T2145" s="340" t="str">
        <f t="shared" si="116"/>
        <v>2006AllSexNon-Maori24Other</v>
      </c>
      <c r="U2145">
        <v>2006</v>
      </c>
      <c r="V2145" t="s">
        <v>17</v>
      </c>
      <c r="W2145" t="s">
        <v>19</v>
      </c>
      <c r="X2145">
        <v>24</v>
      </c>
      <c r="Y2145" t="s">
        <v>45</v>
      </c>
      <c r="Z2145">
        <v>4</v>
      </c>
      <c r="AA2145">
        <v>129</v>
      </c>
      <c r="AB2145">
        <v>3.1</v>
      </c>
    </row>
    <row r="2146" spans="10:28">
      <c r="J2146" s="340" t="str">
        <f t="shared" si="115"/>
        <v>2007AllSexNon-Maori253</v>
      </c>
      <c r="K2146">
        <v>2007</v>
      </c>
      <c r="L2146" t="s">
        <v>17</v>
      </c>
      <c r="M2146" t="s">
        <v>19</v>
      </c>
      <c r="N2146">
        <v>25</v>
      </c>
      <c r="O2146">
        <v>3</v>
      </c>
      <c r="P2146">
        <v>6</v>
      </c>
      <c r="Q2146">
        <v>5.5003888293562797</v>
      </c>
      <c r="R2146">
        <v>4.4000000000000004</v>
      </c>
      <c r="T2146" s="340" t="str">
        <f t="shared" si="116"/>
        <v>2006AllSexNon-Maori25Other</v>
      </c>
      <c r="U2146">
        <v>2006</v>
      </c>
      <c r="V2146" t="s">
        <v>17</v>
      </c>
      <c r="W2146" t="s">
        <v>19</v>
      </c>
      <c r="X2146">
        <v>25</v>
      </c>
      <c r="Y2146" t="s">
        <v>45</v>
      </c>
      <c r="Z2146">
        <v>4</v>
      </c>
      <c r="AA2146">
        <v>50</v>
      </c>
      <c r="AB2146">
        <v>8</v>
      </c>
    </row>
    <row r="2147" spans="10:28">
      <c r="J2147" s="340" t="str">
        <f t="shared" si="115"/>
        <v>2007AllSexNon-Maori254</v>
      </c>
      <c r="K2147">
        <v>2007</v>
      </c>
      <c r="L2147" t="s">
        <v>17</v>
      </c>
      <c r="M2147" t="s">
        <v>19</v>
      </c>
      <c r="N2147">
        <v>25</v>
      </c>
      <c r="O2147">
        <v>4</v>
      </c>
      <c r="P2147">
        <v>15</v>
      </c>
      <c r="Q2147">
        <v>14.015795748509101</v>
      </c>
      <c r="R2147">
        <v>7.1</v>
      </c>
      <c r="T2147" s="340" t="str">
        <f t="shared" si="116"/>
        <v>2006AllSexNon-Maori22Poisoning by gases and vapours</v>
      </c>
      <c r="U2147">
        <v>2006</v>
      </c>
      <c r="V2147" t="s">
        <v>17</v>
      </c>
      <c r="W2147" t="s">
        <v>19</v>
      </c>
      <c r="X2147">
        <v>22</v>
      </c>
      <c r="Y2147" t="s">
        <v>46</v>
      </c>
      <c r="Z2147">
        <v>11</v>
      </c>
      <c r="AA2147">
        <v>82</v>
      </c>
      <c r="AB2147">
        <v>13.4</v>
      </c>
    </row>
    <row r="2148" spans="10:28">
      <c r="J2148" s="340" t="str">
        <f t="shared" si="115"/>
        <v>2007AllSexNon-Maori255</v>
      </c>
      <c r="K2148">
        <v>2007</v>
      </c>
      <c r="L2148" t="s">
        <v>17</v>
      </c>
      <c r="M2148" t="s">
        <v>19</v>
      </c>
      <c r="N2148">
        <v>25</v>
      </c>
      <c r="O2148">
        <v>5</v>
      </c>
      <c r="P2148">
        <v>8</v>
      </c>
      <c r="Q2148">
        <v>10.564202141182401</v>
      </c>
      <c r="R2148">
        <v>7.3</v>
      </c>
      <c r="T2148" s="340" t="str">
        <f t="shared" si="116"/>
        <v>2006AllSexNon-Maori23Poisoning by gases and vapours</v>
      </c>
      <c r="U2148">
        <v>2006</v>
      </c>
      <c r="V2148" t="s">
        <v>17</v>
      </c>
      <c r="W2148" t="s">
        <v>19</v>
      </c>
      <c r="X2148">
        <v>23</v>
      </c>
      <c r="Y2148" t="s">
        <v>46</v>
      </c>
      <c r="Z2148">
        <v>28</v>
      </c>
      <c r="AA2148">
        <v>153</v>
      </c>
      <c r="AB2148">
        <v>18.3</v>
      </c>
    </row>
    <row r="2149" spans="10:28">
      <c r="J2149" s="340" t="str">
        <f t="shared" si="115"/>
        <v>2007FemaleAllEth211</v>
      </c>
      <c r="K2149">
        <v>2007</v>
      </c>
      <c r="L2149" t="s">
        <v>8</v>
      </c>
      <c r="M2149" t="s">
        <v>27</v>
      </c>
      <c r="N2149">
        <v>21</v>
      </c>
      <c r="O2149">
        <v>1</v>
      </c>
      <c r="P2149">
        <v>0</v>
      </c>
      <c r="Q2149">
        <v>0</v>
      </c>
      <c r="T2149" s="340" t="str">
        <f t="shared" si="116"/>
        <v>2006AllSexNon-Maori24Poisoning by gases and vapours</v>
      </c>
      <c r="U2149">
        <v>2006</v>
      </c>
      <c r="V2149" t="s">
        <v>17</v>
      </c>
      <c r="W2149" t="s">
        <v>19</v>
      </c>
      <c r="X2149">
        <v>24</v>
      </c>
      <c r="Y2149" t="s">
        <v>46</v>
      </c>
      <c r="Z2149">
        <v>30</v>
      </c>
      <c r="AA2149">
        <v>129</v>
      </c>
      <c r="AB2149">
        <v>23.3</v>
      </c>
    </row>
    <row r="2150" spans="10:28">
      <c r="J2150" s="340" t="str">
        <f t="shared" si="115"/>
        <v>2007FemaleAllEth212</v>
      </c>
      <c r="K2150">
        <v>2007</v>
      </c>
      <c r="L2150" t="s">
        <v>8</v>
      </c>
      <c r="M2150" t="s">
        <v>27</v>
      </c>
      <c r="N2150">
        <v>21</v>
      </c>
      <c r="O2150">
        <v>2</v>
      </c>
      <c r="P2150">
        <v>0</v>
      </c>
      <c r="Q2150">
        <v>0</v>
      </c>
      <c r="T2150" s="340" t="str">
        <f t="shared" si="116"/>
        <v>2006AllSexNon-Maori25Poisoning by gases and vapours</v>
      </c>
      <c r="U2150">
        <v>2006</v>
      </c>
      <c r="V2150" t="s">
        <v>17</v>
      </c>
      <c r="W2150" t="s">
        <v>19</v>
      </c>
      <c r="X2150">
        <v>25</v>
      </c>
      <c r="Y2150" t="s">
        <v>46</v>
      </c>
      <c r="Z2150">
        <v>11</v>
      </c>
      <c r="AA2150">
        <v>50</v>
      </c>
      <c r="AB2150">
        <v>22</v>
      </c>
    </row>
    <row r="2151" spans="10:28">
      <c r="J2151" s="340" t="str">
        <f t="shared" si="115"/>
        <v>2007FemaleAllEth213</v>
      </c>
      <c r="K2151">
        <v>2007</v>
      </c>
      <c r="L2151" t="s">
        <v>8</v>
      </c>
      <c r="M2151" t="s">
        <v>27</v>
      </c>
      <c r="N2151">
        <v>21</v>
      </c>
      <c r="O2151">
        <v>3</v>
      </c>
      <c r="P2151">
        <v>0</v>
      </c>
      <c r="Q2151">
        <v>0</v>
      </c>
      <c r="T2151" s="340" t="str">
        <f t="shared" si="116"/>
        <v>2006AllSexNon-Maori22Poisoning by solids and liquids</v>
      </c>
      <c r="U2151">
        <v>2006</v>
      </c>
      <c r="V2151" t="s">
        <v>17</v>
      </c>
      <c r="W2151" t="s">
        <v>19</v>
      </c>
      <c r="X2151">
        <v>22</v>
      </c>
      <c r="Y2151" t="s">
        <v>47</v>
      </c>
      <c r="Z2151">
        <v>3</v>
      </c>
      <c r="AA2151">
        <v>82</v>
      </c>
      <c r="AB2151">
        <v>3.7</v>
      </c>
    </row>
    <row r="2152" spans="10:28">
      <c r="J2152" s="340" t="str">
        <f t="shared" si="115"/>
        <v>2007FemaleAllEth214</v>
      </c>
      <c r="K2152">
        <v>2007</v>
      </c>
      <c r="L2152" t="s">
        <v>8</v>
      </c>
      <c r="M2152" t="s">
        <v>27</v>
      </c>
      <c r="N2152">
        <v>21</v>
      </c>
      <c r="O2152">
        <v>4</v>
      </c>
      <c r="P2152">
        <v>0</v>
      </c>
      <c r="Q2152">
        <v>0</v>
      </c>
      <c r="T2152" s="340" t="str">
        <f t="shared" si="116"/>
        <v>2006AllSexNon-Maori23Poisoning by solids and liquids</v>
      </c>
      <c r="U2152">
        <v>2006</v>
      </c>
      <c r="V2152" t="s">
        <v>17</v>
      </c>
      <c r="W2152" t="s">
        <v>19</v>
      </c>
      <c r="X2152">
        <v>23</v>
      </c>
      <c r="Y2152" t="s">
        <v>47</v>
      </c>
      <c r="Z2152">
        <v>19</v>
      </c>
      <c r="AA2152">
        <v>153</v>
      </c>
      <c r="AB2152">
        <v>12.4</v>
      </c>
    </row>
    <row r="2153" spans="10:28">
      <c r="J2153" s="340" t="str">
        <f t="shared" si="115"/>
        <v>2007FemaleAllEth215</v>
      </c>
      <c r="K2153">
        <v>2007</v>
      </c>
      <c r="L2153" t="s">
        <v>8</v>
      </c>
      <c r="M2153" t="s">
        <v>27</v>
      </c>
      <c r="N2153">
        <v>21</v>
      </c>
      <c r="O2153">
        <v>5</v>
      </c>
      <c r="P2153">
        <v>1</v>
      </c>
      <c r="Q2153">
        <v>0.96915190835730303</v>
      </c>
      <c r="R2153">
        <v>1.9</v>
      </c>
      <c r="T2153" s="340" t="str">
        <f t="shared" si="116"/>
        <v>2006AllSexNon-Maori24Poisoning by solids and liquids</v>
      </c>
      <c r="U2153">
        <v>2006</v>
      </c>
      <c r="V2153" t="s">
        <v>17</v>
      </c>
      <c r="W2153" t="s">
        <v>19</v>
      </c>
      <c r="X2153">
        <v>24</v>
      </c>
      <c r="Y2153" t="s">
        <v>47</v>
      </c>
      <c r="Z2153">
        <v>18</v>
      </c>
      <c r="AA2153">
        <v>129</v>
      </c>
      <c r="AB2153">
        <v>14</v>
      </c>
    </row>
    <row r="2154" spans="10:28">
      <c r="J2154" s="340" t="str">
        <f t="shared" si="115"/>
        <v>2007FemaleAllEth221</v>
      </c>
      <c r="K2154">
        <v>2007</v>
      </c>
      <c r="L2154" t="s">
        <v>8</v>
      </c>
      <c r="M2154" t="s">
        <v>27</v>
      </c>
      <c r="N2154">
        <v>22</v>
      </c>
      <c r="O2154">
        <v>1</v>
      </c>
      <c r="P2154">
        <v>2</v>
      </c>
      <c r="Q2154">
        <v>4.0905035536096799</v>
      </c>
      <c r="R2154">
        <v>5.7</v>
      </c>
      <c r="T2154" s="340" t="str">
        <f t="shared" si="116"/>
        <v>2006AllSexNon-Maori25Poisoning by solids and liquids</v>
      </c>
      <c r="U2154">
        <v>2006</v>
      </c>
      <c r="V2154" t="s">
        <v>17</v>
      </c>
      <c r="W2154" t="s">
        <v>19</v>
      </c>
      <c r="X2154">
        <v>25</v>
      </c>
      <c r="Y2154" t="s">
        <v>47</v>
      </c>
      <c r="Z2154">
        <v>4</v>
      </c>
      <c r="AA2154">
        <v>50</v>
      </c>
      <c r="AB2154">
        <v>8</v>
      </c>
    </row>
    <row r="2155" spans="10:28">
      <c r="J2155" s="340" t="str">
        <f t="shared" si="115"/>
        <v>2007FemaleAllEth222</v>
      </c>
      <c r="K2155">
        <v>2007</v>
      </c>
      <c r="L2155" t="s">
        <v>8</v>
      </c>
      <c r="M2155" t="s">
        <v>27</v>
      </c>
      <c r="N2155">
        <v>22</v>
      </c>
      <c r="O2155">
        <v>2</v>
      </c>
      <c r="P2155">
        <v>3</v>
      </c>
      <c r="Q2155">
        <v>5.7259584861502404</v>
      </c>
      <c r="R2155">
        <v>6.5</v>
      </c>
      <c r="T2155" s="340" t="str">
        <f t="shared" si="116"/>
        <v>2006AllSexNon-Maori22Sharp object</v>
      </c>
      <c r="U2155">
        <v>2006</v>
      </c>
      <c r="V2155" t="s">
        <v>17</v>
      </c>
      <c r="W2155" t="s">
        <v>19</v>
      </c>
      <c r="X2155">
        <v>22</v>
      </c>
      <c r="Y2155" t="s">
        <v>48</v>
      </c>
      <c r="Z2155">
        <v>1</v>
      </c>
      <c r="AA2155">
        <v>82</v>
      </c>
      <c r="AB2155">
        <v>1.2</v>
      </c>
    </row>
    <row r="2156" spans="10:28">
      <c r="J2156" s="340" t="str">
        <f t="shared" si="115"/>
        <v>2007FemaleAllEth223</v>
      </c>
      <c r="K2156">
        <v>2007</v>
      </c>
      <c r="L2156" t="s">
        <v>8</v>
      </c>
      <c r="M2156" t="s">
        <v>27</v>
      </c>
      <c r="N2156">
        <v>22</v>
      </c>
      <c r="O2156">
        <v>3</v>
      </c>
      <c r="P2156">
        <v>7</v>
      </c>
      <c r="Q2156">
        <v>12.147655043612399</v>
      </c>
      <c r="R2156">
        <v>9</v>
      </c>
      <c r="T2156" s="340" t="str">
        <f t="shared" si="116"/>
        <v>2006AllSexNon-Maori23Sharp object</v>
      </c>
      <c r="U2156">
        <v>2006</v>
      </c>
      <c r="V2156" t="s">
        <v>17</v>
      </c>
      <c r="W2156" t="s">
        <v>19</v>
      </c>
      <c r="X2156">
        <v>23</v>
      </c>
      <c r="Y2156" t="s">
        <v>48</v>
      </c>
      <c r="Z2156">
        <v>5</v>
      </c>
      <c r="AA2156">
        <v>153</v>
      </c>
      <c r="AB2156">
        <v>3.3</v>
      </c>
    </row>
    <row r="2157" spans="10:28">
      <c r="J2157" s="340" t="str">
        <f t="shared" si="115"/>
        <v>2007FemaleAllEth224</v>
      </c>
      <c r="K2157">
        <v>2007</v>
      </c>
      <c r="L2157" t="s">
        <v>8</v>
      </c>
      <c r="M2157" t="s">
        <v>27</v>
      </c>
      <c r="N2157">
        <v>22</v>
      </c>
      <c r="O2157">
        <v>4</v>
      </c>
      <c r="P2157">
        <v>5</v>
      </c>
      <c r="Q2157">
        <v>7.7604419491821899</v>
      </c>
      <c r="R2157">
        <v>6.8</v>
      </c>
      <c r="T2157" s="340" t="str">
        <f t="shared" si="116"/>
        <v>2006AllSexNon-Maori24Sharp object</v>
      </c>
      <c r="U2157">
        <v>2006</v>
      </c>
      <c r="V2157" t="s">
        <v>17</v>
      </c>
      <c r="W2157" t="s">
        <v>19</v>
      </c>
      <c r="X2157">
        <v>24</v>
      </c>
      <c r="Y2157" t="s">
        <v>48</v>
      </c>
      <c r="Z2157">
        <v>2</v>
      </c>
      <c r="AA2157">
        <v>129</v>
      </c>
      <c r="AB2157">
        <v>1.6</v>
      </c>
    </row>
    <row r="2158" spans="10:28">
      <c r="J2158" s="340" t="str">
        <f t="shared" si="115"/>
        <v>2007FemaleAllEth225</v>
      </c>
      <c r="K2158">
        <v>2007</v>
      </c>
      <c r="L2158" t="s">
        <v>8</v>
      </c>
      <c r="M2158" t="s">
        <v>27</v>
      </c>
      <c r="N2158">
        <v>22</v>
      </c>
      <c r="O2158">
        <v>5</v>
      </c>
      <c r="P2158">
        <v>6</v>
      </c>
      <c r="Q2158">
        <v>7.7750744929985398</v>
      </c>
      <c r="R2158">
        <v>6.2</v>
      </c>
      <c r="T2158" s="340" t="str">
        <f t="shared" si="116"/>
        <v>2006AllSexNon-Maori25Sharp object</v>
      </c>
      <c r="U2158">
        <v>2006</v>
      </c>
      <c r="V2158" t="s">
        <v>17</v>
      </c>
      <c r="W2158" t="s">
        <v>19</v>
      </c>
      <c r="X2158">
        <v>25</v>
      </c>
      <c r="Y2158" t="s">
        <v>48</v>
      </c>
      <c r="Z2158">
        <v>2</v>
      </c>
      <c r="AA2158">
        <v>50</v>
      </c>
      <c r="AB2158">
        <v>4</v>
      </c>
    </row>
    <row r="2159" spans="10:28">
      <c r="J2159" s="340" t="str">
        <f t="shared" si="115"/>
        <v>2007FemaleAllEth231</v>
      </c>
      <c r="K2159">
        <v>2007</v>
      </c>
      <c r="L2159" t="s">
        <v>8</v>
      </c>
      <c r="M2159" t="s">
        <v>27</v>
      </c>
      <c r="N2159">
        <v>23</v>
      </c>
      <c r="O2159">
        <v>1</v>
      </c>
      <c r="P2159">
        <v>6</v>
      </c>
      <c r="Q2159">
        <v>4.9466176206989498</v>
      </c>
      <c r="R2159">
        <v>4</v>
      </c>
      <c r="T2159" s="340" t="str">
        <f t="shared" si="116"/>
        <v>2006AllSexNon-Maori22Submersion (drowning)</v>
      </c>
      <c r="U2159">
        <v>2006</v>
      </c>
      <c r="V2159" t="s">
        <v>17</v>
      </c>
      <c r="W2159" t="s">
        <v>19</v>
      </c>
      <c r="X2159">
        <v>22</v>
      </c>
      <c r="Y2159" t="s">
        <v>49</v>
      </c>
      <c r="Z2159">
        <v>1</v>
      </c>
      <c r="AA2159">
        <v>82</v>
      </c>
      <c r="AB2159">
        <v>1.2</v>
      </c>
    </row>
    <row r="2160" spans="10:28">
      <c r="J2160" s="340" t="str">
        <f t="shared" si="115"/>
        <v>2007FemaleAllEth232</v>
      </c>
      <c r="K2160">
        <v>2007</v>
      </c>
      <c r="L2160" t="s">
        <v>8</v>
      </c>
      <c r="M2160" t="s">
        <v>27</v>
      </c>
      <c r="N2160">
        <v>23</v>
      </c>
      <c r="O2160">
        <v>2</v>
      </c>
      <c r="P2160">
        <v>11</v>
      </c>
      <c r="Q2160">
        <v>8.7285265156838499</v>
      </c>
      <c r="R2160">
        <v>5.2</v>
      </c>
      <c r="T2160" s="340" t="str">
        <f t="shared" si="116"/>
        <v>2006AllSexNon-Maori23Submersion (drowning)</v>
      </c>
      <c r="U2160">
        <v>2006</v>
      </c>
      <c r="V2160" t="s">
        <v>17</v>
      </c>
      <c r="W2160" t="s">
        <v>19</v>
      </c>
      <c r="X2160">
        <v>23</v>
      </c>
      <c r="Y2160" t="s">
        <v>49</v>
      </c>
      <c r="Z2160">
        <v>2</v>
      </c>
      <c r="AA2160">
        <v>153</v>
      </c>
      <c r="AB2160">
        <v>1.3</v>
      </c>
    </row>
    <row r="2161" spans="10:28">
      <c r="J2161" s="340" t="str">
        <f t="shared" si="115"/>
        <v>2007FemaleAllEth233</v>
      </c>
      <c r="K2161">
        <v>2007</v>
      </c>
      <c r="L2161" t="s">
        <v>8</v>
      </c>
      <c r="M2161" t="s">
        <v>27</v>
      </c>
      <c r="N2161">
        <v>23</v>
      </c>
      <c r="O2161">
        <v>3</v>
      </c>
      <c r="P2161">
        <v>9</v>
      </c>
      <c r="Q2161">
        <v>7.2100150813369703</v>
      </c>
      <c r="R2161">
        <v>4.7</v>
      </c>
      <c r="T2161" s="340" t="str">
        <f t="shared" si="116"/>
        <v>2006AllSexNon-Maori24Submersion (drowning)</v>
      </c>
      <c r="U2161">
        <v>2006</v>
      </c>
      <c r="V2161" t="s">
        <v>17</v>
      </c>
      <c r="W2161" t="s">
        <v>19</v>
      </c>
      <c r="X2161">
        <v>24</v>
      </c>
      <c r="Y2161" t="s">
        <v>49</v>
      </c>
      <c r="Z2161">
        <v>3</v>
      </c>
      <c r="AA2161">
        <v>129</v>
      </c>
      <c r="AB2161">
        <v>2.2999999999999998</v>
      </c>
    </row>
    <row r="2162" spans="10:28">
      <c r="J2162" s="340" t="str">
        <f t="shared" si="115"/>
        <v>2007FemaleAllEth234</v>
      </c>
      <c r="K2162">
        <v>2007</v>
      </c>
      <c r="L2162" t="s">
        <v>8</v>
      </c>
      <c r="M2162" t="s">
        <v>27</v>
      </c>
      <c r="N2162">
        <v>23</v>
      </c>
      <c r="O2162">
        <v>4</v>
      </c>
      <c r="P2162">
        <v>8</v>
      </c>
      <c r="Q2162">
        <v>6.5399292798158699</v>
      </c>
      <c r="R2162">
        <v>4.5</v>
      </c>
      <c r="T2162" s="340" t="str">
        <f t="shared" si="116"/>
        <v>2006AllSexNon-Maori25Submersion (drowning)</v>
      </c>
      <c r="U2162">
        <v>2006</v>
      </c>
      <c r="V2162" t="s">
        <v>17</v>
      </c>
      <c r="W2162" t="s">
        <v>19</v>
      </c>
      <c r="X2162">
        <v>25</v>
      </c>
      <c r="Y2162" t="s">
        <v>49</v>
      </c>
      <c r="Z2162">
        <v>2</v>
      </c>
      <c r="AA2162">
        <v>50</v>
      </c>
      <c r="AB2162">
        <v>4</v>
      </c>
    </row>
    <row r="2163" spans="10:28">
      <c r="J2163" s="340" t="str">
        <f t="shared" si="115"/>
        <v>2007FemaleAllEth235</v>
      </c>
      <c r="K2163">
        <v>2007</v>
      </c>
      <c r="L2163" t="s">
        <v>8</v>
      </c>
      <c r="M2163" t="s">
        <v>27</v>
      </c>
      <c r="N2163">
        <v>23</v>
      </c>
      <c r="O2163">
        <v>5</v>
      </c>
      <c r="P2163">
        <v>13</v>
      </c>
      <c r="Q2163">
        <v>11.1235100456199</v>
      </c>
      <c r="R2163">
        <v>6</v>
      </c>
      <c r="T2163" s="340" t="str">
        <f t="shared" si="116"/>
        <v>2006FemaleAllEth22Firearms and explosives</v>
      </c>
      <c r="U2163">
        <v>2006</v>
      </c>
      <c r="V2163" t="s">
        <v>8</v>
      </c>
      <c r="W2163" t="s">
        <v>27</v>
      </c>
      <c r="X2163">
        <v>22</v>
      </c>
      <c r="Y2163" t="s">
        <v>42</v>
      </c>
      <c r="Z2163">
        <v>1</v>
      </c>
      <c r="AA2163">
        <v>24</v>
      </c>
      <c r="AB2163">
        <v>4.2</v>
      </c>
    </row>
    <row r="2164" spans="10:28">
      <c r="J2164" s="340" t="str">
        <f t="shared" si="115"/>
        <v>2007FemaleAllEth241</v>
      </c>
      <c r="K2164">
        <v>2007</v>
      </c>
      <c r="L2164" t="s">
        <v>8</v>
      </c>
      <c r="M2164" t="s">
        <v>27</v>
      </c>
      <c r="N2164">
        <v>24</v>
      </c>
      <c r="O2164">
        <v>1</v>
      </c>
      <c r="P2164">
        <v>6</v>
      </c>
      <c r="Q2164">
        <v>4.7285644763480503</v>
      </c>
      <c r="R2164">
        <v>3.8</v>
      </c>
      <c r="T2164" s="340" t="str">
        <f t="shared" si="116"/>
        <v>2006FemaleAllEth23Firearms and explosives</v>
      </c>
      <c r="U2164">
        <v>2006</v>
      </c>
      <c r="V2164" t="s">
        <v>8</v>
      </c>
      <c r="W2164" t="s">
        <v>27</v>
      </c>
      <c r="X2164">
        <v>23</v>
      </c>
      <c r="Y2164" t="s">
        <v>42</v>
      </c>
      <c r="Z2164">
        <v>2</v>
      </c>
      <c r="AA2164">
        <v>60</v>
      </c>
      <c r="AB2164">
        <v>3.3</v>
      </c>
    </row>
    <row r="2165" spans="10:28">
      <c r="J2165" s="340" t="str">
        <f t="shared" si="115"/>
        <v>2007FemaleAllEth242</v>
      </c>
      <c r="K2165">
        <v>2007</v>
      </c>
      <c r="L2165" t="s">
        <v>8</v>
      </c>
      <c r="M2165" t="s">
        <v>27</v>
      </c>
      <c r="N2165">
        <v>24</v>
      </c>
      <c r="O2165">
        <v>2</v>
      </c>
      <c r="P2165">
        <v>6</v>
      </c>
      <c r="Q2165">
        <v>5.30450580544065</v>
      </c>
      <c r="R2165">
        <v>4.2</v>
      </c>
      <c r="T2165" s="340" t="str">
        <f t="shared" si="116"/>
        <v>2006FemaleAllEth24Firearms and explosives</v>
      </c>
      <c r="U2165">
        <v>2006</v>
      </c>
      <c r="V2165" t="s">
        <v>8</v>
      </c>
      <c r="W2165" t="s">
        <v>27</v>
      </c>
      <c r="X2165">
        <v>24</v>
      </c>
      <c r="Y2165" t="s">
        <v>42</v>
      </c>
      <c r="Z2165">
        <v>3</v>
      </c>
      <c r="AA2165">
        <v>31</v>
      </c>
      <c r="AB2165">
        <v>9.6999999999999993</v>
      </c>
    </row>
    <row r="2166" spans="10:28">
      <c r="J2166" s="340" t="str">
        <f t="shared" si="115"/>
        <v>2007FemaleAllEth243</v>
      </c>
      <c r="K2166">
        <v>2007</v>
      </c>
      <c r="L2166" t="s">
        <v>8</v>
      </c>
      <c r="M2166" t="s">
        <v>27</v>
      </c>
      <c r="N2166">
        <v>24</v>
      </c>
      <c r="O2166">
        <v>3</v>
      </c>
      <c r="P2166">
        <v>9</v>
      </c>
      <c r="Q2166">
        <v>8.74240203936791</v>
      </c>
      <c r="R2166">
        <v>5.7</v>
      </c>
      <c r="T2166" s="340" t="str">
        <f t="shared" si="116"/>
        <v>2006FemaleAllEth21Hanging, strangulation and suffocation</v>
      </c>
      <c r="U2166">
        <v>2006</v>
      </c>
      <c r="V2166" t="s">
        <v>8</v>
      </c>
      <c r="W2166" t="s">
        <v>27</v>
      </c>
      <c r="X2166">
        <v>21</v>
      </c>
      <c r="Y2166" t="s">
        <v>43</v>
      </c>
      <c r="Z2166">
        <v>4</v>
      </c>
      <c r="AA2166">
        <v>4</v>
      </c>
      <c r="AB2166">
        <v>100</v>
      </c>
    </row>
    <row r="2167" spans="10:28">
      <c r="J2167" s="340" t="str">
        <f t="shared" si="115"/>
        <v>2007FemaleAllEth244</v>
      </c>
      <c r="K2167">
        <v>2007</v>
      </c>
      <c r="L2167" t="s">
        <v>8</v>
      </c>
      <c r="M2167" t="s">
        <v>27</v>
      </c>
      <c r="N2167">
        <v>24</v>
      </c>
      <c r="O2167">
        <v>4</v>
      </c>
      <c r="P2167">
        <v>8</v>
      </c>
      <c r="Q2167">
        <v>8.4655682046022491</v>
      </c>
      <c r="R2167">
        <v>5.9</v>
      </c>
      <c r="T2167" s="340" t="str">
        <f t="shared" si="116"/>
        <v>2006FemaleAllEth22Hanging, strangulation and suffocation</v>
      </c>
      <c r="U2167">
        <v>2006</v>
      </c>
      <c r="V2167" t="s">
        <v>8</v>
      </c>
      <c r="W2167" t="s">
        <v>27</v>
      </c>
      <c r="X2167">
        <v>22</v>
      </c>
      <c r="Y2167" t="s">
        <v>43</v>
      </c>
      <c r="Z2167">
        <v>19</v>
      </c>
      <c r="AA2167">
        <v>24</v>
      </c>
      <c r="AB2167">
        <v>79.2</v>
      </c>
    </row>
    <row r="2168" spans="10:28">
      <c r="J2168" s="340" t="str">
        <f t="shared" si="115"/>
        <v>2007FemaleAllEth245</v>
      </c>
      <c r="K2168">
        <v>2007</v>
      </c>
      <c r="L2168" t="s">
        <v>8</v>
      </c>
      <c r="M2168" t="s">
        <v>27</v>
      </c>
      <c r="N2168">
        <v>24</v>
      </c>
      <c r="O2168">
        <v>5</v>
      </c>
      <c r="P2168">
        <v>7</v>
      </c>
      <c r="Q2168">
        <v>8.3211264483627794</v>
      </c>
      <c r="R2168">
        <v>6.2</v>
      </c>
      <c r="T2168" s="340" t="str">
        <f t="shared" si="116"/>
        <v>2006FemaleAllEth23Hanging, strangulation and suffocation</v>
      </c>
      <c r="U2168">
        <v>2006</v>
      </c>
      <c r="V2168" t="s">
        <v>8</v>
      </c>
      <c r="W2168" t="s">
        <v>27</v>
      </c>
      <c r="X2168">
        <v>23</v>
      </c>
      <c r="Y2168" t="s">
        <v>43</v>
      </c>
      <c r="Z2168">
        <v>31</v>
      </c>
      <c r="AA2168">
        <v>60</v>
      </c>
      <c r="AB2168">
        <v>51.7</v>
      </c>
    </row>
    <row r="2169" spans="10:28">
      <c r="J2169" s="340" t="str">
        <f t="shared" si="115"/>
        <v>2007FemaleAllEth251</v>
      </c>
      <c r="K2169">
        <v>2007</v>
      </c>
      <c r="L2169" t="s">
        <v>8</v>
      </c>
      <c r="M2169" t="s">
        <v>27</v>
      </c>
      <c r="N2169">
        <v>25</v>
      </c>
      <c r="O2169">
        <v>1</v>
      </c>
      <c r="P2169">
        <v>3</v>
      </c>
      <c r="Q2169">
        <v>5.6981667416019297</v>
      </c>
      <c r="R2169">
        <v>6.4</v>
      </c>
      <c r="T2169" s="340" t="str">
        <f t="shared" si="116"/>
        <v>2006FemaleAllEth24Hanging, strangulation and suffocation</v>
      </c>
      <c r="U2169">
        <v>2006</v>
      </c>
      <c r="V2169" t="s">
        <v>8</v>
      </c>
      <c r="W2169" t="s">
        <v>27</v>
      </c>
      <c r="X2169">
        <v>24</v>
      </c>
      <c r="Y2169" t="s">
        <v>43</v>
      </c>
      <c r="Z2169">
        <v>12</v>
      </c>
      <c r="AA2169">
        <v>31</v>
      </c>
      <c r="AB2169">
        <v>38.700000000000003</v>
      </c>
    </row>
    <row r="2170" spans="10:28">
      <c r="J2170" s="340" t="str">
        <f t="shared" si="115"/>
        <v>2007FemaleAllEth252</v>
      </c>
      <c r="K2170">
        <v>2007</v>
      </c>
      <c r="L2170" t="s">
        <v>8</v>
      </c>
      <c r="M2170" t="s">
        <v>27</v>
      </c>
      <c r="N2170">
        <v>25</v>
      </c>
      <c r="O2170">
        <v>2</v>
      </c>
      <c r="P2170">
        <v>1</v>
      </c>
      <c r="Q2170">
        <v>1.6946820880606399</v>
      </c>
      <c r="R2170">
        <v>3.3</v>
      </c>
      <c r="T2170" s="340" t="str">
        <f t="shared" si="116"/>
        <v>2006FemaleAllEth25Hanging, strangulation and suffocation</v>
      </c>
      <c r="U2170">
        <v>2006</v>
      </c>
      <c r="V2170" t="s">
        <v>8</v>
      </c>
      <c r="W2170" t="s">
        <v>27</v>
      </c>
      <c r="X2170">
        <v>25</v>
      </c>
      <c r="Y2170" t="s">
        <v>43</v>
      </c>
      <c r="Z2170">
        <v>8</v>
      </c>
      <c r="AA2170">
        <v>18</v>
      </c>
      <c r="AB2170">
        <v>44.4</v>
      </c>
    </row>
    <row r="2171" spans="10:28">
      <c r="J2171" s="340" t="str">
        <f t="shared" si="115"/>
        <v>2007FemaleAllEth253</v>
      </c>
      <c r="K2171">
        <v>2007</v>
      </c>
      <c r="L2171" t="s">
        <v>8</v>
      </c>
      <c r="M2171" t="s">
        <v>27</v>
      </c>
      <c r="N2171">
        <v>25</v>
      </c>
      <c r="O2171">
        <v>3</v>
      </c>
      <c r="P2171">
        <v>0</v>
      </c>
      <c r="Q2171">
        <v>0</v>
      </c>
      <c r="T2171" s="340" t="str">
        <f t="shared" si="116"/>
        <v>2006FemaleAllEth23Jumping from a high place</v>
      </c>
      <c r="U2171">
        <v>2006</v>
      </c>
      <c r="V2171" t="s">
        <v>8</v>
      </c>
      <c r="W2171" t="s">
        <v>27</v>
      </c>
      <c r="X2171">
        <v>23</v>
      </c>
      <c r="Y2171" t="s">
        <v>44</v>
      </c>
      <c r="Z2171">
        <v>2</v>
      </c>
      <c r="AA2171">
        <v>60</v>
      </c>
      <c r="AB2171">
        <v>3.3</v>
      </c>
    </row>
    <row r="2172" spans="10:28">
      <c r="J2172" s="340" t="str">
        <f t="shared" si="115"/>
        <v>2007FemaleAllEth254</v>
      </c>
      <c r="K2172">
        <v>2007</v>
      </c>
      <c r="L2172" t="s">
        <v>8</v>
      </c>
      <c r="M2172" t="s">
        <v>27</v>
      </c>
      <c r="N2172">
        <v>25</v>
      </c>
      <c r="O2172">
        <v>4</v>
      </c>
      <c r="P2172">
        <v>1</v>
      </c>
      <c r="Q2172">
        <v>1.5367436264322101</v>
      </c>
      <c r="R2172">
        <v>3</v>
      </c>
      <c r="T2172" s="340" t="str">
        <f t="shared" si="116"/>
        <v>2006FemaleAllEth25Jumping from a high place</v>
      </c>
      <c r="U2172">
        <v>2006</v>
      </c>
      <c r="V2172" t="s">
        <v>8</v>
      </c>
      <c r="W2172" t="s">
        <v>27</v>
      </c>
      <c r="X2172">
        <v>25</v>
      </c>
      <c r="Y2172" t="s">
        <v>44</v>
      </c>
      <c r="Z2172">
        <v>2</v>
      </c>
      <c r="AA2172">
        <v>18</v>
      </c>
      <c r="AB2172">
        <v>11.1</v>
      </c>
    </row>
    <row r="2173" spans="10:28">
      <c r="J2173" s="340" t="str">
        <f t="shared" si="115"/>
        <v>2007FemaleAllEth255</v>
      </c>
      <c r="K2173">
        <v>2007</v>
      </c>
      <c r="L2173" t="s">
        <v>8</v>
      </c>
      <c r="M2173" t="s">
        <v>27</v>
      </c>
      <c r="N2173">
        <v>25</v>
      </c>
      <c r="O2173">
        <v>5</v>
      </c>
      <c r="P2173">
        <v>3</v>
      </c>
      <c r="Q2173">
        <v>6.0475017489803697</v>
      </c>
      <c r="R2173">
        <v>6.8</v>
      </c>
      <c r="T2173" s="340" t="str">
        <f t="shared" si="116"/>
        <v>2006FemaleAllEth23Other</v>
      </c>
      <c r="U2173">
        <v>2006</v>
      </c>
      <c r="V2173" t="s">
        <v>8</v>
      </c>
      <c r="W2173" t="s">
        <v>27</v>
      </c>
      <c r="X2173">
        <v>23</v>
      </c>
      <c r="Y2173" t="s">
        <v>45</v>
      </c>
      <c r="Z2173">
        <v>3</v>
      </c>
      <c r="AA2173">
        <v>60</v>
      </c>
      <c r="AB2173">
        <v>5</v>
      </c>
    </row>
    <row r="2174" spans="10:28">
      <c r="J2174" s="340" t="str">
        <f t="shared" si="115"/>
        <v>2007FemaleMaori211</v>
      </c>
      <c r="K2174">
        <v>2007</v>
      </c>
      <c r="L2174" t="s">
        <v>8</v>
      </c>
      <c r="M2174" t="s">
        <v>18</v>
      </c>
      <c r="N2174">
        <v>21</v>
      </c>
      <c r="O2174">
        <v>1</v>
      </c>
      <c r="P2174">
        <v>0</v>
      </c>
      <c r="Q2174">
        <v>0</v>
      </c>
      <c r="T2174" s="340" t="str">
        <f t="shared" si="116"/>
        <v>2006FemaleAllEth24Other</v>
      </c>
      <c r="U2174">
        <v>2006</v>
      </c>
      <c r="V2174" t="s">
        <v>8</v>
      </c>
      <c r="W2174" t="s">
        <v>27</v>
      </c>
      <c r="X2174">
        <v>24</v>
      </c>
      <c r="Y2174" t="s">
        <v>45</v>
      </c>
      <c r="Z2174">
        <v>1</v>
      </c>
      <c r="AA2174">
        <v>31</v>
      </c>
      <c r="AB2174">
        <v>3.2</v>
      </c>
    </row>
    <row r="2175" spans="10:28">
      <c r="J2175" s="340" t="str">
        <f t="shared" si="115"/>
        <v>2007FemaleMaori212</v>
      </c>
      <c r="K2175">
        <v>2007</v>
      </c>
      <c r="L2175" t="s">
        <v>8</v>
      </c>
      <c r="M2175" t="s">
        <v>18</v>
      </c>
      <c r="N2175">
        <v>21</v>
      </c>
      <c r="O2175">
        <v>2</v>
      </c>
      <c r="P2175">
        <v>0</v>
      </c>
      <c r="Q2175">
        <v>0</v>
      </c>
      <c r="T2175" s="340" t="str">
        <f t="shared" si="116"/>
        <v>2006FemaleAllEth25Other</v>
      </c>
      <c r="U2175">
        <v>2006</v>
      </c>
      <c r="V2175" t="s">
        <v>8</v>
      </c>
      <c r="W2175" t="s">
        <v>27</v>
      </c>
      <c r="X2175">
        <v>25</v>
      </c>
      <c r="Y2175" t="s">
        <v>45</v>
      </c>
      <c r="Z2175">
        <v>1</v>
      </c>
      <c r="AA2175">
        <v>18</v>
      </c>
      <c r="AB2175">
        <v>5.6</v>
      </c>
    </row>
    <row r="2176" spans="10:28">
      <c r="J2176" s="340" t="str">
        <f t="shared" si="115"/>
        <v>2007FemaleMaori213</v>
      </c>
      <c r="K2176">
        <v>2007</v>
      </c>
      <c r="L2176" t="s">
        <v>8</v>
      </c>
      <c r="M2176" t="s">
        <v>18</v>
      </c>
      <c r="N2176">
        <v>21</v>
      </c>
      <c r="O2176">
        <v>3</v>
      </c>
      <c r="P2176">
        <v>0</v>
      </c>
      <c r="Q2176">
        <v>0</v>
      </c>
      <c r="T2176" s="340" t="str">
        <f t="shared" si="116"/>
        <v>2006FemaleAllEth22Poisoning by gases and vapours</v>
      </c>
      <c r="U2176">
        <v>2006</v>
      </c>
      <c r="V2176" t="s">
        <v>8</v>
      </c>
      <c r="W2176" t="s">
        <v>27</v>
      </c>
      <c r="X2176">
        <v>22</v>
      </c>
      <c r="Y2176" t="s">
        <v>46</v>
      </c>
      <c r="Z2176">
        <v>2</v>
      </c>
      <c r="AA2176">
        <v>24</v>
      </c>
      <c r="AB2176">
        <v>8.3000000000000007</v>
      </c>
    </row>
    <row r="2177" spans="10:28">
      <c r="J2177" s="340" t="str">
        <f t="shared" si="115"/>
        <v>2007FemaleMaori214</v>
      </c>
      <c r="K2177">
        <v>2007</v>
      </c>
      <c r="L2177" t="s">
        <v>8</v>
      </c>
      <c r="M2177" t="s">
        <v>18</v>
      </c>
      <c r="N2177">
        <v>21</v>
      </c>
      <c r="O2177">
        <v>4</v>
      </c>
      <c r="P2177">
        <v>0</v>
      </c>
      <c r="Q2177">
        <v>0</v>
      </c>
      <c r="T2177" s="340" t="str">
        <f t="shared" si="116"/>
        <v>2006FemaleAllEth23Poisoning by gases and vapours</v>
      </c>
      <c r="U2177">
        <v>2006</v>
      </c>
      <c r="V2177" t="s">
        <v>8</v>
      </c>
      <c r="W2177" t="s">
        <v>27</v>
      </c>
      <c r="X2177">
        <v>23</v>
      </c>
      <c r="Y2177" t="s">
        <v>46</v>
      </c>
      <c r="Z2177">
        <v>9</v>
      </c>
      <c r="AA2177">
        <v>60</v>
      </c>
      <c r="AB2177">
        <v>15</v>
      </c>
    </row>
    <row r="2178" spans="10:28">
      <c r="J2178" s="340" t="str">
        <f t="shared" si="115"/>
        <v>2007FemaleMaori215</v>
      </c>
      <c r="K2178">
        <v>2007</v>
      </c>
      <c r="L2178" t="s">
        <v>8</v>
      </c>
      <c r="M2178" t="s">
        <v>18</v>
      </c>
      <c r="N2178">
        <v>21</v>
      </c>
      <c r="O2178">
        <v>5</v>
      </c>
      <c r="P2178">
        <v>1</v>
      </c>
      <c r="Q2178">
        <v>2.1796683787219999</v>
      </c>
      <c r="R2178">
        <v>4.3</v>
      </c>
      <c r="T2178" s="340" t="str">
        <f t="shared" si="116"/>
        <v>2006FemaleAllEth24Poisoning by gases and vapours</v>
      </c>
      <c r="U2178">
        <v>2006</v>
      </c>
      <c r="V2178" t="s">
        <v>8</v>
      </c>
      <c r="W2178" t="s">
        <v>27</v>
      </c>
      <c r="X2178">
        <v>24</v>
      </c>
      <c r="Y2178" t="s">
        <v>46</v>
      </c>
      <c r="Z2178">
        <v>6</v>
      </c>
      <c r="AA2178">
        <v>31</v>
      </c>
      <c r="AB2178">
        <v>19.399999999999999</v>
      </c>
    </row>
    <row r="2179" spans="10:28">
      <c r="J2179" s="340" t="str">
        <f t="shared" si="115"/>
        <v>2007FemaleMaori221</v>
      </c>
      <c r="K2179">
        <v>2007</v>
      </c>
      <c r="L2179" t="s">
        <v>8</v>
      </c>
      <c r="M2179" t="s">
        <v>18</v>
      </c>
      <c r="N2179">
        <v>22</v>
      </c>
      <c r="O2179">
        <v>1</v>
      </c>
      <c r="P2179">
        <v>0</v>
      </c>
      <c r="Q2179">
        <v>0</v>
      </c>
      <c r="T2179" s="340" t="str">
        <f t="shared" si="116"/>
        <v>2006FemaleAllEth25Poisoning by gases and vapours</v>
      </c>
      <c r="U2179">
        <v>2006</v>
      </c>
      <c r="V2179" t="s">
        <v>8</v>
      </c>
      <c r="W2179" t="s">
        <v>27</v>
      </c>
      <c r="X2179">
        <v>25</v>
      </c>
      <c r="Y2179" t="s">
        <v>46</v>
      </c>
      <c r="Z2179">
        <v>3</v>
      </c>
      <c r="AA2179">
        <v>18</v>
      </c>
      <c r="AB2179">
        <v>16.7</v>
      </c>
    </row>
    <row r="2180" spans="10:28">
      <c r="J2180" s="340" t="str">
        <f t="shared" ref="J2180:J2243" si="117">K2180&amp;L2180&amp;M2180&amp;N2180&amp;O2180</f>
        <v>2007FemaleMaori222</v>
      </c>
      <c r="K2180">
        <v>2007</v>
      </c>
      <c r="L2180" t="s">
        <v>8</v>
      </c>
      <c r="M2180" t="s">
        <v>18</v>
      </c>
      <c r="N2180">
        <v>22</v>
      </c>
      <c r="O2180">
        <v>2</v>
      </c>
      <c r="P2180">
        <v>1</v>
      </c>
      <c r="Q2180">
        <v>16.383182553178699</v>
      </c>
      <c r="R2180">
        <v>32.1</v>
      </c>
      <c r="T2180" s="340" t="str">
        <f t="shared" si="116"/>
        <v>2006FemaleAllEth22Poisoning by solids and liquids</v>
      </c>
      <c r="U2180">
        <v>2006</v>
      </c>
      <c r="V2180" t="s">
        <v>8</v>
      </c>
      <c r="W2180" t="s">
        <v>27</v>
      </c>
      <c r="X2180">
        <v>22</v>
      </c>
      <c r="Y2180" t="s">
        <v>47</v>
      </c>
      <c r="Z2180">
        <v>2</v>
      </c>
      <c r="AA2180">
        <v>24</v>
      </c>
      <c r="AB2180">
        <v>8.3000000000000007</v>
      </c>
    </row>
    <row r="2181" spans="10:28">
      <c r="J2181" s="340" t="str">
        <f t="shared" si="117"/>
        <v>2007FemaleMaori223</v>
      </c>
      <c r="K2181">
        <v>2007</v>
      </c>
      <c r="L2181" t="s">
        <v>8</v>
      </c>
      <c r="M2181" t="s">
        <v>18</v>
      </c>
      <c r="N2181">
        <v>22</v>
      </c>
      <c r="O2181">
        <v>3</v>
      </c>
      <c r="P2181">
        <v>4</v>
      </c>
      <c r="Q2181">
        <v>42.173625825274598</v>
      </c>
      <c r="R2181">
        <v>41.3</v>
      </c>
      <c r="T2181" s="340" t="str">
        <f t="shared" ref="T2181:T2244" si="118">U2181&amp;V2181&amp;W2181&amp;X2181&amp;Y2181</f>
        <v>2006FemaleAllEth23Poisoning by solids and liquids</v>
      </c>
      <c r="U2181">
        <v>2006</v>
      </c>
      <c r="V2181" t="s">
        <v>8</v>
      </c>
      <c r="W2181" t="s">
        <v>27</v>
      </c>
      <c r="X2181">
        <v>23</v>
      </c>
      <c r="Y2181" t="s">
        <v>47</v>
      </c>
      <c r="Z2181">
        <v>12</v>
      </c>
      <c r="AA2181">
        <v>60</v>
      </c>
      <c r="AB2181">
        <v>20</v>
      </c>
    </row>
    <row r="2182" spans="10:28">
      <c r="J2182" s="340" t="str">
        <f t="shared" si="117"/>
        <v>2007FemaleMaori224</v>
      </c>
      <c r="K2182">
        <v>2007</v>
      </c>
      <c r="L2182" t="s">
        <v>8</v>
      </c>
      <c r="M2182" t="s">
        <v>18</v>
      </c>
      <c r="N2182">
        <v>22</v>
      </c>
      <c r="O2182">
        <v>4</v>
      </c>
      <c r="P2182">
        <v>1</v>
      </c>
      <c r="Q2182">
        <v>6.97297812943183</v>
      </c>
      <c r="R2182">
        <v>13.7</v>
      </c>
      <c r="T2182" s="340" t="str">
        <f t="shared" si="118"/>
        <v>2006FemaleAllEth24Poisoning by solids and liquids</v>
      </c>
      <c r="U2182">
        <v>2006</v>
      </c>
      <c r="V2182" t="s">
        <v>8</v>
      </c>
      <c r="W2182" t="s">
        <v>27</v>
      </c>
      <c r="X2182">
        <v>24</v>
      </c>
      <c r="Y2182" t="s">
        <v>47</v>
      </c>
      <c r="Z2182">
        <v>8</v>
      </c>
      <c r="AA2182">
        <v>31</v>
      </c>
      <c r="AB2182">
        <v>25.8</v>
      </c>
    </row>
    <row r="2183" spans="10:28">
      <c r="J2183" s="340" t="str">
        <f t="shared" si="117"/>
        <v>2007FemaleMaori225</v>
      </c>
      <c r="K2183">
        <v>2007</v>
      </c>
      <c r="L2183" t="s">
        <v>8</v>
      </c>
      <c r="M2183" t="s">
        <v>18</v>
      </c>
      <c r="N2183">
        <v>22</v>
      </c>
      <c r="O2183">
        <v>5</v>
      </c>
      <c r="P2183">
        <v>4</v>
      </c>
      <c r="Q2183">
        <v>15.4394721916496</v>
      </c>
      <c r="R2183">
        <v>15.1</v>
      </c>
      <c r="T2183" s="340" t="str">
        <f t="shared" si="118"/>
        <v>2006FemaleAllEth25Poisoning by solids and liquids</v>
      </c>
      <c r="U2183">
        <v>2006</v>
      </c>
      <c r="V2183" t="s">
        <v>8</v>
      </c>
      <c r="W2183" t="s">
        <v>27</v>
      </c>
      <c r="X2183">
        <v>25</v>
      </c>
      <c r="Y2183" t="s">
        <v>47</v>
      </c>
      <c r="Z2183">
        <v>3</v>
      </c>
      <c r="AA2183">
        <v>18</v>
      </c>
      <c r="AB2183">
        <v>16.7</v>
      </c>
    </row>
    <row r="2184" spans="10:28">
      <c r="J2184" s="340" t="str">
        <f t="shared" si="117"/>
        <v>2007FemaleMaori231</v>
      </c>
      <c r="K2184">
        <v>2007</v>
      </c>
      <c r="L2184" t="s">
        <v>8</v>
      </c>
      <c r="M2184" t="s">
        <v>18</v>
      </c>
      <c r="N2184">
        <v>23</v>
      </c>
      <c r="O2184">
        <v>1</v>
      </c>
      <c r="P2184">
        <v>0</v>
      </c>
      <c r="Q2184">
        <v>0</v>
      </c>
      <c r="T2184" s="340" t="str">
        <f t="shared" si="118"/>
        <v>2006FemaleAllEth23Sharp object</v>
      </c>
      <c r="U2184">
        <v>2006</v>
      </c>
      <c r="V2184" t="s">
        <v>8</v>
      </c>
      <c r="W2184" t="s">
        <v>27</v>
      </c>
      <c r="X2184">
        <v>23</v>
      </c>
      <c r="Y2184" t="s">
        <v>48</v>
      </c>
      <c r="Z2184">
        <v>1</v>
      </c>
      <c r="AA2184">
        <v>60</v>
      </c>
      <c r="AB2184">
        <v>1.7</v>
      </c>
    </row>
    <row r="2185" spans="10:28">
      <c r="J2185" s="340" t="str">
        <f t="shared" si="117"/>
        <v>2007FemaleMaori232</v>
      </c>
      <c r="K2185">
        <v>2007</v>
      </c>
      <c r="L2185" t="s">
        <v>8</v>
      </c>
      <c r="M2185" t="s">
        <v>18</v>
      </c>
      <c r="N2185">
        <v>23</v>
      </c>
      <c r="O2185">
        <v>2</v>
      </c>
      <c r="P2185">
        <v>1</v>
      </c>
      <c r="Q2185">
        <v>9.8380909091312496</v>
      </c>
      <c r="R2185">
        <v>19.3</v>
      </c>
      <c r="T2185" s="340" t="str">
        <f t="shared" si="118"/>
        <v>2006FemaleAllEth24Submersion (drowning)</v>
      </c>
      <c r="U2185">
        <v>2006</v>
      </c>
      <c r="V2185" t="s">
        <v>8</v>
      </c>
      <c r="W2185" t="s">
        <v>27</v>
      </c>
      <c r="X2185">
        <v>24</v>
      </c>
      <c r="Y2185" t="s">
        <v>49</v>
      </c>
      <c r="Z2185">
        <v>1</v>
      </c>
      <c r="AA2185">
        <v>31</v>
      </c>
      <c r="AB2185">
        <v>3.2</v>
      </c>
    </row>
    <row r="2186" spans="10:28">
      <c r="J2186" s="340" t="str">
        <f t="shared" si="117"/>
        <v>2007FemaleMaori233</v>
      </c>
      <c r="K2186">
        <v>2007</v>
      </c>
      <c r="L2186" t="s">
        <v>8</v>
      </c>
      <c r="M2186" t="s">
        <v>18</v>
      </c>
      <c r="N2186">
        <v>23</v>
      </c>
      <c r="O2186">
        <v>3</v>
      </c>
      <c r="P2186">
        <v>2</v>
      </c>
      <c r="Q2186">
        <v>13.928201700448501</v>
      </c>
      <c r="R2186">
        <v>19.3</v>
      </c>
      <c r="T2186" s="340" t="str">
        <f t="shared" si="118"/>
        <v>2006FemaleAllEth25Submersion (drowning)</v>
      </c>
      <c r="U2186">
        <v>2006</v>
      </c>
      <c r="V2186" t="s">
        <v>8</v>
      </c>
      <c r="W2186" t="s">
        <v>27</v>
      </c>
      <c r="X2186">
        <v>25</v>
      </c>
      <c r="Y2186" t="s">
        <v>49</v>
      </c>
      <c r="Z2186">
        <v>1</v>
      </c>
      <c r="AA2186">
        <v>18</v>
      </c>
      <c r="AB2186">
        <v>5.6</v>
      </c>
    </row>
    <row r="2187" spans="10:28">
      <c r="J2187" s="340" t="str">
        <f t="shared" si="117"/>
        <v>2007FemaleMaori234</v>
      </c>
      <c r="K2187">
        <v>2007</v>
      </c>
      <c r="L2187" t="s">
        <v>8</v>
      </c>
      <c r="M2187" t="s">
        <v>18</v>
      </c>
      <c r="N2187">
        <v>23</v>
      </c>
      <c r="O2187">
        <v>4</v>
      </c>
      <c r="P2187">
        <v>2</v>
      </c>
      <c r="Q2187">
        <v>9.3664477170173797</v>
      </c>
      <c r="R2187">
        <v>13</v>
      </c>
      <c r="T2187" s="340" t="str">
        <f t="shared" si="118"/>
        <v>2006FemaleMaori21Hanging, strangulation and suffocation</v>
      </c>
      <c r="U2187">
        <v>2006</v>
      </c>
      <c r="V2187" t="s">
        <v>8</v>
      </c>
      <c r="W2187" t="s">
        <v>18</v>
      </c>
      <c r="X2187">
        <v>21</v>
      </c>
      <c r="Y2187" t="s">
        <v>43</v>
      </c>
      <c r="Z2187">
        <v>4</v>
      </c>
      <c r="AA2187">
        <v>4</v>
      </c>
      <c r="AB2187">
        <v>100</v>
      </c>
    </row>
    <row r="2188" spans="10:28">
      <c r="J2188" s="340" t="str">
        <f t="shared" si="117"/>
        <v>2007FemaleMaori235</v>
      </c>
      <c r="K2188">
        <v>2007</v>
      </c>
      <c r="L2188" t="s">
        <v>8</v>
      </c>
      <c r="M2188" t="s">
        <v>18</v>
      </c>
      <c r="N2188">
        <v>23</v>
      </c>
      <c r="O2188">
        <v>5</v>
      </c>
      <c r="P2188">
        <v>6</v>
      </c>
      <c r="Q2188">
        <v>16.302923650396501</v>
      </c>
      <c r="R2188">
        <v>13</v>
      </c>
      <c r="T2188" s="340" t="str">
        <f t="shared" si="118"/>
        <v>2006FemaleMaori22Hanging, strangulation and suffocation</v>
      </c>
      <c r="U2188">
        <v>2006</v>
      </c>
      <c r="V2188" t="s">
        <v>8</v>
      </c>
      <c r="W2188" t="s">
        <v>18</v>
      </c>
      <c r="X2188">
        <v>22</v>
      </c>
      <c r="Y2188" t="s">
        <v>43</v>
      </c>
      <c r="Z2188">
        <v>8</v>
      </c>
      <c r="AA2188">
        <v>8</v>
      </c>
      <c r="AB2188">
        <v>100</v>
      </c>
    </row>
    <row r="2189" spans="10:28">
      <c r="J2189" s="340" t="str">
        <f t="shared" si="117"/>
        <v>2007FemaleMaori241</v>
      </c>
      <c r="K2189">
        <v>2007</v>
      </c>
      <c r="L2189" t="s">
        <v>8</v>
      </c>
      <c r="M2189" t="s">
        <v>18</v>
      </c>
      <c r="N2189">
        <v>24</v>
      </c>
      <c r="O2189">
        <v>1</v>
      </c>
      <c r="P2189">
        <v>0</v>
      </c>
      <c r="Q2189">
        <v>0</v>
      </c>
      <c r="T2189" s="340" t="str">
        <f t="shared" si="118"/>
        <v>2006FemaleMaori23Hanging, strangulation and suffocation</v>
      </c>
      <c r="U2189">
        <v>2006</v>
      </c>
      <c r="V2189" t="s">
        <v>8</v>
      </c>
      <c r="W2189" t="s">
        <v>18</v>
      </c>
      <c r="X2189">
        <v>23</v>
      </c>
      <c r="Y2189" t="s">
        <v>43</v>
      </c>
      <c r="Z2189">
        <v>11</v>
      </c>
      <c r="AA2189">
        <v>18</v>
      </c>
      <c r="AB2189">
        <v>61.1</v>
      </c>
    </row>
    <row r="2190" spans="10:28">
      <c r="J2190" s="340" t="str">
        <f t="shared" si="117"/>
        <v>2007FemaleMaori242</v>
      </c>
      <c r="K2190">
        <v>2007</v>
      </c>
      <c r="L2190" t="s">
        <v>8</v>
      </c>
      <c r="M2190" t="s">
        <v>18</v>
      </c>
      <c r="N2190">
        <v>24</v>
      </c>
      <c r="O2190">
        <v>2</v>
      </c>
      <c r="P2190">
        <v>0</v>
      </c>
      <c r="Q2190">
        <v>0</v>
      </c>
      <c r="T2190" s="340" t="str">
        <f t="shared" si="118"/>
        <v>2006FemaleMaori24Hanging, strangulation and suffocation</v>
      </c>
      <c r="U2190">
        <v>2006</v>
      </c>
      <c r="V2190" t="s">
        <v>8</v>
      </c>
      <c r="W2190" t="s">
        <v>18</v>
      </c>
      <c r="X2190">
        <v>24</v>
      </c>
      <c r="Y2190" t="s">
        <v>43</v>
      </c>
      <c r="Z2190">
        <v>1</v>
      </c>
      <c r="AA2190">
        <v>2</v>
      </c>
      <c r="AB2190">
        <v>50</v>
      </c>
    </row>
    <row r="2191" spans="10:28">
      <c r="J2191" s="340" t="str">
        <f t="shared" si="117"/>
        <v>2007FemaleMaori243</v>
      </c>
      <c r="K2191">
        <v>2007</v>
      </c>
      <c r="L2191" t="s">
        <v>8</v>
      </c>
      <c r="M2191" t="s">
        <v>18</v>
      </c>
      <c r="N2191">
        <v>24</v>
      </c>
      <c r="O2191">
        <v>3</v>
      </c>
      <c r="P2191">
        <v>0</v>
      </c>
      <c r="Q2191">
        <v>0</v>
      </c>
      <c r="T2191" s="340" t="str">
        <f t="shared" si="118"/>
        <v>2006FemaleMaori23Jumping from a high place</v>
      </c>
      <c r="U2191">
        <v>2006</v>
      </c>
      <c r="V2191" t="s">
        <v>8</v>
      </c>
      <c r="W2191" t="s">
        <v>18</v>
      </c>
      <c r="X2191">
        <v>23</v>
      </c>
      <c r="Y2191" t="s">
        <v>44</v>
      </c>
      <c r="Z2191">
        <v>1</v>
      </c>
      <c r="AA2191">
        <v>18</v>
      </c>
      <c r="AB2191">
        <v>5.6</v>
      </c>
    </row>
    <row r="2192" spans="10:28">
      <c r="J2192" s="340" t="str">
        <f t="shared" si="117"/>
        <v>2007FemaleMaori244</v>
      </c>
      <c r="K2192">
        <v>2007</v>
      </c>
      <c r="L2192" t="s">
        <v>8</v>
      </c>
      <c r="M2192" t="s">
        <v>18</v>
      </c>
      <c r="N2192">
        <v>24</v>
      </c>
      <c r="O2192">
        <v>4</v>
      </c>
      <c r="P2192">
        <v>1</v>
      </c>
      <c r="Q2192">
        <v>8.0561989995626302</v>
      </c>
      <c r="R2192">
        <v>15.8</v>
      </c>
      <c r="T2192" s="340" t="str">
        <f t="shared" si="118"/>
        <v>2006FemaleMaori23Other</v>
      </c>
      <c r="U2192">
        <v>2006</v>
      </c>
      <c r="V2192" t="s">
        <v>8</v>
      </c>
      <c r="W2192" t="s">
        <v>18</v>
      </c>
      <c r="X2192">
        <v>23</v>
      </c>
      <c r="Y2192" t="s">
        <v>45</v>
      </c>
      <c r="Z2192">
        <v>2</v>
      </c>
      <c r="AA2192">
        <v>18</v>
      </c>
      <c r="AB2192">
        <v>11.1</v>
      </c>
    </row>
    <row r="2193" spans="10:28">
      <c r="J2193" s="340" t="str">
        <f t="shared" si="117"/>
        <v>2007FemaleMaori245</v>
      </c>
      <c r="K2193">
        <v>2007</v>
      </c>
      <c r="L2193" t="s">
        <v>8</v>
      </c>
      <c r="M2193" t="s">
        <v>18</v>
      </c>
      <c r="N2193">
        <v>24</v>
      </c>
      <c r="O2193">
        <v>5</v>
      </c>
      <c r="P2193">
        <v>0</v>
      </c>
      <c r="Q2193">
        <v>0</v>
      </c>
      <c r="T2193" s="340" t="str">
        <f t="shared" si="118"/>
        <v>2006FemaleMaori23Poisoning by gases and vapours</v>
      </c>
      <c r="U2193">
        <v>2006</v>
      </c>
      <c r="V2193" t="s">
        <v>8</v>
      </c>
      <c r="W2193" t="s">
        <v>18</v>
      </c>
      <c r="X2193">
        <v>23</v>
      </c>
      <c r="Y2193" t="s">
        <v>46</v>
      </c>
      <c r="Z2193">
        <v>3</v>
      </c>
      <c r="AA2193">
        <v>18</v>
      </c>
      <c r="AB2193">
        <v>16.7</v>
      </c>
    </row>
    <row r="2194" spans="10:28">
      <c r="J2194" s="340" t="str">
        <f t="shared" si="117"/>
        <v>2007FemaleMaori251</v>
      </c>
      <c r="K2194">
        <v>2007</v>
      </c>
      <c r="L2194" t="s">
        <v>8</v>
      </c>
      <c r="M2194" t="s">
        <v>18</v>
      </c>
      <c r="N2194">
        <v>25</v>
      </c>
      <c r="O2194">
        <v>1</v>
      </c>
      <c r="P2194">
        <v>0</v>
      </c>
      <c r="Q2194">
        <v>0</v>
      </c>
      <c r="T2194" s="340" t="str">
        <f t="shared" si="118"/>
        <v>2006FemaleMaori25Poisoning by gases and vapours</v>
      </c>
      <c r="U2194">
        <v>2006</v>
      </c>
      <c r="V2194" t="s">
        <v>8</v>
      </c>
      <c r="W2194" t="s">
        <v>18</v>
      </c>
      <c r="X2194">
        <v>25</v>
      </c>
      <c r="Y2194" t="s">
        <v>46</v>
      </c>
      <c r="Z2194">
        <v>1</v>
      </c>
      <c r="AA2194">
        <v>1</v>
      </c>
      <c r="AB2194">
        <v>100</v>
      </c>
    </row>
    <row r="2195" spans="10:28">
      <c r="J2195" s="340" t="str">
        <f t="shared" si="117"/>
        <v>2007FemaleMaori252</v>
      </c>
      <c r="K2195">
        <v>2007</v>
      </c>
      <c r="L2195" t="s">
        <v>8</v>
      </c>
      <c r="M2195" t="s">
        <v>18</v>
      </c>
      <c r="N2195">
        <v>25</v>
      </c>
      <c r="O2195">
        <v>2</v>
      </c>
      <c r="P2195">
        <v>0</v>
      </c>
      <c r="Q2195">
        <v>0</v>
      </c>
      <c r="T2195" s="340" t="str">
        <f t="shared" si="118"/>
        <v>2006FemaleMaori23Poisoning by solids and liquids</v>
      </c>
      <c r="U2195">
        <v>2006</v>
      </c>
      <c r="V2195" t="s">
        <v>8</v>
      </c>
      <c r="W2195" t="s">
        <v>18</v>
      </c>
      <c r="X2195">
        <v>23</v>
      </c>
      <c r="Y2195" t="s">
        <v>47</v>
      </c>
      <c r="Z2195">
        <v>1</v>
      </c>
      <c r="AA2195">
        <v>18</v>
      </c>
      <c r="AB2195">
        <v>5.6</v>
      </c>
    </row>
    <row r="2196" spans="10:28">
      <c r="J2196" s="340" t="str">
        <f t="shared" si="117"/>
        <v>2007FemaleMaori253</v>
      </c>
      <c r="K2196">
        <v>2007</v>
      </c>
      <c r="L2196" t="s">
        <v>8</v>
      </c>
      <c r="M2196" t="s">
        <v>18</v>
      </c>
      <c r="N2196">
        <v>25</v>
      </c>
      <c r="O2196">
        <v>3</v>
      </c>
      <c r="P2196">
        <v>0</v>
      </c>
      <c r="Q2196">
        <v>0</v>
      </c>
      <c r="T2196" s="340" t="str">
        <f t="shared" si="118"/>
        <v>2006FemaleMaori24Poisoning by solids and liquids</v>
      </c>
      <c r="U2196">
        <v>2006</v>
      </c>
      <c r="V2196" t="s">
        <v>8</v>
      </c>
      <c r="W2196" t="s">
        <v>18</v>
      </c>
      <c r="X2196">
        <v>24</v>
      </c>
      <c r="Y2196" t="s">
        <v>47</v>
      </c>
      <c r="Z2196">
        <v>1</v>
      </c>
      <c r="AA2196">
        <v>2</v>
      </c>
      <c r="AB2196">
        <v>50</v>
      </c>
    </row>
    <row r="2197" spans="10:28">
      <c r="J2197" s="340" t="str">
        <f t="shared" si="117"/>
        <v>2007FemaleMaori254</v>
      </c>
      <c r="K2197">
        <v>2007</v>
      </c>
      <c r="L2197" t="s">
        <v>8</v>
      </c>
      <c r="M2197" t="s">
        <v>18</v>
      </c>
      <c r="N2197">
        <v>25</v>
      </c>
      <c r="O2197">
        <v>4</v>
      </c>
      <c r="P2197">
        <v>0</v>
      </c>
      <c r="Q2197">
        <v>0</v>
      </c>
      <c r="T2197" s="340" t="str">
        <f t="shared" si="118"/>
        <v>2006FemaleNon-Maori22Firearms and explosives</v>
      </c>
      <c r="U2197">
        <v>2006</v>
      </c>
      <c r="V2197" t="s">
        <v>8</v>
      </c>
      <c r="W2197" t="s">
        <v>19</v>
      </c>
      <c r="X2197">
        <v>22</v>
      </c>
      <c r="Y2197" t="s">
        <v>42</v>
      </c>
      <c r="Z2197">
        <v>1</v>
      </c>
      <c r="AA2197">
        <v>16</v>
      </c>
      <c r="AB2197">
        <v>6.2</v>
      </c>
    </row>
    <row r="2198" spans="10:28">
      <c r="J2198" s="340" t="str">
        <f t="shared" si="117"/>
        <v>2007FemaleMaori255</v>
      </c>
      <c r="K2198">
        <v>2007</v>
      </c>
      <c r="L2198" t="s">
        <v>8</v>
      </c>
      <c r="M2198" t="s">
        <v>18</v>
      </c>
      <c r="N2198">
        <v>25</v>
      </c>
      <c r="O2198">
        <v>5</v>
      </c>
      <c r="P2198">
        <v>0</v>
      </c>
      <c r="Q2198">
        <v>0</v>
      </c>
      <c r="T2198" s="340" t="str">
        <f t="shared" si="118"/>
        <v>2006FemaleNon-Maori23Firearms and explosives</v>
      </c>
      <c r="U2198">
        <v>2006</v>
      </c>
      <c r="V2198" t="s">
        <v>8</v>
      </c>
      <c r="W2198" t="s">
        <v>19</v>
      </c>
      <c r="X2198">
        <v>23</v>
      </c>
      <c r="Y2198" t="s">
        <v>42</v>
      </c>
      <c r="Z2198">
        <v>2</v>
      </c>
      <c r="AA2198">
        <v>42</v>
      </c>
      <c r="AB2198">
        <v>4.8</v>
      </c>
    </row>
    <row r="2199" spans="10:28">
      <c r="J2199" s="340" t="str">
        <f t="shared" si="117"/>
        <v>2007FemaleNon-Maori211</v>
      </c>
      <c r="K2199">
        <v>2007</v>
      </c>
      <c r="L2199" t="s">
        <v>8</v>
      </c>
      <c r="M2199" t="s">
        <v>19</v>
      </c>
      <c r="N2199">
        <v>21</v>
      </c>
      <c r="O2199">
        <v>1</v>
      </c>
      <c r="P2199">
        <v>0</v>
      </c>
      <c r="Q2199">
        <v>0</v>
      </c>
      <c r="T2199" s="340" t="str">
        <f t="shared" si="118"/>
        <v>2006FemaleNon-Maori24Firearms and explosives</v>
      </c>
      <c r="U2199">
        <v>2006</v>
      </c>
      <c r="V2199" t="s">
        <v>8</v>
      </c>
      <c r="W2199" t="s">
        <v>19</v>
      </c>
      <c r="X2199">
        <v>24</v>
      </c>
      <c r="Y2199" t="s">
        <v>42</v>
      </c>
      <c r="Z2199">
        <v>3</v>
      </c>
      <c r="AA2199">
        <v>29</v>
      </c>
      <c r="AB2199">
        <v>10.3</v>
      </c>
    </row>
    <row r="2200" spans="10:28">
      <c r="J2200" s="340" t="str">
        <f t="shared" si="117"/>
        <v>2007FemaleNon-Maori212</v>
      </c>
      <c r="K2200">
        <v>2007</v>
      </c>
      <c r="L2200" t="s">
        <v>8</v>
      </c>
      <c r="M2200" t="s">
        <v>19</v>
      </c>
      <c r="N2200">
        <v>21</v>
      </c>
      <c r="O2200">
        <v>2</v>
      </c>
      <c r="P2200">
        <v>0</v>
      </c>
      <c r="Q2200">
        <v>0</v>
      </c>
      <c r="T2200" s="340" t="str">
        <f t="shared" si="118"/>
        <v>2006FemaleNon-Maori22Hanging, strangulation and suffocation</v>
      </c>
      <c r="U2200">
        <v>2006</v>
      </c>
      <c r="V2200" t="s">
        <v>8</v>
      </c>
      <c r="W2200" t="s">
        <v>19</v>
      </c>
      <c r="X2200">
        <v>22</v>
      </c>
      <c r="Y2200" t="s">
        <v>43</v>
      </c>
      <c r="Z2200">
        <v>11</v>
      </c>
      <c r="AA2200">
        <v>16</v>
      </c>
      <c r="AB2200">
        <v>68.8</v>
      </c>
    </row>
    <row r="2201" spans="10:28">
      <c r="J2201" s="340" t="str">
        <f t="shared" si="117"/>
        <v>2007FemaleNon-Maori213</v>
      </c>
      <c r="K2201">
        <v>2007</v>
      </c>
      <c r="L2201" t="s">
        <v>8</v>
      </c>
      <c r="M2201" t="s">
        <v>19</v>
      </c>
      <c r="N2201">
        <v>21</v>
      </c>
      <c r="O2201">
        <v>3</v>
      </c>
      <c r="P2201">
        <v>0</v>
      </c>
      <c r="Q2201">
        <v>0</v>
      </c>
      <c r="T2201" s="340" t="str">
        <f t="shared" si="118"/>
        <v>2006FemaleNon-Maori23Hanging, strangulation and suffocation</v>
      </c>
      <c r="U2201">
        <v>2006</v>
      </c>
      <c r="V2201" t="s">
        <v>8</v>
      </c>
      <c r="W2201" t="s">
        <v>19</v>
      </c>
      <c r="X2201">
        <v>23</v>
      </c>
      <c r="Y2201" t="s">
        <v>43</v>
      </c>
      <c r="Z2201">
        <v>20</v>
      </c>
      <c r="AA2201">
        <v>42</v>
      </c>
      <c r="AB2201">
        <v>47.6</v>
      </c>
    </row>
    <row r="2202" spans="10:28">
      <c r="J2202" s="340" t="str">
        <f t="shared" si="117"/>
        <v>2007FemaleNon-Maori214</v>
      </c>
      <c r="K2202">
        <v>2007</v>
      </c>
      <c r="L2202" t="s">
        <v>8</v>
      </c>
      <c r="M2202" t="s">
        <v>19</v>
      </c>
      <c r="N2202">
        <v>21</v>
      </c>
      <c r="O2202">
        <v>4</v>
      </c>
      <c r="P2202">
        <v>0</v>
      </c>
      <c r="Q2202">
        <v>0</v>
      </c>
      <c r="T2202" s="340" t="str">
        <f t="shared" si="118"/>
        <v>2006FemaleNon-Maori24Hanging, strangulation and suffocation</v>
      </c>
      <c r="U2202">
        <v>2006</v>
      </c>
      <c r="V2202" t="s">
        <v>8</v>
      </c>
      <c r="W2202" t="s">
        <v>19</v>
      </c>
      <c r="X2202">
        <v>24</v>
      </c>
      <c r="Y2202" t="s">
        <v>43</v>
      </c>
      <c r="Z2202">
        <v>11</v>
      </c>
      <c r="AA2202">
        <v>29</v>
      </c>
      <c r="AB2202">
        <v>37.9</v>
      </c>
    </row>
    <row r="2203" spans="10:28">
      <c r="J2203" s="340" t="str">
        <f t="shared" si="117"/>
        <v>2007FemaleNon-Maori215</v>
      </c>
      <c r="K2203">
        <v>2007</v>
      </c>
      <c r="L2203" t="s">
        <v>8</v>
      </c>
      <c r="M2203" t="s">
        <v>19</v>
      </c>
      <c r="N2203">
        <v>21</v>
      </c>
      <c r="O2203">
        <v>5</v>
      </c>
      <c r="P2203">
        <v>0</v>
      </c>
      <c r="Q2203">
        <v>0</v>
      </c>
      <c r="T2203" s="340" t="str">
        <f t="shared" si="118"/>
        <v>2006FemaleNon-Maori25Hanging, strangulation and suffocation</v>
      </c>
      <c r="U2203">
        <v>2006</v>
      </c>
      <c r="V2203" t="s">
        <v>8</v>
      </c>
      <c r="W2203" t="s">
        <v>19</v>
      </c>
      <c r="X2203">
        <v>25</v>
      </c>
      <c r="Y2203" t="s">
        <v>43</v>
      </c>
      <c r="Z2203">
        <v>8</v>
      </c>
      <c r="AA2203">
        <v>17</v>
      </c>
      <c r="AB2203">
        <v>47.1</v>
      </c>
    </row>
    <row r="2204" spans="10:28">
      <c r="J2204" s="340" t="str">
        <f t="shared" si="117"/>
        <v>2007FemaleNon-Maori221</v>
      </c>
      <c r="K2204">
        <v>2007</v>
      </c>
      <c r="L2204" t="s">
        <v>8</v>
      </c>
      <c r="M2204" t="s">
        <v>19</v>
      </c>
      <c r="N2204">
        <v>22</v>
      </c>
      <c r="O2204">
        <v>1</v>
      </c>
      <c r="P2204">
        <v>2</v>
      </c>
      <c r="Q2204">
        <v>4.4471175324715402</v>
      </c>
      <c r="R2204">
        <v>6.2</v>
      </c>
      <c r="T2204" s="340" t="str">
        <f t="shared" si="118"/>
        <v>2006FemaleNon-Maori23Jumping from a high place</v>
      </c>
      <c r="U2204">
        <v>2006</v>
      </c>
      <c r="V2204" t="s">
        <v>8</v>
      </c>
      <c r="W2204" t="s">
        <v>19</v>
      </c>
      <c r="X2204">
        <v>23</v>
      </c>
      <c r="Y2204" t="s">
        <v>44</v>
      </c>
      <c r="Z2204">
        <v>1</v>
      </c>
      <c r="AA2204">
        <v>42</v>
      </c>
      <c r="AB2204">
        <v>2.4</v>
      </c>
    </row>
    <row r="2205" spans="10:28">
      <c r="J2205" s="340" t="str">
        <f t="shared" si="117"/>
        <v>2007FemaleNon-Maori222</v>
      </c>
      <c r="K2205">
        <v>2007</v>
      </c>
      <c r="L2205" t="s">
        <v>8</v>
      </c>
      <c r="M2205" t="s">
        <v>19</v>
      </c>
      <c r="N2205">
        <v>22</v>
      </c>
      <c r="O2205">
        <v>2</v>
      </c>
      <c r="P2205">
        <v>2</v>
      </c>
      <c r="Q2205">
        <v>4.3029624286742703</v>
      </c>
      <c r="R2205">
        <v>6</v>
      </c>
      <c r="T2205" s="340" t="str">
        <f t="shared" si="118"/>
        <v>2006FemaleNon-Maori25Jumping from a high place</v>
      </c>
      <c r="U2205">
        <v>2006</v>
      </c>
      <c r="V2205" t="s">
        <v>8</v>
      </c>
      <c r="W2205" t="s">
        <v>19</v>
      </c>
      <c r="X2205">
        <v>25</v>
      </c>
      <c r="Y2205" t="s">
        <v>44</v>
      </c>
      <c r="Z2205">
        <v>2</v>
      </c>
      <c r="AA2205">
        <v>17</v>
      </c>
      <c r="AB2205">
        <v>11.8</v>
      </c>
    </row>
    <row r="2206" spans="10:28">
      <c r="J2206" s="340" t="str">
        <f t="shared" si="117"/>
        <v>2007FemaleNon-Maori223</v>
      </c>
      <c r="K2206">
        <v>2007</v>
      </c>
      <c r="L2206" t="s">
        <v>8</v>
      </c>
      <c r="M2206" t="s">
        <v>19</v>
      </c>
      <c r="N2206">
        <v>22</v>
      </c>
      <c r="O2206">
        <v>3</v>
      </c>
      <c r="P2206">
        <v>3</v>
      </c>
      <c r="Q2206">
        <v>6.2106859762397999</v>
      </c>
      <c r="R2206">
        <v>7</v>
      </c>
      <c r="T2206" s="340" t="str">
        <f t="shared" si="118"/>
        <v>2006FemaleNon-Maori23Other</v>
      </c>
      <c r="U2206">
        <v>2006</v>
      </c>
      <c r="V2206" t="s">
        <v>8</v>
      </c>
      <c r="W2206" t="s">
        <v>19</v>
      </c>
      <c r="X2206">
        <v>23</v>
      </c>
      <c r="Y2206" t="s">
        <v>45</v>
      </c>
      <c r="Z2206">
        <v>1</v>
      </c>
      <c r="AA2206">
        <v>42</v>
      </c>
      <c r="AB2206">
        <v>2.4</v>
      </c>
    </row>
    <row r="2207" spans="10:28">
      <c r="J2207" s="340" t="str">
        <f t="shared" si="117"/>
        <v>2007FemaleNon-Maori224</v>
      </c>
      <c r="K2207">
        <v>2007</v>
      </c>
      <c r="L2207" t="s">
        <v>8</v>
      </c>
      <c r="M2207" t="s">
        <v>19</v>
      </c>
      <c r="N2207">
        <v>22</v>
      </c>
      <c r="O2207">
        <v>4</v>
      </c>
      <c r="P2207">
        <v>4</v>
      </c>
      <c r="Q2207">
        <v>8.0086528718434007</v>
      </c>
      <c r="R2207">
        <v>7.8</v>
      </c>
      <c r="T2207" s="340" t="str">
        <f t="shared" si="118"/>
        <v>2006FemaleNon-Maori24Other</v>
      </c>
      <c r="U2207">
        <v>2006</v>
      </c>
      <c r="V2207" t="s">
        <v>8</v>
      </c>
      <c r="W2207" t="s">
        <v>19</v>
      </c>
      <c r="X2207">
        <v>24</v>
      </c>
      <c r="Y2207" t="s">
        <v>45</v>
      </c>
      <c r="Z2207">
        <v>1</v>
      </c>
      <c r="AA2207">
        <v>29</v>
      </c>
      <c r="AB2207">
        <v>3.4</v>
      </c>
    </row>
    <row r="2208" spans="10:28">
      <c r="J2208" s="340" t="str">
        <f t="shared" si="117"/>
        <v>2007FemaleNon-Maori225</v>
      </c>
      <c r="K2208">
        <v>2007</v>
      </c>
      <c r="L2208" t="s">
        <v>8</v>
      </c>
      <c r="M2208" t="s">
        <v>19</v>
      </c>
      <c r="N2208">
        <v>22</v>
      </c>
      <c r="O2208">
        <v>5</v>
      </c>
      <c r="P2208">
        <v>2</v>
      </c>
      <c r="Q2208">
        <v>3.93100137923392</v>
      </c>
      <c r="R2208">
        <v>5.4</v>
      </c>
      <c r="T2208" s="340" t="str">
        <f t="shared" si="118"/>
        <v>2006FemaleNon-Maori25Other</v>
      </c>
      <c r="U2208">
        <v>2006</v>
      </c>
      <c r="V2208" t="s">
        <v>8</v>
      </c>
      <c r="W2208" t="s">
        <v>19</v>
      </c>
      <c r="X2208">
        <v>25</v>
      </c>
      <c r="Y2208" t="s">
        <v>45</v>
      </c>
      <c r="Z2208">
        <v>1</v>
      </c>
      <c r="AA2208">
        <v>17</v>
      </c>
      <c r="AB2208">
        <v>5.9</v>
      </c>
    </row>
    <row r="2209" spans="10:28">
      <c r="J2209" s="340" t="str">
        <f t="shared" si="117"/>
        <v>2007FemaleNon-Maori231</v>
      </c>
      <c r="K2209">
        <v>2007</v>
      </c>
      <c r="L2209" t="s">
        <v>8</v>
      </c>
      <c r="M2209" t="s">
        <v>19</v>
      </c>
      <c r="N2209">
        <v>23</v>
      </c>
      <c r="O2209">
        <v>1</v>
      </c>
      <c r="P2209">
        <v>6</v>
      </c>
      <c r="Q2209">
        <v>5.19996486291606</v>
      </c>
      <c r="R2209">
        <v>4.2</v>
      </c>
      <c r="T2209" s="340" t="str">
        <f t="shared" si="118"/>
        <v>2006FemaleNon-Maori22Poisoning by gases and vapours</v>
      </c>
      <c r="U2209">
        <v>2006</v>
      </c>
      <c r="V2209" t="s">
        <v>8</v>
      </c>
      <c r="W2209" t="s">
        <v>19</v>
      </c>
      <c r="X2209">
        <v>22</v>
      </c>
      <c r="Y2209" t="s">
        <v>46</v>
      </c>
      <c r="Z2209">
        <v>2</v>
      </c>
      <c r="AA2209">
        <v>16</v>
      </c>
      <c r="AB2209">
        <v>12.5</v>
      </c>
    </row>
    <row r="2210" spans="10:28">
      <c r="J2210" s="340" t="str">
        <f t="shared" si="117"/>
        <v>2007FemaleNon-Maori232</v>
      </c>
      <c r="K2210">
        <v>2007</v>
      </c>
      <c r="L2210" t="s">
        <v>8</v>
      </c>
      <c r="M2210" t="s">
        <v>19</v>
      </c>
      <c r="N2210">
        <v>23</v>
      </c>
      <c r="O2210">
        <v>2</v>
      </c>
      <c r="P2210">
        <v>10</v>
      </c>
      <c r="Q2210">
        <v>8.5761959076571799</v>
      </c>
      <c r="R2210">
        <v>5.3</v>
      </c>
      <c r="T2210" s="340" t="str">
        <f t="shared" si="118"/>
        <v>2006FemaleNon-Maori23Poisoning by gases and vapours</v>
      </c>
      <c r="U2210">
        <v>2006</v>
      </c>
      <c r="V2210" t="s">
        <v>8</v>
      </c>
      <c r="W2210" t="s">
        <v>19</v>
      </c>
      <c r="X2210">
        <v>23</v>
      </c>
      <c r="Y2210" t="s">
        <v>46</v>
      </c>
      <c r="Z2210">
        <v>6</v>
      </c>
      <c r="AA2210">
        <v>42</v>
      </c>
      <c r="AB2210">
        <v>14.3</v>
      </c>
    </row>
    <row r="2211" spans="10:28">
      <c r="J2211" s="340" t="str">
        <f t="shared" si="117"/>
        <v>2007FemaleNon-Maori233</v>
      </c>
      <c r="K2211">
        <v>2007</v>
      </c>
      <c r="L2211" t="s">
        <v>8</v>
      </c>
      <c r="M2211" t="s">
        <v>19</v>
      </c>
      <c r="N2211">
        <v>23</v>
      </c>
      <c r="O2211">
        <v>3</v>
      </c>
      <c r="P2211">
        <v>7</v>
      </c>
      <c r="Q2211">
        <v>6.3169976168452804</v>
      </c>
      <c r="R2211">
        <v>4.7</v>
      </c>
      <c r="T2211" s="340" t="str">
        <f t="shared" si="118"/>
        <v>2006FemaleNon-Maori24Poisoning by gases and vapours</v>
      </c>
      <c r="U2211">
        <v>2006</v>
      </c>
      <c r="V2211" t="s">
        <v>8</v>
      </c>
      <c r="W2211" t="s">
        <v>19</v>
      </c>
      <c r="X2211">
        <v>24</v>
      </c>
      <c r="Y2211" t="s">
        <v>46</v>
      </c>
      <c r="Z2211">
        <v>6</v>
      </c>
      <c r="AA2211">
        <v>29</v>
      </c>
      <c r="AB2211">
        <v>20.7</v>
      </c>
    </row>
    <row r="2212" spans="10:28">
      <c r="J2212" s="340" t="str">
        <f t="shared" si="117"/>
        <v>2007FemaleNon-Maori234</v>
      </c>
      <c r="K2212">
        <v>2007</v>
      </c>
      <c r="L2212" t="s">
        <v>8</v>
      </c>
      <c r="M2212" t="s">
        <v>19</v>
      </c>
      <c r="N2212">
        <v>23</v>
      </c>
      <c r="O2212">
        <v>4</v>
      </c>
      <c r="P2212">
        <v>6</v>
      </c>
      <c r="Q2212">
        <v>5.9654306589360804</v>
      </c>
      <c r="R2212">
        <v>4.8</v>
      </c>
      <c r="T2212" s="340" t="str">
        <f t="shared" si="118"/>
        <v>2006FemaleNon-Maori25Poisoning by gases and vapours</v>
      </c>
      <c r="U2212">
        <v>2006</v>
      </c>
      <c r="V2212" t="s">
        <v>8</v>
      </c>
      <c r="W2212" t="s">
        <v>19</v>
      </c>
      <c r="X2212">
        <v>25</v>
      </c>
      <c r="Y2212" t="s">
        <v>46</v>
      </c>
      <c r="Z2212">
        <v>2</v>
      </c>
      <c r="AA2212">
        <v>17</v>
      </c>
      <c r="AB2212">
        <v>11.8</v>
      </c>
    </row>
    <row r="2213" spans="10:28">
      <c r="J2213" s="340" t="str">
        <f t="shared" si="117"/>
        <v>2007FemaleNon-Maori235</v>
      </c>
      <c r="K2213">
        <v>2007</v>
      </c>
      <c r="L2213" t="s">
        <v>8</v>
      </c>
      <c r="M2213" t="s">
        <v>19</v>
      </c>
      <c r="N2213">
        <v>23</v>
      </c>
      <c r="O2213">
        <v>5</v>
      </c>
      <c r="P2213">
        <v>7</v>
      </c>
      <c r="Q2213">
        <v>8.9284392878069099</v>
      </c>
      <c r="R2213">
        <v>6.6</v>
      </c>
      <c r="T2213" s="340" t="str">
        <f t="shared" si="118"/>
        <v>2006FemaleNon-Maori22Poisoning by solids and liquids</v>
      </c>
      <c r="U2213">
        <v>2006</v>
      </c>
      <c r="V2213" t="s">
        <v>8</v>
      </c>
      <c r="W2213" t="s">
        <v>19</v>
      </c>
      <c r="X2213">
        <v>22</v>
      </c>
      <c r="Y2213" t="s">
        <v>47</v>
      </c>
      <c r="Z2213">
        <v>2</v>
      </c>
      <c r="AA2213">
        <v>16</v>
      </c>
      <c r="AB2213">
        <v>12.5</v>
      </c>
    </row>
    <row r="2214" spans="10:28">
      <c r="J2214" s="340" t="str">
        <f t="shared" si="117"/>
        <v>2007FemaleNon-Maori241</v>
      </c>
      <c r="K2214">
        <v>2007</v>
      </c>
      <c r="L2214" t="s">
        <v>8</v>
      </c>
      <c r="M2214" t="s">
        <v>19</v>
      </c>
      <c r="N2214">
        <v>24</v>
      </c>
      <c r="O2214">
        <v>1</v>
      </c>
      <c r="P2214">
        <v>6</v>
      </c>
      <c r="Q2214">
        <v>4.8637580619030798</v>
      </c>
      <c r="R2214">
        <v>3.9</v>
      </c>
      <c r="T2214" s="340" t="str">
        <f t="shared" si="118"/>
        <v>2006FemaleNon-Maori23Poisoning by solids and liquids</v>
      </c>
      <c r="U2214">
        <v>2006</v>
      </c>
      <c r="V2214" t="s">
        <v>8</v>
      </c>
      <c r="W2214" t="s">
        <v>19</v>
      </c>
      <c r="X2214">
        <v>23</v>
      </c>
      <c r="Y2214" t="s">
        <v>47</v>
      </c>
      <c r="Z2214">
        <v>11</v>
      </c>
      <c r="AA2214">
        <v>42</v>
      </c>
      <c r="AB2214">
        <v>26.2</v>
      </c>
    </row>
    <row r="2215" spans="10:28">
      <c r="J2215" s="340" t="str">
        <f t="shared" si="117"/>
        <v>2007FemaleNon-Maori242</v>
      </c>
      <c r="K2215">
        <v>2007</v>
      </c>
      <c r="L2215" t="s">
        <v>8</v>
      </c>
      <c r="M2215" t="s">
        <v>19</v>
      </c>
      <c r="N2215">
        <v>24</v>
      </c>
      <c r="O2215">
        <v>2</v>
      </c>
      <c r="P2215">
        <v>6</v>
      </c>
      <c r="Q2215">
        <v>5.5699001469908698</v>
      </c>
      <c r="R2215">
        <v>4.5</v>
      </c>
      <c r="T2215" s="340" t="str">
        <f t="shared" si="118"/>
        <v>2006FemaleNon-Maori24Poisoning by solids and liquids</v>
      </c>
      <c r="U2215">
        <v>2006</v>
      </c>
      <c r="V2215" t="s">
        <v>8</v>
      </c>
      <c r="W2215" t="s">
        <v>19</v>
      </c>
      <c r="X2215">
        <v>24</v>
      </c>
      <c r="Y2215" t="s">
        <v>47</v>
      </c>
      <c r="Z2215">
        <v>7</v>
      </c>
      <c r="AA2215">
        <v>29</v>
      </c>
      <c r="AB2215">
        <v>24.1</v>
      </c>
    </row>
    <row r="2216" spans="10:28">
      <c r="J2216" s="340" t="str">
        <f t="shared" si="117"/>
        <v>2007FemaleNon-Maori243</v>
      </c>
      <c r="K2216">
        <v>2007</v>
      </c>
      <c r="L2216" t="s">
        <v>8</v>
      </c>
      <c r="M2216" t="s">
        <v>19</v>
      </c>
      <c r="N2216">
        <v>24</v>
      </c>
      <c r="O2216">
        <v>3</v>
      </c>
      <c r="P2216">
        <v>9</v>
      </c>
      <c r="Q2216">
        <v>9.4956884270675506</v>
      </c>
      <c r="R2216">
        <v>6.2</v>
      </c>
      <c r="T2216" s="340" t="str">
        <f t="shared" si="118"/>
        <v>2006FemaleNon-Maori25Poisoning by solids and liquids</v>
      </c>
      <c r="U2216">
        <v>2006</v>
      </c>
      <c r="V2216" t="s">
        <v>8</v>
      </c>
      <c r="W2216" t="s">
        <v>19</v>
      </c>
      <c r="X2216">
        <v>25</v>
      </c>
      <c r="Y2216" t="s">
        <v>47</v>
      </c>
      <c r="Z2216">
        <v>3</v>
      </c>
      <c r="AA2216">
        <v>17</v>
      </c>
      <c r="AB2216">
        <v>17.600000000000001</v>
      </c>
    </row>
    <row r="2217" spans="10:28">
      <c r="J2217" s="340" t="str">
        <f t="shared" si="117"/>
        <v>2007FemaleNon-Maori244</v>
      </c>
      <c r="K2217">
        <v>2007</v>
      </c>
      <c r="L2217" t="s">
        <v>8</v>
      </c>
      <c r="M2217" t="s">
        <v>19</v>
      </c>
      <c r="N2217">
        <v>24</v>
      </c>
      <c r="O2217">
        <v>4</v>
      </c>
      <c r="P2217">
        <v>7</v>
      </c>
      <c r="Q2217">
        <v>8.5501696598585095</v>
      </c>
      <c r="R2217">
        <v>6.3</v>
      </c>
      <c r="T2217" s="340" t="str">
        <f t="shared" si="118"/>
        <v>2006FemaleNon-Maori23Sharp object</v>
      </c>
      <c r="U2217">
        <v>2006</v>
      </c>
      <c r="V2217" t="s">
        <v>8</v>
      </c>
      <c r="W2217" t="s">
        <v>19</v>
      </c>
      <c r="X2217">
        <v>23</v>
      </c>
      <c r="Y2217" t="s">
        <v>48</v>
      </c>
      <c r="Z2217">
        <v>1</v>
      </c>
      <c r="AA2217">
        <v>42</v>
      </c>
      <c r="AB2217">
        <v>2.4</v>
      </c>
    </row>
    <row r="2218" spans="10:28">
      <c r="J2218" s="340" t="str">
        <f t="shared" si="117"/>
        <v>2007FemaleNon-Maori245</v>
      </c>
      <c r="K2218">
        <v>2007</v>
      </c>
      <c r="L2218" t="s">
        <v>8</v>
      </c>
      <c r="M2218" t="s">
        <v>19</v>
      </c>
      <c r="N2218">
        <v>24</v>
      </c>
      <c r="O2218">
        <v>5</v>
      </c>
      <c r="P2218">
        <v>7</v>
      </c>
      <c r="Q2218">
        <v>11.582277598072601</v>
      </c>
      <c r="R2218">
        <v>8.6</v>
      </c>
      <c r="T2218" s="340" t="str">
        <f t="shared" si="118"/>
        <v>2006FemaleNon-Maori24Submersion (drowning)</v>
      </c>
      <c r="U2218">
        <v>2006</v>
      </c>
      <c r="V2218" t="s">
        <v>8</v>
      </c>
      <c r="W2218" t="s">
        <v>19</v>
      </c>
      <c r="X2218">
        <v>24</v>
      </c>
      <c r="Y2218" t="s">
        <v>49</v>
      </c>
      <c r="Z2218">
        <v>1</v>
      </c>
      <c r="AA2218">
        <v>29</v>
      </c>
      <c r="AB2218">
        <v>3.4</v>
      </c>
    </row>
    <row r="2219" spans="10:28">
      <c r="J2219" s="340" t="str">
        <f t="shared" si="117"/>
        <v>2007FemaleNon-Maori251</v>
      </c>
      <c r="K2219">
        <v>2007</v>
      </c>
      <c r="L2219" t="s">
        <v>8</v>
      </c>
      <c r="M2219" t="s">
        <v>19</v>
      </c>
      <c r="N2219">
        <v>25</v>
      </c>
      <c r="O2219">
        <v>1</v>
      </c>
      <c r="P2219">
        <v>3</v>
      </c>
      <c r="Q2219">
        <v>5.7445457709296104</v>
      </c>
      <c r="R2219">
        <v>6.5</v>
      </c>
      <c r="T2219" s="340" t="str">
        <f t="shared" si="118"/>
        <v>2006FemaleNon-Maori25Submersion (drowning)</v>
      </c>
      <c r="U2219">
        <v>2006</v>
      </c>
      <c r="V2219" t="s">
        <v>8</v>
      </c>
      <c r="W2219" t="s">
        <v>19</v>
      </c>
      <c r="X2219">
        <v>25</v>
      </c>
      <c r="Y2219" t="s">
        <v>49</v>
      </c>
      <c r="Z2219">
        <v>1</v>
      </c>
      <c r="AA2219">
        <v>17</v>
      </c>
      <c r="AB2219">
        <v>5.9</v>
      </c>
    </row>
    <row r="2220" spans="10:28">
      <c r="J2220" s="340" t="str">
        <f t="shared" si="117"/>
        <v>2007FemaleNon-Maori252</v>
      </c>
      <c r="K2220">
        <v>2007</v>
      </c>
      <c r="L2220" t="s">
        <v>8</v>
      </c>
      <c r="M2220" t="s">
        <v>19</v>
      </c>
      <c r="N2220">
        <v>25</v>
      </c>
      <c r="O2220">
        <v>2</v>
      </c>
      <c r="P2220">
        <v>1</v>
      </c>
      <c r="Q2220">
        <v>1.7277404681051101</v>
      </c>
      <c r="R2220">
        <v>3.4</v>
      </c>
      <c r="T2220" s="340" t="str">
        <f t="shared" si="118"/>
        <v>2006MaleAllEth22Firearms and explosives</v>
      </c>
      <c r="U2220">
        <v>2006</v>
      </c>
      <c r="V2220" t="s">
        <v>20</v>
      </c>
      <c r="W2220" t="s">
        <v>27</v>
      </c>
      <c r="X2220">
        <v>22</v>
      </c>
      <c r="Y2220" t="s">
        <v>42</v>
      </c>
      <c r="Z2220">
        <v>5</v>
      </c>
      <c r="AA2220">
        <v>95</v>
      </c>
      <c r="AB2220">
        <v>5.3</v>
      </c>
    </row>
    <row r="2221" spans="10:28">
      <c r="J2221" s="340" t="str">
        <f t="shared" si="117"/>
        <v>2007FemaleNon-Maori253</v>
      </c>
      <c r="K2221">
        <v>2007</v>
      </c>
      <c r="L2221" t="s">
        <v>8</v>
      </c>
      <c r="M2221" t="s">
        <v>19</v>
      </c>
      <c r="N2221">
        <v>25</v>
      </c>
      <c r="O2221">
        <v>3</v>
      </c>
      <c r="P2221">
        <v>0</v>
      </c>
      <c r="Q2221">
        <v>0</v>
      </c>
      <c r="T2221" s="340" t="str">
        <f t="shared" si="118"/>
        <v>2006MaleAllEth23Firearms and explosives</v>
      </c>
      <c r="U2221">
        <v>2006</v>
      </c>
      <c r="V2221" t="s">
        <v>20</v>
      </c>
      <c r="W2221" t="s">
        <v>27</v>
      </c>
      <c r="X2221">
        <v>23</v>
      </c>
      <c r="Y2221" t="s">
        <v>42</v>
      </c>
      <c r="Z2221">
        <v>14</v>
      </c>
      <c r="AA2221">
        <v>147</v>
      </c>
      <c r="AB2221">
        <v>9.5</v>
      </c>
    </row>
    <row r="2222" spans="10:28">
      <c r="J2222" s="340" t="str">
        <f t="shared" si="117"/>
        <v>2007FemaleNon-Maori254</v>
      </c>
      <c r="K2222">
        <v>2007</v>
      </c>
      <c r="L2222" t="s">
        <v>8</v>
      </c>
      <c r="M2222" t="s">
        <v>19</v>
      </c>
      <c r="N2222">
        <v>25</v>
      </c>
      <c r="O2222">
        <v>4</v>
      </c>
      <c r="P2222">
        <v>1</v>
      </c>
      <c r="Q2222">
        <v>1.63364519901368</v>
      </c>
      <c r="R2222">
        <v>3.2</v>
      </c>
      <c r="T2222" s="340" t="str">
        <f t="shared" si="118"/>
        <v>2006MaleAllEth24Firearms and explosives</v>
      </c>
      <c r="U2222">
        <v>2006</v>
      </c>
      <c r="V2222" t="s">
        <v>20</v>
      </c>
      <c r="W2222" t="s">
        <v>27</v>
      </c>
      <c r="X2222">
        <v>24</v>
      </c>
      <c r="Y2222" t="s">
        <v>42</v>
      </c>
      <c r="Z2222">
        <v>18</v>
      </c>
      <c r="AA2222">
        <v>110</v>
      </c>
      <c r="AB2222">
        <v>16.399999999999999</v>
      </c>
    </row>
    <row r="2223" spans="10:28">
      <c r="J2223" s="340" t="str">
        <f t="shared" si="117"/>
        <v>2007FemaleNon-Maori255</v>
      </c>
      <c r="K2223">
        <v>2007</v>
      </c>
      <c r="L2223" t="s">
        <v>8</v>
      </c>
      <c r="M2223" t="s">
        <v>19</v>
      </c>
      <c r="N2223">
        <v>25</v>
      </c>
      <c r="O2223">
        <v>5</v>
      </c>
      <c r="P2223">
        <v>3</v>
      </c>
      <c r="Q2223">
        <v>7.0736288001433296</v>
      </c>
      <c r="R2223">
        <v>8</v>
      </c>
      <c r="T2223" s="340" t="str">
        <f t="shared" si="118"/>
        <v>2006MaleAllEth25Firearms and explosives</v>
      </c>
      <c r="U2223">
        <v>2006</v>
      </c>
      <c r="V2223" t="s">
        <v>20</v>
      </c>
      <c r="W2223" t="s">
        <v>27</v>
      </c>
      <c r="X2223">
        <v>25</v>
      </c>
      <c r="Y2223" t="s">
        <v>42</v>
      </c>
      <c r="Z2223">
        <v>5</v>
      </c>
      <c r="AA2223">
        <v>33</v>
      </c>
      <c r="AB2223">
        <v>15.2</v>
      </c>
    </row>
    <row r="2224" spans="10:28">
      <c r="J2224" s="340" t="str">
        <f t="shared" si="117"/>
        <v>2007MaleAllEth211</v>
      </c>
      <c r="K2224">
        <v>2007</v>
      </c>
      <c r="L2224" t="s">
        <v>20</v>
      </c>
      <c r="M2224" t="s">
        <v>27</v>
      </c>
      <c r="N2224">
        <v>21</v>
      </c>
      <c r="O2224">
        <v>1</v>
      </c>
      <c r="P2224">
        <v>0</v>
      </c>
      <c r="Q2224">
        <v>0</v>
      </c>
      <c r="T2224" s="340" t="str">
        <f t="shared" si="118"/>
        <v>2006MaleAllEth21Hanging, strangulation and suffocation</v>
      </c>
      <c r="U2224">
        <v>2006</v>
      </c>
      <c r="V2224" t="s">
        <v>20</v>
      </c>
      <c r="W2224" t="s">
        <v>27</v>
      </c>
      <c r="X2224">
        <v>21</v>
      </c>
      <c r="Y2224" t="s">
        <v>43</v>
      </c>
      <c r="Z2224">
        <v>2</v>
      </c>
      <c r="AA2224">
        <v>2</v>
      </c>
      <c r="AB2224">
        <v>100</v>
      </c>
    </row>
    <row r="2225" spans="10:28">
      <c r="J2225" s="340" t="str">
        <f t="shared" si="117"/>
        <v>2007MaleAllEth212</v>
      </c>
      <c r="K2225">
        <v>2007</v>
      </c>
      <c r="L2225" t="s">
        <v>20</v>
      </c>
      <c r="M2225" t="s">
        <v>27</v>
      </c>
      <c r="N2225">
        <v>21</v>
      </c>
      <c r="O2225">
        <v>2</v>
      </c>
      <c r="P2225">
        <v>0</v>
      </c>
      <c r="Q2225">
        <v>0</v>
      </c>
      <c r="T2225" s="340" t="str">
        <f t="shared" si="118"/>
        <v>2006MaleAllEth22Hanging, strangulation and suffocation</v>
      </c>
      <c r="U2225">
        <v>2006</v>
      </c>
      <c r="V2225" t="s">
        <v>20</v>
      </c>
      <c r="W2225" t="s">
        <v>27</v>
      </c>
      <c r="X2225">
        <v>22</v>
      </c>
      <c r="Y2225" t="s">
        <v>43</v>
      </c>
      <c r="Z2225">
        <v>70</v>
      </c>
      <c r="AA2225">
        <v>95</v>
      </c>
      <c r="AB2225">
        <v>73.7</v>
      </c>
    </row>
    <row r="2226" spans="10:28">
      <c r="J2226" s="340" t="str">
        <f t="shared" si="117"/>
        <v>2007MaleAllEth213</v>
      </c>
      <c r="K2226">
        <v>2007</v>
      </c>
      <c r="L2226" t="s">
        <v>20</v>
      </c>
      <c r="M2226" t="s">
        <v>27</v>
      </c>
      <c r="N2226">
        <v>21</v>
      </c>
      <c r="O2226">
        <v>3</v>
      </c>
      <c r="P2226">
        <v>1</v>
      </c>
      <c r="Q2226">
        <v>1.19493274737799</v>
      </c>
      <c r="R2226">
        <v>2.2999999999999998</v>
      </c>
      <c r="T2226" s="340" t="str">
        <f t="shared" si="118"/>
        <v>2006MaleAllEth23Hanging, strangulation and suffocation</v>
      </c>
      <c r="U2226">
        <v>2006</v>
      </c>
      <c r="V2226" t="s">
        <v>20</v>
      </c>
      <c r="W2226" t="s">
        <v>27</v>
      </c>
      <c r="X2226">
        <v>23</v>
      </c>
      <c r="Y2226" t="s">
        <v>43</v>
      </c>
      <c r="Z2226">
        <v>84</v>
      </c>
      <c r="AA2226">
        <v>147</v>
      </c>
      <c r="AB2226">
        <v>57.1</v>
      </c>
    </row>
    <row r="2227" spans="10:28">
      <c r="J2227" s="340" t="str">
        <f t="shared" si="117"/>
        <v>2007MaleAllEth214</v>
      </c>
      <c r="K2227">
        <v>2007</v>
      </c>
      <c r="L2227" t="s">
        <v>20</v>
      </c>
      <c r="M2227" t="s">
        <v>27</v>
      </c>
      <c r="N2227">
        <v>21</v>
      </c>
      <c r="O2227">
        <v>4</v>
      </c>
      <c r="P2227">
        <v>0</v>
      </c>
      <c r="Q2227">
        <v>0</v>
      </c>
      <c r="T2227" s="340" t="str">
        <f t="shared" si="118"/>
        <v>2006MaleAllEth24Hanging, strangulation and suffocation</v>
      </c>
      <c r="U2227">
        <v>2006</v>
      </c>
      <c r="V2227" t="s">
        <v>20</v>
      </c>
      <c r="W2227" t="s">
        <v>27</v>
      </c>
      <c r="X2227">
        <v>24</v>
      </c>
      <c r="Y2227" t="s">
        <v>43</v>
      </c>
      <c r="Z2227">
        <v>44</v>
      </c>
      <c r="AA2227">
        <v>110</v>
      </c>
      <c r="AB2227">
        <v>40</v>
      </c>
    </row>
    <row r="2228" spans="10:28">
      <c r="J2228" s="340" t="str">
        <f t="shared" si="117"/>
        <v>2007MaleAllEth215</v>
      </c>
      <c r="K2228">
        <v>2007</v>
      </c>
      <c r="L2228" t="s">
        <v>20</v>
      </c>
      <c r="M2228" t="s">
        <v>27</v>
      </c>
      <c r="N2228">
        <v>21</v>
      </c>
      <c r="O2228">
        <v>5</v>
      </c>
      <c r="P2228">
        <v>0</v>
      </c>
      <c r="Q2228">
        <v>0</v>
      </c>
      <c r="T2228" s="340" t="str">
        <f t="shared" si="118"/>
        <v>2006MaleAllEth25Hanging, strangulation and suffocation</v>
      </c>
      <c r="U2228">
        <v>2006</v>
      </c>
      <c r="V2228" t="s">
        <v>20</v>
      </c>
      <c r="W2228" t="s">
        <v>27</v>
      </c>
      <c r="X2228">
        <v>25</v>
      </c>
      <c r="Y2228" t="s">
        <v>43</v>
      </c>
      <c r="Z2228">
        <v>12</v>
      </c>
      <c r="AA2228">
        <v>33</v>
      </c>
      <c r="AB2228">
        <v>36.4</v>
      </c>
    </row>
    <row r="2229" spans="10:28">
      <c r="J2229" s="340" t="str">
        <f t="shared" si="117"/>
        <v>2007MaleAllEth221</v>
      </c>
      <c r="K2229">
        <v>2007</v>
      </c>
      <c r="L2229" t="s">
        <v>20</v>
      </c>
      <c r="M2229" t="s">
        <v>27</v>
      </c>
      <c r="N2229">
        <v>22</v>
      </c>
      <c r="O2229">
        <v>1</v>
      </c>
      <c r="P2229">
        <v>10</v>
      </c>
      <c r="Q2229">
        <v>18.879210028383</v>
      </c>
      <c r="R2229">
        <v>11.7</v>
      </c>
      <c r="T2229" s="340" t="str">
        <f t="shared" si="118"/>
        <v>2006MaleAllEth22Jumping from a high place</v>
      </c>
      <c r="U2229">
        <v>2006</v>
      </c>
      <c r="V2229" t="s">
        <v>20</v>
      </c>
      <c r="W2229" t="s">
        <v>27</v>
      </c>
      <c r="X2229">
        <v>22</v>
      </c>
      <c r="Y2229" t="s">
        <v>44</v>
      </c>
      <c r="Z2229">
        <v>3</v>
      </c>
      <c r="AA2229">
        <v>95</v>
      </c>
      <c r="AB2229">
        <v>3.2</v>
      </c>
    </row>
    <row r="2230" spans="10:28">
      <c r="J2230" s="340" t="str">
        <f t="shared" si="117"/>
        <v>2007MaleAllEth222</v>
      </c>
      <c r="K2230">
        <v>2007</v>
      </c>
      <c r="L2230" t="s">
        <v>20</v>
      </c>
      <c r="M2230" t="s">
        <v>27</v>
      </c>
      <c r="N2230">
        <v>22</v>
      </c>
      <c r="O2230">
        <v>2</v>
      </c>
      <c r="P2230">
        <v>8</v>
      </c>
      <c r="Q2230">
        <v>14.3068632434926</v>
      </c>
      <c r="R2230">
        <v>9.9</v>
      </c>
      <c r="T2230" s="340" t="str">
        <f t="shared" si="118"/>
        <v>2006MaleAllEth23Jumping from a high place</v>
      </c>
      <c r="U2230">
        <v>2006</v>
      </c>
      <c r="V2230" t="s">
        <v>20</v>
      </c>
      <c r="W2230" t="s">
        <v>27</v>
      </c>
      <c r="X2230">
        <v>23</v>
      </c>
      <c r="Y2230" t="s">
        <v>44</v>
      </c>
      <c r="Z2230">
        <v>2</v>
      </c>
      <c r="AA2230">
        <v>147</v>
      </c>
      <c r="AB2230">
        <v>1.4</v>
      </c>
    </row>
    <row r="2231" spans="10:28">
      <c r="J2231" s="340" t="str">
        <f t="shared" si="117"/>
        <v>2007MaleAllEth223</v>
      </c>
      <c r="K2231">
        <v>2007</v>
      </c>
      <c r="L2231" t="s">
        <v>20</v>
      </c>
      <c r="M2231" t="s">
        <v>27</v>
      </c>
      <c r="N2231">
        <v>22</v>
      </c>
      <c r="O2231">
        <v>3</v>
      </c>
      <c r="P2231">
        <v>14</v>
      </c>
      <c r="Q2231">
        <v>23.554051956752499</v>
      </c>
      <c r="R2231">
        <v>12.3</v>
      </c>
      <c r="T2231" s="340" t="str">
        <f t="shared" si="118"/>
        <v>2006MaleAllEth24Jumping from a high place</v>
      </c>
      <c r="U2231">
        <v>2006</v>
      </c>
      <c r="V2231" t="s">
        <v>20</v>
      </c>
      <c r="W2231" t="s">
        <v>27</v>
      </c>
      <c r="X2231">
        <v>24</v>
      </c>
      <c r="Y2231" t="s">
        <v>44</v>
      </c>
      <c r="Z2231">
        <v>1</v>
      </c>
      <c r="AA2231">
        <v>110</v>
      </c>
      <c r="AB2231">
        <v>0.9</v>
      </c>
    </row>
    <row r="2232" spans="10:28">
      <c r="J2232" s="340" t="str">
        <f t="shared" si="117"/>
        <v>2007MaleAllEth224</v>
      </c>
      <c r="K2232">
        <v>2007</v>
      </c>
      <c r="L2232" t="s">
        <v>20</v>
      </c>
      <c r="M2232" t="s">
        <v>27</v>
      </c>
      <c r="N2232">
        <v>22</v>
      </c>
      <c r="O2232">
        <v>4</v>
      </c>
      <c r="P2232">
        <v>15</v>
      </c>
      <c r="Q2232">
        <v>23.427936660870301</v>
      </c>
      <c r="R2232">
        <v>11.9</v>
      </c>
      <c r="T2232" s="340" t="str">
        <f t="shared" si="118"/>
        <v>2006MaleAllEth22Other</v>
      </c>
      <c r="U2232">
        <v>2006</v>
      </c>
      <c r="V2232" t="s">
        <v>20</v>
      </c>
      <c r="W2232" t="s">
        <v>27</v>
      </c>
      <c r="X2232">
        <v>22</v>
      </c>
      <c r="Y2232" t="s">
        <v>45</v>
      </c>
      <c r="Z2232">
        <v>4</v>
      </c>
      <c r="AA2232">
        <v>95</v>
      </c>
      <c r="AB2232">
        <v>4.2</v>
      </c>
    </row>
    <row r="2233" spans="10:28">
      <c r="J2233" s="340" t="str">
        <f t="shared" si="117"/>
        <v>2007MaleAllEth225</v>
      </c>
      <c r="K2233">
        <v>2007</v>
      </c>
      <c r="L2233" t="s">
        <v>20</v>
      </c>
      <c r="M2233" t="s">
        <v>27</v>
      </c>
      <c r="N2233">
        <v>22</v>
      </c>
      <c r="O2233">
        <v>5</v>
      </c>
      <c r="P2233">
        <v>21</v>
      </c>
      <c r="Q2233">
        <v>28.925387899850001</v>
      </c>
      <c r="R2233">
        <v>12.4</v>
      </c>
      <c r="T2233" s="340" t="str">
        <f t="shared" si="118"/>
        <v>2006MaleAllEth23Other</v>
      </c>
      <c r="U2233">
        <v>2006</v>
      </c>
      <c r="V2233" t="s">
        <v>20</v>
      </c>
      <c r="W2233" t="s">
        <v>27</v>
      </c>
      <c r="X2233">
        <v>23</v>
      </c>
      <c r="Y2233" t="s">
        <v>45</v>
      </c>
      <c r="Z2233">
        <v>6</v>
      </c>
      <c r="AA2233">
        <v>147</v>
      </c>
      <c r="AB2233">
        <v>4.0999999999999996</v>
      </c>
    </row>
    <row r="2234" spans="10:28">
      <c r="J2234" s="340" t="str">
        <f t="shared" si="117"/>
        <v>2007MaleAllEth231</v>
      </c>
      <c r="K2234">
        <v>2007</v>
      </c>
      <c r="L2234" t="s">
        <v>20</v>
      </c>
      <c r="M2234" t="s">
        <v>27</v>
      </c>
      <c r="N2234">
        <v>23</v>
      </c>
      <c r="O2234">
        <v>1</v>
      </c>
      <c r="P2234">
        <v>22</v>
      </c>
      <c r="Q2234">
        <v>20.157859706002501</v>
      </c>
      <c r="R2234">
        <v>8.4</v>
      </c>
      <c r="T2234" s="340" t="str">
        <f t="shared" si="118"/>
        <v>2006MaleAllEth24Other</v>
      </c>
      <c r="U2234">
        <v>2006</v>
      </c>
      <c r="V2234" t="s">
        <v>20</v>
      </c>
      <c r="W2234" t="s">
        <v>27</v>
      </c>
      <c r="X2234">
        <v>24</v>
      </c>
      <c r="Y2234" t="s">
        <v>45</v>
      </c>
      <c r="Z2234">
        <v>4</v>
      </c>
      <c r="AA2234">
        <v>110</v>
      </c>
      <c r="AB2234">
        <v>3.6</v>
      </c>
    </row>
    <row r="2235" spans="10:28">
      <c r="J2235" s="340" t="str">
        <f t="shared" si="117"/>
        <v>2007MaleAllEth232</v>
      </c>
      <c r="K2235">
        <v>2007</v>
      </c>
      <c r="L2235" t="s">
        <v>20</v>
      </c>
      <c r="M2235" t="s">
        <v>27</v>
      </c>
      <c r="N2235">
        <v>23</v>
      </c>
      <c r="O2235">
        <v>2</v>
      </c>
      <c r="P2235">
        <v>20</v>
      </c>
      <c r="Q2235">
        <v>17.187325367741501</v>
      </c>
      <c r="R2235">
        <v>7.5</v>
      </c>
      <c r="T2235" s="340" t="str">
        <f t="shared" si="118"/>
        <v>2006MaleAllEth25Other</v>
      </c>
      <c r="U2235">
        <v>2006</v>
      </c>
      <c r="V2235" t="s">
        <v>20</v>
      </c>
      <c r="W2235" t="s">
        <v>27</v>
      </c>
      <c r="X2235">
        <v>25</v>
      </c>
      <c r="Y2235" t="s">
        <v>45</v>
      </c>
      <c r="Z2235">
        <v>3</v>
      </c>
      <c r="AA2235">
        <v>33</v>
      </c>
      <c r="AB2235">
        <v>9.1</v>
      </c>
    </row>
    <row r="2236" spans="10:28">
      <c r="J2236" s="340" t="str">
        <f t="shared" si="117"/>
        <v>2007MaleAllEth233</v>
      </c>
      <c r="K2236">
        <v>2007</v>
      </c>
      <c r="L2236" t="s">
        <v>20</v>
      </c>
      <c r="M2236" t="s">
        <v>27</v>
      </c>
      <c r="N2236">
        <v>23</v>
      </c>
      <c r="O2236">
        <v>3</v>
      </c>
      <c r="P2236">
        <v>34</v>
      </c>
      <c r="Q2236">
        <v>28.894668382857699</v>
      </c>
      <c r="R2236">
        <v>9.6999999999999993</v>
      </c>
      <c r="T2236" s="340" t="str">
        <f t="shared" si="118"/>
        <v>2006MaleAllEth22Poisoning by gases and vapours</v>
      </c>
      <c r="U2236">
        <v>2006</v>
      </c>
      <c r="V2236" t="s">
        <v>20</v>
      </c>
      <c r="W2236" t="s">
        <v>27</v>
      </c>
      <c r="X2236">
        <v>22</v>
      </c>
      <c r="Y2236" t="s">
        <v>46</v>
      </c>
      <c r="Z2236">
        <v>10</v>
      </c>
      <c r="AA2236">
        <v>95</v>
      </c>
      <c r="AB2236">
        <v>10.5</v>
      </c>
    </row>
    <row r="2237" spans="10:28">
      <c r="J2237" s="340" t="str">
        <f t="shared" si="117"/>
        <v>2007MaleAllEth234</v>
      </c>
      <c r="K2237">
        <v>2007</v>
      </c>
      <c r="L2237" t="s">
        <v>20</v>
      </c>
      <c r="M2237" t="s">
        <v>27</v>
      </c>
      <c r="N2237">
        <v>23</v>
      </c>
      <c r="O2237">
        <v>4</v>
      </c>
      <c r="P2237">
        <v>35</v>
      </c>
      <c r="Q2237">
        <v>30.227006216958799</v>
      </c>
      <c r="R2237">
        <v>10</v>
      </c>
      <c r="T2237" s="340" t="str">
        <f t="shared" si="118"/>
        <v>2006MaleAllEth23Poisoning by gases and vapours</v>
      </c>
      <c r="U2237">
        <v>2006</v>
      </c>
      <c r="V2237" t="s">
        <v>20</v>
      </c>
      <c r="W2237" t="s">
        <v>27</v>
      </c>
      <c r="X2237">
        <v>23</v>
      </c>
      <c r="Y2237" t="s">
        <v>46</v>
      </c>
      <c r="Z2237">
        <v>24</v>
      </c>
      <c r="AA2237">
        <v>147</v>
      </c>
      <c r="AB2237">
        <v>16.3</v>
      </c>
    </row>
    <row r="2238" spans="10:28">
      <c r="J2238" s="340" t="str">
        <f t="shared" si="117"/>
        <v>2007MaleAllEth235</v>
      </c>
      <c r="K2238">
        <v>2007</v>
      </c>
      <c r="L2238" t="s">
        <v>20</v>
      </c>
      <c r="M2238" t="s">
        <v>27</v>
      </c>
      <c r="N2238">
        <v>23</v>
      </c>
      <c r="O2238">
        <v>5</v>
      </c>
      <c r="P2238">
        <v>45</v>
      </c>
      <c r="Q2238">
        <v>42.088585676561003</v>
      </c>
      <c r="R2238">
        <v>12.3</v>
      </c>
      <c r="T2238" s="340" t="str">
        <f t="shared" si="118"/>
        <v>2006MaleAllEth24Poisoning by gases and vapours</v>
      </c>
      <c r="U2238">
        <v>2006</v>
      </c>
      <c r="V2238" t="s">
        <v>20</v>
      </c>
      <c r="W2238" t="s">
        <v>27</v>
      </c>
      <c r="X2238">
        <v>24</v>
      </c>
      <c r="Y2238" t="s">
        <v>46</v>
      </c>
      <c r="Z2238">
        <v>24</v>
      </c>
      <c r="AA2238">
        <v>110</v>
      </c>
      <c r="AB2238">
        <v>21.8</v>
      </c>
    </row>
    <row r="2239" spans="10:28">
      <c r="J2239" s="340" t="str">
        <f t="shared" si="117"/>
        <v>2007MaleAllEth241</v>
      </c>
      <c r="K2239">
        <v>2007</v>
      </c>
      <c r="L2239" t="s">
        <v>20</v>
      </c>
      <c r="M2239" t="s">
        <v>27</v>
      </c>
      <c r="N2239">
        <v>24</v>
      </c>
      <c r="O2239">
        <v>1</v>
      </c>
      <c r="P2239">
        <v>14</v>
      </c>
      <c r="Q2239">
        <v>11.128610576686199</v>
      </c>
      <c r="R2239">
        <v>5.8</v>
      </c>
      <c r="T2239" s="340" t="str">
        <f t="shared" si="118"/>
        <v>2006MaleAllEth25Poisoning by gases and vapours</v>
      </c>
      <c r="U2239">
        <v>2006</v>
      </c>
      <c r="V2239" t="s">
        <v>20</v>
      </c>
      <c r="W2239" t="s">
        <v>27</v>
      </c>
      <c r="X2239">
        <v>25</v>
      </c>
      <c r="Y2239" t="s">
        <v>46</v>
      </c>
      <c r="Z2239">
        <v>9</v>
      </c>
      <c r="AA2239">
        <v>33</v>
      </c>
      <c r="AB2239">
        <v>27.3</v>
      </c>
    </row>
    <row r="2240" spans="10:28">
      <c r="J2240" s="340" t="str">
        <f t="shared" si="117"/>
        <v>2007MaleAllEth242</v>
      </c>
      <c r="K2240">
        <v>2007</v>
      </c>
      <c r="L2240" t="s">
        <v>20</v>
      </c>
      <c r="M2240" t="s">
        <v>27</v>
      </c>
      <c r="N2240">
        <v>24</v>
      </c>
      <c r="O2240">
        <v>2</v>
      </c>
      <c r="P2240">
        <v>16</v>
      </c>
      <c r="Q2240">
        <v>14.542549118426299</v>
      </c>
      <c r="R2240">
        <v>7.1</v>
      </c>
      <c r="T2240" s="340" t="str">
        <f t="shared" si="118"/>
        <v>2006MaleAllEth22Poisoning by solids and liquids</v>
      </c>
      <c r="U2240">
        <v>2006</v>
      </c>
      <c r="V2240" t="s">
        <v>20</v>
      </c>
      <c r="W2240" t="s">
        <v>27</v>
      </c>
      <c r="X2240">
        <v>22</v>
      </c>
      <c r="Y2240" t="s">
        <v>47</v>
      </c>
      <c r="Z2240">
        <v>1</v>
      </c>
      <c r="AA2240">
        <v>95</v>
      </c>
      <c r="AB2240">
        <v>1.1000000000000001</v>
      </c>
    </row>
    <row r="2241" spans="10:28">
      <c r="J2241" s="340" t="str">
        <f t="shared" si="117"/>
        <v>2007MaleAllEth243</v>
      </c>
      <c r="K2241">
        <v>2007</v>
      </c>
      <c r="L2241" t="s">
        <v>20</v>
      </c>
      <c r="M2241" t="s">
        <v>27</v>
      </c>
      <c r="N2241">
        <v>24</v>
      </c>
      <c r="O2241">
        <v>3</v>
      </c>
      <c r="P2241">
        <v>25</v>
      </c>
      <c r="Q2241">
        <v>25.4460587634794</v>
      </c>
      <c r="R2241">
        <v>10</v>
      </c>
      <c r="T2241" s="340" t="str">
        <f t="shared" si="118"/>
        <v>2006MaleAllEth23Poisoning by solids and liquids</v>
      </c>
      <c r="U2241">
        <v>2006</v>
      </c>
      <c r="V2241" t="s">
        <v>20</v>
      </c>
      <c r="W2241" t="s">
        <v>27</v>
      </c>
      <c r="X2241">
        <v>23</v>
      </c>
      <c r="Y2241" t="s">
        <v>47</v>
      </c>
      <c r="Z2241">
        <v>9</v>
      </c>
      <c r="AA2241">
        <v>147</v>
      </c>
      <c r="AB2241">
        <v>6.1</v>
      </c>
    </row>
    <row r="2242" spans="10:28">
      <c r="J2242" s="340" t="str">
        <f t="shared" si="117"/>
        <v>2007MaleAllEth244</v>
      </c>
      <c r="K2242">
        <v>2007</v>
      </c>
      <c r="L2242" t="s">
        <v>20</v>
      </c>
      <c r="M2242" t="s">
        <v>27</v>
      </c>
      <c r="N2242">
        <v>24</v>
      </c>
      <c r="O2242">
        <v>4</v>
      </c>
      <c r="P2242">
        <v>23</v>
      </c>
      <c r="Q2242">
        <v>25.728480943438299</v>
      </c>
      <c r="R2242">
        <v>10.5</v>
      </c>
      <c r="T2242" s="340" t="str">
        <f t="shared" si="118"/>
        <v>2006MaleAllEth24Poisoning by solids and liquids</v>
      </c>
      <c r="U2242">
        <v>2006</v>
      </c>
      <c r="V2242" t="s">
        <v>20</v>
      </c>
      <c r="W2242" t="s">
        <v>27</v>
      </c>
      <c r="X2242">
        <v>24</v>
      </c>
      <c r="Y2242" t="s">
        <v>47</v>
      </c>
      <c r="Z2242">
        <v>13</v>
      </c>
      <c r="AA2242">
        <v>110</v>
      </c>
      <c r="AB2242">
        <v>11.8</v>
      </c>
    </row>
    <row r="2243" spans="10:28">
      <c r="J2243" s="340" t="str">
        <f t="shared" si="117"/>
        <v>2007MaleAllEth245</v>
      </c>
      <c r="K2243">
        <v>2007</v>
      </c>
      <c r="L2243" t="s">
        <v>20</v>
      </c>
      <c r="M2243" t="s">
        <v>27</v>
      </c>
      <c r="N2243">
        <v>24</v>
      </c>
      <c r="O2243">
        <v>5</v>
      </c>
      <c r="P2243">
        <v>20</v>
      </c>
      <c r="Q2243">
        <v>25.152797491832899</v>
      </c>
      <c r="R2243">
        <v>11</v>
      </c>
      <c r="T2243" s="340" t="str">
        <f t="shared" si="118"/>
        <v>2006MaleAllEth25Poisoning by solids and liquids</v>
      </c>
      <c r="U2243">
        <v>2006</v>
      </c>
      <c r="V2243" t="s">
        <v>20</v>
      </c>
      <c r="W2243" t="s">
        <v>27</v>
      </c>
      <c r="X2243">
        <v>25</v>
      </c>
      <c r="Y2243" t="s">
        <v>47</v>
      </c>
      <c r="Z2243">
        <v>1</v>
      </c>
      <c r="AA2243">
        <v>33</v>
      </c>
      <c r="AB2243">
        <v>3</v>
      </c>
    </row>
    <row r="2244" spans="10:28">
      <c r="J2244" s="340" t="str">
        <f t="shared" ref="J2244:J2307" si="119">K2244&amp;L2244&amp;M2244&amp;N2244&amp;O2244</f>
        <v>2007MaleAllEth251</v>
      </c>
      <c r="K2244">
        <v>2007</v>
      </c>
      <c r="L2244" t="s">
        <v>20</v>
      </c>
      <c r="M2244" t="s">
        <v>27</v>
      </c>
      <c r="N2244">
        <v>25</v>
      </c>
      <c r="O2244">
        <v>1</v>
      </c>
      <c r="P2244">
        <v>6</v>
      </c>
      <c r="Q2244">
        <v>12.413046320853599</v>
      </c>
      <c r="R2244">
        <v>9.9</v>
      </c>
      <c r="T2244" s="340" t="str">
        <f t="shared" si="118"/>
        <v>2006MaleAllEth22Sharp object</v>
      </c>
      <c r="U2244">
        <v>2006</v>
      </c>
      <c r="V2244" t="s">
        <v>20</v>
      </c>
      <c r="W2244" t="s">
        <v>27</v>
      </c>
      <c r="X2244">
        <v>22</v>
      </c>
      <c r="Y2244" t="s">
        <v>48</v>
      </c>
      <c r="Z2244">
        <v>1</v>
      </c>
      <c r="AA2244">
        <v>95</v>
      </c>
      <c r="AB2244">
        <v>1.1000000000000001</v>
      </c>
    </row>
    <row r="2245" spans="10:28">
      <c r="J2245" s="340" t="str">
        <f t="shared" si="119"/>
        <v>2007MaleAllEth252</v>
      </c>
      <c r="K2245">
        <v>2007</v>
      </c>
      <c r="L2245" t="s">
        <v>20</v>
      </c>
      <c r="M2245" t="s">
        <v>27</v>
      </c>
      <c r="N2245">
        <v>25</v>
      </c>
      <c r="O2245">
        <v>2</v>
      </c>
      <c r="P2245">
        <v>9</v>
      </c>
      <c r="Q2245">
        <v>18.257392877986899</v>
      </c>
      <c r="R2245">
        <v>11.9</v>
      </c>
      <c r="T2245" s="340" t="str">
        <f t="shared" ref="T2245:T2308" si="120">U2245&amp;V2245&amp;W2245&amp;X2245&amp;Y2245</f>
        <v>2006MaleAllEth23Sharp object</v>
      </c>
      <c r="U2245">
        <v>2006</v>
      </c>
      <c r="V2245" t="s">
        <v>20</v>
      </c>
      <c r="W2245" t="s">
        <v>27</v>
      </c>
      <c r="X2245">
        <v>23</v>
      </c>
      <c r="Y2245" t="s">
        <v>48</v>
      </c>
      <c r="Z2245">
        <v>6</v>
      </c>
      <c r="AA2245">
        <v>147</v>
      </c>
      <c r="AB2245">
        <v>4.0999999999999996</v>
      </c>
    </row>
    <row r="2246" spans="10:28">
      <c r="J2246" s="340" t="str">
        <f t="shared" si="119"/>
        <v>2007MaleAllEth253</v>
      </c>
      <c r="K2246">
        <v>2007</v>
      </c>
      <c r="L2246" t="s">
        <v>20</v>
      </c>
      <c r="M2246" t="s">
        <v>27</v>
      </c>
      <c r="N2246">
        <v>25</v>
      </c>
      <c r="O2246">
        <v>3</v>
      </c>
      <c r="P2246">
        <v>7</v>
      </c>
      <c r="Q2246">
        <v>13.9182927815911</v>
      </c>
      <c r="R2246">
        <v>10.3</v>
      </c>
      <c r="T2246" s="340" t="str">
        <f t="shared" si="120"/>
        <v>2006MaleAllEth24Sharp object</v>
      </c>
      <c r="U2246">
        <v>2006</v>
      </c>
      <c r="V2246" t="s">
        <v>20</v>
      </c>
      <c r="W2246" t="s">
        <v>27</v>
      </c>
      <c r="X2246">
        <v>24</v>
      </c>
      <c r="Y2246" t="s">
        <v>48</v>
      </c>
      <c r="Z2246">
        <v>3</v>
      </c>
      <c r="AA2246">
        <v>110</v>
      </c>
      <c r="AB2246">
        <v>2.7</v>
      </c>
    </row>
    <row r="2247" spans="10:28">
      <c r="J2247" s="340" t="str">
        <f t="shared" si="119"/>
        <v>2007MaleAllEth254</v>
      </c>
      <c r="K2247">
        <v>2007</v>
      </c>
      <c r="L2247" t="s">
        <v>20</v>
      </c>
      <c r="M2247" t="s">
        <v>27</v>
      </c>
      <c r="N2247">
        <v>25</v>
      </c>
      <c r="O2247">
        <v>4</v>
      </c>
      <c r="P2247">
        <v>14</v>
      </c>
      <c r="Q2247">
        <v>28.607007106949499</v>
      </c>
      <c r="R2247">
        <v>15</v>
      </c>
      <c r="T2247" s="340" t="str">
        <f t="shared" si="120"/>
        <v>2006MaleAllEth25Sharp object</v>
      </c>
      <c r="U2247">
        <v>2006</v>
      </c>
      <c r="V2247" t="s">
        <v>20</v>
      </c>
      <c r="W2247" t="s">
        <v>27</v>
      </c>
      <c r="X2247">
        <v>25</v>
      </c>
      <c r="Y2247" t="s">
        <v>48</v>
      </c>
      <c r="Z2247">
        <v>2</v>
      </c>
      <c r="AA2247">
        <v>33</v>
      </c>
      <c r="AB2247">
        <v>6.1</v>
      </c>
    </row>
    <row r="2248" spans="10:28">
      <c r="J2248" s="340" t="str">
        <f t="shared" si="119"/>
        <v>2007MaleAllEth255</v>
      </c>
      <c r="K2248">
        <v>2007</v>
      </c>
      <c r="L2248" t="s">
        <v>20</v>
      </c>
      <c r="M2248" t="s">
        <v>27</v>
      </c>
      <c r="N2248">
        <v>25</v>
      </c>
      <c r="O2248">
        <v>5</v>
      </c>
      <c r="P2248">
        <v>5</v>
      </c>
      <c r="Q2248">
        <v>12.7077475178034</v>
      </c>
      <c r="R2248">
        <v>11.1</v>
      </c>
      <c r="T2248" s="340" t="str">
        <f t="shared" si="120"/>
        <v>2006MaleAllEth22Submersion (drowning)</v>
      </c>
      <c r="U2248">
        <v>2006</v>
      </c>
      <c r="V2248" t="s">
        <v>20</v>
      </c>
      <c r="W2248" t="s">
        <v>27</v>
      </c>
      <c r="X2248">
        <v>22</v>
      </c>
      <c r="Y2248" t="s">
        <v>49</v>
      </c>
      <c r="Z2248">
        <v>1</v>
      </c>
      <c r="AA2248">
        <v>95</v>
      </c>
      <c r="AB2248">
        <v>1.1000000000000001</v>
      </c>
    </row>
    <row r="2249" spans="10:28">
      <c r="J2249" s="340" t="str">
        <f t="shared" si="119"/>
        <v>2007MaleMaori211</v>
      </c>
      <c r="K2249">
        <v>2007</v>
      </c>
      <c r="L2249" t="s">
        <v>20</v>
      </c>
      <c r="M2249" t="s">
        <v>18</v>
      </c>
      <c r="N2249">
        <v>21</v>
      </c>
      <c r="O2249">
        <v>1</v>
      </c>
      <c r="P2249">
        <v>0</v>
      </c>
      <c r="Q2249">
        <v>0</v>
      </c>
      <c r="T2249" s="340" t="str">
        <f t="shared" si="120"/>
        <v>2006MaleAllEth23Submersion (drowning)</v>
      </c>
      <c r="U2249">
        <v>2006</v>
      </c>
      <c r="V2249" t="s">
        <v>20</v>
      </c>
      <c r="W2249" t="s">
        <v>27</v>
      </c>
      <c r="X2249">
        <v>23</v>
      </c>
      <c r="Y2249" t="s">
        <v>49</v>
      </c>
      <c r="Z2249">
        <v>2</v>
      </c>
      <c r="AA2249">
        <v>147</v>
      </c>
      <c r="AB2249">
        <v>1.4</v>
      </c>
    </row>
    <row r="2250" spans="10:28">
      <c r="J2250" s="340" t="str">
        <f t="shared" si="119"/>
        <v>2007MaleMaori212</v>
      </c>
      <c r="K2250">
        <v>2007</v>
      </c>
      <c r="L2250" t="s">
        <v>20</v>
      </c>
      <c r="M2250" t="s">
        <v>18</v>
      </c>
      <c r="N2250">
        <v>21</v>
      </c>
      <c r="O2250">
        <v>2</v>
      </c>
      <c r="P2250">
        <v>0</v>
      </c>
      <c r="Q2250">
        <v>0</v>
      </c>
      <c r="T2250" s="340" t="str">
        <f t="shared" si="120"/>
        <v>2006MaleAllEth24Submersion (drowning)</v>
      </c>
      <c r="U2250">
        <v>2006</v>
      </c>
      <c r="V2250" t="s">
        <v>20</v>
      </c>
      <c r="W2250" t="s">
        <v>27</v>
      </c>
      <c r="X2250">
        <v>24</v>
      </c>
      <c r="Y2250" t="s">
        <v>49</v>
      </c>
      <c r="Z2250">
        <v>3</v>
      </c>
      <c r="AA2250">
        <v>110</v>
      </c>
      <c r="AB2250">
        <v>2.7</v>
      </c>
    </row>
    <row r="2251" spans="10:28">
      <c r="J2251" s="340" t="str">
        <f t="shared" si="119"/>
        <v>2007MaleMaori213</v>
      </c>
      <c r="K2251">
        <v>2007</v>
      </c>
      <c r="L2251" t="s">
        <v>20</v>
      </c>
      <c r="M2251" t="s">
        <v>18</v>
      </c>
      <c r="N2251">
        <v>21</v>
      </c>
      <c r="O2251">
        <v>3</v>
      </c>
      <c r="P2251">
        <v>0</v>
      </c>
      <c r="Q2251">
        <v>0</v>
      </c>
      <c r="T2251" s="340" t="str">
        <f t="shared" si="120"/>
        <v>2006MaleAllEth25Submersion (drowning)</v>
      </c>
      <c r="U2251">
        <v>2006</v>
      </c>
      <c r="V2251" t="s">
        <v>20</v>
      </c>
      <c r="W2251" t="s">
        <v>27</v>
      </c>
      <c r="X2251">
        <v>25</v>
      </c>
      <c r="Y2251" t="s">
        <v>49</v>
      </c>
      <c r="Z2251">
        <v>1</v>
      </c>
      <c r="AA2251">
        <v>33</v>
      </c>
      <c r="AB2251">
        <v>3</v>
      </c>
    </row>
    <row r="2252" spans="10:28">
      <c r="J2252" s="340" t="str">
        <f t="shared" si="119"/>
        <v>2007MaleMaori214</v>
      </c>
      <c r="K2252">
        <v>2007</v>
      </c>
      <c r="L2252" t="s">
        <v>20</v>
      </c>
      <c r="M2252" t="s">
        <v>18</v>
      </c>
      <c r="N2252">
        <v>21</v>
      </c>
      <c r="O2252">
        <v>4</v>
      </c>
      <c r="P2252">
        <v>0</v>
      </c>
      <c r="Q2252">
        <v>0</v>
      </c>
      <c r="T2252" s="340" t="str">
        <f t="shared" si="120"/>
        <v>2006MaleMaori23Firearms and explosives</v>
      </c>
      <c r="U2252">
        <v>2006</v>
      </c>
      <c r="V2252" t="s">
        <v>20</v>
      </c>
      <c r="W2252" t="s">
        <v>18</v>
      </c>
      <c r="X2252">
        <v>23</v>
      </c>
      <c r="Y2252" t="s">
        <v>42</v>
      </c>
      <c r="Z2252">
        <v>5</v>
      </c>
      <c r="AA2252">
        <v>36</v>
      </c>
      <c r="AB2252">
        <v>13.9</v>
      </c>
    </row>
    <row r="2253" spans="10:28">
      <c r="J2253" s="340" t="str">
        <f t="shared" si="119"/>
        <v>2007MaleMaori215</v>
      </c>
      <c r="K2253">
        <v>2007</v>
      </c>
      <c r="L2253" t="s">
        <v>20</v>
      </c>
      <c r="M2253" t="s">
        <v>18</v>
      </c>
      <c r="N2253">
        <v>21</v>
      </c>
      <c r="O2253">
        <v>5</v>
      </c>
      <c r="P2253">
        <v>0</v>
      </c>
      <c r="Q2253">
        <v>0</v>
      </c>
      <c r="T2253" s="340" t="str">
        <f t="shared" si="120"/>
        <v>2006MaleMaori24Firearms and explosives</v>
      </c>
      <c r="U2253">
        <v>2006</v>
      </c>
      <c r="V2253" t="s">
        <v>20</v>
      </c>
      <c r="W2253" t="s">
        <v>18</v>
      </c>
      <c r="X2253">
        <v>24</v>
      </c>
      <c r="Y2253" t="s">
        <v>42</v>
      </c>
      <c r="Z2253">
        <v>1</v>
      </c>
      <c r="AA2253">
        <v>10</v>
      </c>
      <c r="AB2253">
        <v>10</v>
      </c>
    </row>
    <row r="2254" spans="10:28">
      <c r="J2254" s="340" t="str">
        <f t="shared" si="119"/>
        <v>2007MaleMaori221</v>
      </c>
      <c r="K2254">
        <v>2007</v>
      </c>
      <c r="L2254" t="s">
        <v>20</v>
      </c>
      <c r="M2254" t="s">
        <v>18</v>
      </c>
      <c r="N2254">
        <v>22</v>
      </c>
      <c r="O2254">
        <v>1</v>
      </c>
      <c r="P2254">
        <v>3</v>
      </c>
      <c r="Q2254">
        <v>68.643343177849601</v>
      </c>
      <c r="R2254">
        <v>77.7</v>
      </c>
      <c r="T2254" s="340" t="str">
        <f t="shared" si="120"/>
        <v>2006MaleMaori22Hanging, strangulation and suffocation</v>
      </c>
      <c r="U2254">
        <v>2006</v>
      </c>
      <c r="V2254" t="s">
        <v>20</v>
      </c>
      <c r="W2254" t="s">
        <v>18</v>
      </c>
      <c r="X2254">
        <v>22</v>
      </c>
      <c r="Y2254" t="s">
        <v>43</v>
      </c>
      <c r="Z2254">
        <v>28</v>
      </c>
      <c r="AA2254">
        <v>29</v>
      </c>
      <c r="AB2254">
        <v>96.6</v>
      </c>
    </row>
    <row r="2255" spans="10:28">
      <c r="J2255" s="340" t="str">
        <f t="shared" si="119"/>
        <v>2007MaleMaori222</v>
      </c>
      <c r="K2255">
        <v>2007</v>
      </c>
      <c r="L2255" t="s">
        <v>20</v>
      </c>
      <c r="M2255" t="s">
        <v>18</v>
      </c>
      <c r="N2255">
        <v>22</v>
      </c>
      <c r="O2255">
        <v>2</v>
      </c>
      <c r="P2255">
        <v>1</v>
      </c>
      <c r="Q2255">
        <v>15.5114029644732</v>
      </c>
      <c r="R2255">
        <v>30.4</v>
      </c>
      <c r="T2255" s="340" t="str">
        <f t="shared" si="120"/>
        <v>2006MaleMaori23Hanging, strangulation and suffocation</v>
      </c>
      <c r="U2255">
        <v>2006</v>
      </c>
      <c r="V2255" t="s">
        <v>20</v>
      </c>
      <c r="W2255" t="s">
        <v>18</v>
      </c>
      <c r="X2255">
        <v>23</v>
      </c>
      <c r="Y2255" t="s">
        <v>43</v>
      </c>
      <c r="Z2255">
        <v>25</v>
      </c>
      <c r="AA2255">
        <v>36</v>
      </c>
      <c r="AB2255">
        <v>69.400000000000006</v>
      </c>
    </row>
    <row r="2256" spans="10:28">
      <c r="J2256" s="340" t="str">
        <f t="shared" si="119"/>
        <v>2007MaleMaori223</v>
      </c>
      <c r="K2256">
        <v>2007</v>
      </c>
      <c r="L2256" t="s">
        <v>20</v>
      </c>
      <c r="M2256" t="s">
        <v>18</v>
      </c>
      <c r="N2256">
        <v>22</v>
      </c>
      <c r="O2256">
        <v>3</v>
      </c>
      <c r="P2256">
        <v>4</v>
      </c>
      <c r="Q2256">
        <v>41.870044463942797</v>
      </c>
      <c r="R2256">
        <v>41</v>
      </c>
      <c r="T2256" s="340" t="str">
        <f t="shared" si="120"/>
        <v>2006MaleMaori24Hanging, strangulation and suffocation</v>
      </c>
      <c r="U2256">
        <v>2006</v>
      </c>
      <c r="V2256" t="s">
        <v>20</v>
      </c>
      <c r="W2256" t="s">
        <v>18</v>
      </c>
      <c r="X2256">
        <v>24</v>
      </c>
      <c r="Y2256" t="s">
        <v>43</v>
      </c>
      <c r="Z2256">
        <v>4</v>
      </c>
      <c r="AA2256">
        <v>10</v>
      </c>
      <c r="AB2256">
        <v>40</v>
      </c>
    </row>
    <row r="2257" spans="10:28">
      <c r="J2257" s="340" t="str">
        <f t="shared" si="119"/>
        <v>2007MaleMaori224</v>
      </c>
      <c r="K2257">
        <v>2007</v>
      </c>
      <c r="L2257" t="s">
        <v>20</v>
      </c>
      <c r="M2257" t="s">
        <v>18</v>
      </c>
      <c r="N2257">
        <v>22</v>
      </c>
      <c r="O2257">
        <v>4</v>
      </c>
      <c r="P2257">
        <v>5</v>
      </c>
      <c r="Q2257">
        <v>35.995134550397701</v>
      </c>
      <c r="R2257">
        <v>31.6</v>
      </c>
      <c r="T2257" s="340" t="str">
        <f t="shared" si="120"/>
        <v>2006MaleMaori23Other</v>
      </c>
      <c r="U2257">
        <v>2006</v>
      </c>
      <c r="V2257" t="s">
        <v>20</v>
      </c>
      <c r="W2257" t="s">
        <v>18</v>
      </c>
      <c r="X2257">
        <v>23</v>
      </c>
      <c r="Y2257" t="s">
        <v>45</v>
      </c>
      <c r="Z2257">
        <v>1</v>
      </c>
      <c r="AA2257">
        <v>36</v>
      </c>
      <c r="AB2257">
        <v>2.8</v>
      </c>
    </row>
    <row r="2258" spans="10:28">
      <c r="J2258" s="340" t="str">
        <f t="shared" si="119"/>
        <v>2007MaleMaori225</v>
      </c>
      <c r="K2258">
        <v>2007</v>
      </c>
      <c r="L2258" t="s">
        <v>20</v>
      </c>
      <c r="M2258" t="s">
        <v>18</v>
      </c>
      <c r="N2258">
        <v>22</v>
      </c>
      <c r="O2258">
        <v>5</v>
      </c>
      <c r="P2258">
        <v>10</v>
      </c>
      <c r="Q2258">
        <v>41.984034857144003</v>
      </c>
      <c r="R2258">
        <v>26</v>
      </c>
      <c r="T2258" s="340" t="str">
        <f t="shared" si="120"/>
        <v>2006MaleMaori24Other</v>
      </c>
      <c r="U2258">
        <v>2006</v>
      </c>
      <c r="V2258" t="s">
        <v>20</v>
      </c>
      <c r="W2258" t="s">
        <v>18</v>
      </c>
      <c r="X2258">
        <v>24</v>
      </c>
      <c r="Y2258" t="s">
        <v>45</v>
      </c>
      <c r="Z2258">
        <v>1</v>
      </c>
      <c r="AA2258">
        <v>10</v>
      </c>
      <c r="AB2258">
        <v>10</v>
      </c>
    </row>
    <row r="2259" spans="10:28">
      <c r="J2259" s="340" t="str">
        <f t="shared" si="119"/>
        <v>2007MaleMaori231</v>
      </c>
      <c r="K2259">
        <v>2007</v>
      </c>
      <c r="L2259" t="s">
        <v>20</v>
      </c>
      <c r="M2259" t="s">
        <v>18</v>
      </c>
      <c r="N2259">
        <v>23</v>
      </c>
      <c r="O2259">
        <v>1</v>
      </c>
      <c r="P2259">
        <v>4</v>
      </c>
      <c r="Q2259">
        <v>56.909891248672501</v>
      </c>
      <c r="R2259">
        <v>55.8</v>
      </c>
      <c r="T2259" s="340" t="str">
        <f t="shared" si="120"/>
        <v>2006MaleMaori22Poisoning by gases and vapours</v>
      </c>
      <c r="U2259">
        <v>2006</v>
      </c>
      <c r="V2259" t="s">
        <v>20</v>
      </c>
      <c r="W2259" t="s">
        <v>18</v>
      </c>
      <c r="X2259">
        <v>22</v>
      </c>
      <c r="Y2259" t="s">
        <v>46</v>
      </c>
      <c r="Z2259">
        <v>1</v>
      </c>
      <c r="AA2259">
        <v>29</v>
      </c>
      <c r="AB2259">
        <v>3.4</v>
      </c>
    </row>
    <row r="2260" spans="10:28">
      <c r="J2260" s="340" t="str">
        <f t="shared" si="119"/>
        <v>2007MaleMaori232</v>
      </c>
      <c r="K2260">
        <v>2007</v>
      </c>
      <c r="L2260" t="s">
        <v>20</v>
      </c>
      <c r="M2260" t="s">
        <v>18</v>
      </c>
      <c r="N2260">
        <v>23</v>
      </c>
      <c r="O2260">
        <v>2</v>
      </c>
      <c r="P2260">
        <v>3</v>
      </c>
      <c r="Q2260">
        <v>29.885622339781399</v>
      </c>
      <c r="R2260">
        <v>33.799999999999997</v>
      </c>
      <c r="T2260" s="340" t="str">
        <f t="shared" si="120"/>
        <v>2006MaleMaori23Poisoning by gases and vapours</v>
      </c>
      <c r="U2260">
        <v>2006</v>
      </c>
      <c r="V2260" t="s">
        <v>20</v>
      </c>
      <c r="W2260" t="s">
        <v>18</v>
      </c>
      <c r="X2260">
        <v>23</v>
      </c>
      <c r="Y2260" t="s">
        <v>46</v>
      </c>
      <c r="Z2260">
        <v>2</v>
      </c>
      <c r="AA2260">
        <v>36</v>
      </c>
      <c r="AB2260">
        <v>5.6</v>
      </c>
    </row>
    <row r="2261" spans="10:28">
      <c r="J2261" s="340" t="str">
        <f t="shared" si="119"/>
        <v>2007MaleMaori233</v>
      </c>
      <c r="K2261">
        <v>2007</v>
      </c>
      <c r="L2261" t="s">
        <v>20</v>
      </c>
      <c r="M2261" t="s">
        <v>18</v>
      </c>
      <c r="N2261">
        <v>23</v>
      </c>
      <c r="O2261">
        <v>3</v>
      </c>
      <c r="P2261">
        <v>7</v>
      </c>
      <c r="Q2261">
        <v>50.526685775969803</v>
      </c>
      <c r="R2261">
        <v>37.4</v>
      </c>
      <c r="T2261" s="340" t="str">
        <f t="shared" si="120"/>
        <v>2006MaleMaori23Poisoning by solids and liquids</v>
      </c>
      <c r="U2261">
        <v>2006</v>
      </c>
      <c r="V2261" t="s">
        <v>20</v>
      </c>
      <c r="W2261" t="s">
        <v>18</v>
      </c>
      <c r="X2261">
        <v>23</v>
      </c>
      <c r="Y2261" t="s">
        <v>47</v>
      </c>
      <c r="Z2261">
        <v>1</v>
      </c>
      <c r="AA2261">
        <v>36</v>
      </c>
      <c r="AB2261">
        <v>2.8</v>
      </c>
    </row>
    <row r="2262" spans="10:28">
      <c r="J2262" s="340" t="str">
        <f t="shared" si="119"/>
        <v>2007MaleMaori234</v>
      </c>
      <c r="K2262">
        <v>2007</v>
      </c>
      <c r="L2262" t="s">
        <v>20</v>
      </c>
      <c r="M2262" t="s">
        <v>18</v>
      </c>
      <c r="N2262">
        <v>23</v>
      </c>
      <c r="O2262">
        <v>4</v>
      </c>
      <c r="P2262">
        <v>6</v>
      </c>
      <c r="Q2262">
        <v>31.5905863035468</v>
      </c>
      <c r="R2262">
        <v>25.3</v>
      </c>
      <c r="T2262" s="340" t="str">
        <f t="shared" si="120"/>
        <v>2006MaleMaori24Poisoning by solids and liquids</v>
      </c>
      <c r="U2262">
        <v>2006</v>
      </c>
      <c r="V2262" t="s">
        <v>20</v>
      </c>
      <c r="W2262" t="s">
        <v>18</v>
      </c>
      <c r="X2262">
        <v>24</v>
      </c>
      <c r="Y2262" t="s">
        <v>47</v>
      </c>
      <c r="Z2262">
        <v>2</v>
      </c>
      <c r="AA2262">
        <v>10</v>
      </c>
      <c r="AB2262">
        <v>20</v>
      </c>
    </row>
    <row r="2263" spans="10:28">
      <c r="J2263" s="340" t="str">
        <f t="shared" si="119"/>
        <v>2007MaleMaori235</v>
      </c>
      <c r="K2263">
        <v>2007</v>
      </c>
      <c r="L2263" t="s">
        <v>20</v>
      </c>
      <c r="M2263" t="s">
        <v>18</v>
      </c>
      <c r="N2263">
        <v>23</v>
      </c>
      <c r="O2263">
        <v>5</v>
      </c>
      <c r="P2263">
        <v>18</v>
      </c>
      <c r="Q2263">
        <v>60.819013131272001</v>
      </c>
      <c r="R2263">
        <v>28.1</v>
      </c>
      <c r="T2263" s="340" t="str">
        <f t="shared" si="120"/>
        <v>2006MaleMaori23Sharp object</v>
      </c>
      <c r="U2263">
        <v>2006</v>
      </c>
      <c r="V2263" t="s">
        <v>20</v>
      </c>
      <c r="W2263" t="s">
        <v>18</v>
      </c>
      <c r="X2263">
        <v>23</v>
      </c>
      <c r="Y2263" t="s">
        <v>48</v>
      </c>
      <c r="Z2263">
        <v>2</v>
      </c>
      <c r="AA2263">
        <v>36</v>
      </c>
      <c r="AB2263">
        <v>5.6</v>
      </c>
    </row>
    <row r="2264" spans="10:28">
      <c r="J2264" s="340" t="str">
        <f t="shared" si="119"/>
        <v>2007MaleMaori241</v>
      </c>
      <c r="K2264">
        <v>2007</v>
      </c>
      <c r="L2264" t="s">
        <v>20</v>
      </c>
      <c r="M2264" t="s">
        <v>18</v>
      </c>
      <c r="N2264">
        <v>24</v>
      </c>
      <c r="O2264">
        <v>1</v>
      </c>
      <c r="P2264">
        <v>2</v>
      </c>
      <c r="Q2264">
        <v>45.9728582048851</v>
      </c>
      <c r="R2264">
        <v>63.7</v>
      </c>
      <c r="T2264" s="340" t="str">
        <f t="shared" si="120"/>
        <v>2006MaleMaori24Sharp object</v>
      </c>
      <c r="U2264">
        <v>2006</v>
      </c>
      <c r="V2264" t="s">
        <v>20</v>
      </c>
      <c r="W2264" t="s">
        <v>18</v>
      </c>
      <c r="X2264">
        <v>24</v>
      </c>
      <c r="Y2264" t="s">
        <v>48</v>
      </c>
      <c r="Z2264">
        <v>1</v>
      </c>
      <c r="AA2264">
        <v>10</v>
      </c>
      <c r="AB2264">
        <v>10</v>
      </c>
    </row>
    <row r="2265" spans="10:28">
      <c r="J2265" s="340" t="str">
        <f t="shared" si="119"/>
        <v>2007MaleMaori242</v>
      </c>
      <c r="K2265">
        <v>2007</v>
      </c>
      <c r="L2265" t="s">
        <v>20</v>
      </c>
      <c r="M2265" t="s">
        <v>18</v>
      </c>
      <c r="N2265">
        <v>24</v>
      </c>
      <c r="O2265">
        <v>2</v>
      </c>
      <c r="P2265">
        <v>0</v>
      </c>
      <c r="Q2265">
        <v>0</v>
      </c>
      <c r="T2265" s="340" t="str">
        <f t="shared" si="120"/>
        <v>2006MaleMaori24Submersion (drowning)</v>
      </c>
      <c r="U2265">
        <v>2006</v>
      </c>
      <c r="V2265" t="s">
        <v>20</v>
      </c>
      <c r="W2265" t="s">
        <v>18</v>
      </c>
      <c r="X2265">
        <v>24</v>
      </c>
      <c r="Y2265" t="s">
        <v>49</v>
      </c>
      <c r="Z2265">
        <v>1</v>
      </c>
      <c r="AA2265">
        <v>10</v>
      </c>
      <c r="AB2265">
        <v>10</v>
      </c>
    </row>
    <row r="2266" spans="10:28">
      <c r="J2266" s="340" t="str">
        <f t="shared" si="119"/>
        <v>2007MaleMaori243</v>
      </c>
      <c r="K2266">
        <v>2007</v>
      </c>
      <c r="L2266" t="s">
        <v>20</v>
      </c>
      <c r="M2266" t="s">
        <v>18</v>
      </c>
      <c r="N2266">
        <v>24</v>
      </c>
      <c r="O2266">
        <v>3</v>
      </c>
      <c r="P2266">
        <v>0</v>
      </c>
      <c r="Q2266">
        <v>0</v>
      </c>
      <c r="T2266" s="340" t="str">
        <f t="shared" si="120"/>
        <v>2006MaleNon-Maori22Firearms and explosives</v>
      </c>
      <c r="U2266">
        <v>2006</v>
      </c>
      <c r="V2266" t="s">
        <v>20</v>
      </c>
      <c r="W2266" t="s">
        <v>19</v>
      </c>
      <c r="X2266">
        <v>22</v>
      </c>
      <c r="Y2266" t="s">
        <v>42</v>
      </c>
      <c r="Z2266">
        <v>5</v>
      </c>
      <c r="AA2266">
        <v>66</v>
      </c>
      <c r="AB2266">
        <v>7.6</v>
      </c>
    </row>
    <row r="2267" spans="10:28">
      <c r="J2267" s="340" t="str">
        <f t="shared" si="119"/>
        <v>2007MaleMaori244</v>
      </c>
      <c r="K2267">
        <v>2007</v>
      </c>
      <c r="L2267" t="s">
        <v>20</v>
      </c>
      <c r="M2267" t="s">
        <v>18</v>
      </c>
      <c r="N2267">
        <v>24</v>
      </c>
      <c r="O2267">
        <v>4</v>
      </c>
      <c r="P2267">
        <v>1</v>
      </c>
      <c r="Q2267">
        <v>8.9601051731213399</v>
      </c>
      <c r="R2267">
        <v>17.600000000000001</v>
      </c>
      <c r="T2267" s="340" t="str">
        <f t="shared" si="120"/>
        <v>2006MaleNon-Maori23Firearms and explosives</v>
      </c>
      <c r="U2267">
        <v>2006</v>
      </c>
      <c r="V2267" t="s">
        <v>20</v>
      </c>
      <c r="W2267" t="s">
        <v>19</v>
      </c>
      <c r="X2267">
        <v>23</v>
      </c>
      <c r="Y2267" t="s">
        <v>42</v>
      </c>
      <c r="Z2267">
        <v>9</v>
      </c>
      <c r="AA2267">
        <v>111</v>
      </c>
      <c r="AB2267">
        <v>8.1</v>
      </c>
    </row>
    <row r="2268" spans="10:28">
      <c r="J2268" s="340" t="str">
        <f t="shared" si="119"/>
        <v>2007MaleMaori245</v>
      </c>
      <c r="K2268">
        <v>2007</v>
      </c>
      <c r="L2268" t="s">
        <v>20</v>
      </c>
      <c r="M2268" t="s">
        <v>18</v>
      </c>
      <c r="N2268">
        <v>24</v>
      </c>
      <c r="O2268">
        <v>5</v>
      </c>
      <c r="P2268">
        <v>8</v>
      </c>
      <c r="Q2268">
        <v>41.706604295878599</v>
      </c>
      <c r="R2268">
        <v>28.9</v>
      </c>
      <c r="T2268" s="340" t="str">
        <f t="shared" si="120"/>
        <v>2006MaleNon-Maori24Firearms and explosives</v>
      </c>
      <c r="U2268">
        <v>2006</v>
      </c>
      <c r="V2268" t="s">
        <v>20</v>
      </c>
      <c r="W2268" t="s">
        <v>19</v>
      </c>
      <c r="X2268">
        <v>24</v>
      </c>
      <c r="Y2268" t="s">
        <v>42</v>
      </c>
      <c r="Z2268">
        <v>17</v>
      </c>
      <c r="AA2268">
        <v>100</v>
      </c>
      <c r="AB2268">
        <v>17</v>
      </c>
    </row>
    <row r="2269" spans="10:28">
      <c r="J2269" s="340" t="str">
        <f t="shared" si="119"/>
        <v>2007MaleMaori251</v>
      </c>
      <c r="K2269">
        <v>2007</v>
      </c>
      <c r="L2269" t="s">
        <v>20</v>
      </c>
      <c r="M2269" t="s">
        <v>18</v>
      </c>
      <c r="N2269">
        <v>25</v>
      </c>
      <c r="O2269">
        <v>1</v>
      </c>
      <c r="P2269">
        <v>0</v>
      </c>
      <c r="Q2269">
        <v>0</v>
      </c>
      <c r="T2269" s="340" t="str">
        <f t="shared" si="120"/>
        <v>2006MaleNon-Maori25Firearms and explosives</v>
      </c>
      <c r="U2269">
        <v>2006</v>
      </c>
      <c r="V2269" t="s">
        <v>20</v>
      </c>
      <c r="W2269" t="s">
        <v>19</v>
      </c>
      <c r="X2269">
        <v>25</v>
      </c>
      <c r="Y2269" t="s">
        <v>42</v>
      </c>
      <c r="Z2269">
        <v>5</v>
      </c>
      <c r="AA2269">
        <v>33</v>
      </c>
      <c r="AB2269">
        <v>15.2</v>
      </c>
    </row>
    <row r="2270" spans="10:28">
      <c r="J2270" s="340" t="str">
        <f t="shared" si="119"/>
        <v>2007MaleMaori252</v>
      </c>
      <c r="K2270">
        <v>2007</v>
      </c>
      <c r="L2270" t="s">
        <v>20</v>
      </c>
      <c r="M2270" t="s">
        <v>18</v>
      </c>
      <c r="N2270">
        <v>25</v>
      </c>
      <c r="O2270">
        <v>2</v>
      </c>
      <c r="P2270">
        <v>0</v>
      </c>
      <c r="Q2270">
        <v>0</v>
      </c>
      <c r="T2270" s="340" t="str">
        <f t="shared" si="120"/>
        <v>2006MaleNon-Maori21Hanging, strangulation and suffocation</v>
      </c>
      <c r="U2270">
        <v>2006</v>
      </c>
      <c r="V2270" t="s">
        <v>20</v>
      </c>
      <c r="W2270" t="s">
        <v>19</v>
      </c>
      <c r="X2270">
        <v>21</v>
      </c>
      <c r="Y2270" t="s">
        <v>43</v>
      </c>
      <c r="Z2270">
        <v>2</v>
      </c>
      <c r="AA2270">
        <v>2</v>
      </c>
      <c r="AB2270">
        <v>100</v>
      </c>
    </row>
    <row r="2271" spans="10:28">
      <c r="J2271" s="340" t="str">
        <f t="shared" si="119"/>
        <v>2007MaleMaori253</v>
      </c>
      <c r="K2271">
        <v>2007</v>
      </c>
      <c r="L2271" t="s">
        <v>20</v>
      </c>
      <c r="M2271" t="s">
        <v>18</v>
      </c>
      <c r="N2271">
        <v>25</v>
      </c>
      <c r="O2271">
        <v>3</v>
      </c>
      <c r="P2271">
        <v>1</v>
      </c>
      <c r="Q2271">
        <v>50.237762456699897</v>
      </c>
      <c r="R2271">
        <v>98.5</v>
      </c>
      <c r="T2271" s="340" t="str">
        <f t="shared" si="120"/>
        <v>2006MaleNon-Maori22Hanging, strangulation and suffocation</v>
      </c>
      <c r="U2271">
        <v>2006</v>
      </c>
      <c r="V2271" t="s">
        <v>20</v>
      </c>
      <c r="W2271" t="s">
        <v>19</v>
      </c>
      <c r="X2271">
        <v>22</v>
      </c>
      <c r="Y2271" t="s">
        <v>43</v>
      </c>
      <c r="Z2271">
        <v>42</v>
      </c>
      <c r="AA2271">
        <v>66</v>
      </c>
      <c r="AB2271">
        <v>63.6</v>
      </c>
    </row>
    <row r="2272" spans="10:28">
      <c r="J2272" s="340" t="str">
        <f t="shared" si="119"/>
        <v>2007MaleMaori254</v>
      </c>
      <c r="K2272">
        <v>2007</v>
      </c>
      <c r="L2272" t="s">
        <v>20</v>
      </c>
      <c r="M2272" t="s">
        <v>18</v>
      </c>
      <c r="N2272">
        <v>25</v>
      </c>
      <c r="O2272">
        <v>4</v>
      </c>
      <c r="P2272">
        <v>0</v>
      </c>
      <c r="Q2272">
        <v>0</v>
      </c>
      <c r="T2272" s="340" t="str">
        <f t="shared" si="120"/>
        <v>2006MaleNon-Maori23Hanging, strangulation and suffocation</v>
      </c>
      <c r="U2272">
        <v>2006</v>
      </c>
      <c r="V2272" t="s">
        <v>20</v>
      </c>
      <c r="W2272" t="s">
        <v>19</v>
      </c>
      <c r="X2272">
        <v>23</v>
      </c>
      <c r="Y2272" t="s">
        <v>43</v>
      </c>
      <c r="Z2272">
        <v>59</v>
      </c>
      <c r="AA2272">
        <v>111</v>
      </c>
      <c r="AB2272">
        <v>53.2</v>
      </c>
    </row>
    <row r="2273" spans="10:28">
      <c r="J2273" s="340" t="str">
        <f t="shared" si="119"/>
        <v>2007MaleMaori255</v>
      </c>
      <c r="K2273">
        <v>2007</v>
      </c>
      <c r="L2273" t="s">
        <v>20</v>
      </c>
      <c r="M2273" t="s">
        <v>18</v>
      </c>
      <c r="N2273">
        <v>25</v>
      </c>
      <c r="O2273">
        <v>5</v>
      </c>
      <c r="P2273">
        <v>0</v>
      </c>
      <c r="Q2273">
        <v>0</v>
      </c>
      <c r="T2273" s="340" t="str">
        <f t="shared" si="120"/>
        <v>2006MaleNon-Maori24Hanging, strangulation and suffocation</v>
      </c>
      <c r="U2273">
        <v>2006</v>
      </c>
      <c r="V2273" t="s">
        <v>20</v>
      </c>
      <c r="W2273" t="s">
        <v>19</v>
      </c>
      <c r="X2273">
        <v>24</v>
      </c>
      <c r="Y2273" t="s">
        <v>43</v>
      </c>
      <c r="Z2273">
        <v>40</v>
      </c>
      <c r="AA2273">
        <v>100</v>
      </c>
      <c r="AB2273">
        <v>40</v>
      </c>
    </row>
    <row r="2274" spans="10:28">
      <c r="J2274" s="340" t="str">
        <f t="shared" si="119"/>
        <v>2007MaleNon-Maori211</v>
      </c>
      <c r="K2274">
        <v>2007</v>
      </c>
      <c r="L2274" t="s">
        <v>20</v>
      </c>
      <c r="M2274" t="s">
        <v>19</v>
      </c>
      <c r="N2274">
        <v>21</v>
      </c>
      <c r="O2274">
        <v>1</v>
      </c>
      <c r="P2274">
        <v>0</v>
      </c>
      <c r="Q2274">
        <v>0</v>
      </c>
      <c r="T2274" s="340" t="str">
        <f t="shared" si="120"/>
        <v>2006MaleNon-Maori25Hanging, strangulation and suffocation</v>
      </c>
      <c r="U2274">
        <v>2006</v>
      </c>
      <c r="V2274" t="s">
        <v>20</v>
      </c>
      <c r="W2274" t="s">
        <v>19</v>
      </c>
      <c r="X2274">
        <v>25</v>
      </c>
      <c r="Y2274" t="s">
        <v>43</v>
      </c>
      <c r="Z2274">
        <v>12</v>
      </c>
      <c r="AA2274">
        <v>33</v>
      </c>
      <c r="AB2274">
        <v>36.4</v>
      </c>
    </row>
    <row r="2275" spans="10:28">
      <c r="J2275" s="340" t="str">
        <f t="shared" si="119"/>
        <v>2007MaleNon-Maori212</v>
      </c>
      <c r="K2275">
        <v>2007</v>
      </c>
      <c r="L2275" t="s">
        <v>20</v>
      </c>
      <c r="M2275" t="s">
        <v>19</v>
      </c>
      <c r="N2275">
        <v>21</v>
      </c>
      <c r="O2275">
        <v>2</v>
      </c>
      <c r="P2275">
        <v>0</v>
      </c>
      <c r="Q2275">
        <v>0</v>
      </c>
      <c r="T2275" s="340" t="str">
        <f t="shared" si="120"/>
        <v>2006MaleNon-Maori22Jumping from a high place</v>
      </c>
      <c r="U2275">
        <v>2006</v>
      </c>
      <c r="V2275" t="s">
        <v>20</v>
      </c>
      <c r="W2275" t="s">
        <v>19</v>
      </c>
      <c r="X2275">
        <v>22</v>
      </c>
      <c r="Y2275" t="s">
        <v>44</v>
      </c>
      <c r="Z2275">
        <v>3</v>
      </c>
      <c r="AA2275">
        <v>66</v>
      </c>
      <c r="AB2275">
        <v>4.5</v>
      </c>
    </row>
    <row r="2276" spans="10:28">
      <c r="J2276" s="340" t="str">
        <f t="shared" si="119"/>
        <v>2007MaleNon-Maori213</v>
      </c>
      <c r="K2276">
        <v>2007</v>
      </c>
      <c r="L2276" t="s">
        <v>20</v>
      </c>
      <c r="M2276" t="s">
        <v>19</v>
      </c>
      <c r="N2276">
        <v>21</v>
      </c>
      <c r="O2276">
        <v>3</v>
      </c>
      <c r="P2276">
        <v>1</v>
      </c>
      <c r="Q2276">
        <v>1.50007211685078</v>
      </c>
      <c r="R2276">
        <v>2.9</v>
      </c>
      <c r="T2276" s="340" t="str">
        <f t="shared" si="120"/>
        <v>2006MaleNon-Maori23Jumping from a high place</v>
      </c>
      <c r="U2276">
        <v>2006</v>
      </c>
      <c r="V2276" t="s">
        <v>20</v>
      </c>
      <c r="W2276" t="s">
        <v>19</v>
      </c>
      <c r="X2276">
        <v>23</v>
      </c>
      <c r="Y2276" t="s">
        <v>44</v>
      </c>
      <c r="Z2276">
        <v>2</v>
      </c>
      <c r="AA2276">
        <v>111</v>
      </c>
      <c r="AB2276">
        <v>1.8</v>
      </c>
    </row>
    <row r="2277" spans="10:28">
      <c r="J2277" s="340" t="str">
        <f t="shared" si="119"/>
        <v>2007MaleNon-Maori214</v>
      </c>
      <c r="K2277">
        <v>2007</v>
      </c>
      <c r="L2277" t="s">
        <v>20</v>
      </c>
      <c r="M2277" t="s">
        <v>19</v>
      </c>
      <c r="N2277">
        <v>21</v>
      </c>
      <c r="O2277">
        <v>4</v>
      </c>
      <c r="P2277">
        <v>0</v>
      </c>
      <c r="Q2277">
        <v>0</v>
      </c>
      <c r="T2277" s="340" t="str">
        <f t="shared" si="120"/>
        <v>2006MaleNon-Maori24Jumping from a high place</v>
      </c>
      <c r="U2277">
        <v>2006</v>
      </c>
      <c r="V2277" t="s">
        <v>20</v>
      </c>
      <c r="W2277" t="s">
        <v>19</v>
      </c>
      <c r="X2277">
        <v>24</v>
      </c>
      <c r="Y2277" t="s">
        <v>44</v>
      </c>
      <c r="Z2277">
        <v>1</v>
      </c>
      <c r="AA2277">
        <v>100</v>
      </c>
      <c r="AB2277">
        <v>1</v>
      </c>
    </row>
    <row r="2278" spans="10:28">
      <c r="J2278" s="340" t="str">
        <f t="shared" si="119"/>
        <v>2007MaleNon-Maori215</v>
      </c>
      <c r="K2278">
        <v>2007</v>
      </c>
      <c r="L2278" t="s">
        <v>20</v>
      </c>
      <c r="M2278" t="s">
        <v>19</v>
      </c>
      <c r="N2278">
        <v>21</v>
      </c>
      <c r="O2278">
        <v>5</v>
      </c>
      <c r="P2278">
        <v>0</v>
      </c>
      <c r="Q2278">
        <v>0</v>
      </c>
      <c r="T2278" s="340" t="str">
        <f t="shared" si="120"/>
        <v>2006MaleNon-Maori22Other</v>
      </c>
      <c r="U2278">
        <v>2006</v>
      </c>
      <c r="V2278" t="s">
        <v>20</v>
      </c>
      <c r="W2278" t="s">
        <v>19</v>
      </c>
      <c r="X2278">
        <v>22</v>
      </c>
      <c r="Y2278" t="s">
        <v>45</v>
      </c>
      <c r="Z2278">
        <v>4</v>
      </c>
      <c r="AA2278">
        <v>66</v>
      </c>
      <c r="AB2278">
        <v>6.1</v>
      </c>
    </row>
    <row r="2279" spans="10:28">
      <c r="J2279" s="340" t="str">
        <f t="shared" si="119"/>
        <v>2007MaleNon-Maori221</v>
      </c>
      <c r="K2279">
        <v>2007</v>
      </c>
      <c r="L2279" t="s">
        <v>20</v>
      </c>
      <c r="M2279" t="s">
        <v>19</v>
      </c>
      <c r="N2279">
        <v>22</v>
      </c>
      <c r="O2279">
        <v>1</v>
      </c>
      <c r="P2279">
        <v>7</v>
      </c>
      <c r="Q2279">
        <v>14.365331735324</v>
      </c>
      <c r="R2279">
        <v>10.6</v>
      </c>
      <c r="T2279" s="340" t="str">
        <f t="shared" si="120"/>
        <v>2006MaleNon-Maori23Other</v>
      </c>
      <c r="U2279">
        <v>2006</v>
      </c>
      <c r="V2279" t="s">
        <v>20</v>
      </c>
      <c r="W2279" t="s">
        <v>19</v>
      </c>
      <c r="X2279">
        <v>23</v>
      </c>
      <c r="Y2279" t="s">
        <v>45</v>
      </c>
      <c r="Z2279">
        <v>5</v>
      </c>
      <c r="AA2279">
        <v>111</v>
      </c>
      <c r="AB2279">
        <v>4.5</v>
      </c>
    </row>
    <row r="2280" spans="10:28">
      <c r="J2280" s="340" t="str">
        <f t="shared" si="119"/>
        <v>2007MaleNon-Maori222</v>
      </c>
      <c r="K2280">
        <v>2007</v>
      </c>
      <c r="L2280" t="s">
        <v>20</v>
      </c>
      <c r="M2280" t="s">
        <v>19</v>
      </c>
      <c r="N2280">
        <v>22</v>
      </c>
      <c r="O2280">
        <v>2</v>
      </c>
      <c r="P2280">
        <v>7</v>
      </c>
      <c r="Q2280">
        <v>14.101385131242401</v>
      </c>
      <c r="R2280">
        <v>10.4</v>
      </c>
      <c r="T2280" s="340" t="str">
        <f t="shared" si="120"/>
        <v>2006MaleNon-Maori24Other</v>
      </c>
      <c r="U2280">
        <v>2006</v>
      </c>
      <c r="V2280" t="s">
        <v>20</v>
      </c>
      <c r="W2280" t="s">
        <v>19</v>
      </c>
      <c r="X2280">
        <v>24</v>
      </c>
      <c r="Y2280" t="s">
        <v>45</v>
      </c>
      <c r="Z2280">
        <v>3</v>
      </c>
      <c r="AA2280">
        <v>100</v>
      </c>
      <c r="AB2280">
        <v>3</v>
      </c>
    </row>
    <row r="2281" spans="10:28">
      <c r="J2281" s="340" t="str">
        <f t="shared" si="119"/>
        <v>2007MaleNon-Maori223</v>
      </c>
      <c r="K2281">
        <v>2007</v>
      </c>
      <c r="L2281" t="s">
        <v>20</v>
      </c>
      <c r="M2281" t="s">
        <v>19</v>
      </c>
      <c r="N2281">
        <v>22</v>
      </c>
      <c r="O2281">
        <v>3</v>
      </c>
      <c r="P2281">
        <v>10</v>
      </c>
      <c r="Q2281">
        <v>19.990237652742501</v>
      </c>
      <c r="R2281">
        <v>12.4</v>
      </c>
      <c r="T2281" s="340" t="str">
        <f t="shared" si="120"/>
        <v>2006MaleNon-Maori25Other</v>
      </c>
      <c r="U2281">
        <v>2006</v>
      </c>
      <c r="V2281" t="s">
        <v>20</v>
      </c>
      <c r="W2281" t="s">
        <v>19</v>
      </c>
      <c r="X2281">
        <v>25</v>
      </c>
      <c r="Y2281" t="s">
        <v>45</v>
      </c>
      <c r="Z2281">
        <v>3</v>
      </c>
      <c r="AA2281">
        <v>33</v>
      </c>
      <c r="AB2281">
        <v>9.1</v>
      </c>
    </row>
    <row r="2282" spans="10:28">
      <c r="J2282" s="340" t="str">
        <f t="shared" si="119"/>
        <v>2007MaleNon-Maori224</v>
      </c>
      <c r="K2282">
        <v>2007</v>
      </c>
      <c r="L2282" t="s">
        <v>20</v>
      </c>
      <c r="M2282" t="s">
        <v>19</v>
      </c>
      <c r="N2282">
        <v>22</v>
      </c>
      <c r="O2282">
        <v>4</v>
      </c>
      <c r="P2282">
        <v>10</v>
      </c>
      <c r="Q2282">
        <v>20.004714589746001</v>
      </c>
      <c r="R2282">
        <v>12.4</v>
      </c>
      <c r="T2282" s="340" t="str">
        <f t="shared" si="120"/>
        <v>2006MaleNon-Maori22Poisoning by gases and vapours</v>
      </c>
      <c r="U2282">
        <v>2006</v>
      </c>
      <c r="V2282" t="s">
        <v>20</v>
      </c>
      <c r="W2282" t="s">
        <v>19</v>
      </c>
      <c r="X2282">
        <v>22</v>
      </c>
      <c r="Y2282" t="s">
        <v>46</v>
      </c>
      <c r="Z2282">
        <v>9</v>
      </c>
      <c r="AA2282">
        <v>66</v>
      </c>
      <c r="AB2282">
        <v>13.6</v>
      </c>
    </row>
    <row r="2283" spans="10:28">
      <c r="J2283" s="340" t="str">
        <f t="shared" si="119"/>
        <v>2007MaleNon-Maori225</v>
      </c>
      <c r="K2283">
        <v>2007</v>
      </c>
      <c r="L2283" t="s">
        <v>20</v>
      </c>
      <c r="M2283" t="s">
        <v>19</v>
      </c>
      <c r="N2283">
        <v>22</v>
      </c>
      <c r="O2283">
        <v>5</v>
      </c>
      <c r="P2283">
        <v>11</v>
      </c>
      <c r="Q2283">
        <v>22.695186869701701</v>
      </c>
      <c r="R2283">
        <v>13.4</v>
      </c>
      <c r="T2283" s="340" t="str">
        <f t="shared" si="120"/>
        <v>2006MaleNon-Maori23Poisoning by gases and vapours</v>
      </c>
      <c r="U2283">
        <v>2006</v>
      </c>
      <c r="V2283" t="s">
        <v>20</v>
      </c>
      <c r="W2283" t="s">
        <v>19</v>
      </c>
      <c r="X2283">
        <v>23</v>
      </c>
      <c r="Y2283" t="s">
        <v>46</v>
      </c>
      <c r="Z2283">
        <v>22</v>
      </c>
      <c r="AA2283">
        <v>111</v>
      </c>
      <c r="AB2283">
        <v>19.8</v>
      </c>
    </row>
    <row r="2284" spans="10:28">
      <c r="J2284" s="340" t="str">
        <f t="shared" si="119"/>
        <v>2007MaleNon-Maori231</v>
      </c>
      <c r="K2284">
        <v>2007</v>
      </c>
      <c r="L2284" t="s">
        <v>20</v>
      </c>
      <c r="M2284" t="s">
        <v>19</v>
      </c>
      <c r="N2284">
        <v>23</v>
      </c>
      <c r="O2284">
        <v>1</v>
      </c>
      <c r="P2284">
        <v>18</v>
      </c>
      <c r="Q2284">
        <v>17.505991640130802</v>
      </c>
      <c r="R2284">
        <v>8.1</v>
      </c>
      <c r="T2284" s="340" t="str">
        <f t="shared" si="120"/>
        <v>2006MaleNon-Maori24Poisoning by gases and vapours</v>
      </c>
      <c r="U2284">
        <v>2006</v>
      </c>
      <c r="V2284" t="s">
        <v>20</v>
      </c>
      <c r="W2284" t="s">
        <v>19</v>
      </c>
      <c r="X2284">
        <v>24</v>
      </c>
      <c r="Y2284" t="s">
        <v>46</v>
      </c>
      <c r="Z2284">
        <v>24</v>
      </c>
      <c r="AA2284">
        <v>100</v>
      </c>
      <c r="AB2284">
        <v>24</v>
      </c>
    </row>
    <row r="2285" spans="10:28">
      <c r="J2285" s="340" t="str">
        <f t="shared" si="119"/>
        <v>2007MaleNon-Maori232</v>
      </c>
      <c r="K2285">
        <v>2007</v>
      </c>
      <c r="L2285" t="s">
        <v>20</v>
      </c>
      <c r="M2285" t="s">
        <v>19</v>
      </c>
      <c r="N2285">
        <v>23</v>
      </c>
      <c r="O2285">
        <v>2</v>
      </c>
      <c r="P2285">
        <v>17</v>
      </c>
      <c r="Q2285">
        <v>15.893200419758299</v>
      </c>
      <c r="R2285">
        <v>7.6</v>
      </c>
      <c r="T2285" s="340" t="str">
        <f t="shared" si="120"/>
        <v>2006MaleNon-Maori25Poisoning by gases and vapours</v>
      </c>
      <c r="U2285">
        <v>2006</v>
      </c>
      <c r="V2285" t="s">
        <v>20</v>
      </c>
      <c r="W2285" t="s">
        <v>19</v>
      </c>
      <c r="X2285">
        <v>25</v>
      </c>
      <c r="Y2285" t="s">
        <v>46</v>
      </c>
      <c r="Z2285">
        <v>9</v>
      </c>
      <c r="AA2285">
        <v>33</v>
      </c>
      <c r="AB2285">
        <v>27.3</v>
      </c>
    </row>
    <row r="2286" spans="10:28">
      <c r="J2286" s="340" t="str">
        <f t="shared" si="119"/>
        <v>2007MaleNon-Maori233</v>
      </c>
      <c r="K2286">
        <v>2007</v>
      </c>
      <c r="L2286" t="s">
        <v>20</v>
      </c>
      <c r="M2286" t="s">
        <v>19</v>
      </c>
      <c r="N2286">
        <v>23</v>
      </c>
      <c r="O2286">
        <v>3</v>
      </c>
      <c r="P2286">
        <v>27</v>
      </c>
      <c r="Q2286">
        <v>25.903676511073101</v>
      </c>
      <c r="R2286">
        <v>9.8000000000000007</v>
      </c>
      <c r="T2286" s="340" t="str">
        <f t="shared" si="120"/>
        <v>2006MaleNon-Maori22Poisoning by solids and liquids</v>
      </c>
      <c r="U2286">
        <v>2006</v>
      </c>
      <c r="V2286" t="s">
        <v>20</v>
      </c>
      <c r="W2286" t="s">
        <v>19</v>
      </c>
      <c r="X2286">
        <v>22</v>
      </c>
      <c r="Y2286" t="s">
        <v>47</v>
      </c>
      <c r="Z2286">
        <v>1</v>
      </c>
      <c r="AA2286">
        <v>66</v>
      </c>
      <c r="AB2286">
        <v>1.5</v>
      </c>
    </row>
    <row r="2287" spans="10:28">
      <c r="J2287" s="340" t="str">
        <f t="shared" si="119"/>
        <v>2007MaleNon-Maori234</v>
      </c>
      <c r="K2287">
        <v>2007</v>
      </c>
      <c r="L2287" t="s">
        <v>20</v>
      </c>
      <c r="M2287" t="s">
        <v>19</v>
      </c>
      <c r="N2287">
        <v>23</v>
      </c>
      <c r="O2287">
        <v>4</v>
      </c>
      <c r="P2287">
        <v>29</v>
      </c>
      <c r="Q2287">
        <v>30.054304212156399</v>
      </c>
      <c r="R2287">
        <v>10.9</v>
      </c>
      <c r="T2287" s="340" t="str">
        <f t="shared" si="120"/>
        <v>2006MaleNon-Maori23Poisoning by solids and liquids</v>
      </c>
      <c r="U2287">
        <v>2006</v>
      </c>
      <c r="V2287" t="s">
        <v>20</v>
      </c>
      <c r="W2287" t="s">
        <v>19</v>
      </c>
      <c r="X2287">
        <v>23</v>
      </c>
      <c r="Y2287" t="s">
        <v>47</v>
      </c>
      <c r="Z2287">
        <v>8</v>
      </c>
      <c r="AA2287">
        <v>111</v>
      </c>
      <c r="AB2287">
        <v>7.2</v>
      </c>
    </row>
    <row r="2288" spans="10:28">
      <c r="J2288" s="340" t="str">
        <f t="shared" si="119"/>
        <v>2007MaleNon-Maori235</v>
      </c>
      <c r="K2288">
        <v>2007</v>
      </c>
      <c r="L2288" t="s">
        <v>20</v>
      </c>
      <c r="M2288" t="s">
        <v>19</v>
      </c>
      <c r="N2288">
        <v>23</v>
      </c>
      <c r="O2288">
        <v>5</v>
      </c>
      <c r="P2288">
        <v>27</v>
      </c>
      <c r="Q2288">
        <v>35.582607264582599</v>
      </c>
      <c r="R2288">
        <v>13.4</v>
      </c>
      <c r="T2288" s="340" t="str">
        <f t="shared" si="120"/>
        <v>2006MaleNon-Maori24Poisoning by solids and liquids</v>
      </c>
      <c r="U2288">
        <v>2006</v>
      </c>
      <c r="V2288" t="s">
        <v>20</v>
      </c>
      <c r="W2288" t="s">
        <v>19</v>
      </c>
      <c r="X2288">
        <v>24</v>
      </c>
      <c r="Y2288" t="s">
        <v>47</v>
      </c>
      <c r="Z2288">
        <v>11</v>
      </c>
      <c r="AA2288">
        <v>100</v>
      </c>
      <c r="AB2288">
        <v>11</v>
      </c>
    </row>
    <row r="2289" spans="10:28">
      <c r="J2289" s="340" t="str">
        <f t="shared" si="119"/>
        <v>2007MaleNon-Maori241</v>
      </c>
      <c r="K2289">
        <v>2007</v>
      </c>
      <c r="L2289" t="s">
        <v>20</v>
      </c>
      <c r="M2289" t="s">
        <v>19</v>
      </c>
      <c r="N2289">
        <v>24</v>
      </c>
      <c r="O2289">
        <v>1</v>
      </c>
      <c r="P2289">
        <v>12</v>
      </c>
      <c r="Q2289">
        <v>9.8114374235408697</v>
      </c>
      <c r="R2289">
        <v>5.6</v>
      </c>
      <c r="T2289" s="340" t="str">
        <f t="shared" si="120"/>
        <v>2006MaleNon-Maori25Poisoning by solids and liquids</v>
      </c>
      <c r="U2289">
        <v>2006</v>
      </c>
      <c r="V2289" t="s">
        <v>20</v>
      </c>
      <c r="W2289" t="s">
        <v>19</v>
      </c>
      <c r="X2289">
        <v>25</v>
      </c>
      <c r="Y2289" t="s">
        <v>47</v>
      </c>
      <c r="Z2289">
        <v>1</v>
      </c>
      <c r="AA2289">
        <v>33</v>
      </c>
      <c r="AB2289">
        <v>3</v>
      </c>
    </row>
    <row r="2290" spans="10:28">
      <c r="J2290" s="340" t="str">
        <f t="shared" si="119"/>
        <v>2007MaleNon-Maori242</v>
      </c>
      <c r="K2290">
        <v>2007</v>
      </c>
      <c r="L2290" t="s">
        <v>20</v>
      </c>
      <c r="M2290" t="s">
        <v>19</v>
      </c>
      <c r="N2290">
        <v>24</v>
      </c>
      <c r="O2290">
        <v>2</v>
      </c>
      <c r="P2290">
        <v>16</v>
      </c>
      <c r="Q2290">
        <v>15.2713122149311</v>
      </c>
      <c r="R2290">
        <v>7.5</v>
      </c>
      <c r="T2290" s="340" t="str">
        <f t="shared" si="120"/>
        <v>2006MaleNon-Maori22Sharp object</v>
      </c>
      <c r="U2290">
        <v>2006</v>
      </c>
      <c r="V2290" t="s">
        <v>20</v>
      </c>
      <c r="W2290" t="s">
        <v>19</v>
      </c>
      <c r="X2290">
        <v>22</v>
      </c>
      <c r="Y2290" t="s">
        <v>48</v>
      </c>
      <c r="Z2290">
        <v>1</v>
      </c>
      <c r="AA2290">
        <v>66</v>
      </c>
      <c r="AB2290">
        <v>1.5</v>
      </c>
    </row>
    <row r="2291" spans="10:28">
      <c r="J2291" s="340" t="str">
        <f t="shared" si="119"/>
        <v>2007MaleNon-Maori243</v>
      </c>
      <c r="K2291">
        <v>2007</v>
      </c>
      <c r="L2291" t="s">
        <v>20</v>
      </c>
      <c r="M2291" t="s">
        <v>19</v>
      </c>
      <c r="N2291">
        <v>24</v>
      </c>
      <c r="O2291">
        <v>3</v>
      </c>
      <c r="P2291">
        <v>25</v>
      </c>
      <c r="Q2291">
        <v>27.700018322254</v>
      </c>
      <c r="R2291">
        <v>10.9</v>
      </c>
      <c r="T2291" s="340" t="str">
        <f t="shared" si="120"/>
        <v>2006MaleNon-Maori23Sharp object</v>
      </c>
      <c r="U2291">
        <v>2006</v>
      </c>
      <c r="V2291" t="s">
        <v>20</v>
      </c>
      <c r="W2291" t="s">
        <v>19</v>
      </c>
      <c r="X2291">
        <v>23</v>
      </c>
      <c r="Y2291" t="s">
        <v>48</v>
      </c>
      <c r="Z2291">
        <v>4</v>
      </c>
      <c r="AA2291">
        <v>111</v>
      </c>
      <c r="AB2291">
        <v>3.6</v>
      </c>
    </row>
    <row r="2292" spans="10:28">
      <c r="J2292" s="340" t="str">
        <f t="shared" si="119"/>
        <v>2007MaleNon-Maori244</v>
      </c>
      <c r="K2292">
        <v>2007</v>
      </c>
      <c r="L2292" t="s">
        <v>20</v>
      </c>
      <c r="M2292" t="s">
        <v>19</v>
      </c>
      <c r="N2292">
        <v>24</v>
      </c>
      <c r="O2292">
        <v>4</v>
      </c>
      <c r="P2292">
        <v>22</v>
      </c>
      <c r="Q2292">
        <v>28.281422757943702</v>
      </c>
      <c r="R2292">
        <v>11.8</v>
      </c>
      <c r="T2292" s="340" t="str">
        <f t="shared" si="120"/>
        <v>2006MaleNon-Maori24Sharp object</v>
      </c>
      <c r="U2292">
        <v>2006</v>
      </c>
      <c r="V2292" t="s">
        <v>20</v>
      </c>
      <c r="W2292" t="s">
        <v>19</v>
      </c>
      <c r="X2292">
        <v>24</v>
      </c>
      <c r="Y2292" t="s">
        <v>48</v>
      </c>
      <c r="Z2292">
        <v>2</v>
      </c>
      <c r="AA2292">
        <v>100</v>
      </c>
      <c r="AB2292">
        <v>2</v>
      </c>
    </row>
    <row r="2293" spans="10:28">
      <c r="J2293" s="340" t="str">
        <f t="shared" si="119"/>
        <v>2007MaleNon-Maori245</v>
      </c>
      <c r="K2293">
        <v>2007</v>
      </c>
      <c r="L2293" t="s">
        <v>20</v>
      </c>
      <c r="M2293" t="s">
        <v>19</v>
      </c>
      <c r="N2293">
        <v>24</v>
      </c>
      <c r="O2293">
        <v>5</v>
      </c>
      <c r="P2293">
        <v>12</v>
      </c>
      <c r="Q2293">
        <v>20.222473499974399</v>
      </c>
      <c r="R2293">
        <v>11.4</v>
      </c>
      <c r="T2293" s="340" t="str">
        <f t="shared" si="120"/>
        <v>2006MaleNon-Maori25Sharp object</v>
      </c>
      <c r="U2293">
        <v>2006</v>
      </c>
      <c r="V2293" t="s">
        <v>20</v>
      </c>
      <c r="W2293" t="s">
        <v>19</v>
      </c>
      <c r="X2293">
        <v>25</v>
      </c>
      <c r="Y2293" t="s">
        <v>48</v>
      </c>
      <c r="Z2293">
        <v>2</v>
      </c>
      <c r="AA2293">
        <v>33</v>
      </c>
      <c r="AB2293">
        <v>6.1</v>
      </c>
    </row>
    <row r="2294" spans="10:28">
      <c r="J2294" s="340" t="str">
        <f t="shared" si="119"/>
        <v>2007MaleNon-Maori251</v>
      </c>
      <c r="K2294">
        <v>2007</v>
      </c>
      <c r="L2294" t="s">
        <v>20</v>
      </c>
      <c r="M2294" t="s">
        <v>19</v>
      </c>
      <c r="N2294">
        <v>25</v>
      </c>
      <c r="O2294">
        <v>1</v>
      </c>
      <c r="P2294">
        <v>6</v>
      </c>
      <c r="Q2294">
        <v>12.4733293703736</v>
      </c>
      <c r="R2294">
        <v>10</v>
      </c>
      <c r="T2294" s="340" t="str">
        <f t="shared" si="120"/>
        <v>2006MaleNon-Maori22Submersion (drowning)</v>
      </c>
      <c r="U2294">
        <v>2006</v>
      </c>
      <c r="V2294" t="s">
        <v>20</v>
      </c>
      <c r="W2294" t="s">
        <v>19</v>
      </c>
      <c r="X2294">
        <v>22</v>
      </c>
      <c r="Y2294" t="s">
        <v>49</v>
      </c>
      <c r="Z2294">
        <v>1</v>
      </c>
      <c r="AA2294">
        <v>66</v>
      </c>
      <c r="AB2294">
        <v>1.5</v>
      </c>
    </row>
    <row r="2295" spans="10:28">
      <c r="J2295" s="340" t="str">
        <f t="shared" si="119"/>
        <v>2007MaleNon-Maori252</v>
      </c>
      <c r="K2295">
        <v>2007</v>
      </c>
      <c r="L2295" t="s">
        <v>20</v>
      </c>
      <c r="M2295" t="s">
        <v>19</v>
      </c>
      <c r="N2295">
        <v>25</v>
      </c>
      <c r="O2295">
        <v>2</v>
      </c>
      <c r="P2295">
        <v>9</v>
      </c>
      <c r="Q2295">
        <v>18.585752591563899</v>
      </c>
      <c r="R2295">
        <v>12.1</v>
      </c>
      <c r="T2295" s="340" t="str">
        <f t="shared" si="120"/>
        <v>2006MaleNon-Maori23Submersion (drowning)</v>
      </c>
      <c r="U2295">
        <v>2006</v>
      </c>
      <c r="V2295" t="s">
        <v>20</v>
      </c>
      <c r="W2295" t="s">
        <v>19</v>
      </c>
      <c r="X2295">
        <v>23</v>
      </c>
      <c r="Y2295" t="s">
        <v>49</v>
      </c>
      <c r="Z2295">
        <v>2</v>
      </c>
      <c r="AA2295">
        <v>111</v>
      </c>
      <c r="AB2295">
        <v>1.8</v>
      </c>
    </row>
    <row r="2296" spans="10:28">
      <c r="J2296" s="340" t="str">
        <f t="shared" si="119"/>
        <v>2007MaleNon-Maori253</v>
      </c>
      <c r="K2296">
        <v>2007</v>
      </c>
      <c r="L2296" t="s">
        <v>20</v>
      </c>
      <c r="M2296" t="s">
        <v>19</v>
      </c>
      <c r="N2296">
        <v>25</v>
      </c>
      <c r="O2296">
        <v>3</v>
      </c>
      <c r="P2296">
        <v>6</v>
      </c>
      <c r="Q2296">
        <v>12.389747220930801</v>
      </c>
      <c r="R2296">
        <v>9.9</v>
      </c>
      <c r="T2296" s="340" t="str">
        <f t="shared" si="120"/>
        <v>2006MaleNon-Maori24Submersion (drowning)</v>
      </c>
      <c r="U2296">
        <v>2006</v>
      </c>
      <c r="V2296" t="s">
        <v>20</v>
      </c>
      <c r="W2296" t="s">
        <v>19</v>
      </c>
      <c r="X2296">
        <v>24</v>
      </c>
      <c r="Y2296" t="s">
        <v>49</v>
      </c>
      <c r="Z2296">
        <v>2</v>
      </c>
      <c r="AA2296">
        <v>100</v>
      </c>
      <c r="AB2296">
        <v>2</v>
      </c>
    </row>
    <row r="2297" spans="10:28">
      <c r="J2297" s="340" t="str">
        <f t="shared" si="119"/>
        <v>2007MaleNon-Maori254</v>
      </c>
      <c r="K2297">
        <v>2007</v>
      </c>
      <c r="L2297" t="s">
        <v>20</v>
      </c>
      <c r="M2297" t="s">
        <v>19</v>
      </c>
      <c r="N2297">
        <v>25</v>
      </c>
      <c r="O2297">
        <v>4</v>
      </c>
      <c r="P2297">
        <v>14</v>
      </c>
      <c r="Q2297">
        <v>30.593235002549999</v>
      </c>
      <c r="R2297">
        <v>16</v>
      </c>
      <c r="T2297" s="340" t="str">
        <f t="shared" si="120"/>
        <v>2006MaleNon-Maori25Submersion (drowning)</v>
      </c>
      <c r="U2297">
        <v>2006</v>
      </c>
      <c r="V2297" t="s">
        <v>20</v>
      </c>
      <c r="W2297" t="s">
        <v>19</v>
      </c>
      <c r="X2297">
        <v>25</v>
      </c>
      <c r="Y2297" t="s">
        <v>49</v>
      </c>
      <c r="Z2297">
        <v>1</v>
      </c>
      <c r="AA2297">
        <v>33</v>
      </c>
      <c r="AB2297">
        <v>3</v>
      </c>
    </row>
    <row r="2298" spans="10:28">
      <c r="J2298" s="340" t="str">
        <f t="shared" si="119"/>
        <v>2007MaleNon-Maori255</v>
      </c>
      <c r="K2298">
        <v>2007</v>
      </c>
      <c r="L2298" t="s">
        <v>20</v>
      </c>
      <c r="M2298" t="s">
        <v>19</v>
      </c>
      <c r="N2298">
        <v>25</v>
      </c>
      <c r="O2298">
        <v>5</v>
      </c>
      <c r="P2298">
        <v>5</v>
      </c>
      <c r="Q2298">
        <v>15.022103125238401</v>
      </c>
      <c r="R2298">
        <v>13.2</v>
      </c>
      <c r="T2298" s="340" t="str">
        <f t="shared" si="120"/>
        <v>2007AllSexAllEth22Firearms and explosives</v>
      </c>
      <c r="U2298">
        <v>2007</v>
      </c>
      <c r="V2298" t="s">
        <v>17</v>
      </c>
      <c r="W2298" t="s">
        <v>27</v>
      </c>
      <c r="X2298">
        <v>22</v>
      </c>
      <c r="Y2298" t="s">
        <v>42</v>
      </c>
      <c r="Z2298">
        <v>4</v>
      </c>
      <c r="AA2298">
        <v>94</v>
      </c>
      <c r="AB2298">
        <v>4.3</v>
      </c>
    </row>
    <row r="2299" spans="10:28">
      <c r="J2299" s="340" t="str">
        <f t="shared" si="119"/>
        <v>2008AllSexAllEth211</v>
      </c>
      <c r="K2299">
        <v>2008</v>
      </c>
      <c r="L2299" t="s">
        <v>17</v>
      </c>
      <c r="M2299" t="s">
        <v>27</v>
      </c>
      <c r="N2299">
        <v>21</v>
      </c>
      <c r="O2299">
        <v>1</v>
      </c>
      <c r="P2299">
        <v>0</v>
      </c>
      <c r="Q2299">
        <v>0</v>
      </c>
      <c r="T2299" s="340" t="str">
        <f t="shared" si="120"/>
        <v>2007AllSexAllEth23Firearms and explosives</v>
      </c>
      <c r="U2299">
        <v>2007</v>
      </c>
      <c r="V2299" t="s">
        <v>17</v>
      </c>
      <c r="W2299" t="s">
        <v>27</v>
      </c>
      <c r="X2299">
        <v>23</v>
      </c>
      <c r="Y2299" t="s">
        <v>42</v>
      </c>
      <c r="Z2299">
        <v>20</v>
      </c>
      <c r="AA2299">
        <v>213</v>
      </c>
      <c r="AB2299">
        <v>9.4</v>
      </c>
    </row>
    <row r="2300" spans="10:28">
      <c r="J2300" s="340" t="str">
        <f t="shared" si="119"/>
        <v>2008AllSexAllEth212</v>
      </c>
      <c r="K2300">
        <v>2008</v>
      </c>
      <c r="L2300" t="s">
        <v>17</v>
      </c>
      <c r="M2300" t="s">
        <v>27</v>
      </c>
      <c r="N2300">
        <v>21</v>
      </c>
      <c r="O2300">
        <v>2</v>
      </c>
      <c r="P2300">
        <v>0</v>
      </c>
      <c r="Q2300">
        <v>0</v>
      </c>
      <c r="T2300" s="340" t="str">
        <f t="shared" si="120"/>
        <v>2007AllSexAllEth24Firearms and explosives</v>
      </c>
      <c r="U2300">
        <v>2007</v>
      </c>
      <c r="V2300" t="s">
        <v>17</v>
      </c>
      <c r="W2300" t="s">
        <v>27</v>
      </c>
      <c r="X2300">
        <v>24</v>
      </c>
      <c r="Y2300" t="s">
        <v>42</v>
      </c>
      <c r="Z2300">
        <v>10</v>
      </c>
      <c r="AA2300">
        <v>142</v>
      </c>
      <c r="AB2300">
        <v>7</v>
      </c>
    </row>
    <row r="2301" spans="10:28">
      <c r="J2301" s="340" t="str">
        <f t="shared" si="119"/>
        <v>2008AllSexAllEth213</v>
      </c>
      <c r="K2301">
        <v>2008</v>
      </c>
      <c r="L2301" t="s">
        <v>17</v>
      </c>
      <c r="M2301" t="s">
        <v>27</v>
      </c>
      <c r="N2301">
        <v>21</v>
      </c>
      <c r="O2301">
        <v>3</v>
      </c>
      <c r="P2301">
        <v>2</v>
      </c>
      <c r="Q2301">
        <v>1.2178064348137101</v>
      </c>
      <c r="R2301">
        <v>1.7</v>
      </c>
      <c r="T2301" s="340" t="str">
        <f t="shared" si="120"/>
        <v>2007AllSexAllEth25Firearms and explosives</v>
      </c>
      <c r="U2301">
        <v>2007</v>
      </c>
      <c r="V2301" t="s">
        <v>17</v>
      </c>
      <c r="W2301" t="s">
        <v>27</v>
      </c>
      <c r="X2301">
        <v>25</v>
      </c>
      <c r="Y2301" t="s">
        <v>42</v>
      </c>
      <c r="Z2301">
        <v>14</v>
      </c>
      <c r="AA2301">
        <v>50</v>
      </c>
      <c r="AB2301">
        <v>28</v>
      </c>
    </row>
    <row r="2302" spans="10:28">
      <c r="J2302" s="340" t="str">
        <f t="shared" si="119"/>
        <v>2008AllSexAllEth214</v>
      </c>
      <c r="K2302">
        <v>2008</v>
      </c>
      <c r="L2302" t="s">
        <v>17</v>
      </c>
      <c r="M2302" t="s">
        <v>27</v>
      </c>
      <c r="N2302">
        <v>21</v>
      </c>
      <c r="O2302">
        <v>4</v>
      </c>
      <c r="P2302">
        <v>0</v>
      </c>
      <c r="Q2302">
        <v>0</v>
      </c>
      <c r="T2302" s="340" t="str">
        <f t="shared" si="120"/>
        <v>2007AllSexAllEth21Hanging, strangulation and suffocation</v>
      </c>
      <c r="U2302">
        <v>2007</v>
      </c>
      <c r="V2302" t="s">
        <v>17</v>
      </c>
      <c r="W2302" t="s">
        <v>27</v>
      </c>
      <c r="X2302">
        <v>21</v>
      </c>
      <c r="Y2302" t="s">
        <v>43</v>
      </c>
      <c r="Z2302">
        <v>2</v>
      </c>
      <c r="AA2302">
        <v>2</v>
      </c>
      <c r="AB2302">
        <v>100</v>
      </c>
    </row>
    <row r="2303" spans="10:28">
      <c r="J2303" s="340" t="str">
        <f t="shared" si="119"/>
        <v>2008AllSexAllEth215</v>
      </c>
      <c r="K2303">
        <v>2008</v>
      </c>
      <c r="L2303" t="s">
        <v>17</v>
      </c>
      <c r="M2303" t="s">
        <v>27</v>
      </c>
      <c r="N2303">
        <v>21</v>
      </c>
      <c r="O2303">
        <v>5</v>
      </c>
      <c r="P2303">
        <v>3</v>
      </c>
      <c r="Q2303">
        <v>1.41216951141187</v>
      </c>
      <c r="R2303">
        <v>1.6</v>
      </c>
      <c r="T2303" s="340" t="str">
        <f t="shared" si="120"/>
        <v>2007AllSexAllEth22Hanging, strangulation and suffocation</v>
      </c>
      <c r="U2303">
        <v>2007</v>
      </c>
      <c r="V2303" t="s">
        <v>17</v>
      </c>
      <c r="W2303" t="s">
        <v>27</v>
      </c>
      <c r="X2303">
        <v>22</v>
      </c>
      <c r="Y2303" t="s">
        <v>43</v>
      </c>
      <c r="Z2303">
        <v>76</v>
      </c>
      <c r="AA2303">
        <v>94</v>
      </c>
      <c r="AB2303">
        <v>80.900000000000006</v>
      </c>
    </row>
    <row r="2304" spans="10:28">
      <c r="J2304" s="340" t="str">
        <f t="shared" si="119"/>
        <v>2008AllSexAllEth221</v>
      </c>
      <c r="K2304">
        <v>2008</v>
      </c>
      <c r="L2304" t="s">
        <v>17</v>
      </c>
      <c r="M2304" t="s">
        <v>27</v>
      </c>
      <c r="N2304">
        <v>22</v>
      </c>
      <c r="O2304">
        <v>1</v>
      </c>
      <c r="P2304">
        <v>18</v>
      </c>
      <c r="Q2304">
        <v>17.6573444097845</v>
      </c>
      <c r="R2304">
        <v>8.1999999999999993</v>
      </c>
      <c r="T2304" s="340" t="str">
        <f t="shared" si="120"/>
        <v>2007AllSexAllEth23Hanging, strangulation and suffocation</v>
      </c>
      <c r="U2304">
        <v>2007</v>
      </c>
      <c r="V2304" t="s">
        <v>17</v>
      </c>
      <c r="W2304" t="s">
        <v>27</v>
      </c>
      <c r="X2304">
        <v>23</v>
      </c>
      <c r="Y2304" t="s">
        <v>43</v>
      </c>
      <c r="Z2304">
        <v>125</v>
      </c>
      <c r="AA2304">
        <v>213</v>
      </c>
      <c r="AB2304">
        <v>58.7</v>
      </c>
    </row>
    <row r="2305" spans="10:28">
      <c r="J2305" s="340" t="str">
        <f t="shared" si="119"/>
        <v>2008AllSexAllEth222</v>
      </c>
      <c r="K2305">
        <v>2008</v>
      </c>
      <c r="L2305" t="s">
        <v>17</v>
      </c>
      <c r="M2305" t="s">
        <v>27</v>
      </c>
      <c r="N2305">
        <v>22</v>
      </c>
      <c r="O2305">
        <v>2</v>
      </c>
      <c r="P2305">
        <v>18</v>
      </c>
      <c r="Q2305">
        <v>16.609489598435299</v>
      </c>
      <c r="R2305">
        <v>7.7</v>
      </c>
      <c r="T2305" s="340" t="str">
        <f t="shared" si="120"/>
        <v>2007AllSexAllEth24Hanging, strangulation and suffocation</v>
      </c>
      <c r="U2305">
        <v>2007</v>
      </c>
      <c r="V2305" t="s">
        <v>17</v>
      </c>
      <c r="W2305" t="s">
        <v>27</v>
      </c>
      <c r="X2305">
        <v>24</v>
      </c>
      <c r="Y2305" t="s">
        <v>43</v>
      </c>
      <c r="Z2305">
        <v>63</v>
      </c>
      <c r="AA2305">
        <v>142</v>
      </c>
      <c r="AB2305">
        <v>44.4</v>
      </c>
    </row>
    <row r="2306" spans="10:28">
      <c r="J2306" s="340" t="str">
        <f t="shared" si="119"/>
        <v>2008AllSexAllEth223</v>
      </c>
      <c r="K2306">
        <v>2008</v>
      </c>
      <c r="L2306" t="s">
        <v>17</v>
      </c>
      <c r="M2306" t="s">
        <v>27</v>
      </c>
      <c r="N2306">
        <v>22</v>
      </c>
      <c r="O2306">
        <v>3</v>
      </c>
      <c r="P2306">
        <v>20</v>
      </c>
      <c r="Q2306">
        <v>17.077779442394402</v>
      </c>
      <c r="R2306">
        <v>7.5</v>
      </c>
      <c r="T2306" s="340" t="str">
        <f t="shared" si="120"/>
        <v>2007AllSexAllEth25Hanging, strangulation and suffocation</v>
      </c>
      <c r="U2306">
        <v>2007</v>
      </c>
      <c r="V2306" t="s">
        <v>17</v>
      </c>
      <c r="W2306" t="s">
        <v>27</v>
      </c>
      <c r="X2306">
        <v>25</v>
      </c>
      <c r="Y2306" t="s">
        <v>43</v>
      </c>
      <c r="Z2306">
        <v>18</v>
      </c>
      <c r="AA2306">
        <v>50</v>
      </c>
      <c r="AB2306">
        <v>36</v>
      </c>
    </row>
    <row r="2307" spans="10:28">
      <c r="J2307" s="340" t="str">
        <f t="shared" si="119"/>
        <v>2008AllSexAllEth224</v>
      </c>
      <c r="K2307">
        <v>2008</v>
      </c>
      <c r="L2307" t="s">
        <v>17</v>
      </c>
      <c r="M2307" t="s">
        <v>27</v>
      </c>
      <c r="N2307">
        <v>22</v>
      </c>
      <c r="O2307">
        <v>4</v>
      </c>
      <c r="P2307">
        <v>24</v>
      </c>
      <c r="Q2307">
        <v>18.676491685595298</v>
      </c>
      <c r="R2307">
        <v>7.5</v>
      </c>
      <c r="T2307" s="340" t="str">
        <f t="shared" si="120"/>
        <v>2007AllSexAllEth22Jumping from a high place</v>
      </c>
      <c r="U2307">
        <v>2007</v>
      </c>
      <c r="V2307" t="s">
        <v>17</v>
      </c>
      <c r="W2307" t="s">
        <v>27</v>
      </c>
      <c r="X2307">
        <v>22</v>
      </c>
      <c r="Y2307" t="s">
        <v>44</v>
      </c>
      <c r="Z2307">
        <v>1</v>
      </c>
      <c r="AA2307">
        <v>94</v>
      </c>
      <c r="AB2307">
        <v>1.1000000000000001</v>
      </c>
    </row>
    <row r="2308" spans="10:28">
      <c r="J2308" s="340" t="str">
        <f t="shared" ref="J2308:J2371" si="121">K2308&amp;L2308&amp;M2308&amp;N2308&amp;O2308</f>
        <v>2008AllSexAllEth225</v>
      </c>
      <c r="K2308">
        <v>2008</v>
      </c>
      <c r="L2308" t="s">
        <v>17</v>
      </c>
      <c r="M2308" t="s">
        <v>27</v>
      </c>
      <c r="N2308">
        <v>22</v>
      </c>
      <c r="O2308">
        <v>5</v>
      </c>
      <c r="P2308">
        <v>35</v>
      </c>
      <c r="Q2308">
        <v>23.3578439517098</v>
      </c>
      <c r="R2308">
        <v>7.7</v>
      </c>
      <c r="T2308" s="340" t="str">
        <f t="shared" si="120"/>
        <v>2007AllSexAllEth23Jumping from a high place</v>
      </c>
      <c r="U2308">
        <v>2007</v>
      </c>
      <c r="V2308" t="s">
        <v>17</v>
      </c>
      <c r="W2308" t="s">
        <v>27</v>
      </c>
      <c r="X2308">
        <v>23</v>
      </c>
      <c r="Y2308" t="s">
        <v>44</v>
      </c>
      <c r="Z2308">
        <v>8</v>
      </c>
      <c r="AA2308">
        <v>213</v>
      </c>
      <c r="AB2308">
        <v>3.8</v>
      </c>
    </row>
    <row r="2309" spans="10:28">
      <c r="J2309" s="340" t="str">
        <f t="shared" si="121"/>
        <v>2008AllSexAllEth231</v>
      </c>
      <c r="K2309">
        <v>2008</v>
      </c>
      <c r="L2309" t="s">
        <v>17</v>
      </c>
      <c r="M2309" t="s">
        <v>27</v>
      </c>
      <c r="N2309">
        <v>23</v>
      </c>
      <c r="O2309">
        <v>1</v>
      </c>
      <c r="P2309">
        <v>24</v>
      </c>
      <c r="Q2309">
        <v>10.4945048331157</v>
      </c>
      <c r="R2309">
        <v>4.2</v>
      </c>
      <c r="T2309" s="340" t="str">
        <f t="shared" ref="T2309:T2372" si="122">U2309&amp;V2309&amp;W2309&amp;X2309&amp;Y2309</f>
        <v>2007AllSexAllEth24Jumping from a high place</v>
      </c>
      <c r="U2309">
        <v>2007</v>
      </c>
      <c r="V2309" t="s">
        <v>17</v>
      </c>
      <c r="W2309" t="s">
        <v>27</v>
      </c>
      <c r="X2309">
        <v>24</v>
      </c>
      <c r="Y2309" t="s">
        <v>44</v>
      </c>
      <c r="Z2309">
        <v>4</v>
      </c>
      <c r="AA2309">
        <v>142</v>
      </c>
      <c r="AB2309">
        <v>2.8</v>
      </c>
    </row>
    <row r="2310" spans="10:28">
      <c r="J2310" s="340" t="str">
        <f t="shared" si="121"/>
        <v>2008AllSexAllEth232</v>
      </c>
      <c r="K2310">
        <v>2008</v>
      </c>
      <c r="L2310" t="s">
        <v>17</v>
      </c>
      <c r="M2310" t="s">
        <v>27</v>
      </c>
      <c r="N2310">
        <v>23</v>
      </c>
      <c r="O2310">
        <v>2</v>
      </c>
      <c r="P2310">
        <v>26</v>
      </c>
      <c r="Q2310">
        <v>10.8004022216293</v>
      </c>
      <c r="R2310">
        <v>4.2</v>
      </c>
      <c r="T2310" s="340" t="str">
        <f t="shared" si="122"/>
        <v>2007AllSexAllEth22Other</v>
      </c>
      <c r="U2310">
        <v>2007</v>
      </c>
      <c r="V2310" t="s">
        <v>17</v>
      </c>
      <c r="W2310" t="s">
        <v>27</v>
      </c>
      <c r="X2310">
        <v>22</v>
      </c>
      <c r="Y2310" t="s">
        <v>45</v>
      </c>
      <c r="Z2310">
        <v>4</v>
      </c>
      <c r="AA2310">
        <v>94</v>
      </c>
      <c r="AB2310">
        <v>4.3</v>
      </c>
    </row>
    <row r="2311" spans="10:28">
      <c r="J2311" s="340" t="str">
        <f t="shared" si="121"/>
        <v>2008AllSexAllEth233</v>
      </c>
      <c r="K2311">
        <v>2008</v>
      </c>
      <c r="L2311" t="s">
        <v>17</v>
      </c>
      <c r="M2311" t="s">
        <v>27</v>
      </c>
      <c r="N2311">
        <v>23</v>
      </c>
      <c r="O2311">
        <v>3</v>
      </c>
      <c r="P2311">
        <v>33</v>
      </c>
      <c r="Q2311">
        <v>13.693937194311401</v>
      </c>
      <c r="R2311">
        <v>4.7</v>
      </c>
      <c r="T2311" s="340" t="str">
        <f t="shared" si="122"/>
        <v>2007AllSexAllEth23Other</v>
      </c>
      <c r="U2311">
        <v>2007</v>
      </c>
      <c r="V2311" t="s">
        <v>17</v>
      </c>
      <c r="W2311" t="s">
        <v>27</v>
      </c>
      <c r="X2311">
        <v>23</v>
      </c>
      <c r="Y2311" t="s">
        <v>45</v>
      </c>
      <c r="Z2311">
        <v>4</v>
      </c>
      <c r="AA2311">
        <v>213</v>
      </c>
      <c r="AB2311">
        <v>1.9</v>
      </c>
    </row>
    <row r="2312" spans="10:28">
      <c r="J2312" s="340" t="str">
        <f t="shared" si="121"/>
        <v>2008AllSexAllEth234</v>
      </c>
      <c r="K2312">
        <v>2008</v>
      </c>
      <c r="L2312" t="s">
        <v>17</v>
      </c>
      <c r="M2312" t="s">
        <v>27</v>
      </c>
      <c r="N2312">
        <v>23</v>
      </c>
      <c r="O2312">
        <v>4</v>
      </c>
      <c r="P2312">
        <v>40</v>
      </c>
      <c r="Q2312">
        <v>16.895748974619899</v>
      </c>
      <c r="R2312">
        <v>5.2</v>
      </c>
      <c r="T2312" s="340" t="str">
        <f t="shared" si="122"/>
        <v>2007AllSexAllEth24Other</v>
      </c>
      <c r="U2312">
        <v>2007</v>
      </c>
      <c r="V2312" t="s">
        <v>17</v>
      </c>
      <c r="W2312" t="s">
        <v>27</v>
      </c>
      <c r="X2312">
        <v>24</v>
      </c>
      <c r="Y2312" t="s">
        <v>45</v>
      </c>
      <c r="Z2312">
        <v>10</v>
      </c>
      <c r="AA2312">
        <v>142</v>
      </c>
      <c r="AB2312">
        <v>7</v>
      </c>
    </row>
    <row r="2313" spans="10:28">
      <c r="J2313" s="340" t="str">
        <f t="shared" si="121"/>
        <v>2008AllSexAllEth235</v>
      </c>
      <c r="K2313">
        <v>2008</v>
      </c>
      <c r="L2313" t="s">
        <v>17</v>
      </c>
      <c r="M2313" t="s">
        <v>27</v>
      </c>
      <c r="N2313">
        <v>23</v>
      </c>
      <c r="O2313">
        <v>5</v>
      </c>
      <c r="P2313">
        <v>51</v>
      </c>
      <c r="Q2313">
        <v>22.912910444206499</v>
      </c>
      <c r="R2313">
        <v>6.3</v>
      </c>
      <c r="T2313" s="340" t="str">
        <f t="shared" si="122"/>
        <v>2007AllSexAllEth25Other</v>
      </c>
      <c r="U2313">
        <v>2007</v>
      </c>
      <c r="V2313" t="s">
        <v>17</v>
      </c>
      <c r="W2313" t="s">
        <v>27</v>
      </c>
      <c r="X2313">
        <v>25</v>
      </c>
      <c r="Y2313" t="s">
        <v>45</v>
      </c>
      <c r="Z2313">
        <v>1</v>
      </c>
      <c r="AA2313">
        <v>50</v>
      </c>
      <c r="AB2313">
        <v>2</v>
      </c>
    </row>
    <row r="2314" spans="10:28">
      <c r="J2314" s="340" t="str">
        <f t="shared" si="121"/>
        <v>2008AllSexAllEth241</v>
      </c>
      <c r="K2314">
        <v>2008</v>
      </c>
      <c r="L2314" t="s">
        <v>17</v>
      </c>
      <c r="M2314" t="s">
        <v>27</v>
      </c>
      <c r="N2314">
        <v>24</v>
      </c>
      <c r="O2314">
        <v>1</v>
      </c>
      <c r="P2314">
        <v>33</v>
      </c>
      <c r="Q2314">
        <v>12.7042958120834</v>
      </c>
      <c r="R2314">
        <v>4.3</v>
      </c>
      <c r="T2314" s="340" t="str">
        <f t="shared" si="122"/>
        <v>2007AllSexAllEth22Poisoning by gases and vapours</v>
      </c>
      <c r="U2314">
        <v>2007</v>
      </c>
      <c r="V2314" t="s">
        <v>17</v>
      </c>
      <c r="W2314" t="s">
        <v>27</v>
      </c>
      <c r="X2314">
        <v>22</v>
      </c>
      <c r="Y2314" t="s">
        <v>46</v>
      </c>
      <c r="Z2314">
        <v>6</v>
      </c>
      <c r="AA2314">
        <v>94</v>
      </c>
      <c r="AB2314">
        <v>6.4</v>
      </c>
    </row>
    <row r="2315" spans="10:28">
      <c r="J2315" s="340" t="str">
        <f t="shared" si="121"/>
        <v>2008AllSexAllEth242</v>
      </c>
      <c r="K2315">
        <v>2008</v>
      </c>
      <c r="L2315" t="s">
        <v>17</v>
      </c>
      <c r="M2315" t="s">
        <v>27</v>
      </c>
      <c r="N2315">
        <v>24</v>
      </c>
      <c r="O2315">
        <v>2</v>
      </c>
      <c r="P2315">
        <v>29</v>
      </c>
      <c r="Q2315">
        <v>12.6387700991577</v>
      </c>
      <c r="R2315">
        <v>4.5999999999999996</v>
      </c>
      <c r="T2315" s="340" t="str">
        <f t="shared" si="122"/>
        <v>2007AllSexAllEth23Poisoning by gases and vapours</v>
      </c>
      <c r="U2315">
        <v>2007</v>
      </c>
      <c r="V2315" t="s">
        <v>17</v>
      </c>
      <c r="W2315" t="s">
        <v>27</v>
      </c>
      <c r="X2315">
        <v>23</v>
      </c>
      <c r="Y2315" t="s">
        <v>46</v>
      </c>
      <c r="Z2315">
        <v>33</v>
      </c>
      <c r="AA2315">
        <v>213</v>
      </c>
      <c r="AB2315">
        <v>15.5</v>
      </c>
    </row>
    <row r="2316" spans="10:28">
      <c r="J2316" s="340" t="str">
        <f t="shared" si="121"/>
        <v>2008AllSexAllEth243</v>
      </c>
      <c r="K2316">
        <v>2008</v>
      </c>
      <c r="L2316" t="s">
        <v>17</v>
      </c>
      <c r="M2316" t="s">
        <v>27</v>
      </c>
      <c r="N2316">
        <v>24</v>
      </c>
      <c r="O2316">
        <v>3</v>
      </c>
      <c r="P2316">
        <v>38</v>
      </c>
      <c r="Q2316">
        <v>18.360229324573801</v>
      </c>
      <c r="R2316">
        <v>5.8</v>
      </c>
      <c r="T2316" s="340" t="str">
        <f t="shared" si="122"/>
        <v>2007AllSexAllEth24Poisoning by gases and vapours</v>
      </c>
      <c r="U2316">
        <v>2007</v>
      </c>
      <c r="V2316" t="s">
        <v>17</v>
      </c>
      <c r="W2316" t="s">
        <v>27</v>
      </c>
      <c r="X2316">
        <v>24</v>
      </c>
      <c r="Y2316" t="s">
        <v>46</v>
      </c>
      <c r="Z2316">
        <v>26</v>
      </c>
      <c r="AA2316">
        <v>142</v>
      </c>
      <c r="AB2316">
        <v>18.3</v>
      </c>
    </row>
    <row r="2317" spans="10:28">
      <c r="J2317" s="340" t="str">
        <f t="shared" si="121"/>
        <v>2008AllSexAllEth244</v>
      </c>
      <c r="K2317">
        <v>2008</v>
      </c>
      <c r="L2317" t="s">
        <v>17</v>
      </c>
      <c r="M2317" t="s">
        <v>27</v>
      </c>
      <c r="N2317">
        <v>24</v>
      </c>
      <c r="O2317">
        <v>4</v>
      </c>
      <c r="P2317">
        <v>29</v>
      </c>
      <c r="Q2317">
        <v>15.3289440096198</v>
      </c>
      <c r="R2317">
        <v>5.6</v>
      </c>
      <c r="T2317" s="340" t="str">
        <f t="shared" si="122"/>
        <v>2007AllSexAllEth25Poisoning by gases and vapours</v>
      </c>
      <c r="U2317">
        <v>2007</v>
      </c>
      <c r="V2317" t="s">
        <v>17</v>
      </c>
      <c r="W2317" t="s">
        <v>27</v>
      </c>
      <c r="X2317">
        <v>25</v>
      </c>
      <c r="Y2317" t="s">
        <v>46</v>
      </c>
      <c r="Z2317">
        <v>7</v>
      </c>
      <c r="AA2317">
        <v>50</v>
      </c>
      <c r="AB2317">
        <v>14</v>
      </c>
    </row>
    <row r="2318" spans="10:28">
      <c r="J2318" s="340" t="str">
        <f t="shared" si="121"/>
        <v>2008AllSexAllEth245</v>
      </c>
      <c r="K2318">
        <v>2008</v>
      </c>
      <c r="L2318" t="s">
        <v>17</v>
      </c>
      <c r="M2318" t="s">
        <v>27</v>
      </c>
      <c r="N2318">
        <v>24</v>
      </c>
      <c r="O2318">
        <v>5</v>
      </c>
      <c r="P2318">
        <v>21</v>
      </c>
      <c r="Q2318">
        <v>12.475582038755901</v>
      </c>
      <c r="R2318">
        <v>5.3</v>
      </c>
      <c r="T2318" s="340" t="str">
        <f t="shared" si="122"/>
        <v>2007AllSexAllEth22Poisoning by solids and liquids</v>
      </c>
      <c r="U2318">
        <v>2007</v>
      </c>
      <c r="V2318" t="s">
        <v>17</v>
      </c>
      <c r="W2318" t="s">
        <v>27</v>
      </c>
      <c r="X2318">
        <v>22</v>
      </c>
      <c r="Y2318" t="s">
        <v>47</v>
      </c>
      <c r="Z2318">
        <v>2</v>
      </c>
      <c r="AA2318">
        <v>94</v>
      </c>
      <c r="AB2318">
        <v>2.1</v>
      </c>
    </row>
    <row r="2319" spans="10:28">
      <c r="J2319" s="340" t="str">
        <f t="shared" si="121"/>
        <v>2008AllSexAllEth251</v>
      </c>
      <c r="K2319">
        <v>2008</v>
      </c>
      <c r="L2319" t="s">
        <v>17</v>
      </c>
      <c r="M2319" t="s">
        <v>27</v>
      </c>
      <c r="N2319">
        <v>25</v>
      </c>
      <c r="O2319">
        <v>1</v>
      </c>
      <c r="P2319">
        <v>8</v>
      </c>
      <c r="Q2319">
        <v>7.7832339926645204</v>
      </c>
      <c r="R2319">
        <v>5.4</v>
      </c>
      <c r="T2319" s="340" t="str">
        <f t="shared" si="122"/>
        <v>2007AllSexAllEth23Poisoning by solids and liquids</v>
      </c>
      <c r="U2319">
        <v>2007</v>
      </c>
      <c r="V2319" t="s">
        <v>17</v>
      </c>
      <c r="W2319" t="s">
        <v>27</v>
      </c>
      <c r="X2319">
        <v>23</v>
      </c>
      <c r="Y2319" t="s">
        <v>47</v>
      </c>
      <c r="Z2319">
        <v>17</v>
      </c>
      <c r="AA2319">
        <v>213</v>
      </c>
      <c r="AB2319">
        <v>8</v>
      </c>
    </row>
    <row r="2320" spans="10:28">
      <c r="J2320" s="340" t="str">
        <f t="shared" si="121"/>
        <v>2008AllSexAllEth252</v>
      </c>
      <c r="K2320">
        <v>2008</v>
      </c>
      <c r="L2320" t="s">
        <v>17</v>
      </c>
      <c r="M2320" t="s">
        <v>27</v>
      </c>
      <c r="N2320">
        <v>25</v>
      </c>
      <c r="O2320">
        <v>2</v>
      </c>
      <c r="P2320">
        <v>12</v>
      </c>
      <c r="Q2320">
        <v>10.879457234614501</v>
      </c>
      <c r="R2320">
        <v>6.2</v>
      </c>
      <c r="T2320" s="340" t="str">
        <f t="shared" si="122"/>
        <v>2007AllSexAllEth24Poisoning by solids and liquids</v>
      </c>
      <c r="U2320">
        <v>2007</v>
      </c>
      <c r="V2320" t="s">
        <v>17</v>
      </c>
      <c r="W2320" t="s">
        <v>27</v>
      </c>
      <c r="X2320">
        <v>24</v>
      </c>
      <c r="Y2320" t="s">
        <v>47</v>
      </c>
      <c r="Z2320">
        <v>23</v>
      </c>
      <c r="AA2320">
        <v>142</v>
      </c>
      <c r="AB2320">
        <v>16.2</v>
      </c>
    </row>
    <row r="2321" spans="10:28">
      <c r="J2321" s="340" t="str">
        <f t="shared" si="121"/>
        <v>2008AllSexAllEth253</v>
      </c>
      <c r="K2321">
        <v>2008</v>
      </c>
      <c r="L2321" t="s">
        <v>17</v>
      </c>
      <c r="M2321" t="s">
        <v>27</v>
      </c>
      <c r="N2321">
        <v>25</v>
      </c>
      <c r="O2321">
        <v>3</v>
      </c>
      <c r="P2321">
        <v>12</v>
      </c>
      <c r="Q2321">
        <v>10.419338263835201</v>
      </c>
      <c r="R2321">
        <v>5.9</v>
      </c>
      <c r="T2321" s="340" t="str">
        <f t="shared" si="122"/>
        <v>2007AllSexAllEth25Poisoning by solids and liquids</v>
      </c>
      <c r="U2321">
        <v>2007</v>
      </c>
      <c r="V2321" t="s">
        <v>17</v>
      </c>
      <c r="W2321" t="s">
        <v>27</v>
      </c>
      <c r="X2321">
        <v>25</v>
      </c>
      <c r="Y2321" t="s">
        <v>47</v>
      </c>
      <c r="Z2321">
        <v>6</v>
      </c>
      <c r="AA2321">
        <v>50</v>
      </c>
      <c r="AB2321">
        <v>12</v>
      </c>
    </row>
    <row r="2322" spans="10:28">
      <c r="J2322" s="340" t="str">
        <f t="shared" si="121"/>
        <v>2008AllSexAllEth254</v>
      </c>
      <c r="K2322">
        <v>2008</v>
      </c>
      <c r="L2322" t="s">
        <v>17</v>
      </c>
      <c r="M2322" t="s">
        <v>27</v>
      </c>
      <c r="N2322">
        <v>25</v>
      </c>
      <c r="O2322">
        <v>4</v>
      </c>
      <c r="P2322">
        <v>8</v>
      </c>
      <c r="Q2322">
        <v>6.8855576901865101</v>
      </c>
      <c r="R2322">
        <v>4.8</v>
      </c>
      <c r="T2322" s="340" t="str">
        <f t="shared" si="122"/>
        <v>2007AllSexAllEth23Sharp object</v>
      </c>
      <c r="U2322">
        <v>2007</v>
      </c>
      <c r="V2322" t="s">
        <v>17</v>
      </c>
      <c r="W2322" t="s">
        <v>27</v>
      </c>
      <c r="X2322">
        <v>23</v>
      </c>
      <c r="Y2322" t="s">
        <v>48</v>
      </c>
      <c r="Z2322">
        <v>2</v>
      </c>
      <c r="AA2322">
        <v>213</v>
      </c>
      <c r="AB2322">
        <v>0.9</v>
      </c>
    </row>
    <row r="2323" spans="10:28">
      <c r="J2323" s="340" t="str">
        <f t="shared" si="121"/>
        <v>2008AllSexAllEth255</v>
      </c>
      <c r="K2323">
        <v>2008</v>
      </c>
      <c r="L2323" t="s">
        <v>17</v>
      </c>
      <c r="M2323" t="s">
        <v>27</v>
      </c>
      <c r="N2323">
        <v>25</v>
      </c>
      <c r="O2323">
        <v>5</v>
      </c>
      <c r="P2323">
        <v>9</v>
      </c>
      <c r="Q2323">
        <v>9.9326768249315798</v>
      </c>
      <c r="R2323">
        <v>6.5</v>
      </c>
      <c r="T2323" s="340" t="str">
        <f t="shared" si="122"/>
        <v>2007AllSexAllEth24Sharp object</v>
      </c>
      <c r="U2323">
        <v>2007</v>
      </c>
      <c r="V2323" t="s">
        <v>17</v>
      </c>
      <c r="W2323" t="s">
        <v>27</v>
      </c>
      <c r="X2323">
        <v>24</v>
      </c>
      <c r="Y2323" t="s">
        <v>48</v>
      </c>
      <c r="Z2323">
        <v>2</v>
      </c>
      <c r="AA2323">
        <v>142</v>
      </c>
      <c r="AB2323">
        <v>1.4</v>
      </c>
    </row>
    <row r="2324" spans="10:28">
      <c r="J2324" s="340" t="str">
        <f t="shared" si="121"/>
        <v>2008AllSexMaori211</v>
      </c>
      <c r="K2324">
        <v>2008</v>
      </c>
      <c r="L2324" t="s">
        <v>17</v>
      </c>
      <c r="M2324" t="s">
        <v>18</v>
      </c>
      <c r="N2324">
        <v>21</v>
      </c>
      <c r="O2324">
        <v>1</v>
      </c>
      <c r="P2324">
        <v>0</v>
      </c>
      <c r="Q2324">
        <v>0</v>
      </c>
      <c r="T2324" s="340" t="str">
        <f t="shared" si="122"/>
        <v>2007AllSexAllEth25Sharp object</v>
      </c>
      <c r="U2324">
        <v>2007</v>
      </c>
      <c r="V2324" t="s">
        <v>17</v>
      </c>
      <c r="W2324" t="s">
        <v>27</v>
      </c>
      <c r="X2324">
        <v>25</v>
      </c>
      <c r="Y2324" t="s">
        <v>48</v>
      </c>
      <c r="Z2324">
        <v>2</v>
      </c>
      <c r="AA2324">
        <v>50</v>
      </c>
      <c r="AB2324">
        <v>4</v>
      </c>
    </row>
    <row r="2325" spans="10:28">
      <c r="J2325" s="340" t="str">
        <f t="shared" si="121"/>
        <v>2008AllSexMaori212</v>
      </c>
      <c r="K2325">
        <v>2008</v>
      </c>
      <c r="L2325" t="s">
        <v>17</v>
      </c>
      <c r="M2325" t="s">
        <v>18</v>
      </c>
      <c r="N2325">
        <v>21</v>
      </c>
      <c r="O2325">
        <v>2</v>
      </c>
      <c r="P2325">
        <v>0</v>
      </c>
      <c r="Q2325">
        <v>0</v>
      </c>
      <c r="T2325" s="340" t="str">
        <f t="shared" si="122"/>
        <v>2007AllSexAllEth22Submersion (drowning)</v>
      </c>
      <c r="U2325">
        <v>2007</v>
      </c>
      <c r="V2325" t="s">
        <v>17</v>
      </c>
      <c r="W2325" t="s">
        <v>27</v>
      </c>
      <c r="X2325">
        <v>22</v>
      </c>
      <c r="Y2325" t="s">
        <v>49</v>
      </c>
      <c r="Z2325">
        <v>1</v>
      </c>
      <c r="AA2325">
        <v>94</v>
      </c>
      <c r="AB2325">
        <v>1.1000000000000001</v>
      </c>
    </row>
    <row r="2326" spans="10:28">
      <c r="J2326" s="340" t="str">
        <f t="shared" si="121"/>
        <v>2008AllSexMaori213</v>
      </c>
      <c r="K2326">
        <v>2008</v>
      </c>
      <c r="L2326" t="s">
        <v>17</v>
      </c>
      <c r="M2326" t="s">
        <v>18</v>
      </c>
      <c r="N2326">
        <v>21</v>
      </c>
      <c r="O2326">
        <v>3</v>
      </c>
      <c r="P2326">
        <v>1</v>
      </c>
      <c r="Q2326">
        <v>2.9054877787536899</v>
      </c>
      <c r="R2326">
        <v>5.7</v>
      </c>
      <c r="T2326" s="340" t="str">
        <f t="shared" si="122"/>
        <v>2007AllSexAllEth23Submersion (drowning)</v>
      </c>
      <c r="U2326">
        <v>2007</v>
      </c>
      <c r="V2326" t="s">
        <v>17</v>
      </c>
      <c r="W2326" t="s">
        <v>27</v>
      </c>
      <c r="X2326">
        <v>23</v>
      </c>
      <c r="Y2326" t="s">
        <v>49</v>
      </c>
      <c r="Z2326">
        <v>4</v>
      </c>
      <c r="AA2326">
        <v>213</v>
      </c>
      <c r="AB2326">
        <v>1.9</v>
      </c>
    </row>
    <row r="2327" spans="10:28">
      <c r="J2327" s="340" t="str">
        <f t="shared" si="121"/>
        <v>2008AllSexMaori214</v>
      </c>
      <c r="K2327">
        <v>2008</v>
      </c>
      <c r="L2327" t="s">
        <v>17</v>
      </c>
      <c r="M2327" t="s">
        <v>18</v>
      </c>
      <c r="N2327">
        <v>21</v>
      </c>
      <c r="O2327">
        <v>4</v>
      </c>
      <c r="P2327">
        <v>0</v>
      </c>
      <c r="Q2327">
        <v>0</v>
      </c>
      <c r="T2327" s="340" t="str">
        <f t="shared" si="122"/>
        <v>2007AllSexAllEth24Submersion (drowning)</v>
      </c>
      <c r="U2327">
        <v>2007</v>
      </c>
      <c r="V2327" t="s">
        <v>17</v>
      </c>
      <c r="W2327" t="s">
        <v>27</v>
      </c>
      <c r="X2327">
        <v>24</v>
      </c>
      <c r="Y2327" t="s">
        <v>49</v>
      </c>
      <c r="Z2327">
        <v>4</v>
      </c>
      <c r="AA2327">
        <v>142</v>
      </c>
      <c r="AB2327">
        <v>2.8</v>
      </c>
    </row>
    <row r="2328" spans="10:28">
      <c r="J2328" s="340" t="str">
        <f t="shared" si="121"/>
        <v>2008AllSexMaori215</v>
      </c>
      <c r="K2328">
        <v>2008</v>
      </c>
      <c r="L2328" t="s">
        <v>17</v>
      </c>
      <c r="M2328" t="s">
        <v>18</v>
      </c>
      <c r="N2328">
        <v>21</v>
      </c>
      <c r="O2328">
        <v>5</v>
      </c>
      <c r="P2328">
        <v>3</v>
      </c>
      <c r="Q2328">
        <v>3.1254805827393199</v>
      </c>
      <c r="R2328">
        <v>3.5</v>
      </c>
      <c r="T2328" s="340" t="str">
        <f t="shared" si="122"/>
        <v>2007AllSexAllEth25Submersion (drowning)</v>
      </c>
      <c r="U2328">
        <v>2007</v>
      </c>
      <c r="V2328" t="s">
        <v>17</v>
      </c>
      <c r="W2328" t="s">
        <v>27</v>
      </c>
      <c r="X2328">
        <v>25</v>
      </c>
      <c r="Y2328" t="s">
        <v>49</v>
      </c>
      <c r="Z2328">
        <v>2</v>
      </c>
      <c r="AA2328">
        <v>50</v>
      </c>
      <c r="AB2328">
        <v>4</v>
      </c>
    </row>
    <row r="2329" spans="10:28">
      <c r="J2329" s="340" t="str">
        <f t="shared" si="121"/>
        <v>2008AllSexMaori221</v>
      </c>
      <c r="K2329">
        <v>2008</v>
      </c>
      <c r="L2329" t="s">
        <v>17</v>
      </c>
      <c r="M2329" t="s">
        <v>18</v>
      </c>
      <c r="N2329">
        <v>22</v>
      </c>
      <c r="O2329">
        <v>1</v>
      </c>
      <c r="P2329">
        <v>2</v>
      </c>
      <c r="Q2329">
        <v>23.348729616111601</v>
      </c>
      <c r="R2329">
        <v>32.4</v>
      </c>
      <c r="T2329" s="340" t="str">
        <f t="shared" si="122"/>
        <v>2007AllSexMaori23Firearms and explosives</v>
      </c>
      <c r="U2329">
        <v>2007</v>
      </c>
      <c r="V2329" t="s">
        <v>17</v>
      </c>
      <c r="W2329" t="s">
        <v>18</v>
      </c>
      <c r="X2329">
        <v>23</v>
      </c>
      <c r="Y2329" t="s">
        <v>42</v>
      </c>
      <c r="Z2329">
        <v>5</v>
      </c>
      <c r="AA2329">
        <v>50</v>
      </c>
      <c r="AB2329">
        <v>10</v>
      </c>
    </row>
    <row r="2330" spans="10:28">
      <c r="J2330" s="340" t="str">
        <f t="shared" si="121"/>
        <v>2008AllSexMaori222</v>
      </c>
      <c r="K2330">
        <v>2008</v>
      </c>
      <c r="L2330" t="s">
        <v>17</v>
      </c>
      <c r="M2330" t="s">
        <v>18</v>
      </c>
      <c r="N2330">
        <v>22</v>
      </c>
      <c r="O2330">
        <v>2</v>
      </c>
      <c r="P2330">
        <v>3</v>
      </c>
      <c r="Q2330">
        <v>23.571562193149799</v>
      </c>
      <c r="R2330">
        <v>26.7</v>
      </c>
      <c r="T2330" s="340" t="str">
        <f t="shared" si="122"/>
        <v>2007AllSexMaori25Firearms and explosives</v>
      </c>
      <c r="U2330">
        <v>2007</v>
      </c>
      <c r="V2330" t="s">
        <v>17</v>
      </c>
      <c r="W2330" t="s">
        <v>18</v>
      </c>
      <c r="X2330">
        <v>25</v>
      </c>
      <c r="Y2330" t="s">
        <v>42</v>
      </c>
      <c r="Z2330">
        <v>1</v>
      </c>
      <c r="AA2330">
        <v>1</v>
      </c>
      <c r="AB2330">
        <v>100</v>
      </c>
    </row>
    <row r="2331" spans="10:28">
      <c r="J2331" s="340" t="str">
        <f t="shared" si="121"/>
        <v>2008AllSexMaori223</v>
      </c>
      <c r="K2331">
        <v>2008</v>
      </c>
      <c r="L2331" t="s">
        <v>17</v>
      </c>
      <c r="M2331" t="s">
        <v>18</v>
      </c>
      <c r="N2331">
        <v>22</v>
      </c>
      <c r="O2331">
        <v>3</v>
      </c>
      <c r="P2331">
        <v>3</v>
      </c>
      <c r="Q2331">
        <v>15.5341900149963</v>
      </c>
      <c r="R2331">
        <v>17.600000000000001</v>
      </c>
      <c r="T2331" s="340" t="str">
        <f t="shared" si="122"/>
        <v>2007AllSexMaori21Hanging, strangulation and suffocation</v>
      </c>
      <c r="U2331">
        <v>2007</v>
      </c>
      <c r="V2331" t="s">
        <v>17</v>
      </c>
      <c r="W2331" t="s">
        <v>18</v>
      </c>
      <c r="X2331">
        <v>21</v>
      </c>
      <c r="Y2331" t="s">
        <v>43</v>
      </c>
      <c r="Z2331">
        <v>1</v>
      </c>
      <c r="AA2331">
        <v>1</v>
      </c>
      <c r="AB2331">
        <v>100</v>
      </c>
    </row>
    <row r="2332" spans="10:28">
      <c r="J2332" s="340" t="str">
        <f t="shared" si="121"/>
        <v>2008AllSexMaori224</v>
      </c>
      <c r="K2332">
        <v>2008</v>
      </c>
      <c r="L2332" t="s">
        <v>17</v>
      </c>
      <c r="M2332" t="s">
        <v>18</v>
      </c>
      <c r="N2332">
        <v>22</v>
      </c>
      <c r="O2332">
        <v>4</v>
      </c>
      <c r="P2332">
        <v>9</v>
      </c>
      <c r="Q2332">
        <v>31.4204484166914</v>
      </c>
      <c r="R2332">
        <v>20.5</v>
      </c>
      <c r="T2332" s="340" t="str">
        <f t="shared" si="122"/>
        <v>2007AllSexMaori22Hanging, strangulation and suffocation</v>
      </c>
      <c r="U2332">
        <v>2007</v>
      </c>
      <c r="V2332" t="s">
        <v>17</v>
      </c>
      <c r="W2332" t="s">
        <v>18</v>
      </c>
      <c r="X2332">
        <v>22</v>
      </c>
      <c r="Y2332" t="s">
        <v>43</v>
      </c>
      <c r="Z2332">
        <v>30</v>
      </c>
      <c r="AA2332">
        <v>33</v>
      </c>
      <c r="AB2332">
        <v>90.9</v>
      </c>
    </row>
    <row r="2333" spans="10:28">
      <c r="J2333" s="340" t="str">
        <f t="shared" si="121"/>
        <v>2008AllSexMaori225</v>
      </c>
      <c r="K2333">
        <v>2008</v>
      </c>
      <c r="L2333" t="s">
        <v>17</v>
      </c>
      <c r="M2333" t="s">
        <v>18</v>
      </c>
      <c r="N2333">
        <v>22</v>
      </c>
      <c r="O2333">
        <v>5</v>
      </c>
      <c r="P2333">
        <v>17</v>
      </c>
      <c r="Q2333">
        <v>33.696050585041</v>
      </c>
      <c r="R2333">
        <v>16</v>
      </c>
      <c r="T2333" s="340" t="str">
        <f t="shared" si="122"/>
        <v>2007AllSexMaori23Hanging, strangulation and suffocation</v>
      </c>
      <c r="U2333">
        <v>2007</v>
      </c>
      <c r="V2333" t="s">
        <v>17</v>
      </c>
      <c r="W2333" t="s">
        <v>18</v>
      </c>
      <c r="X2333">
        <v>23</v>
      </c>
      <c r="Y2333" t="s">
        <v>43</v>
      </c>
      <c r="Z2333">
        <v>33</v>
      </c>
      <c r="AA2333">
        <v>50</v>
      </c>
      <c r="AB2333">
        <v>66</v>
      </c>
    </row>
    <row r="2334" spans="10:28">
      <c r="J2334" s="340" t="str">
        <f t="shared" si="121"/>
        <v>2008AllSexMaori231</v>
      </c>
      <c r="K2334">
        <v>2008</v>
      </c>
      <c r="L2334" t="s">
        <v>17</v>
      </c>
      <c r="M2334" t="s">
        <v>18</v>
      </c>
      <c r="N2334">
        <v>23</v>
      </c>
      <c r="O2334">
        <v>1</v>
      </c>
      <c r="P2334">
        <v>1</v>
      </c>
      <c r="Q2334">
        <v>7.2409269912179699</v>
      </c>
      <c r="R2334">
        <v>14.2</v>
      </c>
      <c r="T2334" s="340" t="str">
        <f t="shared" si="122"/>
        <v>2007AllSexMaori24Hanging, strangulation and suffocation</v>
      </c>
      <c r="U2334">
        <v>2007</v>
      </c>
      <c r="V2334" t="s">
        <v>17</v>
      </c>
      <c r="W2334" t="s">
        <v>18</v>
      </c>
      <c r="X2334">
        <v>24</v>
      </c>
      <c r="Y2334" t="s">
        <v>43</v>
      </c>
      <c r="Z2334">
        <v>7</v>
      </c>
      <c r="AA2334">
        <v>12</v>
      </c>
      <c r="AB2334">
        <v>58.3</v>
      </c>
    </row>
    <row r="2335" spans="10:28">
      <c r="J2335" s="340" t="str">
        <f t="shared" si="121"/>
        <v>2008AllSexMaori232</v>
      </c>
      <c r="K2335">
        <v>2008</v>
      </c>
      <c r="L2335" t="s">
        <v>17</v>
      </c>
      <c r="M2335" t="s">
        <v>18</v>
      </c>
      <c r="N2335">
        <v>23</v>
      </c>
      <c r="O2335">
        <v>2</v>
      </c>
      <c r="P2335">
        <v>4</v>
      </c>
      <c r="Q2335">
        <v>19.961440717327399</v>
      </c>
      <c r="R2335">
        <v>19.600000000000001</v>
      </c>
      <c r="T2335" s="340" t="str">
        <f t="shared" si="122"/>
        <v>2007AllSexMaori24Jumping from a high place</v>
      </c>
      <c r="U2335">
        <v>2007</v>
      </c>
      <c r="V2335" t="s">
        <v>17</v>
      </c>
      <c r="W2335" t="s">
        <v>18</v>
      </c>
      <c r="X2335">
        <v>24</v>
      </c>
      <c r="Y2335" t="s">
        <v>44</v>
      </c>
      <c r="Z2335">
        <v>1</v>
      </c>
      <c r="AA2335">
        <v>12</v>
      </c>
      <c r="AB2335">
        <v>8.3000000000000007</v>
      </c>
    </row>
    <row r="2336" spans="10:28">
      <c r="J2336" s="340" t="str">
        <f t="shared" si="121"/>
        <v>2008AllSexMaori233</v>
      </c>
      <c r="K2336">
        <v>2008</v>
      </c>
      <c r="L2336" t="s">
        <v>17</v>
      </c>
      <c r="M2336" t="s">
        <v>18</v>
      </c>
      <c r="N2336">
        <v>23</v>
      </c>
      <c r="O2336">
        <v>3</v>
      </c>
      <c r="P2336">
        <v>7</v>
      </c>
      <c r="Q2336">
        <v>25.009795016274101</v>
      </c>
      <c r="R2336">
        <v>18.5</v>
      </c>
      <c r="T2336" s="340" t="str">
        <f t="shared" si="122"/>
        <v>2007AllSexMaori22Other</v>
      </c>
      <c r="U2336">
        <v>2007</v>
      </c>
      <c r="V2336" t="s">
        <v>17</v>
      </c>
      <c r="W2336" t="s">
        <v>18</v>
      </c>
      <c r="X2336">
        <v>22</v>
      </c>
      <c r="Y2336" t="s">
        <v>45</v>
      </c>
      <c r="Z2336">
        <v>1</v>
      </c>
      <c r="AA2336">
        <v>33</v>
      </c>
      <c r="AB2336">
        <v>3</v>
      </c>
    </row>
    <row r="2337" spans="10:28">
      <c r="J2337" s="340" t="str">
        <f t="shared" si="121"/>
        <v>2008AllSexMaori234</v>
      </c>
      <c r="K2337">
        <v>2008</v>
      </c>
      <c r="L2337" t="s">
        <v>17</v>
      </c>
      <c r="M2337" t="s">
        <v>18</v>
      </c>
      <c r="N2337">
        <v>23</v>
      </c>
      <c r="O2337">
        <v>4</v>
      </c>
      <c r="P2337">
        <v>8</v>
      </c>
      <c r="Q2337">
        <v>19.9739016193111</v>
      </c>
      <c r="R2337">
        <v>13.8</v>
      </c>
      <c r="T2337" s="340" t="str">
        <f t="shared" si="122"/>
        <v>2007AllSexMaori23Other</v>
      </c>
      <c r="U2337">
        <v>2007</v>
      </c>
      <c r="V2337" t="s">
        <v>17</v>
      </c>
      <c r="W2337" t="s">
        <v>18</v>
      </c>
      <c r="X2337">
        <v>23</v>
      </c>
      <c r="Y2337" t="s">
        <v>45</v>
      </c>
      <c r="Z2337">
        <v>1</v>
      </c>
      <c r="AA2337">
        <v>50</v>
      </c>
      <c r="AB2337">
        <v>2</v>
      </c>
    </row>
    <row r="2338" spans="10:28">
      <c r="J2338" s="340" t="str">
        <f t="shared" si="121"/>
        <v>2008AllSexMaori235</v>
      </c>
      <c r="K2338">
        <v>2008</v>
      </c>
      <c r="L2338" t="s">
        <v>17</v>
      </c>
      <c r="M2338" t="s">
        <v>18</v>
      </c>
      <c r="N2338">
        <v>23</v>
      </c>
      <c r="O2338">
        <v>5</v>
      </c>
      <c r="P2338">
        <v>17</v>
      </c>
      <c r="Q2338">
        <v>25.765508043113599</v>
      </c>
      <c r="R2338">
        <v>12.2</v>
      </c>
      <c r="T2338" s="340" t="str">
        <f t="shared" si="122"/>
        <v>2007AllSexMaori22Poisoning by gases and vapours</v>
      </c>
      <c r="U2338">
        <v>2007</v>
      </c>
      <c r="V2338" t="s">
        <v>17</v>
      </c>
      <c r="W2338" t="s">
        <v>18</v>
      </c>
      <c r="X2338">
        <v>22</v>
      </c>
      <c r="Y2338" t="s">
        <v>46</v>
      </c>
      <c r="Z2338">
        <v>1</v>
      </c>
      <c r="AA2338">
        <v>33</v>
      </c>
      <c r="AB2338">
        <v>3</v>
      </c>
    </row>
    <row r="2339" spans="10:28">
      <c r="J2339" s="340" t="str">
        <f t="shared" si="121"/>
        <v>2008AllSexMaori241</v>
      </c>
      <c r="K2339">
        <v>2008</v>
      </c>
      <c r="L2339" t="s">
        <v>17</v>
      </c>
      <c r="M2339" t="s">
        <v>18</v>
      </c>
      <c r="N2339">
        <v>24</v>
      </c>
      <c r="O2339">
        <v>1</v>
      </c>
      <c r="P2339">
        <v>0</v>
      </c>
      <c r="Q2339">
        <v>0</v>
      </c>
      <c r="T2339" s="340" t="str">
        <f t="shared" si="122"/>
        <v>2007AllSexMaori23Poisoning by gases and vapours</v>
      </c>
      <c r="U2339">
        <v>2007</v>
      </c>
      <c r="V2339" t="s">
        <v>17</v>
      </c>
      <c r="W2339" t="s">
        <v>18</v>
      </c>
      <c r="X2339">
        <v>23</v>
      </c>
      <c r="Y2339" t="s">
        <v>46</v>
      </c>
      <c r="Z2339">
        <v>5</v>
      </c>
      <c r="AA2339">
        <v>50</v>
      </c>
      <c r="AB2339">
        <v>10</v>
      </c>
    </row>
    <row r="2340" spans="10:28">
      <c r="J2340" s="340" t="str">
        <f t="shared" si="121"/>
        <v>2008AllSexMaori242</v>
      </c>
      <c r="K2340">
        <v>2008</v>
      </c>
      <c r="L2340" t="s">
        <v>17</v>
      </c>
      <c r="M2340" t="s">
        <v>18</v>
      </c>
      <c r="N2340">
        <v>24</v>
      </c>
      <c r="O2340">
        <v>2</v>
      </c>
      <c r="P2340">
        <v>0</v>
      </c>
      <c r="Q2340">
        <v>0</v>
      </c>
      <c r="T2340" s="340" t="str">
        <f t="shared" si="122"/>
        <v>2007AllSexMaori22Poisoning by solids and liquids</v>
      </c>
      <c r="U2340">
        <v>2007</v>
      </c>
      <c r="V2340" t="s">
        <v>17</v>
      </c>
      <c r="W2340" t="s">
        <v>18</v>
      </c>
      <c r="X2340">
        <v>22</v>
      </c>
      <c r="Y2340" t="s">
        <v>47</v>
      </c>
      <c r="Z2340">
        <v>1</v>
      </c>
      <c r="AA2340">
        <v>33</v>
      </c>
      <c r="AB2340">
        <v>3</v>
      </c>
    </row>
    <row r="2341" spans="10:28">
      <c r="J2341" s="340" t="str">
        <f t="shared" si="121"/>
        <v>2008AllSexMaori243</v>
      </c>
      <c r="K2341">
        <v>2008</v>
      </c>
      <c r="L2341" t="s">
        <v>17</v>
      </c>
      <c r="M2341" t="s">
        <v>18</v>
      </c>
      <c r="N2341">
        <v>24</v>
      </c>
      <c r="O2341">
        <v>3</v>
      </c>
      <c r="P2341">
        <v>4</v>
      </c>
      <c r="Q2341">
        <v>23.4894514275882</v>
      </c>
      <c r="R2341">
        <v>23</v>
      </c>
      <c r="T2341" s="340" t="str">
        <f t="shared" si="122"/>
        <v>2007AllSexMaori23Poisoning by solids and liquids</v>
      </c>
      <c r="U2341">
        <v>2007</v>
      </c>
      <c r="V2341" t="s">
        <v>17</v>
      </c>
      <c r="W2341" t="s">
        <v>18</v>
      </c>
      <c r="X2341">
        <v>23</v>
      </c>
      <c r="Y2341" t="s">
        <v>47</v>
      </c>
      <c r="Z2341">
        <v>5</v>
      </c>
      <c r="AA2341">
        <v>50</v>
      </c>
      <c r="AB2341">
        <v>10</v>
      </c>
    </row>
    <row r="2342" spans="10:28">
      <c r="J2342" s="340" t="str">
        <f t="shared" si="121"/>
        <v>2008AllSexMaori244</v>
      </c>
      <c r="K2342">
        <v>2008</v>
      </c>
      <c r="L2342" t="s">
        <v>17</v>
      </c>
      <c r="M2342" t="s">
        <v>18</v>
      </c>
      <c r="N2342">
        <v>24</v>
      </c>
      <c r="O2342">
        <v>4</v>
      </c>
      <c r="P2342">
        <v>3</v>
      </c>
      <c r="Q2342">
        <v>12.133307001357799</v>
      </c>
      <c r="R2342">
        <v>13.7</v>
      </c>
      <c r="T2342" s="340" t="str">
        <f t="shared" si="122"/>
        <v>2007AllSexMaori24Poisoning by solids and liquids</v>
      </c>
      <c r="U2342">
        <v>2007</v>
      </c>
      <c r="V2342" t="s">
        <v>17</v>
      </c>
      <c r="W2342" t="s">
        <v>18</v>
      </c>
      <c r="X2342">
        <v>24</v>
      </c>
      <c r="Y2342" t="s">
        <v>47</v>
      </c>
      <c r="Z2342">
        <v>3</v>
      </c>
      <c r="AA2342">
        <v>12</v>
      </c>
      <c r="AB2342">
        <v>25</v>
      </c>
    </row>
    <row r="2343" spans="10:28">
      <c r="J2343" s="340" t="str">
        <f t="shared" si="121"/>
        <v>2008AllSexMaori245</v>
      </c>
      <c r="K2343">
        <v>2008</v>
      </c>
      <c r="L2343" t="s">
        <v>17</v>
      </c>
      <c r="M2343" t="s">
        <v>18</v>
      </c>
      <c r="N2343">
        <v>24</v>
      </c>
      <c r="O2343">
        <v>5</v>
      </c>
      <c r="P2343">
        <v>3</v>
      </c>
      <c r="Q2343">
        <v>6.84577879066281</v>
      </c>
      <c r="R2343">
        <v>7.7</v>
      </c>
      <c r="T2343" s="340" t="str">
        <f t="shared" si="122"/>
        <v>2007AllSexMaori23Submersion (drowning)</v>
      </c>
      <c r="U2343">
        <v>2007</v>
      </c>
      <c r="V2343" t="s">
        <v>17</v>
      </c>
      <c r="W2343" t="s">
        <v>18</v>
      </c>
      <c r="X2343">
        <v>23</v>
      </c>
      <c r="Y2343" t="s">
        <v>49</v>
      </c>
      <c r="Z2343">
        <v>1</v>
      </c>
      <c r="AA2343">
        <v>50</v>
      </c>
      <c r="AB2343">
        <v>2</v>
      </c>
    </row>
    <row r="2344" spans="10:28">
      <c r="J2344" s="340" t="str">
        <f t="shared" si="121"/>
        <v>2008AllSexMaori251</v>
      </c>
      <c r="K2344">
        <v>2008</v>
      </c>
      <c r="L2344" t="s">
        <v>17</v>
      </c>
      <c r="M2344" t="s">
        <v>18</v>
      </c>
      <c r="N2344">
        <v>25</v>
      </c>
      <c r="O2344">
        <v>1</v>
      </c>
      <c r="P2344">
        <v>0</v>
      </c>
      <c r="Q2344">
        <v>0</v>
      </c>
      <c r="T2344" s="340" t="str">
        <f t="shared" si="122"/>
        <v>2007AllSexMaori24Submersion (drowning)</v>
      </c>
      <c r="U2344">
        <v>2007</v>
      </c>
      <c r="V2344" t="s">
        <v>17</v>
      </c>
      <c r="W2344" t="s">
        <v>18</v>
      </c>
      <c r="X2344">
        <v>24</v>
      </c>
      <c r="Y2344" t="s">
        <v>49</v>
      </c>
      <c r="Z2344">
        <v>1</v>
      </c>
      <c r="AA2344">
        <v>12</v>
      </c>
      <c r="AB2344">
        <v>8.3000000000000007</v>
      </c>
    </row>
    <row r="2345" spans="10:28">
      <c r="J2345" s="340" t="str">
        <f t="shared" si="121"/>
        <v>2008AllSexMaori252</v>
      </c>
      <c r="K2345">
        <v>2008</v>
      </c>
      <c r="L2345" t="s">
        <v>17</v>
      </c>
      <c r="M2345" t="s">
        <v>18</v>
      </c>
      <c r="N2345">
        <v>25</v>
      </c>
      <c r="O2345">
        <v>2</v>
      </c>
      <c r="P2345">
        <v>0</v>
      </c>
      <c r="Q2345">
        <v>0</v>
      </c>
      <c r="T2345" s="340" t="str">
        <f t="shared" si="122"/>
        <v>2007AllSexNon-Maori22Firearms and explosives</v>
      </c>
      <c r="U2345">
        <v>2007</v>
      </c>
      <c r="V2345" t="s">
        <v>17</v>
      </c>
      <c r="W2345" t="s">
        <v>19</v>
      </c>
      <c r="X2345">
        <v>22</v>
      </c>
      <c r="Y2345" t="s">
        <v>42</v>
      </c>
      <c r="Z2345">
        <v>4</v>
      </c>
      <c r="AA2345">
        <v>61</v>
      </c>
      <c r="AB2345">
        <v>6.6</v>
      </c>
    </row>
    <row r="2346" spans="10:28">
      <c r="J2346" s="340" t="str">
        <f t="shared" si="121"/>
        <v>2008AllSexMaori253</v>
      </c>
      <c r="K2346">
        <v>2008</v>
      </c>
      <c r="L2346" t="s">
        <v>17</v>
      </c>
      <c r="M2346" t="s">
        <v>18</v>
      </c>
      <c r="N2346">
        <v>25</v>
      </c>
      <c r="O2346">
        <v>3</v>
      </c>
      <c r="P2346">
        <v>0</v>
      </c>
      <c r="Q2346">
        <v>0</v>
      </c>
      <c r="T2346" s="340" t="str">
        <f t="shared" si="122"/>
        <v>2007AllSexNon-Maori23Firearms and explosives</v>
      </c>
      <c r="U2346">
        <v>2007</v>
      </c>
      <c r="V2346" t="s">
        <v>17</v>
      </c>
      <c r="W2346" t="s">
        <v>19</v>
      </c>
      <c r="X2346">
        <v>23</v>
      </c>
      <c r="Y2346" t="s">
        <v>42</v>
      </c>
      <c r="Z2346">
        <v>15</v>
      </c>
      <c r="AA2346">
        <v>163</v>
      </c>
      <c r="AB2346">
        <v>9.1999999999999993</v>
      </c>
    </row>
    <row r="2347" spans="10:28">
      <c r="J2347" s="340" t="str">
        <f t="shared" si="121"/>
        <v>2008AllSexMaori254</v>
      </c>
      <c r="K2347">
        <v>2008</v>
      </c>
      <c r="L2347" t="s">
        <v>17</v>
      </c>
      <c r="M2347" t="s">
        <v>18</v>
      </c>
      <c r="N2347">
        <v>25</v>
      </c>
      <c r="O2347">
        <v>4</v>
      </c>
      <c r="P2347">
        <v>0</v>
      </c>
      <c r="Q2347">
        <v>0</v>
      </c>
      <c r="T2347" s="340" t="str">
        <f t="shared" si="122"/>
        <v>2007AllSexNon-Maori24Firearms and explosives</v>
      </c>
      <c r="U2347">
        <v>2007</v>
      </c>
      <c r="V2347" t="s">
        <v>17</v>
      </c>
      <c r="W2347" t="s">
        <v>19</v>
      </c>
      <c r="X2347">
        <v>24</v>
      </c>
      <c r="Y2347" t="s">
        <v>42</v>
      </c>
      <c r="Z2347">
        <v>10</v>
      </c>
      <c r="AA2347">
        <v>130</v>
      </c>
      <c r="AB2347">
        <v>7.7</v>
      </c>
    </row>
    <row r="2348" spans="10:28">
      <c r="J2348" s="340" t="str">
        <f t="shared" si="121"/>
        <v>2008AllSexMaori255</v>
      </c>
      <c r="K2348">
        <v>2008</v>
      </c>
      <c r="L2348" t="s">
        <v>17</v>
      </c>
      <c r="M2348" t="s">
        <v>18</v>
      </c>
      <c r="N2348">
        <v>25</v>
      </c>
      <c r="O2348">
        <v>5</v>
      </c>
      <c r="P2348">
        <v>1</v>
      </c>
      <c r="Q2348">
        <v>8.0328528499679095</v>
      </c>
      <c r="R2348">
        <v>15.7</v>
      </c>
      <c r="T2348" s="340" t="str">
        <f t="shared" si="122"/>
        <v>2007AllSexNon-Maori25Firearms and explosives</v>
      </c>
      <c r="U2348">
        <v>2007</v>
      </c>
      <c r="V2348" t="s">
        <v>17</v>
      </c>
      <c r="W2348" t="s">
        <v>19</v>
      </c>
      <c r="X2348">
        <v>25</v>
      </c>
      <c r="Y2348" t="s">
        <v>42</v>
      </c>
      <c r="Z2348">
        <v>13</v>
      </c>
      <c r="AA2348">
        <v>49</v>
      </c>
      <c r="AB2348">
        <v>26.5</v>
      </c>
    </row>
    <row r="2349" spans="10:28">
      <c r="J2349" s="340" t="str">
        <f t="shared" si="121"/>
        <v>2008AllSexNon-Maori211</v>
      </c>
      <c r="K2349">
        <v>2008</v>
      </c>
      <c r="L2349" t="s">
        <v>17</v>
      </c>
      <c r="M2349" t="s">
        <v>19</v>
      </c>
      <c r="N2349">
        <v>21</v>
      </c>
      <c r="O2349">
        <v>1</v>
      </c>
      <c r="P2349">
        <v>0</v>
      </c>
      <c r="Q2349">
        <v>0</v>
      </c>
      <c r="T2349" s="340" t="str">
        <f t="shared" si="122"/>
        <v>2007AllSexNon-Maori21Hanging, strangulation and suffocation</v>
      </c>
      <c r="U2349">
        <v>2007</v>
      </c>
      <c r="V2349" t="s">
        <v>17</v>
      </c>
      <c r="W2349" t="s">
        <v>19</v>
      </c>
      <c r="X2349">
        <v>21</v>
      </c>
      <c r="Y2349" t="s">
        <v>43</v>
      </c>
      <c r="Z2349">
        <v>1</v>
      </c>
      <c r="AA2349">
        <v>1</v>
      </c>
      <c r="AB2349">
        <v>100</v>
      </c>
    </row>
    <row r="2350" spans="10:28">
      <c r="J2350" s="340" t="str">
        <f t="shared" si="121"/>
        <v>2008AllSexNon-Maori212</v>
      </c>
      <c r="K2350">
        <v>2008</v>
      </c>
      <c r="L2350" t="s">
        <v>17</v>
      </c>
      <c r="M2350" t="s">
        <v>19</v>
      </c>
      <c r="N2350">
        <v>21</v>
      </c>
      <c r="O2350">
        <v>2</v>
      </c>
      <c r="P2350">
        <v>0</v>
      </c>
      <c r="Q2350">
        <v>0</v>
      </c>
      <c r="T2350" s="340" t="str">
        <f t="shared" si="122"/>
        <v>2007AllSexNon-Maori22Hanging, strangulation and suffocation</v>
      </c>
      <c r="U2350">
        <v>2007</v>
      </c>
      <c r="V2350" t="s">
        <v>17</v>
      </c>
      <c r="W2350" t="s">
        <v>19</v>
      </c>
      <c r="X2350">
        <v>22</v>
      </c>
      <c r="Y2350" t="s">
        <v>43</v>
      </c>
      <c r="Z2350">
        <v>46</v>
      </c>
      <c r="AA2350">
        <v>61</v>
      </c>
      <c r="AB2350">
        <v>75.400000000000006</v>
      </c>
    </row>
    <row r="2351" spans="10:28">
      <c r="J2351" s="340" t="str">
        <f t="shared" si="121"/>
        <v>2008AllSexNon-Maori213</v>
      </c>
      <c r="K2351">
        <v>2008</v>
      </c>
      <c r="L2351" t="s">
        <v>17</v>
      </c>
      <c r="M2351" t="s">
        <v>19</v>
      </c>
      <c r="N2351">
        <v>21</v>
      </c>
      <c r="O2351">
        <v>3</v>
      </c>
      <c r="P2351">
        <v>1</v>
      </c>
      <c r="Q2351">
        <v>0.76677000612974999</v>
      </c>
      <c r="R2351">
        <v>1.5</v>
      </c>
      <c r="T2351" s="340" t="str">
        <f t="shared" si="122"/>
        <v>2007AllSexNon-Maori23Hanging, strangulation and suffocation</v>
      </c>
      <c r="U2351">
        <v>2007</v>
      </c>
      <c r="V2351" t="s">
        <v>17</v>
      </c>
      <c r="W2351" t="s">
        <v>19</v>
      </c>
      <c r="X2351">
        <v>23</v>
      </c>
      <c r="Y2351" t="s">
        <v>43</v>
      </c>
      <c r="Z2351">
        <v>92</v>
      </c>
      <c r="AA2351">
        <v>163</v>
      </c>
      <c r="AB2351">
        <v>56.4</v>
      </c>
    </row>
    <row r="2352" spans="10:28">
      <c r="J2352" s="340" t="str">
        <f t="shared" si="121"/>
        <v>2008AllSexNon-Maori214</v>
      </c>
      <c r="K2352">
        <v>2008</v>
      </c>
      <c r="L2352" t="s">
        <v>17</v>
      </c>
      <c r="M2352" t="s">
        <v>19</v>
      </c>
      <c r="N2352">
        <v>21</v>
      </c>
      <c r="O2352">
        <v>4</v>
      </c>
      <c r="P2352">
        <v>0</v>
      </c>
      <c r="Q2352">
        <v>0</v>
      </c>
      <c r="T2352" s="340" t="str">
        <f t="shared" si="122"/>
        <v>2007AllSexNon-Maori24Hanging, strangulation and suffocation</v>
      </c>
      <c r="U2352">
        <v>2007</v>
      </c>
      <c r="V2352" t="s">
        <v>17</v>
      </c>
      <c r="W2352" t="s">
        <v>19</v>
      </c>
      <c r="X2352">
        <v>24</v>
      </c>
      <c r="Y2352" t="s">
        <v>43</v>
      </c>
      <c r="Z2352">
        <v>56</v>
      </c>
      <c r="AA2352">
        <v>130</v>
      </c>
      <c r="AB2352">
        <v>43.1</v>
      </c>
    </row>
    <row r="2353" spans="10:28">
      <c r="J2353" s="340" t="str">
        <f t="shared" si="121"/>
        <v>2008AllSexNon-Maori215</v>
      </c>
      <c r="K2353">
        <v>2008</v>
      </c>
      <c r="L2353" t="s">
        <v>17</v>
      </c>
      <c r="M2353" t="s">
        <v>19</v>
      </c>
      <c r="N2353">
        <v>21</v>
      </c>
      <c r="O2353">
        <v>5</v>
      </c>
      <c r="P2353">
        <v>0</v>
      </c>
      <c r="Q2353">
        <v>0</v>
      </c>
      <c r="T2353" s="340" t="str">
        <f t="shared" si="122"/>
        <v>2007AllSexNon-Maori25Hanging, strangulation and suffocation</v>
      </c>
      <c r="U2353">
        <v>2007</v>
      </c>
      <c r="V2353" t="s">
        <v>17</v>
      </c>
      <c r="W2353" t="s">
        <v>19</v>
      </c>
      <c r="X2353">
        <v>25</v>
      </c>
      <c r="Y2353" t="s">
        <v>43</v>
      </c>
      <c r="Z2353">
        <v>18</v>
      </c>
      <c r="AA2353">
        <v>49</v>
      </c>
      <c r="AB2353">
        <v>36.700000000000003</v>
      </c>
    </row>
    <row r="2354" spans="10:28">
      <c r="J2354" s="340" t="str">
        <f t="shared" si="121"/>
        <v>2008AllSexNon-Maori221</v>
      </c>
      <c r="K2354">
        <v>2008</v>
      </c>
      <c r="L2354" t="s">
        <v>17</v>
      </c>
      <c r="M2354" t="s">
        <v>19</v>
      </c>
      <c r="N2354">
        <v>22</v>
      </c>
      <c r="O2354">
        <v>1</v>
      </c>
      <c r="P2354">
        <v>16</v>
      </c>
      <c r="Q2354">
        <v>17.152454461719501</v>
      </c>
      <c r="R2354">
        <v>8.4</v>
      </c>
      <c r="T2354" s="340" t="str">
        <f t="shared" si="122"/>
        <v>2007AllSexNon-Maori22Jumping from a high place</v>
      </c>
      <c r="U2354">
        <v>2007</v>
      </c>
      <c r="V2354" t="s">
        <v>17</v>
      </c>
      <c r="W2354" t="s">
        <v>19</v>
      </c>
      <c r="X2354">
        <v>22</v>
      </c>
      <c r="Y2354" t="s">
        <v>44</v>
      </c>
      <c r="Z2354">
        <v>1</v>
      </c>
      <c r="AA2354">
        <v>61</v>
      </c>
      <c r="AB2354">
        <v>1.6</v>
      </c>
    </row>
    <row r="2355" spans="10:28">
      <c r="J2355" s="340" t="str">
        <f t="shared" si="121"/>
        <v>2008AllSexNon-Maori222</v>
      </c>
      <c r="K2355">
        <v>2008</v>
      </c>
      <c r="L2355" t="s">
        <v>17</v>
      </c>
      <c r="M2355" t="s">
        <v>19</v>
      </c>
      <c r="N2355">
        <v>22</v>
      </c>
      <c r="O2355">
        <v>2</v>
      </c>
      <c r="P2355">
        <v>15</v>
      </c>
      <c r="Q2355">
        <v>15.6697758422294</v>
      </c>
      <c r="R2355">
        <v>7.9</v>
      </c>
      <c r="T2355" s="340" t="str">
        <f t="shared" si="122"/>
        <v>2007AllSexNon-Maori23Jumping from a high place</v>
      </c>
      <c r="U2355">
        <v>2007</v>
      </c>
      <c r="V2355" t="s">
        <v>17</v>
      </c>
      <c r="W2355" t="s">
        <v>19</v>
      </c>
      <c r="X2355">
        <v>23</v>
      </c>
      <c r="Y2355" t="s">
        <v>44</v>
      </c>
      <c r="Z2355">
        <v>8</v>
      </c>
      <c r="AA2355">
        <v>163</v>
      </c>
      <c r="AB2355">
        <v>4.9000000000000004</v>
      </c>
    </row>
    <row r="2356" spans="10:28">
      <c r="J2356" s="340" t="str">
        <f t="shared" si="121"/>
        <v>2008AllSexNon-Maori223</v>
      </c>
      <c r="K2356">
        <v>2008</v>
      </c>
      <c r="L2356" t="s">
        <v>17</v>
      </c>
      <c r="M2356" t="s">
        <v>19</v>
      </c>
      <c r="N2356">
        <v>22</v>
      </c>
      <c r="O2356">
        <v>3</v>
      </c>
      <c r="P2356">
        <v>17</v>
      </c>
      <c r="Q2356">
        <v>17.357622772347099</v>
      </c>
      <c r="R2356">
        <v>8.3000000000000007</v>
      </c>
      <c r="T2356" s="340" t="str">
        <f t="shared" si="122"/>
        <v>2007AllSexNon-Maori24Jumping from a high place</v>
      </c>
      <c r="U2356">
        <v>2007</v>
      </c>
      <c r="V2356" t="s">
        <v>17</v>
      </c>
      <c r="W2356" t="s">
        <v>19</v>
      </c>
      <c r="X2356">
        <v>24</v>
      </c>
      <c r="Y2356" t="s">
        <v>44</v>
      </c>
      <c r="Z2356">
        <v>3</v>
      </c>
      <c r="AA2356">
        <v>130</v>
      </c>
      <c r="AB2356">
        <v>2.2999999999999998</v>
      </c>
    </row>
    <row r="2357" spans="10:28">
      <c r="J2357" s="340" t="str">
        <f t="shared" si="121"/>
        <v>2008AllSexNon-Maori224</v>
      </c>
      <c r="K2357">
        <v>2008</v>
      </c>
      <c r="L2357" t="s">
        <v>17</v>
      </c>
      <c r="M2357" t="s">
        <v>19</v>
      </c>
      <c r="N2357">
        <v>22</v>
      </c>
      <c r="O2357">
        <v>4</v>
      </c>
      <c r="P2357">
        <v>15</v>
      </c>
      <c r="Q2357">
        <v>15.0507578756933</v>
      </c>
      <c r="R2357">
        <v>7.6</v>
      </c>
      <c r="T2357" s="340" t="str">
        <f t="shared" si="122"/>
        <v>2007AllSexNon-Maori22Other</v>
      </c>
      <c r="U2357">
        <v>2007</v>
      </c>
      <c r="V2357" t="s">
        <v>17</v>
      </c>
      <c r="W2357" t="s">
        <v>19</v>
      </c>
      <c r="X2357">
        <v>22</v>
      </c>
      <c r="Y2357" t="s">
        <v>45</v>
      </c>
      <c r="Z2357">
        <v>3</v>
      </c>
      <c r="AA2357">
        <v>61</v>
      </c>
      <c r="AB2357">
        <v>4.9000000000000004</v>
      </c>
    </row>
    <row r="2358" spans="10:28">
      <c r="J2358" s="340" t="str">
        <f t="shared" si="121"/>
        <v>2008AllSexNon-Maori225</v>
      </c>
      <c r="K2358">
        <v>2008</v>
      </c>
      <c r="L2358" t="s">
        <v>17</v>
      </c>
      <c r="M2358" t="s">
        <v>19</v>
      </c>
      <c r="N2358">
        <v>22</v>
      </c>
      <c r="O2358">
        <v>5</v>
      </c>
      <c r="P2358">
        <v>18</v>
      </c>
      <c r="Q2358">
        <v>18.0975872627677</v>
      </c>
      <c r="R2358">
        <v>8.4</v>
      </c>
      <c r="T2358" s="340" t="str">
        <f t="shared" si="122"/>
        <v>2007AllSexNon-Maori23Other</v>
      </c>
      <c r="U2358">
        <v>2007</v>
      </c>
      <c r="V2358" t="s">
        <v>17</v>
      </c>
      <c r="W2358" t="s">
        <v>19</v>
      </c>
      <c r="X2358">
        <v>23</v>
      </c>
      <c r="Y2358" t="s">
        <v>45</v>
      </c>
      <c r="Z2358">
        <v>3</v>
      </c>
      <c r="AA2358">
        <v>163</v>
      </c>
      <c r="AB2358">
        <v>1.8</v>
      </c>
    </row>
    <row r="2359" spans="10:28">
      <c r="J2359" s="340" t="str">
        <f t="shared" si="121"/>
        <v>2008AllSexNon-Maori231</v>
      </c>
      <c r="K2359">
        <v>2008</v>
      </c>
      <c r="L2359" t="s">
        <v>17</v>
      </c>
      <c r="M2359" t="s">
        <v>19</v>
      </c>
      <c r="N2359">
        <v>23</v>
      </c>
      <c r="O2359">
        <v>1</v>
      </c>
      <c r="P2359">
        <v>23</v>
      </c>
      <c r="Q2359">
        <v>10.6516648535335</v>
      </c>
      <c r="R2359">
        <v>4.4000000000000004</v>
      </c>
      <c r="T2359" s="340" t="str">
        <f t="shared" si="122"/>
        <v>2007AllSexNon-Maori24Other</v>
      </c>
      <c r="U2359">
        <v>2007</v>
      </c>
      <c r="V2359" t="s">
        <v>17</v>
      </c>
      <c r="W2359" t="s">
        <v>19</v>
      </c>
      <c r="X2359">
        <v>24</v>
      </c>
      <c r="Y2359" t="s">
        <v>45</v>
      </c>
      <c r="Z2359">
        <v>10</v>
      </c>
      <c r="AA2359">
        <v>130</v>
      </c>
      <c r="AB2359">
        <v>7.7</v>
      </c>
    </row>
    <row r="2360" spans="10:28">
      <c r="J2360" s="340" t="str">
        <f t="shared" si="121"/>
        <v>2008AllSexNon-Maori232</v>
      </c>
      <c r="K2360">
        <v>2008</v>
      </c>
      <c r="L2360" t="s">
        <v>17</v>
      </c>
      <c r="M2360" t="s">
        <v>19</v>
      </c>
      <c r="N2360">
        <v>23</v>
      </c>
      <c r="O2360">
        <v>2</v>
      </c>
      <c r="P2360">
        <v>22</v>
      </c>
      <c r="Q2360">
        <v>9.9227389748993104</v>
      </c>
      <c r="R2360">
        <v>4.0999999999999996</v>
      </c>
      <c r="T2360" s="340" t="str">
        <f t="shared" si="122"/>
        <v>2007AllSexNon-Maori25Other</v>
      </c>
      <c r="U2360">
        <v>2007</v>
      </c>
      <c r="V2360" t="s">
        <v>17</v>
      </c>
      <c r="W2360" t="s">
        <v>19</v>
      </c>
      <c r="X2360">
        <v>25</v>
      </c>
      <c r="Y2360" t="s">
        <v>45</v>
      </c>
      <c r="Z2360">
        <v>1</v>
      </c>
      <c r="AA2360">
        <v>49</v>
      </c>
      <c r="AB2360">
        <v>2</v>
      </c>
    </row>
    <row r="2361" spans="10:28">
      <c r="J2361" s="340" t="str">
        <f t="shared" si="121"/>
        <v>2008AllSexNon-Maori233</v>
      </c>
      <c r="K2361">
        <v>2008</v>
      </c>
      <c r="L2361" t="s">
        <v>17</v>
      </c>
      <c r="M2361" t="s">
        <v>19</v>
      </c>
      <c r="N2361">
        <v>23</v>
      </c>
      <c r="O2361">
        <v>3</v>
      </c>
      <c r="P2361">
        <v>26</v>
      </c>
      <c r="Q2361">
        <v>12.166455343473899</v>
      </c>
      <c r="R2361">
        <v>4.7</v>
      </c>
      <c r="T2361" s="340" t="str">
        <f t="shared" si="122"/>
        <v>2007AllSexNon-Maori22Poisoning by gases and vapours</v>
      </c>
      <c r="U2361">
        <v>2007</v>
      </c>
      <c r="V2361" t="s">
        <v>17</v>
      </c>
      <c r="W2361" t="s">
        <v>19</v>
      </c>
      <c r="X2361">
        <v>22</v>
      </c>
      <c r="Y2361" t="s">
        <v>46</v>
      </c>
      <c r="Z2361">
        <v>5</v>
      </c>
      <c r="AA2361">
        <v>61</v>
      </c>
      <c r="AB2361">
        <v>8.1999999999999993</v>
      </c>
    </row>
    <row r="2362" spans="10:28">
      <c r="J2362" s="340" t="str">
        <f t="shared" si="121"/>
        <v>2008AllSexNon-Maori234</v>
      </c>
      <c r="K2362">
        <v>2008</v>
      </c>
      <c r="L2362" t="s">
        <v>17</v>
      </c>
      <c r="M2362" t="s">
        <v>19</v>
      </c>
      <c r="N2362">
        <v>23</v>
      </c>
      <c r="O2362">
        <v>4</v>
      </c>
      <c r="P2362">
        <v>32</v>
      </c>
      <c r="Q2362">
        <v>16.294177321957601</v>
      </c>
      <c r="R2362">
        <v>5.6</v>
      </c>
      <c r="T2362" s="340" t="str">
        <f t="shared" si="122"/>
        <v>2007AllSexNon-Maori23Poisoning by gases and vapours</v>
      </c>
      <c r="U2362">
        <v>2007</v>
      </c>
      <c r="V2362" t="s">
        <v>17</v>
      </c>
      <c r="W2362" t="s">
        <v>19</v>
      </c>
      <c r="X2362">
        <v>23</v>
      </c>
      <c r="Y2362" t="s">
        <v>46</v>
      </c>
      <c r="Z2362">
        <v>28</v>
      </c>
      <c r="AA2362">
        <v>163</v>
      </c>
      <c r="AB2362">
        <v>17.2</v>
      </c>
    </row>
    <row r="2363" spans="10:28">
      <c r="J2363" s="340" t="str">
        <f t="shared" si="121"/>
        <v>2008AllSexNon-Maori235</v>
      </c>
      <c r="K2363">
        <v>2008</v>
      </c>
      <c r="L2363" t="s">
        <v>17</v>
      </c>
      <c r="M2363" t="s">
        <v>19</v>
      </c>
      <c r="N2363">
        <v>23</v>
      </c>
      <c r="O2363">
        <v>5</v>
      </c>
      <c r="P2363">
        <v>34</v>
      </c>
      <c r="Q2363">
        <v>22.058324259064001</v>
      </c>
      <c r="R2363">
        <v>7.4</v>
      </c>
      <c r="T2363" s="340" t="str">
        <f t="shared" si="122"/>
        <v>2007AllSexNon-Maori24Poisoning by gases and vapours</v>
      </c>
      <c r="U2363">
        <v>2007</v>
      </c>
      <c r="V2363" t="s">
        <v>17</v>
      </c>
      <c r="W2363" t="s">
        <v>19</v>
      </c>
      <c r="X2363">
        <v>24</v>
      </c>
      <c r="Y2363" t="s">
        <v>46</v>
      </c>
      <c r="Z2363">
        <v>26</v>
      </c>
      <c r="AA2363">
        <v>130</v>
      </c>
      <c r="AB2363">
        <v>20</v>
      </c>
    </row>
    <row r="2364" spans="10:28">
      <c r="J2364" s="340" t="str">
        <f t="shared" si="121"/>
        <v>2008AllSexNon-Maori241</v>
      </c>
      <c r="K2364">
        <v>2008</v>
      </c>
      <c r="L2364" t="s">
        <v>17</v>
      </c>
      <c r="M2364" t="s">
        <v>19</v>
      </c>
      <c r="N2364">
        <v>24</v>
      </c>
      <c r="O2364">
        <v>1</v>
      </c>
      <c r="P2364">
        <v>33</v>
      </c>
      <c r="Q2364">
        <v>13.1221848016653</v>
      </c>
      <c r="R2364">
        <v>4.5</v>
      </c>
      <c r="T2364" s="340" t="str">
        <f t="shared" si="122"/>
        <v>2007AllSexNon-Maori25Poisoning by gases and vapours</v>
      </c>
      <c r="U2364">
        <v>2007</v>
      </c>
      <c r="V2364" t="s">
        <v>17</v>
      </c>
      <c r="W2364" t="s">
        <v>19</v>
      </c>
      <c r="X2364">
        <v>25</v>
      </c>
      <c r="Y2364" t="s">
        <v>46</v>
      </c>
      <c r="Z2364">
        <v>7</v>
      </c>
      <c r="AA2364">
        <v>49</v>
      </c>
      <c r="AB2364">
        <v>14.3</v>
      </c>
    </row>
    <row r="2365" spans="10:28">
      <c r="J2365" s="340" t="str">
        <f t="shared" si="121"/>
        <v>2008AllSexNon-Maori242</v>
      </c>
      <c r="K2365">
        <v>2008</v>
      </c>
      <c r="L2365" t="s">
        <v>17</v>
      </c>
      <c r="M2365" t="s">
        <v>19</v>
      </c>
      <c r="N2365">
        <v>24</v>
      </c>
      <c r="O2365">
        <v>2</v>
      </c>
      <c r="P2365">
        <v>29</v>
      </c>
      <c r="Q2365">
        <v>13.3121798317604</v>
      </c>
      <c r="R2365">
        <v>4.8</v>
      </c>
      <c r="T2365" s="340" t="str">
        <f t="shared" si="122"/>
        <v>2007AllSexNon-Maori22Poisoning by solids and liquids</v>
      </c>
      <c r="U2365">
        <v>2007</v>
      </c>
      <c r="V2365" t="s">
        <v>17</v>
      </c>
      <c r="W2365" t="s">
        <v>19</v>
      </c>
      <c r="X2365">
        <v>22</v>
      </c>
      <c r="Y2365" t="s">
        <v>47</v>
      </c>
      <c r="Z2365">
        <v>1</v>
      </c>
      <c r="AA2365">
        <v>61</v>
      </c>
      <c r="AB2365">
        <v>1.6</v>
      </c>
    </row>
    <row r="2366" spans="10:28">
      <c r="J2366" s="340" t="str">
        <f t="shared" si="121"/>
        <v>2008AllSexNon-Maori243</v>
      </c>
      <c r="K2366">
        <v>2008</v>
      </c>
      <c r="L2366" t="s">
        <v>17</v>
      </c>
      <c r="M2366" t="s">
        <v>19</v>
      </c>
      <c r="N2366">
        <v>24</v>
      </c>
      <c r="O2366">
        <v>3</v>
      </c>
      <c r="P2366">
        <v>34</v>
      </c>
      <c r="Q2366">
        <v>17.904032936855</v>
      </c>
      <c r="R2366">
        <v>6</v>
      </c>
      <c r="T2366" s="340" t="str">
        <f t="shared" si="122"/>
        <v>2007AllSexNon-Maori23Poisoning by solids and liquids</v>
      </c>
      <c r="U2366">
        <v>2007</v>
      </c>
      <c r="V2366" t="s">
        <v>17</v>
      </c>
      <c r="W2366" t="s">
        <v>19</v>
      </c>
      <c r="X2366">
        <v>23</v>
      </c>
      <c r="Y2366" t="s">
        <v>47</v>
      </c>
      <c r="Z2366">
        <v>12</v>
      </c>
      <c r="AA2366">
        <v>163</v>
      </c>
      <c r="AB2366">
        <v>7.4</v>
      </c>
    </row>
    <row r="2367" spans="10:28">
      <c r="J2367" s="340" t="str">
        <f t="shared" si="121"/>
        <v>2008AllSexNon-Maori244</v>
      </c>
      <c r="K2367">
        <v>2008</v>
      </c>
      <c r="L2367" t="s">
        <v>17</v>
      </c>
      <c r="M2367" t="s">
        <v>19</v>
      </c>
      <c r="N2367">
        <v>24</v>
      </c>
      <c r="O2367">
        <v>4</v>
      </c>
      <c r="P2367">
        <v>26</v>
      </c>
      <c r="Q2367">
        <v>15.844326341621199</v>
      </c>
      <c r="R2367">
        <v>6.1</v>
      </c>
      <c r="T2367" s="340" t="str">
        <f t="shared" si="122"/>
        <v>2007AllSexNon-Maori24Poisoning by solids and liquids</v>
      </c>
      <c r="U2367">
        <v>2007</v>
      </c>
      <c r="V2367" t="s">
        <v>17</v>
      </c>
      <c r="W2367" t="s">
        <v>19</v>
      </c>
      <c r="X2367">
        <v>24</v>
      </c>
      <c r="Y2367" t="s">
        <v>47</v>
      </c>
      <c r="Z2367">
        <v>20</v>
      </c>
      <c r="AA2367">
        <v>130</v>
      </c>
      <c r="AB2367">
        <v>15.4</v>
      </c>
    </row>
    <row r="2368" spans="10:28">
      <c r="J2368" s="340" t="str">
        <f t="shared" si="121"/>
        <v>2008AllSexNon-Maori245</v>
      </c>
      <c r="K2368">
        <v>2008</v>
      </c>
      <c r="L2368" t="s">
        <v>17</v>
      </c>
      <c r="M2368" t="s">
        <v>19</v>
      </c>
      <c r="N2368">
        <v>24</v>
      </c>
      <c r="O2368">
        <v>5</v>
      </c>
      <c r="P2368">
        <v>18</v>
      </c>
      <c r="Q2368">
        <v>14.5756152305578</v>
      </c>
      <c r="R2368">
        <v>6.7</v>
      </c>
      <c r="T2368" s="340" t="str">
        <f t="shared" si="122"/>
        <v>2007AllSexNon-Maori25Poisoning by solids and liquids</v>
      </c>
      <c r="U2368">
        <v>2007</v>
      </c>
      <c r="V2368" t="s">
        <v>17</v>
      </c>
      <c r="W2368" t="s">
        <v>19</v>
      </c>
      <c r="X2368">
        <v>25</v>
      </c>
      <c r="Y2368" t="s">
        <v>47</v>
      </c>
      <c r="Z2368">
        <v>6</v>
      </c>
      <c r="AA2368">
        <v>49</v>
      </c>
      <c r="AB2368">
        <v>12.2</v>
      </c>
    </row>
    <row r="2369" spans="10:28">
      <c r="J2369" s="340" t="str">
        <f t="shared" si="121"/>
        <v>2008AllSexNon-Maori251</v>
      </c>
      <c r="K2369">
        <v>2008</v>
      </c>
      <c r="L2369" t="s">
        <v>17</v>
      </c>
      <c r="M2369" t="s">
        <v>19</v>
      </c>
      <c r="N2369">
        <v>25</v>
      </c>
      <c r="O2369">
        <v>1</v>
      </c>
      <c r="P2369">
        <v>8</v>
      </c>
      <c r="Q2369">
        <v>7.8514274689111003</v>
      </c>
      <c r="R2369">
        <v>5.4</v>
      </c>
      <c r="T2369" s="340" t="str">
        <f t="shared" si="122"/>
        <v>2007AllSexNon-Maori23Sharp object</v>
      </c>
      <c r="U2369">
        <v>2007</v>
      </c>
      <c r="V2369" t="s">
        <v>17</v>
      </c>
      <c r="W2369" t="s">
        <v>19</v>
      </c>
      <c r="X2369">
        <v>23</v>
      </c>
      <c r="Y2369" t="s">
        <v>48</v>
      </c>
      <c r="Z2369">
        <v>2</v>
      </c>
      <c r="AA2369">
        <v>163</v>
      </c>
      <c r="AB2369">
        <v>1.2</v>
      </c>
    </row>
    <row r="2370" spans="10:28">
      <c r="J2370" s="340" t="str">
        <f t="shared" si="121"/>
        <v>2008AllSexNon-Maori252</v>
      </c>
      <c r="K2370">
        <v>2008</v>
      </c>
      <c r="L2370" t="s">
        <v>17</v>
      </c>
      <c r="M2370" t="s">
        <v>19</v>
      </c>
      <c r="N2370">
        <v>25</v>
      </c>
      <c r="O2370">
        <v>2</v>
      </c>
      <c r="P2370">
        <v>12</v>
      </c>
      <c r="Q2370">
        <v>11.104295816167699</v>
      </c>
      <c r="R2370">
        <v>6.3</v>
      </c>
      <c r="T2370" s="340" t="str">
        <f t="shared" si="122"/>
        <v>2007AllSexNon-Maori24Sharp object</v>
      </c>
      <c r="U2370">
        <v>2007</v>
      </c>
      <c r="V2370" t="s">
        <v>17</v>
      </c>
      <c r="W2370" t="s">
        <v>19</v>
      </c>
      <c r="X2370">
        <v>24</v>
      </c>
      <c r="Y2370" t="s">
        <v>48</v>
      </c>
      <c r="Z2370">
        <v>2</v>
      </c>
      <c r="AA2370">
        <v>130</v>
      </c>
      <c r="AB2370">
        <v>1.5</v>
      </c>
    </row>
    <row r="2371" spans="10:28">
      <c r="J2371" s="340" t="str">
        <f t="shared" si="121"/>
        <v>2008AllSexNon-Maori253</v>
      </c>
      <c r="K2371">
        <v>2008</v>
      </c>
      <c r="L2371" t="s">
        <v>17</v>
      </c>
      <c r="M2371" t="s">
        <v>19</v>
      </c>
      <c r="N2371">
        <v>25</v>
      </c>
      <c r="O2371">
        <v>3</v>
      </c>
      <c r="P2371">
        <v>12</v>
      </c>
      <c r="Q2371">
        <v>10.8186365057204</v>
      </c>
      <c r="R2371">
        <v>6.1</v>
      </c>
      <c r="T2371" s="340" t="str">
        <f t="shared" si="122"/>
        <v>2007AllSexNon-Maori25Sharp object</v>
      </c>
      <c r="U2371">
        <v>2007</v>
      </c>
      <c r="V2371" t="s">
        <v>17</v>
      </c>
      <c r="W2371" t="s">
        <v>19</v>
      </c>
      <c r="X2371">
        <v>25</v>
      </c>
      <c r="Y2371" t="s">
        <v>48</v>
      </c>
      <c r="Z2371">
        <v>2</v>
      </c>
      <c r="AA2371">
        <v>49</v>
      </c>
      <c r="AB2371">
        <v>4.0999999999999996</v>
      </c>
    </row>
    <row r="2372" spans="10:28">
      <c r="J2372" s="340" t="str">
        <f t="shared" ref="J2372:J2435" si="123">K2372&amp;L2372&amp;M2372&amp;N2372&amp;O2372</f>
        <v>2008AllSexNon-Maori254</v>
      </c>
      <c r="K2372">
        <v>2008</v>
      </c>
      <c r="L2372" t="s">
        <v>17</v>
      </c>
      <c r="M2372" t="s">
        <v>19</v>
      </c>
      <c r="N2372">
        <v>25</v>
      </c>
      <c r="O2372">
        <v>4</v>
      </c>
      <c r="P2372">
        <v>8</v>
      </c>
      <c r="Q2372">
        <v>7.3472894181039701</v>
      </c>
      <c r="R2372">
        <v>5.0999999999999996</v>
      </c>
      <c r="T2372" s="340" t="str">
        <f t="shared" si="122"/>
        <v>2007AllSexNon-Maori22Submersion (drowning)</v>
      </c>
      <c r="U2372">
        <v>2007</v>
      </c>
      <c r="V2372" t="s">
        <v>17</v>
      </c>
      <c r="W2372" t="s">
        <v>19</v>
      </c>
      <c r="X2372">
        <v>22</v>
      </c>
      <c r="Y2372" t="s">
        <v>49</v>
      </c>
      <c r="Z2372">
        <v>1</v>
      </c>
      <c r="AA2372">
        <v>61</v>
      </c>
      <c r="AB2372">
        <v>1.6</v>
      </c>
    </row>
    <row r="2373" spans="10:28">
      <c r="J2373" s="340" t="str">
        <f t="shared" si="123"/>
        <v>2008AllSexNon-Maori255</v>
      </c>
      <c r="K2373">
        <v>2008</v>
      </c>
      <c r="L2373" t="s">
        <v>17</v>
      </c>
      <c r="M2373" t="s">
        <v>19</v>
      </c>
      <c r="N2373">
        <v>25</v>
      </c>
      <c r="O2373">
        <v>5</v>
      </c>
      <c r="P2373">
        <v>8</v>
      </c>
      <c r="Q2373">
        <v>10.3656462267818</v>
      </c>
      <c r="R2373">
        <v>7.2</v>
      </c>
      <c r="T2373" s="340" t="str">
        <f t="shared" ref="T2373:T2436" si="124">U2373&amp;V2373&amp;W2373&amp;X2373&amp;Y2373</f>
        <v>2007AllSexNon-Maori23Submersion (drowning)</v>
      </c>
      <c r="U2373">
        <v>2007</v>
      </c>
      <c r="V2373" t="s">
        <v>17</v>
      </c>
      <c r="W2373" t="s">
        <v>19</v>
      </c>
      <c r="X2373">
        <v>23</v>
      </c>
      <c r="Y2373" t="s">
        <v>49</v>
      </c>
      <c r="Z2373">
        <v>3</v>
      </c>
      <c r="AA2373">
        <v>163</v>
      </c>
      <c r="AB2373">
        <v>1.8</v>
      </c>
    </row>
    <row r="2374" spans="10:28">
      <c r="J2374" s="340" t="str">
        <f t="shared" si="123"/>
        <v>2008FemaleAllEth211</v>
      </c>
      <c r="K2374">
        <v>2008</v>
      </c>
      <c r="L2374" t="s">
        <v>8</v>
      </c>
      <c r="M2374" t="s">
        <v>27</v>
      </c>
      <c r="N2374">
        <v>21</v>
      </c>
      <c r="O2374">
        <v>1</v>
      </c>
      <c r="P2374">
        <v>0</v>
      </c>
      <c r="Q2374">
        <v>0</v>
      </c>
      <c r="T2374" s="340" t="str">
        <f t="shared" si="124"/>
        <v>2007AllSexNon-Maori24Submersion (drowning)</v>
      </c>
      <c r="U2374">
        <v>2007</v>
      </c>
      <c r="V2374" t="s">
        <v>17</v>
      </c>
      <c r="W2374" t="s">
        <v>19</v>
      </c>
      <c r="X2374">
        <v>24</v>
      </c>
      <c r="Y2374" t="s">
        <v>49</v>
      </c>
      <c r="Z2374">
        <v>3</v>
      </c>
      <c r="AA2374">
        <v>130</v>
      </c>
      <c r="AB2374">
        <v>2.2999999999999998</v>
      </c>
    </row>
    <row r="2375" spans="10:28">
      <c r="J2375" s="340" t="str">
        <f t="shared" si="123"/>
        <v>2008FemaleAllEth212</v>
      </c>
      <c r="K2375">
        <v>2008</v>
      </c>
      <c r="L2375" t="s">
        <v>8</v>
      </c>
      <c r="M2375" t="s">
        <v>27</v>
      </c>
      <c r="N2375">
        <v>21</v>
      </c>
      <c r="O2375">
        <v>2</v>
      </c>
      <c r="P2375">
        <v>0</v>
      </c>
      <c r="Q2375">
        <v>0</v>
      </c>
      <c r="T2375" s="340" t="str">
        <f t="shared" si="124"/>
        <v>2007AllSexNon-Maori25Submersion (drowning)</v>
      </c>
      <c r="U2375">
        <v>2007</v>
      </c>
      <c r="V2375" t="s">
        <v>17</v>
      </c>
      <c r="W2375" t="s">
        <v>19</v>
      </c>
      <c r="X2375">
        <v>25</v>
      </c>
      <c r="Y2375" t="s">
        <v>49</v>
      </c>
      <c r="Z2375">
        <v>2</v>
      </c>
      <c r="AA2375">
        <v>49</v>
      </c>
      <c r="AB2375">
        <v>4.0999999999999996</v>
      </c>
    </row>
    <row r="2376" spans="10:28">
      <c r="J2376" s="340" t="str">
        <f t="shared" si="123"/>
        <v>2008FemaleAllEth213</v>
      </c>
      <c r="K2376">
        <v>2008</v>
      </c>
      <c r="L2376" t="s">
        <v>8</v>
      </c>
      <c r="M2376" t="s">
        <v>27</v>
      </c>
      <c r="N2376">
        <v>21</v>
      </c>
      <c r="O2376">
        <v>3</v>
      </c>
      <c r="P2376">
        <v>2</v>
      </c>
      <c r="Q2376">
        <v>2.49677448236329</v>
      </c>
      <c r="R2376">
        <v>3.5</v>
      </c>
      <c r="T2376" s="340" t="str">
        <f t="shared" si="124"/>
        <v>2007FemaleAllEth23Firearms and explosives</v>
      </c>
      <c r="U2376">
        <v>2007</v>
      </c>
      <c r="V2376" t="s">
        <v>8</v>
      </c>
      <c r="W2376" t="s">
        <v>27</v>
      </c>
      <c r="X2376">
        <v>23</v>
      </c>
      <c r="Y2376" t="s">
        <v>42</v>
      </c>
      <c r="Z2376">
        <v>3</v>
      </c>
      <c r="AA2376">
        <v>48</v>
      </c>
      <c r="AB2376">
        <v>6.2</v>
      </c>
    </row>
    <row r="2377" spans="10:28">
      <c r="J2377" s="340" t="str">
        <f t="shared" si="123"/>
        <v>2008FemaleAllEth214</v>
      </c>
      <c r="K2377">
        <v>2008</v>
      </c>
      <c r="L2377" t="s">
        <v>8</v>
      </c>
      <c r="M2377" t="s">
        <v>27</v>
      </c>
      <c r="N2377">
        <v>21</v>
      </c>
      <c r="O2377">
        <v>4</v>
      </c>
      <c r="P2377">
        <v>0</v>
      </c>
      <c r="Q2377">
        <v>0</v>
      </c>
      <c r="T2377" s="340" t="str">
        <f t="shared" si="124"/>
        <v>2007FemaleAllEth24Firearms and explosives</v>
      </c>
      <c r="U2377">
        <v>2007</v>
      </c>
      <c r="V2377" t="s">
        <v>8</v>
      </c>
      <c r="W2377" t="s">
        <v>27</v>
      </c>
      <c r="X2377">
        <v>24</v>
      </c>
      <c r="Y2377" t="s">
        <v>42</v>
      </c>
      <c r="Z2377">
        <v>1</v>
      </c>
      <c r="AA2377">
        <v>40</v>
      </c>
      <c r="AB2377">
        <v>2.5</v>
      </c>
    </row>
    <row r="2378" spans="10:28">
      <c r="J2378" s="340" t="str">
        <f t="shared" si="123"/>
        <v>2008FemaleAllEth215</v>
      </c>
      <c r="K2378">
        <v>2008</v>
      </c>
      <c r="L2378" t="s">
        <v>8</v>
      </c>
      <c r="M2378" t="s">
        <v>27</v>
      </c>
      <c r="N2378">
        <v>21</v>
      </c>
      <c r="O2378">
        <v>5</v>
      </c>
      <c r="P2378">
        <v>1</v>
      </c>
      <c r="Q2378">
        <v>0.96444930291054098</v>
      </c>
      <c r="R2378">
        <v>1.9</v>
      </c>
      <c r="T2378" s="340" t="str">
        <f t="shared" si="124"/>
        <v>2007FemaleAllEth21Hanging, strangulation and suffocation</v>
      </c>
      <c r="U2378">
        <v>2007</v>
      </c>
      <c r="V2378" t="s">
        <v>8</v>
      </c>
      <c r="W2378" t="s">
        <v>27</v>
      </c>
      <c r="X2378">
        <v>21</v>
      </c>
      <c r="Y2378" t="s">
        <v>43</v>
      </c>
      <c r="Z2378">
        <v>1</v>
      </c>
      <c r="AA2378">
        <v>1</v>
      </c>
      <c r="AB2378">
        <v>100</v>
      </c>
    </row>
    <row r="2379" spans="10:28">
      <c r="J2379" s="340" t="str">
        <f t="shared" si="123"/>
        <v>2008FemaleAllEth221</v>
      </c>
      <c r="K2379">
        <v>2008</v>
      </c>
      <c r="L2379" t="s">
        <v>8</v>
      </c>
      <c r="M2379" t="s">
        <v>27</v>
      </c>
      <c r="N2379">
        <v>22</v>
      </c>
      <c r="O2379">
        <v>1</v>
      </c>
      <c r="P2379">
        <v>6</v>
      </c>
      <c r="Q2379">
        <v>12.251425471598999</v>
      </c>
      <c r="R2379">
        <v>9.8000000000000007</v>
      </c>
      <c r="T2379" s="340" t="str">
        <f t="shared" si="124"/>
        <v>2007FemaleAllEth22Hanging, strangulation and suffocation</v>
      </c>
      <c r="U2379">
        <v>2007</v>
      </c>
      <c r="V2379" t="s">
        <v>8</v>
      </c>
      <c r="W2379" t="s">
        <v>27</v>
      </c>
      <c r="X2379">
        <v>22</v>
      </c>
      <c r="Y2379" t="s">
        <v>43</v>
      </c>
      <c r="Z2379">
        <v>18</v>
      </c>
      <c r="AA2379">
        <v>23</v>
      </c>
      <c r="AB2379">
        <v>78.3</v>
      </c>
    </row>
    <row r="2380" spans="10:28">
      <c r="J2380" s="340" t="str">
        <f t="shared" si="123"/>
        <v>2008FemaleAllEth222</v>
      </c>
      <c r="K2380">
        <v>2008</v>
      </c>
      <c r="L2380" t="s">
        <v>8</v>
      </c>
      <c r="M2380" t="s">
        <v>27</v>
      </c>
      <c r="N2380">
        <v>22</v>
      </c>
      <c r="O2380">
        <v>2</v>
      </c>
      <c r="P2380">
        <v>4</v>
      </c>
      <c r="Q2380">
        <v>7.6245179126366596</v>
      </c>
      <c r="R2380">
        <v>7.5</v>
      </c>
      <c r="T2380" s="340" t="str">
        <f t="shared" si="124"/>
        <v>2007FemaleAllEth23Hanging, strangulation and suffocation</v>
      </c>
      <c r="U2380">
        <v>2007</v>
      </c>
      <c r="V2380" t="s">
        <v>8</v>
      </c>
      <c r="W2380" t="s">
        <v>27</v>
      </c>
      <c r="X2380">
        <v>23</v>
      </c>
      <c r="Y2380" t="s">
        <v>43</v>
      </c>
      <c r="Z2380">
        <v>17</v>
      </c>
      <c r="AA2380">
        <v>48</v>
      </c>
      <c r="AB2380">
        <v>35.4</v>
      </c>
    </row>
    <row r="2381" spans="10:28">
      <c r="J2381" s="340" t="str">
        <f t="shared" si="123"/>
        <v>2008FemaleAllEth223</v>
      </c>
      <c r="K2381">
        <v>2008</v>
      </c>
      <c r="L2381" t="s">
        <v>8</v>
      </c>
      <c r="M2381" t="s">
        <v>27</v>
      </c>
      <c r="N2381">
        <v>22</v>
      </c>
      <c r="O2381">
        <v>3</v>
      </c>
      <c r="P2381">
        <v>10</v>
      </c>
      <c r="Q2381">
        <v>17.334198372332601</v>
      </c>
      <c r="R2381">
        <v>10.7</v>
      </c>
      <c r="T2381" s="340" t="str">
        <f t="shared" si="124"/>
        <v>2007FemaleAllEth24Hanging, strangulation and suffocation</v>
      </c>
      <c r="U2381">
        <v>2007</v>
      </c>
      <c r="V2381" t="s">
        <v>8</v>
      </c>
      <c r="W2381" t="s">
        <v>27</v>
      </c>
      <c r="X2381">
        <v>24</v>
      </c>
      <c r="Y2381" t="s">
        <v>43</v>
      </c>
      <c r="Z2381">
        <v>13</v>
      </c>
      <c r="AA2381">
        <v>40</v>
      </c>
      <c r="AB2381">
        <v>32.5</v>
      </c>
    </row>
    <row r="2382" spans="10:28">
      <c r="J2382" s="340" t="str">
        <f t="shared" si="123"/>
        <v>2008FemaleAllEth224</v>
      </c>
      <c r="K2382">
        <v>2008</v>
      </c>
      <c r="L2382" t="s">
        <v>8</v>
      </c>
      <c r="M2382" t="s">
        <v>27</v>
      </c>
      <c r="N2382">
        <v>22</v>
      </c>
      <c r="O2382">
        <v>4</v>
      </c>
      <c r="P2382">
        <v>6</v>
      </c>
      <c r="Q2382">
        <v>9.3031556565522902</v>
      </c>
      <c r="R2382">
        <v>7.4</v>
      </c>
      <c r="T2382" s="340" t="str">
        <f t="shared" si="124"/>
        <v>2007FemaleAllEth25Hanging, strangulation and suffocation</v>
      </c>
      <c r="U2382">
        <v>2007</v>
      </c>
      <c r="V2382" t="s">
        <v>8</v>
      </c>
      <c r="W2382" t="s">
        <v>27</v>
      </c>
      <c r="X2382">
        <v>25</v>
      </c>
      <c r="Y2382" t="s">
        <v>43</v>
      </c>
      <c r="Z2382">
        <v>5</v>
      </c>
      <c r="AA2382">
        <v>8</v>
      </c>
      <c r="AB2382">
        <v>62.5</v>
      </c>
    </row>
    <row r="2383" spans="10:28">
      <c r="J2383" s="340" t="str">
        <f t="shared" si="123"/>
        <v>2008FemaleAllEth225</v>
      </c>
      <c r="K2383">
        <v>2008</v>
      </c>
      <c r="L2383" t="s">
        <v>8</v>
      </c>
      <c r="M2383" t="s">
        <v>27</v>
      </c>
      <c r="N2383">
        <v>22</v>
      </c>
      <c r="O2383">
        <v>5</v>
      </c>
      <c r="P2383">
        <v>10</v>
      </c>
      <c r="Q2383">
        <v>12.9432915413507</v>
      </c>
      <c r="R2383">
        <v>8</v>
      </c>
      <c r="T2383" s="340" t="str">
        <f t="shared" si="124"/>
        <v>2007FemaleAllEth23Jumping from a high place</v>
      </c>
      <c r="U2383">
        <v>2007</v>
      </c>
      <c r="V2383" t="s">
        <v>8</v>
      </c>
      <c r="W2383" t="s">
        <v>27</v>
      </c>
      <c r="X2383">
        <v>23</v>
      </c>
      <c r="Y2383" t="s">
        <v>44</v>
      </c>
      <c r="Z2383">
        <v>2</v>
      </c>
      <c r="AA2383">
        <v>48</v>
      </c>
      <c r="AB2383">
        <v>4.2</v>
      </c>
    </row>
    <row r="2384" spans="10:28">
      <c r="J2384" s="340" t="str">
        <f t="shared" si="123"/>
        <v>2008FemaleAllEth231</v>
      </c>
      <c r="K2384">
        <v>2008</v>
      </c>
      <c r="L2384" t="s">
        <v>8</v>
      </c>
      <c r="M2384" t="s">
        <v>27</v>
      </c>
      <c r="N2384">
        <v>23</v>
      </c>
      <c r="O2384">
        <v>1</v>
      </c>
      <c r="P2384">
        <v>6</v>
      </c>
      <c r="Q2384">
        <v>4.9828927248144401</v>
      </c>
      <c r="R2384">
        <v>4</v>
      </c>
      <c r="T2384" s="340" t="str">
        <f t="shared" si="124"/>
        <v>2007FemaleAllEth24Jumping from a high place</v>
      </c>
      <c r="U2384">
        <v>2007</v>
      </c>
      <c r="V2384" t="s">
        <v>8</v>
      </c>
      <c r="W2384" t="s">
        <v>27</v>
      </c>
      <c r="X2384">
        <v>24</v>
      </c>
      <c r="Y2384" t="s">
        <v>44</v>
      </c>
      <c r="Z2384">
        <v>1</v>
      </c>
      <c r="AA2384">
        <v>40</v>
      </c>
      <c r="AB2384">
        <v>2.5</v>
      </c>
    </row>
    <row r="2385" spans="10:28">
      <c r="J2385" s="340" t="str">
        <f t="shared" si="123"/>
        <v>2008FemaleAllEth232</v>
      </c>
      <c r="K2385">
        <v>2008</v>
      </c>
      <c r="L2385" t="s">
        <v>8</v>
      </c>
      <c r="M2385" t="s">
        <v>27</v>
      </c>
      <c r="N2385">
        <v>23</v>
      </c>
      <c r="O2385">
        <v>2</v>
      </c>
      <c r="P2385">
        <v>9</v>
      </c>
      <c r="Q2385">
        <v>7.1883896031024399</v>
      </c>
      <c r="R2385">
        <v>4.7</v>
      </c>
      <c r="T2385" s="340" t="str">
        <f t="shared" si="124"/>
        <v>2007FemaleAllEth24Other</v>
      </c>
      <c r="U2385">
        <v>2007</v>
      </c>
      <c r="V2385" t="s">
        <v>8</v>
      </c>
      <c r="W2385" t="s">
        <v>27</v>
      </c>
      <c r="X2385">
        <v>24</v>
      </c>
      <c r="Y2385" t="s">
        <v>45</v>
      </c>
      <c r="Z2385">
        <v>5</v>
      </c>
      <c r="AA2385">
        <v>40</v>
      </c>
      <c r="AB2385">
        <v>12.5</v>
      </c>
    </row>
    <row r="2386" spans="10:28">
      <c r="J2386" s="340" t="str">
        <f t="shared" si="123"/>
        <v>2008FemaleAllEth233</v>
      </c>
      <c r="K2386">
        <v>2008</v>
      </c>
      <c r="L2386" t="s">
        <v>8</v>
      </c>
      <c r="M2386" t="s">
        <v>27</v>
      </c>
      <c r="N2386">
        <v>23</v>
      </c>
      <c r="O2386">
        <v>3</v>
      </c>
      <c r="P2386">
        <v>9</v>
      </c>
      <c r="Q2386">
        <v>7.2537347303694801</v>
      </c>
      <c r="R2386">
        <v>4.7</v>
      </c>
      <c r="T2386" s="340" t="str">
        <f t="shared" si="124"/>
        <v>2007FemaleAllEth22Poisoning by gases and vapours</v>
      </c>
      <c r="U2386">
        <v>2007</v>
      </c>
      <c r="V2386" t="s">
        <v>8</v>
      </c>
      <c r="W2386" t="s">
        <v>27</v>
      </c>
      <c r="X2386">
        <v>22</v>
      </c>
      <c r="Y2386" t="s">
        <v>46</v>
      </c>
      <c r="Z2386">
        <v>2</v>
      </c>
      <c r="AA2386">
        <v>23</v>
      </c>
      <c r="AB2386">
        <v>8.6999999999999993</v>
      </c>
    </row>
    <row r="2387" spans="10:28">
      <c r="J2387" s="340" t="str">
        <f t="shared" si="123"/>
        <v>2008FemaleAllEth234</v>
      </c>
      <c r="K2387">
        <v>2008</v>
      </c>
      <c r="L2387" t="s">
        <v>8</v>
      </c>
      <c r="M2387" t="s">
        <v>27</v>
      </c>
      <c r="N2387">
        <v>23</v>
      </c>
      <c r="O2387">
        <v>4</v>
      </c>
      <c r="P2387">
        <v>7</v>
      </c>
      <c r="Q2387">
        <v>5.75403317917322</v>
      </c>
      <c r="R2387">
        <v>4.3</v>
      </c>
      <c r="T2387" s="340" t="str">
        <f t="shared" si="124"/>
        <v>2007FemaleAllEth23Poisoning by gases and vapours</v>
      </c>
      <c r="U2387">
        <v>2007</v>
      </c>
      <c r="V2387" t="s">
        <v>8</v>
      </c>
      <c r="W2387" t="s">
        <v>27</v>
      </c>
      <c r="X2387">
        <v>23</v>
      </c>
      <c r="Y2387" t="s">
        <v>46</v>
      </c>
      <c r="Z2387">
        <v>10</v>
      </c>
      <c r="AA2387">
        <v>48</v>
      </c>
      <c r="AB2387">
        <v>20.8</v>
      </c>
    </row>
    <row r="2388" spans="10:28">
      <c r="J2388" s="340" t="str">
        <f t="shared" si="123"/>
        <v>2008FemaleAllEth235</v>
      </c>
      <c r="K2388">
        <v>2008</v>
      </c>
      <c r="L2388" t="s">
        <v>8</v>
      </c>
      <c r="M2388" t="s">
        <v>27</v>
      </c>
      <c r="N2388">
        <v>23</v>
      </c>
      <c r="O2388">
        <v>5</v>
      </c>
      <c r="P2388">
        <v>16</v>
      </c>
      <c r="Q2388">
        <v>13.762457659862401</v>
      </c>
      <c r="R2388">
        <v>6.7</v>
      </c>
      <c r="T2388" s="340" t="str">
        <f t="shared" si="124"/>
        <v>2007FemaleAllEth24Poisoning by gases and vapours</v>
      </c>
      <c r="U2388">
        <v>2007</v>
      </c>
      <c r="V2388" t="s">
        <v>8</v>
      </c>
      <c r="W2388" t="s">
        <v>27</v>
      </c>
      <c r="X2388">
        <v>24</v>
      </c>
      <c r="Y2388" t="s">
        <v>46</v>
      </c>
      <c r="Z2388">
        <v>7</v>
      </c>
      <c r="AA2388">
        <v>40</v>
      </c>
      <c r="AB2388">
        <v>17.5</v>
      </c>
    </row>
    <row r="2389" spans="10:28">
      <c r="J2389" s="340" t="str">
        <f t="shared" si="123"/>
        <v>2008FemaleAllEth241</v>
      </c>
      <c r="K2389">
        <v>2008</v>
      </c>
      <c r="L2389" t="s">
        <v>8</v>
      </c>
      <c r="M2389" t="s">
        <v>27</v>
      </c>
      <c r="N2389">
        <v>24</v>
      </c>
      <c r="O2389">
        <v>1</v>
      </c>
      <c r="P2389">
        <v>8</v>
      </c>
      <c r="Q2389">
        <v>6.12063448156532</v>
      </c>
      <c r="R2389">
        <v>4.2</v>
      </c>
      <c r="T2389" s="340" t="str">
        <f t="shared" si="124"/>
        <v>2007FemaleAllEth25Poisoning by gases and vapours</v>
      </c>
      <c r="U2389">
        <v>2007</v>
      </c>
      <c r="V2389" t="s">
        <v>8</v>
      </c>
      <c r="W2389" t="s">
        <v>27</v>
      </c>
      <c r="X2389">
        <v>25</v>
      </c>
      <c r="Y2389" t="s">
        <v>46</v>
      </c>
      <c r="Z2389">
        <v>1</v>
      </c>
      <c r="AA2389">
        <v>8</v>
      </c>
      <c r="AB2389">
        <v>12.5</v>
      </c>
    </row>
    <row r="2390" spans="10:28">
      <c r="J2390" s="340" t="str">
        <f t="shared" si="123"/>
        <v>2008FemaleAllEth242</v>
      </c>
      <c r="K2390">
        <v>2008</v>
      </c>
      <c r="L2390" t="s">
        <v>8</v>
      </c>
      <c r="M2390" t="s">
        <v>27</v>
      </c>
      <c r="N2390">
        <v>24</v>
      </c>
      <c r="O2390">
        <v>2</v>
      </c>
      <c r="P2390">
        <v>9</v>
      </c>
      <c r="Q2390">
        <v>7.7209410112151504</v>
      </c>
      <c r="R2390">
        <v>5</v>
      </c>
      <c r="T2390" s="340" t="str">
        <f t="shared" si="124"/>
        <v>2007FemaleAllEth22Poisoning by solids and liquids</v>
      </c>
      <c r="U2390">
        <v>2007</v>
      </c>
      <c r="V2390" t="s">
        <v>8</v>
      </c>
      <c r="W2390" t="s">
        <v>27</v>
      </c>
      <c r="X2390">
        <v>22</v>
      </c>
      <c r="Y2390" t="s">
        <v>47</v>
      </c>
      <c r="Z2390">
        <v>2</v>
      </c>
      <c r="AA2390">
        <v>23</v>
      </c>
      <c r="AB2390">
        <v>8.6999999999999993</v>
      </c>
    </row>
    <row r="2391" spans="10:28">
      <c r="J2391" s="340" t="str">
        <f t="shared" si="123"/>
        <v>2008FemaleAllEth243</v>
      </c>
      <c r="K2391">
        <v>2008</v>
      </c>
      <c r="L2391" t="s">
        <v>8</v>
      </c>
      <c r="M2391" t="s">
        <v>27</v>
      </c>
      <c r="N2391">
        <v>24</v>
      </c>
      <c r="O2391">
        <v>3</v>
      </c>
      <c r="P2391">
        <v>7</v>
      </c>
      <c r="Q2391">
        <v>6.5956206775866004</v>
      </c>
      <c r="R2391">
        <v>4.9000000000000004</v>
      </c>
      <c r="T2391" s="340" t="str">
        <f t="shared" si="124"/>
        <v>2007FemaleAllEth23Poisoning by solids and liquids</v>
      </c>
      <c r="U2391">
        <v>2007</v>
      </c>
      <c r="V2391" t="s">
        <v>8</v>
      </c>
      <c r="W2391" t="s">
        <v>27</v>
      </c>
      <c r="X2391">
        <v>23</v>
      </c>
      <c r="Y2391" t="s">
        <v>47</v>
      </c>
      <c r="Z2391">
        <v>13</v>
      </c>
      <c r="AA2391">
        <v>48</v>
      </c>
      <c r="AB2391">
        <v>27.1</v>
      </c>
    </row>
    <row r="2392" spans="10:28">
      <c r="J2392" s="340" t="str">
        <f t="shared" si="123"/>
        <v>2008FemaleAllEth244</v>
      </c>
      <c r="K2392">
        <v>2008</v>
      </c>
      <c r="L2392" t="s">
        <v>8</v>
      </c>
      <c r="M2392" t="s">
        <v>27</v>
      </c>
      <c r="N2392">
        <v>24</v>
      </c>
      <c r="O2392">
        <v>4</v>
      </c>
      <c r="P2392">
        <v>5</v>
      </c>
      <c r="Q2392">
        <v>5.1316631630391196</v>
      </c>
      <c r="R2392">
        <v>4.5</v>
      </c>
      <c r="T2392" s="340" t="str">
        <f t="shared" si="124"/>
        <v>2007FemaleAllEth24Poisoning by solids and liquids</v>
      </c>
      <c r="U2392">
        <v>2007</v>
      </c>
      <c r="V2392" t="s">
        <v>8</v>
      </c>
      <c r="W2392" t="s">
        <v>27</v>
      </c>
      <c r="X2392">
        <v>24</v>
      </c>
      <c r="Y2392" t="s">
        <v>47</v>
      </c>
      <c r="Z2392">
        <v>12</v>
      </c>
      <c r="AA2392">
        <v>40</v>
      </c>
      <c r="AB2392">
        <v>30</v>
      </c>
    </row>
    <row r="2393" spans="10:28">
      <c r="J2393" s="340" t="str">
        <f t="shared" si="123"/>
        <v>2008FemaleAllEth245</v>
      </c>
      <c r="K2393">
        <v>2008</v>
      </c>
      <c r="L2393" t="s">
        <v>8</v>
      </c>
      <c r="M2393" t="s">
        <v>27</v>
      </c>
      <c r="N2393">
        <v>24</v>
      </c>
      <c r="O2393">
        <v>5</v>
      </c>
      <c r="P2393">
        <v>2</v>
      </c>
      <c r="Q2393">
        <v>2.3061888115214502</v>
      </c>
      <c r="R2393">
        <v>3.2</v>
      </c>
      <c r="T2393" s="340" t="str">
        <f t="shared" si="124"/>
        <v>2007FemaleAllEth25Poisoning by solids and liquids</v>
      </c>
      <c r="U2393">
        <v>2007</v>
      </c>
      <c r="V2393" t="s">
        <v>8</v>
      </c>
      <c r="W2393" t="s">
        <v>27</v>
      </c>
      <c r="X2393">
        <v>25</v>
      </c>
      <c r="Y2393" t="s">
        <v>47</v>
      </c>
      <c r="Z2393">
        <v>1</v>
      </c>
      <c r="AA2393">
        <v>8</v>
      </c>
      <c r="AB2393">
        <v>12.5</v>
      </c>
    </row>
    <row r="2394" spans="10:28">
      <c r="J2394" s="340" t="str">
        <f t="shared" si="123"/>
        <v>2008FemaleAllEth251</v>
      </c>
      <c r="K2394">
        <v>2008</v>
      </c>
      <c r="L2394" t="s">
        <v>8</v>
      </c>
      <c r="M2394" t="s">
        <v>27</v>
      </c>
      <c r="N2394">
        <v>25</v>
      </c>
      <c r="O2394">
        <v>1</v>
      </c>
      <c r="P2394">
        <v>1</v>
      </c>
      <c r="Q2394">
        <v>1.87059287189249</v>
      </c>
      <c r="R2394">
        <v>3.7</v>
      </c>
      <c r="T2394" s="340" t="str">
        <f t="shared" si="124"/>
        <v>2007FemaleAllEth22Submersion (drowning)</v>
      </c>
      <c r="U2394">
        <v>2007</v>
      </c>
      <c r="V2394" t="s">
        <v>8</v>
      </c>
      <c r="W2394" t="s">
        <v>27</v>
      </c>
      <c r="X2394">
        <v>22</v>
      </c>
      <c r="Y2394" t="s">
        <v>49</v>
      </c>
      <c r="Z2394">
        <v>1</v>
      </c>
      <c r="AA2394">
        <v>23</v>
      </c>
      <c r="AB2394">
        <v>4.3</v>
      </c>
    </row>
    <row r="2395" spans="10:28">
      <c r="J2395" s="340" t="str">
        <f t="shared" si="123"/>
        <v>2008FemaleAllEth252</v>
      </c>
      <c r="K2395">
        <v>2008</v>
      </c>
      <c r="L2395" t="s">
        <v>8</v>
      </c>
      <c r="M2395" t="s">
        <v>27</v>
      </c>
      <c r="N2395">
        <v>25</v>
      </c>
      <c r="O2395">
        <v>2</v>
      </c>
      <c r="P2395">
        <v>2</v>
      </c>
      <c r="Q2395">
        <v>3.33745663074105</v>
      </c>
      <c r="R2395">
        <v>4.5999999999999996</v>
      </c>
      <c r="T2395" s="340" t="str">
        <f t="shared" si="124"/>
        <v>2007FemaleAllEth23Submersion (drowning)</v>
      </c>
      <c r="U2395">
        <v>2007</v>
      </c>
      <c r="V2395" t="s">
        <v>8</v>
      </c>
      <c r="W2395" t="s">
        <v>27</v>
      </c>
      <c r="X2395">
        <v>23</v>
      </c>
      <c r="Y2395" t="s">
        <v>49</v>
      </c>
      <c r="Z2395">
        <v>3</v>
      </c>
      <c r="AA2395">
        <v>48</v>
      </c>
      <c r="AB2395">
        <v>6.2</v>
      </c>
    </row>
    <row r="2396" spans="10:28">
      <c r="J2396" s="340" t="str">
        <f t="shared" si="123"/>
        <v>2008FemaleAllEth253</v>
      </c>
      <c r="K2396">
        <v>2008</v>
      </c>
      <c r="L2396" t="s">
        <v>8</v>
      </c>
      <c r="M2396" t="s">
        <v>27</v>
      </c>
      <c r="N2396">
        <v>25</v>
      </c>
      <c r="O2396">
        <v>3</v>
      </c>
      <c r="P2396">
        <v>5</v>
      </c>
      <c r="Q2396">
        <v>7.8459538741241097</v>
      </c>
      <c r="R2396">
        <v>6.9</v>
      </c>
      <c r="T2396" s="340" t="str">
        <f t="shared" si="124"/>
        <v>2007FemaleAllEth24Submersion (drowning)</v>
      </c>
      <c r="U2396">
        <v>2007</v>
      </c>
      <c r="V2396" t="s">
        <v>8</v>
      </c>
      <c r="W2396" t="s">
        <v>27</v>
      </c>
      <c r="X2396">
        <v>24</v>
      </c>
      <c r="Y2396" t="s">
        <v>49</v>
      </c>
      <c r="Z2396">
        <v>1</v>
      </c>
      <c r="AA2396">
        <v>40</v>
      </c>
      <c r="AB2396">
        <v>2.5</v>
      </c>
    </row>
    <row r="2397" spans="10:28">
      <c r="J2397" s="340" t="str">
        <f t="shared" si="123"/>
        <v>2008FemaleAllEth254</v>
      </c>
      <c r="K2397">
        <v>2008</v>
      </c>
      <c r="L2397" t="s">
        <v>8</v>
      </c>
      <c r="M2397" t="s">
        <v>27</v>
      </c>
      <c r="N2397">
        <v>25</v>
      </c>
      <c r="O2397">
        <v>4</v>
      </c>
      <c r="P2397">
        <v>4</v>
      </c>
      <c r="Q2397">
        <v>6.0529517113104401</v>
      </c>
      <c r="R2397">
        <v>5.9</v>
      </c>
      <c r="T2397" s="340" t="str">
        <f t="shared" si="124"/>
        <v>2007FemaleAllEth25Submersion (drowning)</v>
      </c>
      <c r="U2397">
        <v>2007</v>
      </c>
      <c r="V2397" t="s">
        <v>8</v>
      </c>
      <c r="W2397" t="s">
        <v>27</v>
      </c>
      <c r="X2397">
        <v>25</v>
      </c>
      <c r="Y2397" t="s">
        <v>49</v>
      </c>
      <c r="Z2397">
        <v>1</v>
      </c>
      <c r="AA2397">
        <v>8</v>
      </c>
      <c r="AB2397">
        <v>12.5</v>
      </c>
    </row>
    <row r="2398" spans="10:28">
      <c r="J2398" s="340" t="str">
        <f t="shared" si="123"/>
        <v>2008FemaleAllEth255</v>
      </c>
      <c r="K2398">
        <v>2008</v>
      </c>
      <c r="L2398" t="s">
        <v>8</v>
      </c>
      <c r="M2398" t="s">
        <v>27</v>
      </c>
      <c r="N2398">
        <v>25</v>
      </c>
      <c r="O2398">
        <v>5</v>
      </c>
      <c r="P2398">
        <v>1</v>
      </c>
      <c r="Q2398">
        <v>1.9851288041494699</v>
      </c>
      <c r="R2398">
        <v>3.9</v>
      </c>
      <c r="T2398" s="340" t="str">
        <f t="shared" si="124"/>
        <v>2007FemaleMaori21Hanging, strangulation and suffocation</v>
      </c>
      <c r="U2398">
        <v>2007</v>
      </c>
      <c r="V2398" t="s">
        <v>8</v>
      </c>
      <c r="W2398" t="s">
        <v>18</v>
      </c>
      <c r="X2398">
        <v>21</v>
      </c>
      <c r="Y2398" t="s">
        <v>43</v>
      </c>
      <c r="Z2398">
        <v>1</v>
      </c>
      <c r="AA2398">
        <v>1</v>
      </c>
      <c r="AB2398">
        <v>100</v>
      </c>
    </row>
    <row r="2399" spans="10:28">
      <c r="J2399" s="340" t="str">
        <f t="shared" si="123"/>
        <v>2008FemaleMaori211</v>
      </c>
      <c r="K2399">
        <v>2008</v>
      </c>
      <c r="L2399" t="s">
        <v>8</v>
      </c>
      <c r="M2399" t="s">
        <v>18</v>
      </c>
      <c r="N2399">
        <v>21</v>
      </c>
      <c r="O2399">
        <v>1</v>
      </c>
      <c r="P2399">
        <v>0</v>
      </c>
      <c r="Q2399">
        <v>0</v>
      </c>
      <c r="T2399" s="340" t="str">
        <f t="shared" si="124"/>
        <v>2007FemaleMaori22Hanging, strangulation and suffocation</v>
      </c>
      <c r="U2399">
        <v>2007</v>
      </c>
      <c r="V2399" t="s">
        <v>8</v>
      </c>
      <c r="W2399" t="s">
        <v>18</v>
      </c>
      <c r="X2399">
        <v>22</v>
      </c>
      <c r="Y2399" t="s">
        <v>43</v>
      </c>
      <c r="Z2399">
        <v>9</v>
      </c>
      <c r="AA2399">
        <v>10</v>
      </c>
      <c r="AB2399">
        <v>90</v>
      </c>
    </row>
    <row r="2400" spans="10:28">
      <c r="J2400" s="340" t="str">
        <f t="shared" si="123"/>
        <v>2008FemaleMaori212</v>
      </c>
      <c r="K2400">
        <v>2008</v>
      </c>
      <c r="L2400" t="s">
        <v>8</v>
      </c>
      <c r="M2400" t="s">
        <v>18</v>
      </c>
      <c r="N2400">
        <v>21</v>
      </c>
      <c r="O2400">
        <v>2</v>
      </c>
      <c r="P2400">
        <v>0</v>
      </c>
      <c r="Q2400">
        <v>0</v>
      </c>
      <c r="T2400" s="340" t="str">
        <f t="shared" si="124"/>
        <v>2007FemaleMaori23Hanging, strangulation and suffocation</v>
      </c>
      <c r="U2400">
        <v>2007</v>
      </c>
      <c r="V2400" t="s">
        <v>8</v>
      </c>
      <c r="W2400" t="s">
        <v>18</v>
      </c>
      <c r="X2400">
        <v>23</v>
      </c>
      <c r="Y2400" t="s">
        <v>43</v>
      </c>
      <c r="Z2400">
        <v>6</v>
      </c>
      <c r="AA2400">
        <v>11</v>
      </c>
      <c r="AB2400">
        <v>54.5</v>
      </c>
    </row>
    <row r="2401" spans="10:28">
      <c r="J2401" s="340" t="str">
        <f t="shared" si="123"/>
        <v>2008FemaleMaori213</v>
      </c>
      <c r="K2401">
        <v>2008</v>
      </c>
      <c r="L2401" t="s">
        <v>8</v>
      </c>
      <c r="M2401" t="s">
        <v>18</v>
      </c>
      <c r="N2401">
        <v>21</v>
      </c>
      <c r="O2401">
        <v>3</v>
      </c>
      <c r="P2401">
        <v>1</v>
      </c>
      <c r="Q2401">
        <v>5.9921420970264396</v>
      </c>
      <c r="R2401">
        <v>11.7</v>
      </c>
      <c r="T2401" s="340" t="str">
        <f t="shared" si="124"/>
        <v>2007FemaleMaori22Poisoning by solids and liquids</v>
      </c>
      <c r="U2401">
        <v>2007</v>
      </c>
      <c r="V2401" t="s">
        <v>8</v>
      </c>
      <c r="W2401" t="s">
        <v>18</v>
      </c>
      <c r="X2401">
        <v>22</v>
      </c>
      <c r="Y2401" t="s">
        <v>47</v>
      </c>
      <c r="Z2401">
        <v>1</v>
      </c>
      <c r="AA2401">
        <v>10</v>
      </c>
      <c r="AB2401">
        <v>10</v>
      </c>
    </row>
    <row r="2402" spans="10:28">
      <c r="J2402" s="340" t="str">
        <f t="shared" si="123"/>
        <v>2008FemaleMaori214</v>
      </c>
      <c r="K2402">
        <v>2008</v>
      </c>
      <c r="L2402" t="s">
        <v>8</v>
      </c>
      <c r="M2402" t="s">
        <v>18</v>
      </c>
      <c r="N2402">
        <v>21</v>
      </c>
      <c r="O2402">
        <v>4</v>
      </c>
      <c r="P2402">
        <v>0</v>
      </c>
      <c r="Q2402">
        <v>0</v>
      </c>
      <c r="T2402" s="340" t="str">
        <f t="shared" si="124"/>
        <v>2007FemaleMaori23Poisoning by solids and liquids</v>
      </c>
      <c r="U2402">
        <v>2007</v>
      </c>
      <c r="V2402" t="s">
        <v>8</v>
      </c>
      <c r="W2402" t="s">
        <v>18</v>
      </c>
      <c r="X2402">
        <v>23</v>
      </c>
      <c r="Y2402" t="s">
        <v>47</v>
      </c>
      <c r="Z2402">
        <v>4</v>
      </c>
      <c r="AA2402">
        <v>11</v>
      </c>
      <c r="AB2402">
        <v>36.4</v>
      </c>
    </row>
    <row r="2403" spans="10:28">
      <c r="J2403" s="340" t="str">
        <f t="shared" si="123"/>
        <v>2008FemaleMaori215</v>
      </c>
      <c r="K2403">
        <v>2008</v>
      </c>
      <c r="L2403" t="s">
        <v>8</v>
      </c>
      <c r="M2403" t="s">
        <v>18</v>
      </c>
      <c r="N2403">
        <v>21</v>
      </c>
      <c r="O2403">
        <v>5</v>
      </c>
      <c r="P2403">
        <v>1</v>
      </c>
      <c r="Q2403">
        <v>2.1442730878565399</v>
      </c>
      <c r="R2403">
        <v>4.2</v>
      </c>
      <c r="T2403" s="340" t="str">
        <f t="shared" si="124"/>
        <v>2007FemaleMaori23Submersion (drowning)</v>
      </c>
      <c r="U2403">
        <v>2007</v>
      </c>
      <c r="V2403" t="s">
        <v>8</v>
      </c>
      <c r="W2403" t="s">
        <v>18</v>
      </c>
      <c r="X2403">
        <v>23</v>
      </c>
      <c r="Y2403" t="s">
        <v>49</v>
      </c>
      <c r="Z2403">
        <v>1</v>
      </c>
      <c r="AA2403">
        <v>11</v>
      </c>
      <c r="AB2403">
        <v>9.1</v>
      </c>
    </row>
    <row r="2404" spans="10:28">
      <c r="J2404" s="340" t="str">
        <f t="shared" si="123"/>
        <v>2008FemaleMaori221</v>
      </c>
      <c r="K2404">
        <v>2008</v>
      </c>
      <c r="L2404" t="s">
        <v>8</v>
      </c>
      <c r="M2404" t="s">
        <v>18</v>
      </c>
      <c r="N2404">
        <v>22</v>
      </c>
      <c r="O2404">
        <v>1</v>
      </c>
      <c r="P2404">
        <v>1</v>
      </c>
      <c r="Q2404">
        <v>24.112140056887799</v>
      </c>
      <c r="R2404">
        <v>47.3</v>
      </c>
      <c r="T2404" s="340" t="str">
        <f t="shared" si="124"/>
        <v>2007FemaleMaori24Submersion (drowning)</v>
      </c>
      <c r="U2404">
        <v>2007</v>
      </c>
      <c r="V2404" t="s">
        <v>8</v>
      </c>
      <c r="W2404" t="s">
        <v>18</v>
      </c>
      <c r="X2404">
        <v>24</v>
      </c>
      <c r="Y2404" t="s">
        <v>49</v>
      </c>
      <c r="Z2404">
        <v>1</v>
      </c>
      <c r="AA2404">
        <v>1</v>
      </c>
      <c r="AB2404">
        <v>100</v>
      </c>
    </row>
    <row r="2405" spans="10:28">
      <c r="J2405" s="340" t="str">
        <f t="shared" si="123"/>
        <v>2008FemaleMaori222</v>
      </c>
      <c r="K2405">
        <v>2008</v>
      </c>
      <c r="L2405" t="s">
        <v>8</v>
      </c>
      <c r="M2405" t="s">
        <v>18</v>
      </c>
      <c r="N2405">
        <v>22</v>
      </c>
      <c r="O2405">
        <v>2</v>
      </c>
      <c r="P2405">
        <v>2</v>
      </c>
      <c r="Q2405">
        <v>32.300100303626699</v>
      </c>
      <c r="R2405">
        <v>44.8</v>
      </c>
      <c r="T2405" s="340" t="str">
        <f t="shared" si="124"/>
        <v>2007FemaleNon-Maori23Firearms and explosives</v>
      </c>
      <c r="U2405">
        <v>2007</v>
      </c>
      <c r="V2405" t="s">
        <v>8</v>
      </c>
      <c r="W2405" t="s">
        <v>19</v>
      </c>
      <c r="X2405">
        <v>23</v>
      </c>
      <c r="Y2405" t="s">
        <v>42</v>
      </c>
      <c r="Z2405">
        <v>3</v>
      </c>
      <c r="AA2405">
        <v>37</v>
      </c>
      <c r="AB2405">
        <v>8.1</v>
      </c>
    </row>
    <row r="2406" spans="10:28">
      <c r="J2406" s="340" t="str">
        <f t="shared" si="123"/>
        <v>2008FemaleMaori223</v>
      </c>
      <c r="K2406">
        <v>2008</v>
      </c>
      <c r="L2406" t="s">
        <v>8</v>
      </c>
      <c r="M2406" t="s">
        <v>18</v>
      </c>
      <c r="N2406">
        <v>22</v>
      </c>
      <c r="O2406">
        <v>3</v>
      </c>
      <c r="P2406">
        <v>3</v>
      </c>
      <c r="Q2406">
        <v>31.167790699464501</v>
      </c>
      <c r="R2406">
        <v>35.299999999999997</v>
      </c>
      <c r="T2406" s="340" t="str">
        <f t="shared" si="124"/>
        <v>2007FemaleNon-Maori24Firearms and explosives</v>
      </c>
      <c r="U2406">
        <v>2007</v>
      </c>
      <c r="V2406" t="s">
        <v>8</v>
      </c>
      <c r="W2406" t="s">
        <v>19</v>
      </c>
      <c r="X2406">
        <v>24</v>
      </c>
      <c r="Y2406" t="s">
        <v>42</v>
      </c>
      <c r="Z2406">
        <v>1</v>
      </c>
      <c r="AA2406">
        <v>39</v>
      </c>
      <c r="AB2406">
        <v>2.6</v>
      </c>
    </row>
    <row r="2407" spans="10:28">
      <c r="J2407" s="340" t="str">
        <f t="shared" si="123"/>
        <v>2008FemaleMaori224</v>
      </c>
      <c r="K2407">
        <v>2008</v>
      </c>
      <c r="L2407" t="s">
        <v>8</v>
      </c>
      <c r="M2407" t="s">
        <v>18</v>
      </c>
      <c r="N2407">
        <v>22</v>
      </c>
      <c r="O2407">
        <v>4</v>
      </c>
      <c r="P2407">
        <v>4</v>
      </c>
      <c r="Q2407">
        <v>27.484332875324601</v>
      </c>
      <c r="R2407">
        <v>26.9</v>
      </c>
      <c r="T2407" s="340" t="str">
        <f t="shared" si="124"/>
        <v>2007FemaleNon-Maori22Hanging, strangulation and suffocation</v>
      </c>
      <c r="U2407">
        <v>2007</v>
      </c>
      <c r="V2407" t="s">
        <v>8</v>
      </c>
      <c r="W2407" t="s">
        <v>19</v>
      </c>
      <c r="X2407">
        <v>22</v>
      </c>
      <c r="Y2407" t="s">
        <v>43</v>
      </c>
      <c r="Z2407">
        <v>9</v>
      </c>
      <c r="AA2407">
        <v>13</v>
      </c>
      <c r="AB2407">
        <v>69.2</v>
      </c>
    </row>
    <row r="2408" spans="10:28">
      <c r="J2408" s="340" t="str">
        <f t="shared" si="123"/>
        <v>2008FemaleMaori225</v>
      </c>
      <c r="K2408">
        <v>2008</v>
      </c>
      <c r="L2408" t="s">
        <v>8</v>
      </c>
      <c r="M2408" t="s">
        <v>18</v>
      </c>
      <c r="N2408">
        <v>22</v>
      </c>
      <c r="O2408">
        <v>5</v>
      </c>
      <c r="P2408">
        <v>7</v>
      </c>
      <c r="Q2408">
        <v>26.6344891703108</v>
      </c>
      <c r="R2408">
        <v>19.7</v>
      </c>
      <c r="T2408" s="340" t="str">
        <f t="shared" si="124"/>
        <v>2007FemaleNon-Maori23Hanging, strangulation and suffocation</v>
      </c>
      <c r="U2408">
        <v>2007</v>
      </c>
      <c r="V2408" t="s">
        <v>8</v>
      </c>
      <c r="W2408" t="s">
        <v>19</v>
      </c>
      <c r="X2408">
        <v>23</v>
      </c>
      <c r="Y2408" t="s">
        <v>43</v>
      </c>
      <c r="Z2408">
        <v>11</v>
      </c>
      <c r="AA2408">
        <v>37</v>
      </c>
      <c r="AB2408">
        <v>29.7</v>
      </c>
    </row>
    <row r="2409" spans="10:28">
      <c r="J2409" s="340" t="str">
        <f t="shared" si="123"/>
        <v>2008FemaleMaori231</v>
      </c>
      <c r="K2409">
        <v>2008</v>
      </c>
      <c r="L2409" t="s">
        <v>8</v>
      </c>
      <c r="M2409" t="s">
        <v>18</v>
      </c>
      <c r="N2409">
        <v>23</v>
      </c>
      <c r="O2409">
        <v>1</v>
      </c>
      <c r="P2409">
        <v>0</v>
      </c>
      <c r="Q2409">
        <v>0</v>
      </c>
      <c r="T2409" s="340" t="str">
        <f t="shared" si="124"/>
        <v>2007FemaleNon-Maori24Hanging, strangulation and suffocation</v>
      </c>
      <c r="U2409">
        <v>2007</v>
      </c>
      <c r="V2409" t="s">
        <v>8</v>
      </c>
      <c r="W2409" t="s">
        <v>19</v>
      </c>
      <c r="X2409">
        <v>24</v>
      </c>
      <c r="Y2409" t="s">
        <v>43</v>
      </c>
      <c r="Z2409">
        <v>13</v>
      </c>
      <c r="AA2409">
        <v>39</v>
      </c>
      <c r="AB2409">
        <v>33.299999999999997</v>
      </c>
    </row>
    <row r="2410" spans="10:28">
      <c r="J2410" s="340" t="str">
        <f t="shared" si="123"/>
        <v>2008FemaleMaori232</v>
      </c>
      <c r="K2410">
        <v>2008</v>
      </c>
      <c r="L2410" t="s">
        <v>8</v>
      </c>
      <c r="M2410" t="s">
        <v>18</v>
      </c>
      <c r="N2410">
        <v>23</v>
      </c>
      <c r="O2410">
        <v>2</v>
      </c>
      <c r="P2410">
        <v>1</v>
      </c>
      <c r="Q2410">
        <v>9.8902008607989096</v>
      </c>
      <c r="R2410">
        <v>19.399999999999999</v>
      </c>
      <c r="T2410" s="340" t="str">
        <f t="shared" si="124"/>
        <v>2007FemaleNon-Maori25Hanging, strangulation and suffocation</v>
      </c>
      <c r="U2410">
        <v>2007</v>
      </c>
      <c r="V2410" t="s">
        <v>8</v>
      </c>
      <c r="W2410" t="s">
        <v>19</v>
      </c>
      <c r="X2410">
        <v>25</v>
      </c>
      <c r="Y2410" t="s">
        <v>43</v>
      </c>
      <c r="Z2410">
        <v>5</v>
      </c>
      <c r="AA2410">
        <v>8</v>
      </c>
      <c r="AB2410">
        <v>62.5</v>
      </c>
    </row>
    <row r="2411" spans="10:28">
      <c r="J2411" s="340" t="str">
        <f t="shared" si="123"/>
        <v>2008FemaleMaori233</v>
      </c>
      <c r="K2411">
        <v>2008</v>
      </c>
      <c r="L2411" t="s">
        <v>8</v>
      </c>
      <c r="M2411" t="s">
        <v>18</v>
      </c>
      <c r="N2411">
        <v>23</v>
      </c>
      <c r="O2411">
        <v>3</v>
      </c>
      <c r="P2411">
        <v>1</v>
      </c>
      <c r="Q2411">
        <v>7.00254438871338</v>
      </c>
      <c r="R2411">
        <v>13.7</v>
      </c>
      <c r="T2411" s="340" t="str">
        <f t="shared" si="124"/>
        <v>2007FemaleNon-Maori23Jumping from a high place</v>
      </c>
      <c r="U2411">
        <v>2007</v>
      </c>
      <c r="V2411" t="s">
        <v>8</v>
      </c>
      <c r="W2411" t="s">
        <v>19</v>
      </c>
      <c r="X2411">
        <v>23</v>
      </c>
      <c r="Y2411" t="s">
        <v>44</v>
      </c>
      <c r="Z2411">
        <v>2</v>
      </c>
      <c r="AA2411">
        <v>37</v>
      </c>
      <c r="AB2411">
        <v>5.4</v>
      </c>
    </row>
    <row r="2412" spans="10:28">
      <c r="J2412" s="340" t="str">
        <f t="shared" si="123"/>
        <v>2008FemaleMaori234</v>
      </c>
      <c r="K2412">
        <v>2008</v>
      </c>
      <c r="L2412" t="s">
        <v>8</v>
      </c>
      <c r="M2412" t="s">
        <v>18</v>
      </c>
      <c r="N2412">
        <v>23</v>
      </c>
      <c r="O2412">
        <v>4</v>
      </c>
      <c r="P2412">
        <v>1</v>
      </c>
      <c r="Q2412">
        <v>4.7079508623352098</v>
      </c>
      <c r="R2412">
        <v>9.1999999999999993</v>
      </c>
      <c r="T2412" s="340" t="str">
        <f t="shared" si="124"/>
        <v>2007FemaleNon-Maori24Jumping from a high place</v>
      </c>
      <c r="U2412">
        <v>2007</v>
      </c>
      <c r="V2412" t="s">
        <v>8</v>
      </c>
      <c r="W2412" t="s">
        <v>19</v>
      </c>
      <c r="X2412">
        <v>24</v>
      </c>
      <c r="Y2412" t="s">
        <v>44</v>
      </c>
      <c r="Z2412">
        <v>1</v>
      </c>
      <c r="AA2412">
        <v>39</v>
      </c>
      <c r="AB2412">
        <v>2.6</v>
      </c>
    </row>
    <row r="2413" spans="10:28">
      <c r="J2413" s="340" t="str">
        <f t="shared" si="123"/>
        <v>2008FemaleMaori235</v>
      </c>
      <c r="K2413">
        <v>2008</v>
      </c>
      <c r="L2413" t="s">
        <v>8</v>
      </c>
      <c r="M2413" t="s">
        <v>18</v>
      </c>
      <c r="N2413">
        <v>23</v>
      </c>
      <c r="O2413">
        <v>5</v>
      </c>
      <c r="P2413">
        <v>6</v>
      </c>
      <c r="Q2413">
        <v>16.387294463601702</v>
      </c>
      <c r="R2413">
        <v>13.1</v>
      </c>
      <c r="T2413" s="340" t="str">
        <f t="shared" si="124"/>
        <v>2007FemaleNon-Maori24Other</v>
      </c>
      <c r="U2413">
        <v>2007</v>
      </c>
      <c r="V2413" t="s">
        <v>8</v>
      </c>
      <c r="W2413" t="s">
        <v>19</v>
      </c>
      <c r="X2413">
        <v>24</v>
      </c>
      <c r="Y2413" t="s">
        <v>45</v>
      </c>
      <c r="Z2413">
        <v>5</v>
      </c>
      <c r="AA2413">
        <v>39</v>
      </c>
      <c r="AB2413">
        <v>12.8</v>
      </c>
    </row>
    <row r="2414" spans="10:28">
      <c r="J2414" s="340" t="str">
        <f t="shared" si="123"/>
        <v>2008FemaleMaori241</v>
      </c>
      <c r="K2414">
        <v>2008</v>
      </c>
      <c r="L2414" t="s">
        <v>8</v>
      </c>
      <c r="M2414" t="s">
        <v>18</v>
      </c>
      <c r="N2414">
        <v>24</v>
      </c>
      <c r="O2414">
        <v>1</v>
      </c>
      <c r="P2414">
        <v>0</v>
      </c>
      <c r="Q2414">
        <v>0</v>
      </c>
      <c r="T2414" s="340" t="str">
        <f t="shared" si="124"/>
        <v>2007FemaleNon-Maori22Poisoning by gases and vapours</v>
      </c>
      <c r="U2414">
        <v>2007</v>
      </c>
      <c r="V2414" t="s">
        <v>8</v>
      </c>
      <c r="W2414" t="s">
        <v>19</v>
      </c>
      <c r="X2414">
        <v>22</v>
      </c>
      <c r="Y2414" t="s">
        <v>46</v>
      </c>
      <c r="Z2414">
        <v>2</v>
      </c>
      <c r="AA2414">
        <v>13</v>
      </c>
      <c r="AB2414">
        <v>15.4</v>
      </c>
    </row>
    <row r="2415" spans="10:28">
      <c r="J2415" s="340" t="str">
        <f t="shared" si="123"/>
        <v>2008FemaleMaori242</v>
      </c>
      <c r="K2415">
        <v>2008</v>
      </c>
      <c r="L2415" t="s">
        <v>8</v>
      </c>
      <c r="M2415" t="s">
        <v>18</v>
      </c>
      <c r="N2415">
        <v>24</v>
      </c>
      <c r="O2415">
        <v>2</v>
      </c>
      <c r="P2415">
        <v>0</v>
      </c>
      <c r="Q2415">
        <v>0</v>
      </c>
      <c r="T2415" s="340" t="str">
        <f t="shared" si="124"/>
        <v>2007FemaleNon-Maori23Poisoning by gases and vapours</v>
      </c>
      <c r="U2415">
        <v>2007</v>
      </c>
      <c r="V2415" t="s">
        <v>8</v>
      </c>
      <c r="W2415" t="s">
        <v>19</v>
      </c>
      <c r="X2415">
        <v>23</v>
      </c>
      <c r="Y2415" t="s">
        <v>46</v>
      </c>
      <c r="Z2415">
        <v>10</v>
      </c>
      <c r="AA2415">
        <v>37</v>
      </c>
      <c r="AB2415">
        <v>27</v>
      </c>
    </row>
    <row r="2416" spans="10:28">
      <c r="J2416" s="340" t="str">
        <f t="shared" si="123"/>
        <v>2008FemaleMaori243</v>
      </c>
      <c r="K2416">
        <v>2008</v>
      </c>
      <c r="L2416" t="s">
        <v>8</v>
      </c>
      <c r="M2416" t="s">
        <v>18</v>
      </c>
      <c r="N2416">
        <v>24</v>
      </c>
      <c r="O2416">
        <v>3</v>
      </c>
      <c r="P2416">
        <v>1</v>
      </c>
      <c r="Q2416">
        <v>11.560806609378099</v>
      </c>
      <c r="R2416">
        <v>22.7</v>
      </c>
      <c r="T2416" s="340" t="str">
        <f t="shared" si="124"/>
        <v>2007FemaleNon-Maori24Poisoning by gases and vapours</v>
      </c>
      <c r="U2416">
        <v>2007</v>
      </c>
      <c r="V2416" t="s">
        <v>8</v>
      </c>
      <c r="W2416" t="s">
        <v>19</v>
      </c>
      <c r="X2416">
        <v>24</v>
      </c>
      <c r="Y2416" t="s">
        <v>46</v>
      </c>
      <c r="Z2416">
        <v>7</v>
      </c>
      <c r="AA2416">
        <v>39</v>
      </c>
      <c r="AB2416">
        <v>17.899999999999999</v>
      </c>
    </row>
    <row r="2417" spans="10:28">
      <c r="J2417" s="340" t="str">
        <f t="shared" si="123"/>
        <v>2008FemaleMaori244</v>
      </c>
      <c r="K2417">
        <v>2008</v>
      </c>
      <c r="L2417" t="s">
        <v>8</v>
      </c>
      <c r="M2417" t="s">
        <v>18</v>
      </c>
      <c r="N2417">
        <v>24</v>
      </c>
      <c r="O2417">
        <v>4</v>
      </c>
      <c r="P2417">
        <v>1</v>
      </c>
      <c r="Q2417">
        <v>7.6583467551318201</v>
      </c>
      <c r="R2417">
        <v>15</v>
      </c>
      <c r="T2417" s="340" t="str">
        <f t="shared" si="124"/>
        <v>2007FemaleNon-Maori25Poisoning by gases and vapours</v>
      </c>
      <c r="U2417">
        <v>2007</v>
      </c>
      <c r="V2417" t="s">
        <v>8</v>
      </c>
      <c r="W2417" t="s">
        <v>19</v>
      </c>
      <c r="X2417">
        <v>25</v>
      </c>
      <c r="Y2417" t="s">
        <v>46</v>
      </c>
      <c r="Z2417">
        <v>1</v>
      </c>
      <c r="AA2417">
        <v>8</v>
      </c>
      <c r="AB2417">
        <v>12.5</v>
      </c>
    </row>
    <row r="2418" spans="10:28">
      <c r="J2418" s="340" t="str">
        <f t="shared" si="123"/>
        <v>2008FemaleMaori245</v>
      </c>
      <c r="K2418">
        <v>2008</v>
      </c>
      <c r="L2418" t="s">
        <v>8</v>
      </c>
      <c r="M2418" t="s">
        <v>18</v>
      </c>
      <c r="N2418">
        <v>24</v>
      </c>
      <c r="O2418">
        <v>5</v>
      </c>
      <c r="P2418">
        <v>0</v>
      </c>
      <c r="Q2418">
        <v>0</v>
      </c>
      <c r="T2418" s="340" t="str">
        <f t="shared" si="124"/>
        <v>2007FemaleNon-Maori22Poisoning by solids and liquids</v>
      </c>
      <c r="U2418">
        <v>2007</v>
      </c>
      <c r="V2418" t="s">
        <v>8</v>
      </c>
      <c r="W2418" t="s">
        <v>19</v>
      </c>
      <c r="X2418">
        <v>22</v>
      </c>
      <c r="Y2418" t="s">
        <v>47</v>
      </c>
      <c r="Z2418">
        <v>1</v>
      </c>
      <c r="AA2418">
        <v>13</v>
      </c>
      <c r="AB2418">
        <v>7.7</v>
      </c>
    </row>
    <row r="2419" spans="10:28">
      <c r="J2419" s="340" t="str">
        <f t="shared" si="123"/>
        <v>2008FemaleMaori251</v>
      </c>
      <c r="K2419">
        <v>2008</v>
      </c>
      <c r="L2419" t="s">
        <v>8</v>
      </c>
      <c r="M2419" t="s">
        <v>18</v>
      </c>
      <c r="N2419">
        <v>25</v>
      </c>
      <c r="O2419">
        <v>1</v>
      </c>
      <c r="P2419">
        <v>0</v>
      </c>
      <c r="Q2419">
        <v>0</v>
      </c>
      <c r="T2419" s="340" t="str">
        <f t="shared" si="124"/>
        <v>2007FemaleNon-Maori23Poisoning by solids and liquids</v>
      </c>
      <c r="U2419">
        <v>2007</v>
      </c>
      <c r="V2419" t="s">
        <v>8</v>
      </c>
      <c r="W2419" t="s">
        <v>19</v>
      </c>
      <c r="X2419">
        <v>23</v>
      </c>
      <c r="Y2419" t="s">
        <v>47</v>
      </c>
      <c r="Z2419">
        <v>9</v>
      </c>
      <c r="AA2419">
        <v>37</v>
      </c>
      <c r="AB2419">
        <v>24.3</v>
      </c>
    </row>
    <row r="2420" spans="10:28">
      <c r="J2420" s="340" t="str">
        <f t="shared" si="123"/>
        <v>2008FemaleMaori252</v>
      </c>
      <c r="K2420">
        <v>2008</v>
      </c>
      <c r="L2420" t="s">
        <v>8</v>
      </c>
      <c r="M2420" t="s">
        <v>18</v>
      </c>
      <c r="N2420">
        <v>25</v>
      </c>
      <c r="O2420">
        <v>2</v>
      </c>
      <c r="P2420">
        <v>0</v>
      </c>
      <c r="Q2420">
        <v>0</v>
      </c>
      <c r="T2420" s="340" t="str">
        <f t="shared" si="124"/>
        <v>2007FemaleNon-Maori24Poisoning by solids and liquids</v>
      </c>
      <c r="U2420">
        <v>2007</v>
      </c>
      <c r="V2420" t="s">
        <v>8</v>
      </c>
      <c r="W2420" t="s">
        <v>19</v>
      </c>
      <c r="X2420">
        <v>24</v>
      </c>
      <c r="Y2420" t="s">
        <v>47</v>
      </c>
      <c r="Z2420">
        <v>12</v>
      </c>
      <c r="AA2420">
        <v>39</v>
      </c>
      <c r="AB2420">
        <v>30.8</v>
      </c>
    </row>
    <row r="2421" spans="10:28">
      <c r="J2421" s="340" t="str">
        <f t="shared" si="123"/>
        <v>2008FemaleMaori253</v>
      </c>
      <c r="K2421">
        <v>2008</v>
      </c>
      <c r="L2421" t="s">
        <v>8</v>
      </c>
      <c r="M2421" t="s">
        <v>18</v>
      </c>
      <c r="N2421">
        <v>25</v>
      </c>
      <c r="O2421">
        <v>3</v>
      </c>
      <c r="P2421">
        <v>0</v>
      </c>
      <c r="Q2421">
        <v>0</v>
      </c>
      <c r="T2421" s="340" t="str">
        <f t="shared" si="124"/>
        <v>2007FemaleNon-Maori25Poisoning by solids and liquids</v>
      </c>
      <c r="U2421">
        <v>2007</v>
      </c>
      <c r="V2421" t="s">
        <v>8</v>
      </c>
      <c r="W2421" t="s">
        <v>19</v>
      </c>
      <c r="X2421">
        <v>25</v>
      </c>
      <c r="Y2421" t="s">
        <v>47</v>
      </c>
      <c r="Z2421">
        <v>1</v>
      </c>
      <c r="AA2421">
        <v>8</v>
      </c>
      <c r="AB2421">
        <v>12.5</v>
      </c>
    </row>
    <row r="2422" spans="10:28">
      <c r="J2422" s="340" t="str">
        <f t="shared" si="123"/>
        <v>2008FemaleMaori254</v>
      </c>
      <c r="K2422">
        <v>2008</v>
      </c>
      <c r="L2422" t="s">
        <v>8</v>
      </c>
      <c r="M2422" t="s">
        <v>18</v>
      </c>
      <c r="N2422">
        <v>25</v>
      </c>
      <c r="O2422">
        <v>4</v>
      </c>
      <c r="P2422">
        <v>0</v>
      </c>
      <c r="Q2422">
        <v>0</v>
      </c>
      <c r="T2422" s="340" t="str">
        <f t="shared" si="124"/>
        <v>2007FemaleNon-Maori22Submersion (drowning)</v>
      </c>
      <c r="U2422">
        <v>2007</v>
      </c>
      <c r="V2422" t="s">
        <v>8</v>
      </c>
      <c r="W2422" t="s">
        <v>19</v>
      </c>
      <c r="X2422">
        <v>22</v>
      </c>
      <c r="Y2422" t="s">
        <v>49</v>
      </c>
      <c r="Z2422">
        <v>1</v>
      </c>
      <c r="AA2422">
        <v>13</v>
      </c>
      <c r="AB2422">
        <v>7.7</v>
      </c>
    </row>
    <row r="2423" spans="10:28">
      <c r="J2423" s="340" t="str">
        <f t="shared" si="123"/>
        <v>2008FemaleMaori255</v>
      </c>
      <c r="K2423">
        <v>2008</v>
      </c>
      <c r="L2423" t="s">
        <v>8</v>
      </c>
      <c r="M2423" t="s">
        <v>18</v>
      </c>
      <c r="N2423">
        <v>25</v>
      </c>
      <c r="O2423">
        <v>5</v>
      </c>
      <c r="P2423">
        <v>0</v>
      </c>
      <c r="Q2423">
        <v>0</v>
      </c>
      <c r="T2423" s="340" t="str">
        <f t="shared" si="124"/>
        <v>2007FemaleNon-Maori23Submersion (drowning)</v>
      </c>
      <c r="U2423">
        <v>2007</v>
      </c>
      <c r="V2423" t="s">
        <v>8</v>
      </c>
      <c r="W2423" t="s">
        <v>19</v>
      </c>
      <c r="X2423">
        <v>23</v>
      </c>
      <c r="Y2423" t="s">
        <v>49</v>
      </c>
      <c r="Z2423">
        <v>2</v>
      </c>
      <c r="AA2423">
        <v>37</v>
      </c>
      <c r="AB2423">
        <v>5.4</v>
      </c>
    </row>
    <row r="2424" spans="10:28">
      <c r="J2424" s="340" t="str">
        <f t="shared" si="123"/>
        <v>2008FemaleNon-Maori211</v>
      </c>
      <c r="K2424">
        <v>2008</v>
      </c>
      <c r="L2424" t="s">
        <v>8</v>
      </c>
      <c r="M2424" t="s">
        <v>19</v>
      </c>
      <c r="N2424">
        <v>21</v>
      </c>
      <c r="O2424">
        <v>1</v>
      </c>
      <c r="P2424">
        <v>0</v>
      </c>
      <c r="Q2424">
        <v>0</v>
      </c>
      <c r="T2424" s="340" t="str">
        <f t="shared" si="124"/>
        <v>2007FemaleNon-Maori25Submersion (drowning)</v>
      </c>
      <c r="U2424">
        <v>2007</v>
      </c>
      <c r="V2424" t="s">
        <v>8</v>
      </c>
      <c r="W2424" t="s">
        <v>19</v>
      </c>
      <c r="X2424">
        <v>25</v>
      </c>
      <c r="Y2424" t="s">
        <v>49</v>
      </c>
      <c r="Z2424">
        <v>1</v>
      </c>
      <c r="AA2424">
        <v>8</v>
      </c>
      <c r="AB2424">
        <v>12.5</v>
      </c>
    </row>
    <row r="2425" spans="10:28">
      <c r="J2425" s="340" t="str">
        <f t="shared" si="123"/>
        <v>2008FemaleNon-Maori212</v>
      </c>
      <c r="K2425">
        <v>2008</v>
      </c>
      <c r="L2425" t="s">
        <v>8</v>
      </c>
      <c r="M2425" t="s">
        <v>19</v>
      </c>
      <c r="N2425">
        <v>21</v>
      </c>
      <c r="O2425">
        <v>2</v>
      </c>
      <c r="P2425">
        <v>0</v>
      </c>
      <c r="Q2425">
        <v>0</v>
      </c>
      <c r="T2425" s="340" t="str">
        <f t="shared" si="124"/>
        <v>2007MaleAllEth22Firearms and explosives</v>
      </c>
      <c r="U2425">
        <v>2007</v>
      </c>
      <c r="V2425" t="s">
        <v>20</v>
      </c>
      <c r="W2425" t="s">
        <v>27</v>
      </c>
      <c r="X2425">
        <v>22</v>
      </c>
      <c r="Y2425" t="s">
        <v>42</v>
      </c>
      <c r="Z2425">
        <v>4</v>
      </c>
      <c r="AA2425">
        <v>71</v>
      </c>
      <c r="AB2425">
        <v>5.6</v>
      </c>
    </row>
    <row r="2426" spans="10:28">
      <c r="J2426" s="340" t="str">
        <f t="shared" si="123"/>
        <v>2008FemaleNon-Maori213</v>
      </c>
      <c r="K2426">
        <v>2008</v>
      </c>
      <c r="L2426" t="s">
        <v>8</v>
      </c>
      <c r="M2426" t="s">
        <v>19</v>
      </c>
      <c r="N2426">
        <v>21</v>
      </c>
      <c r="O2426">
        <v>3</v>
      </c>
      <c r="P2426">
        <v>1</v>
      </c>
      <c r="Q2426">
        <v>1.5688112026536201</v>
      </c>
      <c r="R2426">
        <v>3.1</v>
      </c>
      <c r="T2426" s="340" t="str">
        <f t="shared" si="124"/>
        <v>2007MaleAllEth23Firearms and explosives</v>
      </c>
      <c r="U2426">
        <v>2007</v>
      </c>
      <c r="V2426" t="s">
        <v>20</v>
      </c>
      <c r="W2426" t="s">
        <v>27</v>
      </c>
      <c r="X2426">
        <v>23</v>
      </c>
      <c r="Y2426" t="s">
        <v>42</v>
      </c>
      <c r="Z2426">
        <v>17</v>
      </c>
      <c r="AA2426">
        <v>165</v>
      </c>
      <c r="AB2426">
        <v>10.3</v>
      </c>
    </row>
    <row r="2427" spans="10:28">
      <c r="J2427" s="340" t="str">
        <f t="shared" si="123"/>
        <v>2008FemaleNon-Maori214</v>
      </c>
      <c r="K2427">
        <v>2008</v>
      </c>
      <c r="L2427" t="s">
        <v>8</v>
      </c>
      <c r="M2427" t="s">
        <v>19</v>
      </c>
      <c r="N2427">
        <v>21</v>
      </c>
      <c r="O2427">
        <v>4</v>
      </c>
      <c r="P2427">
        <v>0</v>
      </c>
      <c r="Q2427">
        <v>0</v>
      </c>
      <c r="T2427" s="340" t="str">
        <f t="shared" si="124"/>
        <v>2007MaleAllEth24Firearms and explosives</v>
      </c>
      <c r="U2427">
        <v>2007</v>
      </c>
      <c r="V2427" t="s">
        <v>20</v>
      </c>
      <c r="W2427" t="s">
        <v>27</v>
      </c>
      <c r="X2427">
        <v>24</v>
      </c>
      <c r="Y2427" t="s">
        <v>42</v>
      </c>
      <c r="Z2427">
        <v>9</v>
      </c>
      <c r="AA2427">
        <v>102</v>
      </c>
      <c r="AB2427">
        <v>8.8000000000000007</v>
      </c>
    </row>
    <row r="2428" spans="10:28">
      <c r="J2428" s="340" t="str">
        <f t="shared" si="123"/>
        <v>2008FemaleNon-Maori215</v>
      </c>
      <c r="K2428">
        <v>2008</v>
      </c>
      <c r="L2428" t="s">
        <v>8</v>
      </c>
      <c r="M2428" t="s">
        <v>19</v>
      </c>
      <c r="N2428">
        <v>21</v>
      </c>
      <c r="O2428">
        <v>5</v>
      </c>
      <c r="P2428">
        <v>0</v>
      </c>
      <c r="Q2428">
        <v>0</v>
      </c>
      <c r="T2428" s="340" t="str">
        <f t="shared" si="124"/>
        <v>2007MaleAllEth25Firearms and explosives</v>
      </c>
      <c r="U2428">
        <v>2007</v>
      </c>
      <c r="V2428" t="s">
        <v>20</v>
      </c>
      <c r="W2428" t="s">
        <v>27</v>
      </c>
      <c r="X2428">
        <v>25</v>
      </c>
      <c r="Y2428" t="s">
        <v>42</v>
      </c>
      <c r="Z2428">
        <v>14</v>
      </c>
      <c r="AA2428">
        <v>42</v>
      </c>
      <c r="AB2428">
        <v>33.299999999999997</v>
      </c>
    </row>
    <row r="2429" spans="10:28">
      <c r="J2429" s="340" t="str">
        <f t="shared" si="123"/>
        <v>2008FemaleNon-Maori221</v>
      </c>
      <c r="K2429">
        <v>2008</v>
      </c>
      <c r="L2429" t="s">
        <v>8</v>
      </c>
      <c r="M2429" t="s">
        <v>19</v>
      </c>
      <c r="N2429">
        <v>22</v>
      </c>
      <c r="O2429">
        <v>1</v>
      </c>
      <c r="P2429">
        <v>5</v>
      </c>
      <c r="Q2429">
        <v>11.1524945969634</v>
      </c>
      <c r="R2429">
        <v>9.8000000000000007</v>
      </c>
      <c r="T2429" s="340" t="str">
        <f t="shared" si="124"/>
        <v>2007MaleAllEth21Hanging, strangulation and suffocation</v>
      </c>
      <c r="U2429">
        <v>2007</v>
      </c>
      <c r="V2429" t="s">
        <v>20</v>
      </c>
      <c r="W2429" t="s">
        <v>27</v>
      </c>
      <c r="X2429">
        <v>21</v>
      </c>
      <c r="Y2429" t="s">
        <v>43</v>
      </c>
      <c r="Z2429">
        <v>1</v>
      </c>
      <c r="AA2429">
        <v>1</v>
      </c>
      <c r="AB2429">
        <v>100</v>
      </c>
    </row>
    <row r="2430" spans="10:28">
      <c r="J2430" s="340" t="str">
        <f t="shared" si="123"/>
        <v>2008FemaleNon-Maori222</v>
      </c>
      <c r="K2430">
        <v>2008</v>
      </c>
      <c r="L2430" t="s">
        <v>8</v>
      </c>
      <c r="M2430" t="s">
        <v>19</v>
      </c>
      <c r="N2430">
        <v>22</v>
      </c>
      <c r="O2430">
        <v>2</v>
      </c>
      <c r="P2430">
        <v>2</v>
      </c>
      <c r="Q2430">
        <v>4.3170828785233697</v>
      </c>
      <c r="R2430">
        <v>6</v>
      </c>
      <c r="T2430" s="340" t="str">
        <f t="shared" si="124"/>
        <v>2007MaleAllEth22Hanging, strangulation and suffocation</v>
      </c>
      <c r="U2430">
        <v>2007</v>
      </c>
      <c r="V2430" t="s">
        <v>20</v>
      </c>
      <c r="W2430" t="s">
        <v>27</v>
      </c>
      <c r="X2430">
        <v>22</v>
      </c>
      <c r="Y2430" t="s">
        <v>43</v>
      </c>
      <c r="Z2430">
        <v>58</v>
      </c>
      <c r="AA2430">
        <v>71</v>
      </c>
      <c r="AB2430">
        <v>81.7</v>
      </c>
    </row>
    <row r="2431" spans="10:28">
      <c r="J2431" s="340" t="str">
        <f t="shared" si="123"/>
        <v>2008FemaleNon-Maori223</v>
      </c>
      <c r="K2431">
        <v>2008</v>
      </c>
      <c r="L2431" t="s">
        <v>8</v>
      </c>
      <c r="M2431" t="s">
        <v>19</v>
      </c>
      <c r="N2431">
        <v>22</v>
      </c>
      <c r="O2431">
        <v>3</v>
      </c>
      <c r="P2431">
        <v>7</v>
      </c>
      <c r="Q2431">
        <v>14.5394378839241</v>
      </c>
      <c r="R2431">
        <v>10.8</v>
      </c>
      <c r="T2431" s="340" t="str">
        <f t="shared" si="124"/>
        <v>2007MaleAllEth23Hanging, strangulation and suffocation</v>
      </c>
      <c r="U2431">
        <v>2007</v>
      </c>
      <c r="V2431" t="s">
        <v>20</v>
      </c>
      <c r="W2431" t="s">
        <v>27</v>
      </c>
      <c r="X2431">
        <v>23</v>
      </c>
      <c r="Y2431" t="s">
        <v>43</v>
      </c>
      <c r="Z2431">
        <v>108</v>
      </c>
      <c r="AA2431">
        <v>165</v>
      </c>
      <c r="AB2431">
        <v>65.5</v>
      </c>
    </row>
    <row r="2432" spans="10:28">
      <c r="J2432" s="340" t="str">
        <f t="shared" si="123"/>
        <v>2008FemaleNon-Maori224</v>
      </c>
      <c r="K2432">
        <v>2008</v>
      </c>
      <c r="L2432" t="s">
        <v>8</v>
      </c>
      <c r="M2432" t="s">
        <v>19</v>
      </c>
      <c r="N2432">
        <v>22</v>
      </c>
      <c r="O2432">
        <v>4</v>
      </c>
      <c r="P2432">
        <v>2</v>
      </c>
      <c r="Q2432">
        <v>4.0141247528791704</v>
      </c>
      <c r="R2432">
        <v>5.6</v>
      </c>
      <c r="T2432" s="340" t="str">
        <f t="shared" si="124"/>
        <v>2007MaleAllEth24Hanging, strangulation and suffocation</v>
      </c>
      <c r="U2432">
        <v>2007</v>
      </c>
      <c r="V2432" t="s">
        <v>20</v>
      </c>
      <c r="W2432" t="s">
        <v>27</v>
      </c>
      <c r="X2432">
        <v>24</v>
      </c>
      <c r="Y2432" t="s">
        <v>43</v>
      </c>
      <c r="Z2432">
        <v>50</v>
      </c>
      <c r="AA2432">
        <v>102</v>
      </c>
      <c r="AB2432">
        <v>49</v>
      </c>
    </row>
    <row r="2433" spans="10:28">
      <c r="J2433" s="340" t="str">
        <f t="shared" si="123"/>
        <v>2008FemaleNon-Maori225</v>
      </c>
      <c r="K2433">
        <v>2008</v>
      </c>
      <c r="L2433" t="s">
        <v>8</v>
      </c>
      <c r="M2433" t="s">
        <v>19</v>
      </c>
      <c r="N2433">
        <v>22</v>
      </c>
      <c r="O2433">
        <v>5</v>
      </c>
      <c r="P2433">
        <v>3</v>
      </c>
      <c r="Q2433">
        <v>5.88692108011867</v>
      </c>
      <c r="R2433">
        <v>6.7</v>
      </c>
      <c r="T2433" s="340" t="str">
        <f t="shared" si="124"/>
        <v>2007MaleAllEth25Hanging, strangulation and suffocation</v>
      </c>
      <c r="U2433">
        <v>2007</v>
      </c>
      <c r="V2433" t="s">
        <v>20</v>
      </c>
      <c r="W2433" t="s">
        <v>27</v>
      </c>
      <c r="X2433">
        <v>25</v>
      </c>
      <c r="Y2433" t="s">
        <v>43</v>
      </c>
      <c r="Z2433">
        <v>13</v>
      </c>
      <c r="AA2433">
        <v>42</v>
      </c>
      <c r="AB2433">
        <v>31</v>
      </c>
    </row>
    <row r="2434" spans="10:28">
      <c r="J2434" s="340" t="str">
        <f t="shared" si="123"/>
        <v>2008FemaleNon-Maori231</v>
      </c>
      <c r="K2434">
        <v>2008</v>
      </c>
      <c r="L2434" t="s">
        <v>8</v>
      </c>
      <c r="M2434" t="s">
        <v>19</v>
      </c>
      <c r="N2434">
        <v>23</v>
      </c>
      <c r="O2434">
        <v>1</v>
      </c>
      <c r="P2434">
        <v>6</v>
      </c>
      <c r="Q2434">
        <v>5.2536106576115698</v>
      </c>
      <c r="R2434">
        <v>4.2</v>
      </c>
      <c r="T2434" s="340" t="str">
        <f t="shared" si="124"/>
        <v>2007MaleAllEth22Jumping from a high place</v>
      </c>
      <c r="U2434">
        <v>2007</v>
      </c>
      <c r="V2434" t="s">
        <v>20</v>
      </c>
      <c r="W2434" t="s">
        <v>27</v>
      </c>
      <c r="X2434">
        <v>22</v>
      </c>
      <c r="Y2434" t="s">
        <v>44</v>
      </c>
      <c r="Z2434">
        <v>1</v>
      </c>
      <c r="AA2434">
        <v>71</v>
      </c>
      <c r="AB2434">
        <v>1.4</v>
      </c>
    </row>
    <row r="2435" spans="10:28">
      <c r="J2435" s="340" t="str">
        <f t="shared" si="123"/>
        <v>2008FemaleNon-Maori232</v>
      </c>
      <c r="K2435">
        <v>2008</v>
      </c>
      <c r="L2435" t="s">
        <v>8</v>
      </c>
      <c r="M2435" t="s">
        <v>19</v>
      </c>
      <c r="N2435">
        <v>23</v>
      </c>
      <c r="O2435">
        <v>2</v>
      </c>
      <c r="P2435">
        <v>8</v>
      </c>
      <c r="Q2435">
        <v>6.9164882565980603</v>
      </c>
      <c r="R2435">
        <v>4.8</v>
      </c>
      <c r="T2435" s="340" t="str">
        <f t="shared" si="124"/>
        <v>2007MaleAllEth23Jumping from a high place</v>
      </c>
      <c r="U2435">
        <v>2007</v>
      </c>
      <c r="V2435" t="s">
        <v>20</v>
      </c>
      <c r="W2435" t="s">
        <v>27</v>
      </c>
      <c r="X2435">
        <v>23</v>
      </c>
      <c r="Y2435" t="s">
        <v>44</v>
      </c>
      <c r="Z2435">
        <v>6</v>
      </c>
      <c r="AA2435">
        <v>165</v>
      </c>
      <c r="AB2435">
        <v>3.6</v>
      </c>
    </row>
    <row r="2436" spans="10:28">
      <c r="J2436" s="340" t="str">
        <f t="shared" ref="J2436:J2499" si="125">K2436&amp;L2436&amp;M2436&amp;N2436&amp;O2436</f>
        <v>2008FemaleNon-Maori233</v>
      </c>
      <c r="K2436">
        <v>2008</v>
      </c>
      <c r="L2436" t="s">
        <v>8</v>
      </c>
      <c r="M2436" t="s">
        <v>19</v>
      </c>
      <c r="N2436">
        <v>23</v>
      </c>
      <c r="O2436">
        <v>3</v>
      </c>
      <c r="P2436">
        <v>8</v>
      </c>
      <c r="Q2436">
        <v>7.2648682750876103</v>
      </c>
      <c r="R2436">
        <v>5</v>
      </c>
      <c r="T2436" s="340" t="str">
        <f t="shared" si="124"/>
        <v>2007MaleAllEth24Jumping from a high place</v>
      </c>
      <c r="U2436">
        <v>2007</v>
      </c>
      <c r="V2436" t="s">
        <v>20</v>
      </c>
      <c r="W2436" t="s">
        <v>27</v>
      </c>
      <c r="X2436">
        <v>24</v>
      </c>
      <c r="Y2436" t="s">
        <v>44</v>
      </c>
      <c r="Z2436">
        <v>3</v>
      </c>
      <c r="AA2436">
        <v>102</v>
      </c>
      <c r="AB2436">
        <v>2.9</v>
      </c>
    </row>
    <row r="2437" spans="10:28">
      <c r="J2437" s="340" t="str">
        <f t="shared" si="125"/>
        <v>2008FemaleNon-Maori234</v>
      </c>
      <c r="K2437">
        <v>2008</v>
      </c>
      <c r="L2437" t="s">
        <v>8</v>
      </c>
      <c r="M2437" t="s">
        <v>19</v>
      </c>
      <c r="N2437">
        <v>23</v>
      </c>
      <c r="O2437">
        <v>4</v>
      </c>
      <c r="P2437">
        <v>6</v>
      </c>
      <c r="Q2437">
        <v>5.9871235186652401</v>
      </c>
      <c r="R2437">
        <v>4.8</v>
      </c>
      <c r="T2437" s="340" t="str">
        <f t="shared" ref="T2437:T2500" si="126">U2437&amp;V2437&amp;W2437&amp;X2437&amp;Y2437</f>
        <v>2007MaleAllEth22Other</v>
      </c>
      <c r="U2437">
        <v>2007</v>
      </c>
      <c r="V2437" t="s">
        <v>20</v>
      </c>
      <c r="W2437" t="s">
        <v>27</v>
      </c>
      <c r="X2437">
        <v>22</v>
      </c>
      <c r="Y2437" t="s">
        <v>45</v>
      </c>
      <c r="Z2437">
        <v>4</v>
      </c>
      <c r="AA2437">
        <v>71</v>
      </c>
      <c r="AB2437">
        <v>5.6</v>
      </c>
    </row>
    <row r="2438" spans="10:28">
      <c r="J2438" s="340" t="str">
        <f t="shared" si="125"/>
        <v>2008FemaleNon-Maori235</v>
      </c>
      <c r="K2438">
        <v>2008</v>
      </c>
      <c r="L2438" t="s">
        <v>8</v>
      </c>
      <c r="M2438" t="s">
        <v>19</v>
      </c>
      <c r="N2438">
        <v>23</v>
      </c>
      <c r="O2438">
        <v>5</v>
      </c>
      <c r="P2438">
        <v>10</v>
      </c>
      <c r="Q2438">
        <v>12.770881339454901</v>
      </c>
      <c r="R2438">
        <v>7.9</v>
      </c>
      <c r="T2438" s="340" t="str">
        <f t="shared" si="126"/>
        <v>2007MaleAllEth23Other</v>
      </c>
      <c r="U2438">
        <v>2007</v>
      </c>
      <c r="V2438" t="s">
        <v>20</v>
      </c>
      <c r="W2438" t="s">
        <v>27</v>
      </c>
      <c r="X2438">
        <v>23</v>
      </c>
      <c r="Y2438" t="s">
        <v>45</v>
      </c>
      <c r="Z2438">
        <v>4</v>
      </c>
      <c r="AA2438">
        <v>165</v>
      </c>
      <c r="AB2438">
        <v>2.4</v>
      </c>
    </row>
    <row r="2439" spans="10:28">
      <c r="J2439" s="340" t="str">
        <f t="shared" si="125"/>
        <v>2008FemaleNon-Maori241</v>
      </c>
      <c r="K2439">
        <v>2008</v>
      </c>
      <c r="L2439" t="s">
        <v>8</v>
      </c>
      <c r="M2439" t="s">
        <v>19</v>
      </c>
      <c r="N2439">
        <v>24</v>
      </c>
      <c r="O2439">
        <v>1</v>
      </c>
      <c r="P2439">
        <v>8</v>
      </c>
      <c r="Q2439">
        <v>6.32379332802455</v>
      </c>
      <c r="R2439">
        <v>4.4000000000000004</v>
      </c>
      <c r="T2439" s="340" t="str">
        <f t="shared" si="126"/>
        <v>2007MaleAllEth24Other</v>
      </c>
      <c r="U2439">
        <v>2007</v>
      </c>
      <c r="V2439" t="s">
        <v>20</v>
      </c>
      <c r="W2439" t="s">
        <v>27</v>
      </c>
      <c r="X2439">
        <v>24</v>
      </c>
      <c r="Y2439" t="s">
        <v>45</v>
      </c>
      <c r="Z2439">
        <v>5</v>
      </c>
      <c r="AA2439">
        <v>102</v>
      </c>
      <c r="AB2439">
        <v>4.9000000000000004</v>
      </c>
    </row>
    <row r="2440" spans="10:28">
      <c r="J2440" s="340" t="str">
        <f t="shared" si="125"/>
        <v>2008FemaleNon-Maori242</v>
      </c>
      <c r="K2440">
        <v>2008</v>
      </c>
      <c r="L2440" t="s">
        <v>8</v>
      </c>
      <c r="M2440" t="s">
        <v>19</v>
      </c>
      <c r="N2440">
        <v>24</v>
      </c>
      <c r="O2440">
        <v>2</v>
      </c>
      <c r="P2440">
        <v>9</v>
      </c>
      <c r="Q2440">
        <v>8.1340630006487906</v>
      </c>
      <c r="R2440">
        <v>5.3</v>
      </c>
      <c r="T2440" s="340" t="str">
        <f t="shared" si="126"/>
        <v>2007MaleAllEth25Other</v>
      </c>
      <c r="U2440">
        <v>2007</v>
      </c>
      <c r="V2440" t="s">
        <v>20</v>
      </c>
      <c r="W2440" t="s">
        <v>27</v>
      </c>
      <c r="X2440">
        <v>25</v>
      </c>
      <c r="Y2440" t="s">
        <v>45</v>
      </c>
      <c r="Z2440">
        <v>1</v>
      </c>
      <c r="AA2440">
        <v>42</v>
      </c>
      <c r="AB2440">
        <v>2.4</v>
      </c>
    </row>
    <row r="2441" spans="10:28">
      <c r="J2441" s="340" t="str">
        <f t="shared" si="125"/>
        <v>2008FemaleNon-Maori243</v>
      </c>
      <c r="K2441">
        <v>2008</v>
      </c>
      <c r="L2441" t="s">
        <v>8</v>
      </c>
      <c r="M2441" t="s">
        <v>19</v>
      </c>
      <c r="N2441">
        <v>24</v>
      </c>
      <c r="O2441">
        <v>3</v>
      </c>
      <c r="P2441">
        <v>6</v>
      </c>
      <c r="Q2441">
        <v>6.1558387743655798</v>
      </c>
      <c r="R2441">
        <v>4.9000000000000004</v>
      </c>
      <c r="T2441" s="340" t="str">
        <f t="shared" si="126"/>
        <v>2007MaleAllEth22Poisoning by gases and vapours</v>
      </c>
      <c r="U2441">
        <v>2007</v>
      </c>
      <c r="V2441" t="s">
        <v>20</v>
      </c>
      <c r="W2441" t="s">
        <v>27</v>
      </c>
      <c r="X2441">
        <v>22</v>
      </c>
      <c r="Y2441" t="s">
        <v>46</v>
      </c>
      <c r="Z2441">
        <v>4</v>
      </c>
      <c r="AA2441">
        <v>71</v>
      </c>
      <c r="AB2441">
        <v>5.6</v>
      </c>
    </row>
    <row r="2442" spans="10:28">
      <c r="J2442" s="340" t="str">
        <f t="shared" si="125"/>
        <v>2008FemaleNon-Maori244</v>
      </c>
      <c r="K2442">
        <v>2008</v>
      </c>
      <c r="L2442" t="s">
        <v>8</v>
      </c>
      <c r="M2442" t="s">
        <v>19</v>
      </c>
      <c r="N2442">
        <v>24</v>
      </c>
      <c r="O2442">
        <v>4</v>
      </c>
      <c r="P2442">
        <v>4</v>
      </c>
      <c r="Q2442">
        <v>4.7440400052544502</v>
      </c>
      <c r="R2442">
        <v>4.5999999999999996</v>
      </c>
      <c r="T2442" s="340" t="str">
        <f t="shared" si="126"/>
        <v>2007MaleAllEth23Poisoning by gases and vapours</v>
      </c>
      <c r="U2442">
        <v>2007</v>
      </c>
      <c r="V2442" t="s">
        <v>20</v>
      </c>
      <c r="W2442" t="s">
        <v>27</v>
      </c>
      <c r="X2442">
        <v>23</v>
      </c>
      <c r="Y2442" t="s">
        <v>46</v>
      </c>
      <c r="Z2442">
        <v>23</v>
      </c>
      <c r="AA2442">
        <v>165</v>
      </c>
      <c r="AB2442">
        <v>13.9</v>
      </c>
    </row>
    <row r="2443" spans="10:28">
      <c r="J2443" s="340" t="str">
        <f t="shared" si="125"/>
        <v>2008FemaleNon-Maori245</v>
      </c>
      <c r="K2443">
        <v>2008</v>
      </c>
      <c r="L2443" t="s">
        <v>8</v>
      </c>
      <c r="M2443" t="s">
        <v>19</v>
      </c>
      <c r="N2443">
        <v>24</v>
      </c>
      <c r="O2443">
        <v>5</v>
      </c>
      <c r="P2443">
        <v>2</v>
      </c>
      <c r="Q2443">
        <v>3.20240411188158</v>
      </c>
      <c r="R2443">
        <v>4.4000000000000004</v>
      </c>
      <c r="T2443" s="340" t="str">
        <f t="shared" si="126"/>
        <v>2007MaleAllEth24Poisoning by gases and vapours</v>
      </c>
      <c r="U2443">
        <v>2007</v>
      </c>
      <c r="V2443" t="s">
        <v>20</v>
      </c>
      <c r="W2443" t="s">
        <v>27</v>
      </c>
      <c r="X2443">
        <v>24</v>
      </c>
      <c r="Y2443" t="s">
        <v>46</v>
      </c>
      <c r="Z2443">
        <v>19</v>
      </c>
      <c r="AA2443">
        <v>102</v>
      </c>
      <c r="AB2443">
        <v>18.600000000000001</v>
      </c>
    </row>
    <row r="2444" spans="10:28">
      <c r="J2444" s="340" t="str">
        <f t="shared" si="125"/>
        <v>2008FemaleNon-Maori251</v>
      </c>
      <c r="K2444">
        <v>2008</v>
      </c>
      <c r="L2444" t="s">
        <v>8</v>
      </c>
      <c r="M2444" t="s">
        <v>19</v>
      </c>
      <c r="N2444">
        <v>25</v>
      </c>
      <c r="O2444">
        <v>1</v>
      </c>
      <c r="P2444">
        <v>1</v>
      </c>
      <c r="Q2444">
        <v>1.8898653890920301</v>
      </c>
      <c r="R2444">
        <v>3.7</v>
      </c>
      <c r="T2444" s="340" t="str">
        <f t="shared" si="126"/>
        <v>2007MaleAllEth25Poisoning by gases and vapours</v>
      </c>
      <c r="U2444">
        <v>2007</v>
      </c>
      <c r="V2444" t="s">
        <v>20</v>
      </c>
      <c r="W2444" t="s">
        <v>27</v>
      </c>
      <c r="X2444">
        <v>25</v>
      </c>
      <c r="Y2444" t="s">
        <v>46</v>
      </c>
      <c r="Z2444">
        <v>6</v>
      </c>
      <c r="AA2444">
        <v>42</v>
      </c>
      <c r="AB2444">
        <v>14.3</v>
      </c>
    </row>
    <row r="2445" spans="10:28">
      <c r="J2445" s="340" t="str">
        <f t="shared" si="125"/>
        <v>2008FemaleNon-Maori252</v>
      </c>
      <c r="K2445">
        <v>2008</v>
      </c>
      <c r="L2445" t="s">
        <v>8</v>
      </c>
      <c r="M2445" t="s">
        <v>19</v>
      </c>
      <c r="N2445">
        <v>25</v>
      </c>
      <c r="O2445">
        <v>2</v>
      </c>
      <c r="P2445">
        <v>2</v>
      </c>
      <c r="Q2445">
        <v>3.4091432233946901</v>
      </c>
      <c r="R2445">
        <v>4.7</v>
      </c>
      <c r="T2445" s="340" t="str">
        <f t="shared" si="126"/>
        <v>2007MaleAllEth23Poisoning by solids and liquids</v>
      </c>
      <c r="U2445">
        <v>2007</v>
      </c>
      <c r="V2445" t="s">
        <v>20</v>
      </c>
      <c r="W2445" t="s">
        <v>27</v>
      </c>
      <c r="X2445">
        <v>23</v>
      </c>
      <c r="Y2445" t="s">
        <v>47</v>
      </c>
      <c r="Z2445">
        <v>4</v>
      </c>
      <c r="AA2445">
        <v>165</v>
      </c>
      <c r="AB2445">
        <v>2.4</v>
      </c>
    </row>
    <row r="2446" spans="10:28">
      <c r="J2446" s="340" t="str">
        <f t="shared" si="125"/>
        <v>2008FemaleNon-Maori253</v>
      </c>
      <c r="K2446">
        <v>2008</v>
      </c>
      <c r="L2446" t="s">
        <v>8</v>
      </c>
      <c r="M2446" t="s">
        <v>19</v>
      </c>
      <c r="N2446">
        <v>25</v>
      </c>
      <c r="O2446">
        <v>3</v>
      </c>
      <c r="P2446">
        <v>5</v>
      </c>
      <c r="Q2446">
        <v>8.1341440281977899</v>
      </c>
      <c r="R2446">
        <v>7.1</v>
      </c>
      <c r="T2446" s="340" t="str">
        <f t="shared" si="126"/>
        <v>2007MaleAllEth24Poisoning by solids and liquids</v>
      </c>
      <c r="U2446">
        <v>2007</v>
      </c>
      <c r="V2446" t="s">
        <v>20</v>
      </c>
      <c r="W2446" t="s">
        <v>27</v>
      </c>
      <c r="X2446">
        <v>24</v>
      </c>
      <c r="Y2446" t="s">
        <v>47</v>
      </c>
      <c r="Z2446">
        <v>11</v>
      </c>
      <c r="AA2446">
        <v>102</v>
      </c>
      <c r="AB2446">
        <v>10.8</v>
      </c>
    </row>
    <row r="2447" spans="10:28">
      <c r="J2447" s="340" t="str">
        <f t="shared" si="125"/>
        <v>2008FemaleNon-Maori254</v>
      </c>
      <c r="K2447">
        <v>2008</v>
      </c>
      <c r="L2447" t="s">
        <v>8</v>
      </c>
      <c r="M2447" t="s">
        <v>19</v>
      </c>
      <c r="N2447">
        <v>25</v>
      </c>
      <c r="O2447">
        <v>4</v>
      </c>
      <c r="P2447">
        <v>4</v>
      </c>
      <c r="Q2447">
        <v>6.4453900892322302</v>
      </c>
      <c r="R2447">
        <v>6.3</v>
      </c>
      <c r="T2447" s="340" t="str">
        <f t="shared" si="126"/>
        <v>2007MaleAllEth25Poisoning by solids and liquids</v>
      </c>
      <c r="U2447">
        <v>2007</v>
      </c>
      <c r="V2447" t="s">
        <v>20</v>
      </c>
      <c r="W2447" t="s">
        <v>27</v>
      </c>
      <c r="X2447">
        <v>25</v>
      </c>
      <c r="Y2447" t="s">
        <v>47</v>
      </c>
      <c r="Z2447">
        <v>5</v>
      </c>
      <c r="AA2447">
        <v>42</v>
      </c>
      <c r="AB2447">
        <v>11.9</v>
      </c>
    </row>
    <row r="2448" spans="10:28">
      <c r="J2448" s="340" t="str">
        <f t="shared" si="125"/>
        <v>2008FemaleNon-Maori255</v>
      </c>
      <c r="K2448">
        <v>2008</v>
      </c>
      <c r="L2448" t="s">
        <v>8</v>
      </c>
      <c r="M2448" t="s">
        <v>19</v>
      </c>
      <c r="N2448">
        <v>25</v>
      </c>
      <c r="O2448">
        <v>5</v>
      </c>
      <c r="P2448">
        <v>1</v>
      </c>
      <c r="Q2448">
        <v>2.3211943279224299</v>
      </c>
      <c r="R2448">
        <v>4.5</v>
      </c>
      <c r="T2448" s="340" t="str">
        <f t="shared" si="126"/>
        <v>2007MaleAllEth23Sharp object</v>
      </c>
      <c r="U2448">
        <v>2007</v>
      </c>
      <c r="V2448" t="s">
        <v>20</v>
      </c>
      <c r="W2448" t="s">
        <v>27</v>
      </c>
      <c r="X2448">
        <v>23</v>
      </c>
      <c r="Y2448" t="s">
        <v>48</v>
      </c>
      <c r="Z2448">
        <v>2</v>
      </c>
      <c r="AA2448">
        <v>165</v>
      </c>
      <c r="AB2448">
        <v>1.2</v>
      </c>
    </row>
    <row r="2449" spans="10:28">
      <c r="J2449" s="340" t="str">
        <f t="shared" si="125"/>
        <v>2008MaleAllEth211</v>
      </c>
      <c r="K2449">
        <v>2008</v>
      </c>
      <c r="L2449" t="s">
        <v>20</v>
      </c>
      <c r="M2449" t="s">
        <v>27</v>
      </c>
      <c r="N2449">
        <v>21</v>
      </c>
      <c r="O2449">
        <v>1</v>
      </c>
      <c r="P2449">
        <v>0</v>
      </c>
      <c r="Q2449">
        <v>0</v>
      </c>
      <c r="T2449" s="340" t="str">
        <f t="shared" si="126"/>
        <v>2007MaleAllEth24Sharp object</v>
      </c>
      <c r="U2449">
        <v>2007</v>
      </c>
      <c r="V2449" t="s">
        <v>20</v>
      </c>
      <c r="W2449" t="s">
        <v>27</v>
      </c>
      <c r="X2449">
        <v>24</v>
      </c>
      <c r="Y2449" t="s">
        <v>48</v>
      </c>
      <c r="Z2449">
        <v>2</v>
      </c>
      <c r="AA2449">
        <v>102</v>
      </c>
      <c r="AB2449">
        <v>2</v>
      </c>
    </row>
    <row r="2450" spans="10:28">
      <c r="J2450" s="340" t="str">
        <f t="shared" si="125"/>
        <v>2008MaleAllEth212</v>
      </c>
      <c r="K2450">
        <v>2008</v>
      </c>
      <c r="L2450" t="s">
        <v>20</v>
      </c>
      <c r="M2450" t="s">
        <v>27</v>
      </c>
      <c r="N2450">
        <v>21</v>
      </c>
      <c r="O2450">
        <v>2</v>
      </c>
      <c r="P2450">
        <v>0</v>
      </c>
      <c r="Q2450">
        <v>0</v>
      </c>
      <c r="T2450" s="340" t="str">
        <f t="shared" si="126"/>
        <v>2007MaleAllEth25Sharp object</v>
      </c>
      <c r="U2450">
        <v>2007</v>
      </c>
      <c r="V2450" t="s">
        <v>20</v>
      </c>
      <c r="W2450" t="s">
        <v>27</v>
      </c>
      <c r="X2450">
        <v>25</v>
      </c>
      <c r="Y2450" t="s">
        <v>48</v>
      </c>
      <c r="Z2450">
        <v>2</v>
      </c>
      <c r="AA2450">
        <v>42</v>
      </c>
      <c r="AB2450">
        <v>4.8</v>
      </c>
    </row>
    <row r="2451" spans="10:28">
      <c r="J2451" s="340" t="str">
        <f t="shared" si="125"/>
        <v>2008MaleAllEth213</v>
      </c>
      <c r="K2451">
        <v>2008</v>
      </c>
      <c r="L2451" t="s">
        <v>20</v>
      </c>
      <c r="M2451" t="s">
        <v>27</v>
      </c>
      <c r="N2451">
        <v>21</v>
      </c>
      <c r="O2451">
        <v>3</v>
      </c>
      <c r="P2451">
        <v>0</v>
      </c>
      <c r="Q2451">
        <v>0</v>
      </c>
      <c r="T2451" s="340" t="str">
        <f t="shared" si="126"/>
        <v>2007MaleAllEth23Submersion (drowning)</v>
      </c>
      <c r="U2451">
        <v>2007</v>
      </c>
      <c r="V2451" t="s">
        <v>20</v>
      </c>
      <c r="W2451" t="s">
        <v>27</v>
      </c>
      <c r="X2451">
        <v>23</v>
      </c>
      <c r="Y2451" t="s">
        <v>49</v>
      </c>
      <c r="Z2451">
        <v>1</v>
      </c>
      <c r="AA2451">
        <v>165</v>
      </c>
      <c r="AB2451">
        <v>0.6</v>
      </c>
    </row>
    <row r="2452" spans="10:28">
      <c r="J2452" s="340" t="str">
        <f t="shared" si="125"/>
        <v>2008MaleAllEth214</v>
      </c>
      <c r="K2452">
        <v>2008</v>
      </c>
      <c r="L2452" t="s">
        <v>20</v>
      </c>
      <c r="M2452" t="s">
        <v>27</v>
      </c>
      <c r="N2452">
        <v>21</v>
      </c>
      <c r="O2452">
        <v>4</v>
      </c>
      <c r="P2452">
        <v>0</v>
      </c>
      <c r="Q2452">
        <v>0</v>
      </c>
      <c r="T2452" s="340" t="str">
        <f t="shared" si="126"/>
        <v>2007MaleAllEth24Submersion (drowning)</v>
      </c>
      <c r="U2452">
        <v>2007</v>
      </c>
      <c r="V2452" t="s">
        <v>20</v>
      </c>
      <c r="W2452" t="s">
        <v>27</v>
      </c>
      <c r="X2452">
        <v>24</v>
      </c>
      <c r="Y2452" t="s">
        <v>49</v>
      </c>
      <c r="Z2452">
        <v>3</v>
      </c>
      <c r="AA2452">
        <v>102</v>
      </c>
      <c r="AB2452">
        <v>2.9</v>
      </c>
    </row>
    <row r="2453" spans="10:28">
      <c r="J2453" s="340" t="str">
        <f t="shared" si="125"/>
        <v>2008MaleAllEth215</v>
      </c>
      <c r="K2453">
        <v>2008</v>
      </c>
      <c r="L2453" t="s">
        <v>20</v>
      </c>
      <c r="M2453" t="s">
        <v>27</v>
      </c>
      <c r="N2453">
        <v>21</v>
      </c>
      <c r="O2453">
        <v>5</v>
      </c>
      <c r="P2453">
        <v>2</v>
      </c>
      <c r="Q2453">
        <v>1.83890581869118</v>
      </c>
      <c r="R2453">
        <v>2.5</v>
      </c>
      <c r="T2453" s="340" t="str">
        <f t="shared" si="126"/>
        <v>2007MaleAllEth25Submersion (drowning)</v>
      </c>
      <c r="U2453">
        <v>2007</v>
      </c>
      <c r="V2453" t="s">
        <v>20</v>
      </c>
      <c r="W2453" t="s">
        <v>27</v>
      </c>
      <c r="X2453">
        <v>25</v>
      </c>
      <c r="Y2453" t="s">
        <v>49</v>
      </c>
      <c r="Z2453">
        <v>1</v>
      </c>
      <c r="AA2453">
        <v>42</v>
      </c>
      <c r="AB2453">
        <v>2.4</v>
      </c>
    </row>
    <row r="2454" spans="10:28">
      <c r="J2454" s="340" t="str">
        <f t="shared" si="125"/>
        <v>2008MaleAllEth221</v>
      </c>
      <c r="K2454">
        <v>2008</v>
      </c>
      <c r="L2454" t="s">
        <v>20</v>
      </c>
      <c r="M2454" t="s">
        <v>27</v>
      </c>
      <c r="N2454">
        <v>22</v>
      </c>
      <c r="O2454">
        <v>1</v>
      </c>
      <c r="P2454">
        <v>12</v>
      </c>
      <c r="Q2454">
        <v>22.654653021880598</v>
      </c>
      <c r="R2454">
        <v>12.8</v>
      </c>
      <c r="T2454" s="340" t="str">
        <f t="shared" si="126"/>
        <v>2007MaleMaori23Firearms and explosives</v>
      </c>
      <c r="U2454">
        <v>2007</v>
      </c>
      <c r="V2454" t="s">
        <v>20</v>
      </c>
      <c r="W2454" t="s">
        <v>18</v>
      </c>
      <c r="X2454">
        <v>23</v>
      </c>
      <c r="Y2454" t="s">
        <v>42</v>
      </c>
      <c r="Z2454">
        <v>5</v>
      </c>
      <c r="AA2454">
        <v>39</v>
      </c>
      <c r="AB2454">
        <v>12.8</v>
      </c>
    </row>
    <row r="2455" spans="10:28">
      <c r="J2455" s="340" t="str">
        <f t="shared" si="125"/>
        <v>2008MaleAllEth222</v>
      </c>
      <c r="K2455">
        <v>2008</v>
      </c>
      <c r="L2455" t="s">
        <v>20</v>
      </c>
      <c r="M2455" t="s">
        <v>27</v>
      </c>
      <c r="N2455">
        <v>22</v>
      </c>
      <c r="O2455">
        <v>2</v>
      </c>
      <c r="P2455">
        <v>14</v>
      </c>
      <c r="Q2455">
        <v>25.040502752536099</v>
      </c>
      <c r="R2455">
        <v>13.1</v>
      </c>
      <c r="T2455" s="340" t="str">
        <f t="shared" si="126"/>
        <v>2007MaleMaori25Firearms and explosives</v>
      </c>
      <c r="U2455">
        <v>2007</v>
      </c>
      <c r="V2455" t="s">
        <v>20</v>
      </c>
      <c r="W2455" t="s">
        <v>18</v>
      </c>
      <c r="X2455">
        <v>25</v>
      </c>
      <c r="Y2455" t="s">
        <v>42</v>
      </c>
      <c r="Z2455">
        <v>1</v>
      </c>
      <c r="AA2455">
        <v>1</v>
      </c>
      <c r="AB2455">
        <v>100</v>
      </c>
    </row>
    <row r="2456" spans="10:28">
      <c r="J2456" s="340" t="str">
        <f t="shared" si="125"/>
        <v>2008MaleAllEth223</v>
      </c>
      <c r="K2456">
        <v>2008</v>
      </c>
      <c r="L2456" t="s">
        <v>20</v>
      </c>
      <c r="M2456" t="s">
        <v>27</v>
      </c>
      <c r="N2456">
        <v>22</v>
      </c>
      <c r="O2456">
        <v>3</v>
      </c>
      <c r="P2456">
        <v>10</v>
      </c>
      <c r="Q2456">
        <v>16.828673306816299</v>
      </c>
      <c r="R2456">
        <v>10.4</v>
      </c>
      <c r="T2456" s="340" t="str">
        <f t="shared" si="126"/>
        <v>2007MaleMaori22Hanging, strangulation and suffocation</v>
      </c>
      <c r="U2456">
        <v>2007</v>
      </c>
      <c r="V2456" t="s">
        <v>20</v>
      </c>
      <c r="W2456" t="s">
        <v>18</v>
      </c>
      <c r="X2456">
        <v>22</v>
      </c>
      <c r="Y2456" t="s">
        <v>43</v>
      </c>
      <c r="Z2456">
        <v>21</v>
      </c>
      <c r="AA2456">
        <v>23</v>
      </c>
      <c r="AB2456">
        <v>91.3</v>
      </c>
    </row>
    <row r="2457" spans="10:28">
      <c r="J2457" s="340" t="str">
        <f t="shared" si="125"/>
        <v>2008MaleAllEth224</v>
      </c>
      <c r="K2457">
        <v>2008</v>
      </c>
      <c r="L2457" t="s">
        <v>20</v>
      </c>
      <c r="M2457" t="s">
        <v>27</v>
      </c>
      <c r="N2457">
        <v>22</v>
      </c>
      <c r="O2457">
        <v>4</v>
      </c>
      <c r="P2457">
        <v>18</v>
      </c>
      <c r="Q2457">
        <v>28.122637888139</v>
      </c>
      <c r="R2457">
        <v>13</v>
      </c>
      <c r="T2457" s="340" t="str">
        <f t="shared" si="126"/>
        <v>2007MaleMaori23Hanging, strangulation and suffocation</v>
      </c>
      <c r="U2457">
        <v>2007</v>
      </c>
      <c r="V2457" t="s">
        <v>20</v>
      </c>
      <c r="W2457" t="s">
        <v>18</v>
      </c>
      <c r="X2457">
        <v>23</v>
      </c>
      <c r="Y2457" t="s">
        <v>43</v>
      </c>
      <c r="Z2457">
        <v>27</v>
      </c>
      <c r="AA2457">
        <v>39</v>
      </c>
      <c r="AB2457">
        <v>69.2</v>
      </c>
    </row>
    <row r="2458" spans="10:28">
      <c r="J2458" s="340" t="str">
        <f t="shared" si="125"/>
        <v>2008MaleAllEth225</v>
      </c>
      <c r="K2458">
        <v>2008</v>
      </c>
      <c r="L2458" t="s">
        <v>20</v>
      </c>
      <c r="M2458" t="s">
        <v>27</v>
      </c>
      <c r="N2458">
        <v>22</v>
      </c>
      <c r="O2458">
        <v>5</v>
      </c>
      <c r="P2458">
        <v>25</v>
      </c>
      <c r="Q2458">
        <v>34.443060138991697</v>
      </c>
      <c r="R2458">
        <v>13.5</v>
      </c>
      <c r="T2458" s="340" t="str">
        <f t="shared" si="126"/>
        <v>2007MaleMaori24Hanging, strangulation and suffocation</v>
      </c>
      <c r="U2458">
        <v>2007</v>
      </c>
      <c r="V2458" t="s">
        <v>20</v>
      </c>
      <c r="W2458" t="s">
        <v>18</v>
      </c>
      <c r="X2458">
        <v>24</v>
      </c>
      <c r="Y2458" t="s">
        <v>43</v>
      </c>
      <c r="Z2458">
        <v>7</v>
      </c>
      <c r="AA2458">
        <v>11</v>
      </c>
      <c r="AB2458">
        <v>63.6</v>
      </c>
    </row>
    <row r="2459" spans="10:28">
      <c r="J2459" s="340" t="str">
        <f t="shared" si="125"/>
        <v>2008MaleAllEth231</v>
      </c>
      <c r="K2459">
        <v>2008</v>
      </c>
      <c r="L2459" t="s">
        <v>20</v>
      </c>
      <c r="M2459" t="s">
        <v>27</v>
      </c>
      <c r="N2459">
        <v>23</v>
      </c>
      <c r="O2459">
        <v>1</v>
      </c>
      <c r="P2459">
        <v>18</v>
      </c>
      <c r="Q2459">
        <v>16.626597064317401</v>
      </c>
      <c r="R2459">
        <v>7.7</v>
      </c>
      <c r="T2459" s="340" t="str">
        <f t="shared" si="126"/>
        <v>2007MaleMaori24Jumping from a high place</v>
      </c>
      <c r="U2459">
        <v>2007</v>
      </c>
      <c r="V2459" t="s">
        <v>20</v>
      </c>
      <c r="W2459" t="s">
        <v>18</v>
      </c>
      <c r="X2459">
        <v>24</v>
      </c>
      <c r="Y2459" t="s">
        <v>44</v>
      </c>
      <c r="Z2459">
        <v>1</v>
      </c>
      <c r="AA2459">
        <v>11</v>
      </c>
      <c r="AB2459">
        <v>9.1</v>
      </c>
    </row>
    <row r="2460" spans="10:28">
      <c r="J2460" s="340" t="str">
        <f t="shared" si="125"/>
        <v>2008MaleAllEth232</v>
      </c>
      <c r="K2460">
        <v>2008</v>
      </c>
      <c r="L2460" t="s">
        <v>20</v>
      </c>
      <c r="M2460" t="s">
        <v>27</v>
      </c>
      <c r="N2460">
        <v>23</v>
      </c>
      <c r="O2460">
        <v>2</v>
      </c>
      <c r="P2460">
        <v>17</v>
      </c>
      <c r="Q2460">
        <v>14.7143733005194</v>
      </c>
      <c r="R2460">
        <v>7</v>
      </c>
      <c r="T2460" s="340" t="str">
        <f t="shared" si="126"/>
        <v>2007MaleMaori22Other</v>
      </c>
      <c r="U2460">
        <v>2007</v>
      </c>
      <c r="V2460" t="s">
        <v>20</v>
      </c>
      <c r="W2460" t="s">
        <v>18</v>
      </c>
      <c r="X2460">
        <v>22</v>
      </c>
      <c r="Y2460" t="s">
        <v>45</v>
      </c>
      <c r="Z2460">
        <v>1</v>
      </c>
      <c r="AA2460">
        <v>23</v>
      </c>
      <c r="AB2460">
        <v>4.3</v>
      </c>
    </row>
    <row r="2461" spans="10:28">
      <c r="J2461" s="340" t="str">
        <f t="shared" si="125"/>
        <v>2008MaleAllEth233</v>
      </c>
      <c r="K2461">
        <v>2008</v>
      </c>
      <c r="L2461" t="s">
        <v>20</v>
      </c>
      <c r="M2461" t="s">
        <v>27</v>
      </c>
      <c r="N2461">
        <v>23</v>
      </c>
      <c r="O2461">
        <v>3</v>
      </c>
      <c r="P2461">
        <v>24</v>
      </c>
      <c r="Q2461">
        <v>20.527549687350199</v>
      </c>
      <c r="R2461">
        <v>8.1999999999999993</v>
      </c>
      <c r="T2461" s="340" t="str">
        <f t="shared" si="126"/>
        <v>2007MaleMaori23Other</v>
      </c>
      <c r="U2461">
        <v>2007</v>
      </c>
      <c r="V2461" t="s">
        <v>20</v>
      </c>
      <c r="W2461" t="s">
        <v>18</v>
      </c>
      <c r="X2461">
        <v>23</v>
      </c>
      <c r="Y2461" t="s">
        <v>45</v>
      </c>
      <c r="Z2461">
        <v>1</v>
      </c>
      <c r="AA2461">
        <v>39</v>
      </c>
      <c r="AB2461">
        <v>2.6</v>
      </c>
    </row>
    <row r="2462" spans="10:28">
      <c r="J2462" s="340" t="str">
        <f t="shared" si="125"/>
        <v>2008MaleAllEth234</v>
      </c>
      <c r="K2462">
        <v>2008</v>
      </c>
      <c r="L2462" t="s">
        <v>20</v>
      </c>
      <c r="M2462" t="s">
        <v>27</v>
      </c>
      <c r="N2462">
        <v>23</v>
      </c>
      <c r="O2462">
        <v>4</v>
      </c>
      <c r="P2462">
        <v>33</v>
      </c>
      <c r="Q2462">
        <v>28.670389420605201</v>
      </c>
      <c r="R2462">
        <v>9.8000000000000007</v>
      </c>
      <c r="T2462" s="340" t="str">
        <f t="shared" si="126"/>
        <v>2007MaleMaori22Poisoning by gases and vapours</v>
      </c>
      <c r="U2462">
        <v>2007</v>
      </c>
      <c r="V2462" t="s">
        <v>20</v>
      </c>
      <c r="W2462" t="s">
        <v>18</v>
      </c>
      <c r="X2462">
        <v>22</v>
      </c>
      <c r="Y2462" t="s">
        <v>46</v>
      </c>
      <c r="Z2462">
        <v>1</v>
      </c>
      <c r="AA2462">
        <v>23</v>
      </c>
      <c r="AB2462">
        <v>4.3</v>
      </c>
    </row>
    <row r="2463" spans="10:28">
      <c r="J2463" s="340" t="str">
        <f t="shared" si="125"/>
        <v>2008MaleAllEth235</v>
      </c>
      <c r="K2463">
        <v>2008</v>
      </c>
      <c r="L2463" t="s">
        <v>20</v>
      </c>
      <c r="M2463" t="s">
        <v>27</v>
      </c>
      <c r="N2463">
        <v>23</v>
      </c>
      <c r="O2463">
        <v>5</v>
      </c>
      <c r="P2463">
        <v>35</v>
      </c>
      <c r="Q2463">
        <v>32.922879098849897</v>
      </c>
      <c r="R2463">
        <v>10.9</v>
      </c>
      <c r="T2463" s="340" t="str">
        <f t="shared" si="126"/>
        <v>2007MaleMaori23Poisoning by gases and vapours</v>
      </c>
      <c r="U2463">
        <v>2007</v>
      </c>
      <c r="V2463" t="s">
        <v>20</v>
      </c>
      <c r="W2463" t="s">
        <v>18</v>
      </c>
      <c r="X2463">
        <v>23</v>
      </c>
      <c r="Y2463" t="s">
        <v>46</v>
      </c>
      <c r="Z2463">
        <v>5</v>
      </c>
      <c r="AA2463">
        <v>39</v>
      </c>
      <c r="AB2463">
        <v>12.8</v>
      </c>
    </row>
    <row r="2464" spans="10:28">
      <c r="J2464" s="340" t="str">
        <f t="shared" si="125"/>
        <v>2008MaleAllEth241</v>
      </c>
      <c r="K2464">
        <v>2008</v>
      </c>
      <c r="L2464" t="s">
        <v>20</v>
      </c>
      <c r="M2464" t="s">
        <v>27</v>
      </c>
      <c r="N2464">
        <v>24</v>
      </c>
      <c r="O2464">
        <v>1</v>
      </c>
      <c r="P2464">
        <v>25</v>
      </c>
      <c r="Q2464">
        <v>19.372087371660999</v>
      </c>
      <c r="R2464">
        <v>7.6</v>
      </c>
      <c r="T2464" s="340" t="str">
        <f t="shared" si="126"/>
        <v>2007MaleMaori23Poisoning by solids and liquids</v>
      </c>
      <c r="U2464">
        <v>2007</v>
      </c>
      <c r="V2464" t="s">
        <v>20</v>
      </c>
      <c r="W2464" t="s">
        <v>18</v>
      </c>
      <c r="X2464">
        <v>23</v>
      </c>
      <c r="Y2464" t="s">
        <v>47</v>
      </c>
      <c r="Z2464">
        <v>1</v>
      </c>
      <c r="AA2464">
        <v>39</v>
      </c>
      <c r="AB2464">
        <v>2.6</v>
      </c>
    </row>
    <row r="2465" spans="10:28">
      <c r="J2465" s="340" t="str">
        <f t="shared" si="125"/>
        <v>2008MaleAllEth242</v>
      </c>
      <c r="K2465">
        <v>2008</v>
      </c>
      <c r="L2465" t="s">
        <v>20</v>
      </c>
      <c r="M2465" t="s">
        <v>27</v>
      </c>
      <c r="N2465">
        <v>24</v>
      </c>
      <c r="O2465">
        <v>2</v>
      </c>
      <c r="P2465">
        <v>20</v>
      </c>
      <c r="Q2465">
        <v>17.716586866479801</v>
      </c>
      <c r="R2465">
        <v>7.8</v>
      </c>
      <c r="T2465" s="340" t="str">
        <f t="shared" si="126"/>
        <v>2007MaleMaori24Poisoning by solids and liquids</v>
      </c>
      <c r="U2465">
        <v>2007</v>
      </c>
      <c r="V2465" t="s">
        <v>20</v>
      </c>
      <c r="W2465" t="s">
        <v>18</v>
      </c>
      <c r="X2465">
        <v>24</v>
      </c>
      <c r="Y2465" t="s">
        <v>47</v>
      </c>
      <c r="Z2465">
        <v>3</v>
      </c>
      <c r="AA2465">
        <v>11</v>
      </c>
      <c r="AB2465">
        <v>27.3</v>
      </c>
    </row>
    <row r="2466" spans="10:28">
      <c r="J2466" s="340" t="str">
        <f t="shared" si="125"/>
        <v>2008MaleAllEth243</v>
      </c>
      <c r="K2466">
        <v>2008</v>
      </c>
      <c r="L2466" t="s">
        <v>20</v>
      </c>
      <c r="M2466" t="s">
        <v>27</v>
      </c>
      <c r="N2466">
        <v>24</v>
      </c>
      <c r="O2466">
        <v>3</v>
      </c>
      <c r="P2466">
        <v>31</v>
      </c>
      <c r="Q2466">
        <v>30.7420453108417</v>
      </c>
      <c r="R2466">
        <v>10.8</v>
      </c>
      <c r="T2466" s="340" t="str">
        <f t="shared" si="126"/>
        <v>2007MaleNon-Maori22Firearms and explosives</v>
      </c>
      <c r="U2466">
        <v>2007</v>
      </c>
      <c r="V2466" t="s">
        <v>20</v>
      </c>
      <c r="W2466" t="s">
        <v>19</v>
      </c>
      <c r="X2466">
        <v>22</v>
      </c>
      <c r="Y2466" t="s">
        <v>42</v>
      </c>
      <c r="Z2466">
        <v>4</v>
      </c>
      <c r="AA2466">
        <v>48</v>
      </c>
      <c r="AB2466">
        <v>8.3000000000000007</v>
      </c>
    </row>
    <row r="2467" spans="10:28">
      <c r="J2467" s="340" t="str">
        <f t="shared" si="125"/>
        <v>2008MaleAllEth244</v>
      </c>
      <c r="K2467">
        <v>2008</v>
      </c>
      <c r="L2467" t="s">
        <v>20</v>
      </c>
      <c r="M2467" t="s">
        <v>27</v>
      </c>
      <c r="N2467">
        <v>24</v>
      </c>
      <c r="O2467">
        <v>4</v>
      </c>
      <c r="P2467">
        <v>24</v>
      </c>
      <c r="Q2467">
        <v>26.1568004458152</v>
      </c>
      <c r="R2467">
        <v>10.5</v>
      </c>
      <c r="T2467" s="340" t="str">
        <f t="shared" si="126"/>
        <v>2007MaleNon-Maori23Firearms and explosives</v>
      </c>
      <c r="U2467">
        <v>2007</v>
      </c>
      <c r="V2467" t="s">
        <v>20</v>
      </c>
      <c r="W2467" t="s">
        <v>19</v>
      </c>
      <c r="X2467">
        <v>23</v>
      </c>
      <c r="Y2467" t="s">
        <v>42</v>
      </c>
      <c r="Z2467">
        <v>12</v>
      </c>
      <c r="AA2467">
        <v>126</v>
      </c>
      <c r="AB2467">
        <v>9.5</v>
      </c>
    </row>
    <row r="2468" spans="10:28">
      <c r="J2468" s="340" t="str">
        <f t="shared" si="125"/>
        <v>2008MaleAllEth245</v>
      </c>
      <c r="K2468">
        <v>2008</v>
      </c>
      <c r="L2468" t="s">
        <v>20</v>
      </c>
      <c r="M2468" t="s">
        <v>27</v>
      </c>
      <c r="N2468">
        <v>24</v>
      </c>
      <c r="O2468">
        <v>5</v>
      </c>
      <c r="P2468">
        <v>19</v>
      </c>
      <c r="Q2468">
        <v>23.2825033493035</v>
      </c>
      <c r="R2468">
        <v>10.5</v>
      </c>
      <c r="T2468" s="340" t="str">
        <f t="shared" si="126"/>
        <v>2007MaleNon-Maori24Firearms and explosives</v>
      </c>
      <c r="U2468">
        <v>2007</v>
      </c>
      <c r="V2468" t="s">
        <v>20</v>
      </c>
      <c r="W2468" t="s">
        <v>19</v>
      </c>
      <c r="X2468">
        <v>24</v>
      </c>
      <c r="Y2468" t="s">
        <v>42</v>
      </c>
      <c r="Z2468">
        <v>9</v>
      </c>
      <c r="AA2468">
        <v>91</v>
      </c>
      <c r="AB2468">
        <v>9.9</v>
      </c>
    </row>
    <row r="2469" spans="10:28">
      <c r="J2469" s="340" t="str">
        <f t="shared" si="125"/>
        <v>2008MaleAllEth251</v>
      </c>
      <c r="K2469">
        <v>2008</v>
      </c>
      <c r="L2469" t="s">
        <v>20</v>
      </c>
      <c r="M2469" t="s">
        <v>27</v>
      </c>
      <c r="N2469">
        <v>25</v>
      </c>
      <c r="O2469">
        <v>1</v>
      </c>
      <c r="P2469">
        <v>7</v>
      </c>
      <c r="Q2469">
        <v>14.1760553184162</v>
      </c>
      <c r="R2469">
        <v>10.5</v>
      </c>
      <c r="T2469" s="340" t="str">
        <f t="shared" si="126"/>
        <v>2007MaleNon-Maori25Firearms and explosives</v>
      </c>
      <c r="U2469">
        <v>2007</v>
      </c>
      <c r="V2469" t="s">
        <v>20</v>
      </c>
      <c r="W2469" t="s">
        <v>19</v>
      </c>
      <c r="X2469">
        <v>25</v>
      </c>
      <c r="Y2469" t="s">
        <v>42</v>
      </c>
      <c r="Z2469">
        <v>13</v>
      </c>
      <c r="AA2469">
        <v>41</v>
      </c>
      <c r="AB2469">
        <v>31.7</v>
      </c>
    </row>
    <row r="2470" spans="10:28">
      <c r="J2470" s="340" t="str">
        <f t="shared" si="125"/>
        <v>2008MaleAllEth252</v>
      </c>
      <c r="K2470">
        <v>2008</v>
      </c>
      <c r="L2470" t="s">
        <v>20</v>
      </c>
      <c r="M2470" t="s">
        <v>27</v>
      </c>
      <c r="N2470">
        <v>25</v>
      </c>
      <c r="O2470">
        <v>2</v>
      </c>
      <c r="P2470">
        <v>10</v>
      </c>
      <c r="Q2470">
        <v>19.8471069074876</v>
      </c>
      <c r="R2470">
        <v>12.3</v>
      </c>
      <c r="T2470" s="340" t="str">
        <f t="shared" si="126"/>
        <v>2007MaleNon-Maori21Hanging, strangulation and suffocation</v>
      </c>
      <c r="U2470">
        <v>2007</v>
      </c>
      <c r="V2470" t="s">
        <v>20</v>
      </c>
      <c r="W2470" t="s">
        <v>19</v>
      </c>
      <c r="X2470">
        <v>21</v>
      </c>
      <c r="Y2470" t="s">
        <v>43</v>
      </c>
      <c r="Z2470">
        <v>1</v>
      </c>
      <c r="AA2470">
        <v>1</v>
      </c>
      <c r="AB2470">
        <v>100</v>
      </c>
    </row>
    <row r="2471" spans="10:28">
      <c r="J2471" s="340" t="str">
        <f t="shared" si="125"/>
        <v>2008MaleAllEth253</v>
      </c>
      <c r="K2471">
        <v>2008</v>
      </c>
      <c r="L2471" t="s">
        <v>20</v>
      </c>
      <c r="M2471" t="s">
        <v>27</v>
      </c>
      <c r="N2471">
        <v>25</v>
      </c>
      <c r="O2471">
        <v>3</v>
      </c>
      <c r="P2471">
        <v>7</v>
      </c>
      <c r="Q2471">
        <v>13.611347992670501</v>
      </c>
      <c r="R2471">
        <v>10.1</v>
      </c>
      <c r="T2471" s="340" t="str">
        <f t="shared" si="126"/>
        <v>2007MaleNon-Maori22Hanging, strangulation and suffocation</v>
      </c>
      <c r="U2471">
        <v>2007</v>
      </c>
      <c r="V2471" t="s">
        <v>20</v>
      </c>
      <c r="W2471" t="s">
        <v>19</v>
      </c>
      <c r="X2471">
        <v>22</v>
      </c>
      <c r="Y2471" t="s">
        <v>43</v>
      </c>
      <c r="Z2471">
        <v>37</v>
      </c>
      <c r="AA2471">
        <v>48</v>
      </c>
      <c r="AB2471">
        <v>77.099999999999994</v>
      </c>
    </row>
    <row r="2472" spans="10:28">
      <c r="J2472" s="340" t="str">
        <f t="shared" si="125"/>
        <v>2008MaleAllEth254</v>
      </c>
      <c r="K2472">
        <v>2008</v>
      </c>
      <c r="L2472" t="s">
        <v>20</v>
      </c>
      <c r="M2472" t="s">
        <v>27</v>
      </c>
      <c r="N2472">
        <v>25</v>
      </c>
      <c r="O2472">
        <v>4</v>
      </c>
      <c r="P2472">
        <v>4</v>
      </c>
      <c r="Q2472">
        <v>7.9909020701346103</v>
      </c>
      <c r="R2472">
        <v>7.8</v>
      </c>
      <c r="T2472" s="340" t="str">
        <f t="shared" si="126"/>
        <v>2007MaleNon-Maori23Hanging, strangulation and suffocation</v>
      </c>
      <c r="U2472">
        <v>2007</v>
      </c>
      <c r="V2472" t="s">
        <v>20</v>
      </c>
      <c r="W2472" t="s">
        <v>19</v>
      </c>
      <c r="X2472">
        <v>23</v>
      </c>
      <c r="Y2472" t="s">
        <v>43</v>
      </c>
      <c r="Z2472">
        <v>81</v>
      </c>
      <c r="AA2472">
        <v>126</v>
      </c>
      <c r="AB2472">
        <v>64.3</v>
      </c>
    </row>
    <row r="2473" spans="10:28">
      <c r="J2473" s="340" t="str">
        <f t="shared" si="125"/>
        <v>2008MaleAllEth255</v>
      </c>
      <c r="K2473">
        <v>2008</v>
      </c>
      <c r="L2473" t="s">
        <v>20</v>
      </c>
      <c r="M2473" t="s">
        <v>27</v>
      </c>
      <c r="N2473">
        <v>25</v>
      </c>
      <c r="O2473">
        <v>5</v>
      </c>
      <c r="P2473">
        <v>8</v>
      </c>
      <c r="Q2473">
        <v>19.890018293203202</v>
      </c>
      <c r="R2473">
        <v>13.8</v>
      </c>
      <c r="T2473" s="340" t="str">
        <f t="shared" si="126"/>
        <v>2007MaleNon-Maori24Hanging, strangulation and suffocation</v>
      </c>
      <c r="U2473">
        <v>2007</v>
      </c>
      <c r="V2473" t="s">
        <v>20</v>
      </c>
      <c r="W2473" t="s">
        <v>19</v>
      </c>
      <c r="X2473">
        <v>24</v>
      </c>
      <c r="Y2473" t="s">
        <v>43</v>
      </c>
      <c r="Z2473">
        <v>43</v>
      </c>
      <c r="AA2473">
        <v>91</v>
      </c>
      <c r="AB2473">
        <v>47.3</v>
      </c>
    </row>
    <row r="2474" spans="10:28">
      <c r="J2474" s="340" t="str">
        <f t="shared" si="125"/>
        <v>2008MaleMaori211</v>
      </c>
      <c r="K2474">
        <v>2008</v>
      </c>
      <c r="L2474" t="s">
        <v>20</v>
      </c>
      <c r="M2474" t="s">
        <v>18</v>
      </c>
      <c r="N2474">
        <v>21</v>
      </c>
      <c r="O2474">
        <v>1</v>
      </c>
      <c r="P2474">
        <v>0</v>
      </c>
      <c r="Q2474">
        <v>0</v>
      </c>
      <c r="T2474" s="340" t="str">
        <f t="shared" si="126"/>
        <v>2007MaleNon-Maori25Hanging, strangulation and suffocation</v>
      </c>
      <c r="U2474">
        <v>2007</v>
      </c>
      <c r="V2474" t="s">
        <v>20</v>
      </c>
      <c r="W2474" t="s">
        <v>19</v>
      </c>
      <c r="X2474">
        <v>25</v>
      </c>
      <c r="Y2474" t="s">
        <v>43</v>
      </c>
      <c r="Z2474">
        <v>13</v>
      </c>
      <c r="AA2474">
        <v>41</v>
      </c>
      <c r="AB2474">
        <v>31.7</v>
      </c>
    </row>
    <row r="2475" spans="10:28">
      <c r="J2475" s="340" t="str">
        <f t="shared" si="125"/>
        <v>2008MaleMaori212</v>
      </c>
      <c r="K2475">
        <v>2008</v>
      </c>
      <c r="L2475" t="s">
        <v>20</v>
      </c>
      <c r="M2475" t="s">
        <v>18</v>
      </c>
      <c r="N2475">
        <v>21</v>
      </c>
      <c r="O2475">
        <v>2</v>
      </c>
      <c r="P2475">
        <v>0</v>
      </c>
      <c r="Q2475">
        <v>0</v>
      </c>
      <c r="T2475" s="340" t="str">
        <f t="shared" si="126"/>
        <v>2007MaleNon-Maori22Jumping from a high place</v>
      </c>
      <c r="U2475">
        <v>2007</v>
      </c>
      <c r="V2475" t="s">
        <v>20</v>
      </c>
      <c r="W2475" t="s">
        <v>19</v>
      </c>
      <c r="X2475">
        <v>22</v>
      </c>
      <c r="Y2475" t="s">
        <v>44</v>
      </c>
      <c r="Z2475">
        <v>1</v>
      </c>
      <c r="AA2475">
        <v>48</v>
      </c>
      <c r="AB2475">
        <v>2.1</v>
      </c>
    </row>
    <row r="2476" spans="10:28">
      <c r="J2476" s="340" t="str">
        <f t="shared" si="125"/>
        <v>2008MaleMaori213</v>
      </c>
      <c r="K2476">
        <v>2008</v>
      </c>
      <c r="L2476" t="s">
        <v>20</v>
      </c>
      <c r="M2476" t="s">
        <v>18</v>
      </c>
      <c r="N2476">
        <v>21</v>
      </c>
      <c r="O2476">
        <v>3</v>
      </c>
      <c r="P2476">
        <v>0</v>
      </c>
      <c r="Q2476">
        <v>0</v>
      </c>
      <c r="T2476" s="340" t="str">
        <f t="shared" si="126"/>
        <v>2007MaleNon-Maori23Jumping from a high place</v>
      </c>
      <c r="U2476">
        <v>2007</v>
      </c>
      <c r="V2476" t="s">
        <v>20</v>
      </c>
      <c r="W2476" t="s">
        <v>19</v>
      </c>
      <c r="X2476">
        <v>23</v>
      </c>
      <c r="Y2476" t="s">
        <v>44</v>
      </c>
      <c r="Z2476">
        <v>6</v>
      </c>
      <c r="AA2476">
        <v>126</v>
      </c>
      <c r="AB2476">
        <v>4.8</v>
      </c>
    </row>
    <row r="2477" spans="10:28">
      <c r="J2477" s="340" t="str">
        <f t="shared" si="125"/>
        <v>2008MaleMaori214</v>
      </c>
      <c r="K2477">
        <v>2008</v>
      </c>
      <c r="L2477" t="s">
        <v>20</v>
      </c>
      <c r="M2477" t="s">
        <v>18</v>
      </c>
      <c r="N2477">
        <v>21</v>
      </c>
      <c r="O2477">
        <v>4</v>
      </c>
      <c r="P2477">
        <v>0</v>
      </c>
      <c r="Q2477">
        <v>0</v>
      </c>
      <c r="T2477" s="340" t="str">
        <f t="shared" si="126"/>
        <v>2007MaleNon-Maori24Jumping from a high place</v>
      </c>
      <c r="U2477">
        <v>2007</v>
      </c>
      <c r="V2477" t="s">
        <v>20</v>
      </c>
      <c r="W2477" t="s">
        <v>19</v>
      </c>
      <c r="X2477">
        <v>24</v>
      </c>
      <c r="Y2477" t="s">
        <v>44</v>
      </c>
      <c r="Z2477">
        <v>2</v>
      </c>
      <c r="AA2477">
        <v>91</v>
      </c>
      <c r="AB2477">
        <v>2.2000000000000002</v>
      </c>
    </row>
    <row r="2478" spans="10:28">
      <c r="J2478" s="340" t="str">
        <f t="shared" si="125"/>
        <v>2008MaleMaori215</v>
      </c>
      <c r="K2478">
        <v>2008</v>
      </c>
      <c r="L2478" t="s">
        <v>20</v>
      </c>
      <c r="M2478" t="s">
        <v>18</v>
      </c>
      <c r="N2478">
        <v>21</v>
      </c>
      <c r="O2478">
        <v>5</v>
      </c>
      <c r="P2478">
        <v>2</v>
      </c>
      <c r="Q2478">
        <v>4.0533244290586596</v>
      </c>
      <c r="R2478">
        <v>5.6</v>
      </c>
      <c r="T2478" s="340" t="str">
        <f t="shared" si="126"/>
        <v>2007MaleNon-Maori22Other</v>
      </c>
      <c r="U2478">
        <v>2007</v>
      </c>
      <c r="V2478" t="s">
        <v>20</v>
      </c>
      <c r="W2478" t="s">
        <v>19</v>
      </c>
      <c r="X2478">
        <v>22</v>
      </c>
      <c r="Y2478" t="s">
        <v>45</v>
      </c>
      <c r="Z2478">
        <v>3</v>
      </c>
      <c r="AA2478">
        <v>48</v>
      </c>
      <c r="AB2478">
        <v>6.2</v>
      </c>
    </row>
    <row r="2479" spans="10:28">
      <c r="J2479" s="340" t="str">
        <f t="shared" si="125"/>
        <v>2008MaleMaori221</v>
      </c>
      <c r="K2479">
        <v>2008</v>
      </c>
      <c r="L2479" t="s">
        <v>20</v>
      </c>
      <c r="M2479" t="s">
        <v>18</v>
      </c>
      <c r="N2479">
        <v>22</v>
      </c>
      <c r="O2479">
        <v>1</v>
      </c>
      <c r="P2479">
        <v>1</v>
      </c>
      <c r="Q2479">
        <v>22.569966240504002</v>
      </c>
      <c r="R2479">
        <v>44.2</v>
      </c>
      <c r="T2479" s="340" t="str">
        <f t="shared" si="126"/>
        <v>2007MaleNon-Maori23Other</v>
      </c>
      <c r="U2479">
        <v>2007</v>
      </c>
      <c r="V2479" t="s">
        <v>20</v>
      </c>
      <c r="W2479" t="s">
        <v>19</v>
      </c>
      <c r="X2479">
        <v>23</v>
      </c>
      <c r="Y2479" t="s">
        <v>45</v>
      </c>
      <c r="Z2479">
        <v>3</v>
      </c>
      <c r="AA2479">
        <v>126</v>
      </c>
      <c r="AB2479">
        <v>2.4</v>
      </c>
    </row>
    <row r="2480" spans="10:28">
      <c r="J2480" s="340" t="str">
        <f t="shared" si="125"/>
        <v>2008MaleMaori222</v>
      </c>
      <c r="K2480">
        <v>2008</v>
      </c>
      <c r="L2480" t="s">
        <v>20</v>
      </c>
      <c r="M2480" t="s">
        <v>18</v>
      </c>
      <c r="N2480">
        <v>22</v>
      </c>
      <c r="O2480">
        <v>2</v>
      </c>
      <c r="P2480">
        <v>1</v>
      </c>
      <c r="Q2480">
        <v>15.295181520315699</v>
      </c>
      <c r="R2480">
        <v>30</v>
      </c>
      <c r="T2480" s="340" t="str">
        <f t="shared" si="126"/>
        <v>2007MaleNon-Maori24Other</v>
      </c>
      <c r="U2480">
        <v>2007</v>
      </c>
      <c r="V2480" t="s">
        <v>20</v>
      </c>
      <c r="W2480" t="s">
        <v>19</v>
      </c>
      <c r="X2480">
        <v>24</v>
      </c>
      <c r="Y2480" t="s">
        <v>45</v>
      </c>
      <c r="Z2480">
        <v>5</v>
      </c>
      <c r="AA2480">
        <v>91</v>
      </c>
      <c r="AB2480">
        <v>5.5</v>
      </c>
    </row>
    <row r="2481" spans="10:28">
      <c r="J2481" s="340" t="str">
        <f t="shared" si="125"/>
        <v>2008MaleMaori223</v>
      </c>
      <c r="K2481">
        <v>2008</v>
      </c>
      <c r="L2481" t="s">
        <v>20</v>
      </c>
      <c r="M2481" t="s">
        <v>18</v>
      </c>
      <c r="N2481">
        <v>22</v>
      </c>
      <c r="O2481">
        <v>3</v>
      </c>
      <c r="P2481">
        <v>0</v>
      </c>
      <c r="Q2481">
        <v>0</v>
      </c>
      <c r="T2481" s="340" t="str">
        <f t="shared" si="126"/>
        <v>2007MaleNon-Maori25Other</v>
      </c>
      <c r="U2481">
        <v>2007</v>
      </c>
      <c r="V2481" t="s">
        <v>20</v>
      </c>
      <c r="W2481" t="s">
        <v>19</v>
      </c>
      <c r="X2481">
        <v>25</v>
      </c>
      <c r="Y2481" t="s">
        <v>45</v>
      </c>
      <c r="Z2481">
        <v>1</v>
      </c>
      <c r="AA2481">
        <v>41</v>
      </c>
      <c r="AB2481">
        <v>2.4</v>
      </c>
    </row>
    <row r="2482" spans="10:28">
      <c r="J2482" s="340" t="str">
        <f t="shared" si="125"/>
        <v>2008MaleMaori224</v>
      </c>
      <c r="K2482">
        <v>2008</v>
      </c>
      <c r="L2482" t="s">
        <v>20</v>
      </c>
      <c r="M2482" t="s">
        <v>18</v>
      </c>
      <c r="N2482">
        <v>22</v>
      </c>
      <c r="O2482">
        <v>4</v>
      </c>
      <c r="P2482">
        <v>5</v>
      </c>
      <c r="Q2482">
        <v>35.478637683316599</v>
      </c>
      <c r="R2482">
        <v>31.1</v>
      </c>
      <c r="T2482" s="340" t="str">
        <f t="shared" si="126"/>
        <v>2007MaleNon-Maori22Poisoning by gases and vapours</v>
      </c>
      <c r="U2482">
        <v>2007</v>
      </c>
      <c r="V2482" t="s">
        <v>20</v>
      </c>
      <c r="W2482" t="s">
        <v>19</v>
      </c>
      <c r="X2482">
        <v>22</v>
      </c>
      <c r="Y2482" t="s">
        <v>46</v>
      </c>
      <c r="Z2482">
        <v>3</v>
      </c>
      <c r="AA2482">
        <v>48</v>
      </c>
      <c r="AB2482">
        <v>6.2</v>
      </c>
    </row>
    <row r="2483" spans="10:28">
      <c r="J2483" s="340" t="str">
        <f t="shared" si="125"/>
        <v>2008MaleMaori225</v>
      </c>
      <c r="K2483">
        <v>2008</v>
      </c>
      <c r="L2483" t="s">
        <v>20</v>
      </c>
      <c r="M2483" t="s">
        <v>18</v>
      </c>
      <c r="N2483">
        <v>22</v>
      </c>
      <c r="O2483">
        <v>5</v>
      </c>
      <c r="P2483">
        <v>10</v>
      </c>
      <c r="Q2483">
        <v>41.398750526446698</v>
      </c>
      <c r="R2483">
        <v>25.7</v>
      </c>
      <c r="T2483" s="340" t="str">
        <f t="shared" si="126"/>
        <v>2007MaleNon-Maori23Poisoning by gases and vapours</v>
      </c>
      <c r="U2483">
        <v>2007</v>
      </c>
      <c r="V2483" t="s">
        <v>20</v>
      </c>
      <c r="W2483" t="s">
        <v>19</v>
      </c>
      <c r="X2483">
        <v>23</v>
      </c>
      <c r="Y2483" t="s">
        <v>46</v>
      </c>
      <c r="Z2483">
        <v>18</v>
      </c>
      <c r="AA2483">
        <v>126</v>
      </c>
      <c r="AB2483">
        <v>14.3</v>
      </c>
    </row>
    <row r="2484" spans="10:28">
      <c r="J2484" s="340" t="str">
        <f t="shared" si="125"/>
        <v>2008MaleMaori231</v>
      </c>
      <c r="K2484">
        <v>2008</v>
      </c>
      <c r="L2484" t="s">
        <v>20</v>
      </c>
      <c r="M2484" t="s">
        <v>18</v>
      </c>
      <c r="N2484">
        <v>23</v>
      </c>
      <c r="O2484">
        <v>1</v>
      </c>
      <c r="P2484">
        <v>1</v>
      </c>
      <c r="Q2484">
        <v>14.351915450311701</v>
      </c>
      <c r="R2484">
        <v>28.1</v>
      </c>
      <c r="T2484" s="340" t="str">
        <f t="shared" si="126"/>
        <v>2007MaleNon-Maori24Poisoning by gases and vapours</v>
      </c>
      <c r="U2484">
        <v>2007</v>
      </c>
      <c r="V2484" t="s">
        <v>20</v>
      </c>
      <c r="W2484" t="s">
        <v>19</v>
      </c>
      <c r="X2484">
        <v>24</v>
      </c>
      <c r="Y2484" t="s">
        <v>46</v>
      </c>
      <c r="Z2484">
        <v>19</v>
      </c>
      <c r="AA2484">
        <v>91</v>
      </c>
      <c r="AB2484">
        <v>20.9</v>
      </c>
    </row>
    <row r="2485" spans="10:28">
      <c r="J2485" s="340" t="str">
        <f t="shared" si="125"/>
        <v>2008MaleMaori232</v>
      </c>
      <c r="K2485">
        <v>2008</v>
      </c>
      <c r="L2485" t="s">
        <v>20</v>
      </c>
      <c r="M2485" t="s">
        <v>18</v>
      </c>
      <c r="N2485">
        <v>23</v>
      </c>
      <c r="O2485">
        <v>2</v>
      </c>
      <c r="P2485">
        <v>3</v>
      </c>
      <c r="Q2485">
        <v>30.1651914302048</v>
      </c>
      <c r="R2485">
        <v>34.1</v>
      </c>
      <c r="T2485" s="340" t="str">
        <f t="shared" si="126"/>
        <v>2007MaleNon-Maori25Poisoning by gases and vapours</v>
      </c>
      <c r="U2485">
        <v>2007</v>
      </c>
      <c r="V2485" t="s">
        <v>20</v>
      </c>
      <c r="W2485" t="s">
        <v>19</v>
      </c>
      <c r="X2485">
        <v>25</v>
      </c>
      <c r="Y2485" t="s">
        <v>46</v>
      </c>
      <c r="Z2485">
        <v>6</v>
      </c>
      <c r="AA2485">
        <v>41</v>
      </c>
      <c r="AB2485">
        <v>14.6</v>
      </c>
    </row>
    <row r="2486" spans="10:28">
      <c r="J2486" s="340" t="str">
        <f t="shared" si="125"/>
        <v>2008MaleMaori233</v>
      </c>
      <c r="K2486">
        <v>2008</v>
      </c>
      <c r="L2486" t="s">
        <v>20</v>
      </c>
      <c r="M2486" t="s">
        <v>18</v>
      </c>
      <c r="N2486">
        <v>23</v>
      </c>
      <c r="O2486">
        <v>3</v>
      </c>
      <c r="P2486">
        <v>6</v>
      </c>
      <c r="Q2486">
        <v>43.720996382864001</v>
      </c>
      <c r="R2486">
        <v>35</v>
      </c>
      <c r="T2486" s="340" t="str">
        <f t="shared" si="126"/>
        <v>2007MaleNon-Maori23Poisoning by solids and liquids</v>
      </c>
      <c r="U2486">
        <v>2007</v>
      </c>
      <c r="V2486" t="s">
        <v>20</v>
      </c>
      <c r="W2486" t="s">
        <v>19</v>
      </c>
      <c r="X2486">
        <v>23</v>
      </c>
      <c r="Y2486" t="s">
        <v>47</v>
      </c>
      <c r="Z2486">
        <v>3</v>
      </c>
      <c r="AA2486">
        <v>126</v>
      </c>
      <c r="AB2486">
        <v>2.4</v>
      </c>
    </row>
    <row r="2487" spans="10:28">
      <c r="J2487" s="340" t="str">
        <f t="shared" si="125"/>
        <v>2008MaleMaori234</v>
      </c>
      <c r="K2487">
        <v>2008</v>
      </c>
      <c r="L2487" t="s">
        <v>20</v>
      </c>
      <c r="M2487" t="s">
        <v>18</v>
      </c>
      <c r="N2487">
        <v>23</v>
      </c>
      <c r="O2487">
        <v>4</v>
      </c>
      <c r="P2487">
        <v>7</v>
      </c>
      <c r="Q2487">
        <v>37.208654134570899</v>
      </c>
      <c r="R2487">
        <v>27.6</v>
      </c>
      <c r="T2487" s="340" t="str">
        <f t="shared" si="126"/>
        <v>2007MaleNon-Maori24Poisoning by solids and liquids</v>
      </c>
      <c r="U2487">
        <v>2007</v>
      </c>
      <c r="V2487" t="s">
        <v>20</v>
      </c>
      <c r="W2487" t="s">
        <v>19</v>
      </c>
      <c r="X2487">
        <v>24</v>
      </c>
      <c r="Y2487" t="s">
        <v>47</v>
      </c>
      <c r="Z2487">
        <v>8</v>
      </c>
      <c r="AA2487">
        <v>91</v>
      </c>
      <c r="AB2487">
        <v>8.8000000000000007</v>
      </c>
    </row>
    <row r="2488" spans="10:28">
      <c r="J2488" s="340" t="str">
        <f t="shared" si="125"/>
        <v>2008MaleMaori235</v>
      </c>
      <c r="K2488">
        <v>2008</v>
      </c>
      <c r="L2488" t="s">
        <v>20</v>
      </c>
      <c r="M2488" t="s">
        <v>18</v>
      </c>
      <c r="N2488">
        <v>23</v>
      </c>
      <c r="O2488">
        <v>5</v>
      </c>
      <c r="P2488">
        <v>11</v>
      </c>
      <c r="Q2488">
        <v>37.515978401904903</v>
      </c>
      <c r="R2488">
        <v>22.2</v>
      </c>
      <c r="T2488" s="340" t="str">
        <f t="shared" si="126"/>
        <v>2007MaleNon-Maori25Poisoning by solids and liquids</v>
      </c>
      <c r="U2488">
        <v>2007</v>
      </c>
      <c r="V2488" t="s">
        <v>20</v>
      </c>
      <c r="W2488" t="s">
        <v>19</v>
      </c>
      <c r="X2488">
        <v>25</v>
      </c>
      <c r="Y2488" t="s">
        <v>47</v>
      </c>
      <c r="Z2488">
        <v>5</v>
      </c>
      <c r="AA2488">
        <v>41</v>
      </c>
      <c r="AB2488">
        <v>12.2</v>
      </c>
    </row>
    <row r="2489" spans="10:28">
      <c r="J2489" s="340" t="str">
        <f t="shared" si="125"/>
        <v>2008MaleMaori241</v>
      </c>
      <c r="K2489">
        <v>2008</v>
      </c>
      <c r="L2489" t="s">
        <v>20</v>
      </c>
      <c r="M2489" t="s">
        <v>18</v>
      </c>
      <c r="N2489">
        <v>24</v>
      </c>
      <c r="O2489">
        <v>1</v>
      </c>
      <c r="P2489">
        <v>0</v>
      </c>
      <c r="Q2489">
        <v>0</v>
      </c>
      <c r="T2489" s="340" t="str">
        <f t="shared" si="126"/>
        <v>2007MaleNon-Maori23Sharp object</v>
      </c>
      <c r="U2489">
        <v>2007</v>
      </c>
      <c r="V2489" t="s">
        <v>20</v>
      </c>
      <c r="W2489" t="s">
        <v>19</v>
      </c>
      <c r="X2489">
        <v>23</v>
      </c>
      <c r="Y2489" t="s">
        <v>48</v>
      </c>
      <c r="Z2489">
        <v>2</v>
      </c>
      <c r="AA2489">
        <v>126</v>
      </c>
      <c r="AB2489">
        <v>1.6</v>
      </c>
    </row>
    <row r="2490" spans="10:28">
      <c r="J2490" s="340" t="str">
        <f t="shared" si="125"/>
        <v>2008MaleMaori242</v>
      </c>
      <c r="K2490">
        <v>2008</v>
      </c>
      <c r="L2490" t="s">
        <v>20</v>
      </c>
      <c r="M2490" t="s">
        <v>18</v>
      </c>
      <c r="N2490">
        <v>24</v>
      </c>
      <c r="O2490">
        <v>2</v>
      </c>
      <c r="P2490">
        <v>0</v>
      </c>
      <c r="Q2490">
        <v>0</v>
      </c>
      <c r="T2490" s="340" t="str">
        <f t="shared" si="126"/>
        <v>2007MaleNon-Maori24Sharp object</v>
      </c>
      <c r="U2490">
        <v>2007</v>
      </c>
      <c r="V2490" t="s">
        <v>20</v>
      </c>
      <c r="W2490" t="s">
        <v>19</v>
      </c>
      <c r="X2490">
        <v>24</v>
      </c>
      <c r="Y2490" t="s">
        <v>48</v>
      </c>
      <c r="Z2490">
        <v>2</v>
      </c>
      <c r="AA2490">
        <v>91</v>
      </c>
      <c r="AB2490">
        <v>2.2000000000000002</v>
      </c>
    </row>
    <row r="2491" spans="10:28">
      <c r="J2491" s="340" t="str">
        <f t="shared" si="125"/>
        <v>2008MaleMaori243</v>
      </c>
      <c r="K2491">
        <v>2008</v>
      </c>
      <c r="L2491" t="s">
        <v>20</v>
      </c>
      <c r="M2491" t="s">
        <v>18</v>
      </c>
      <c r="N2491">
        <v>24</v>
      </c>
      <c r="O2491">
        <v>3</v>
      </c>
      <c r="P2491">
        <v>3</v>
      </c>
      <c r="Q2491">
        <v>35.827199571000598</v>
      </c>
      <c r="R2491">
        <v>40.5</v>
      </c>
      <c r="T2491" s="340" t="str">
        <f t="shared" si="126"/>
        <v>2007MaleNon-Maori25Sharp object</v>
      </c>
      <c r="U2491">
        <v>2007</v>
      </c>
      <c r="V2491" t="s">
        <v>20</v>
      </c>
      <c r="W2491" t="s">
        <v>19</v>
      </c>
      <c r="X2491">
        <v>25</v>
      </c>
      <c r="Y2491" t="s">
        <v>48</v>
      </c>
      <c r="Z2491">
        <v>2</v>
      </c>
      <c r="AA2491">
        <v>41</v>
      </c>
      <c r="AB2491">
        <v>4.9000000000000004</v>
      </c>
    </row>
    <row r="2492" spans="10:28">
      <c r="J2492" s="340" t="str">
        <f t="shared" si="125"/>
        <v>2008MaleMaori244</v>
      </c>
      <c r="K2492">
        <v>2008</v>
      </c>
      <c r="L2492" t="s">
        <v>20</v>
      </c>
      <c r="M2492" t="s">
        <v>18</v>
      </c>
      <c r="N2492">
        <v>24</v>
      </c>
      <c r="O2492">
        <v>4</v>
      </c>
      <c r="P2492">
        <v>2</v>
      </c>
      <c r="Q2492">
        <v>17.1472661594734</v>
      </c>
      <c r="R2492">
        <v>23.8</v>
      </c>
      <c r="T2492" s="340" t="str">
        <f t="shared" si="126"/>
        <v>2007MaleNon-Maori23Submersion (drowning)</v>
      </c>
      <c r="U2492">
        <v>2007</v>
      </c>
      <c r="V2492" t="s">
        <v>20</v>
      </c>
      <c r="W2492" t="s">
        <v>19</v>
      </c>
      <c r="X2492">
        <v>23</v>
      </c>
      <c r="Y2492" t="s">
        <v>49</v>
      </c>
      <c r="Z2492">
        <v>1</v>
      </c>
      <c r="AA2492">
        <v>126</v>
      </c>
      <c r="AB2492">
        <v>0.8</v>
      </c>
    </row>
    <row r="2493" spans="10:28">
      <c r="J2493" s="340" t="str">
        <f t="shared" si="125"/>
        <v>2008MaleMaori245</v>
      </c>
      <c r="K2493">
        <v>2008</v>
      </c>
      <c r="L2493" t="s">
        <v>20</v>
      </c>
      <c r="M2493" t="s">
        <v>18</v>
      </c>
      <c r="N2493">
        <v>24</v>
      </c>
      <c r="O2493">
        <v>5</v>
      </c>
      <c r="P2493">
        <v>3</v>
      </c>
      <c r="Q2493">
        <v>14.961300201403899</v>
      </c>
      <c r="R2493">
        <v>16.899999999999999</v>
      </c>
      <c r="T2493" s="340" t="str">
        <f t="shared" si="126"/>
        <v>2007MaleNon-Maori24Submersion (drowning)</v>
      </c>
      <c r="U2493">
        <v>2007</v>
      </c>
      <c r="V2493" t="s">
        <v>20</v>
      </c>
      <c r="W2493" t="s">
        <v>19</v>
      </c>
      <c r="X2493">
        <v>24</v>
      </c>
      <c r="Y2493" t="s">
        <v>49</v>
      </c>
      <c r="Z2493">
        <v>3</v>
      </c>
      <c r="AA2493">
        <v>91</v>
      </c>
      <c r="AB2493">
        <v>3.3</v>
      </c>
    </row>
    <row r="2494" spans="10:28">
      <c r="J2494" s="340" t="str">
        <f t="shared" si="125"/>
        <v>2008MaleMaori251</v>
      </c>
      <c r="K2494">
        <v>2008</v>
      </c>
      <c r="L2494" t="s">
        <v>20</v>
      </c>
      <c r="M2494" t="s">
        <v>18</v>
      </c>
      <c r="N2494">
        <v>25</v>
      </c>
      <c r="O2494">
        <v>1</v>
      </c>
      <c r="P2494">
        <v>0</v>
      </c>
      <c r="Q2494">
        <v>0</v>
      </c>
      <c r="T2494" s="340" t="str">
        <f t="shared" si="126"/>
        <v>2007MaleNon-Maori25Submersion (drowning)</v>
      </c>
      <c r="U2494">
        <v>2007</v>
      </c>
      <c r="V2494" t="s">
        <v>20</v>
      </c>
      <c r="W2494" t="s">
        <v>19</v>
      </c>
      <c r="X2494">
        <v>25</v>
      </c>
      <c r="Y2494" t="s">
        <v>49</v>
      </c>
      <c r="Z2494">
        <v>1</v>
      </c>
      <c r="AA2494">
        <v>41</v>
      </c>
      <c r="AB2494">
        <v>2.4</v>
      </c>
    </row>
    <row r="2495" spans="10:28">
      <c r="J2495" s="340" t="str">
        <f t="shared" si="125"/>
        <v>2008MaleMaori252</v>
      </c>
      <c r="K2495">
        <v>2008</v>
      </c>
      <c r="L2495" t="s">
        <v>20</v>
      </c>
      <c r="M2495" t="s">
        <v>18</v>
      </c>
      <c r="N2495">
        <v>25</v>
      </c>
      <c r="O2495">
        <v>2</v>
      </c>
      <c r="P2495">
        <v>0</v>
      </c>
      <c r="Q2495">
        <v>0</v>
      </c>
      <c r="T2495" s="340" t="str">
        <f t="shared" si="126"/>
        <v>2008AllSexAllEth22Firearms and explosives</v>
      </c>
      <c r="U2495">
        <v>2008</v>
      </c>
      <c r="V2495" t="s">
        <v>17</v>
      </c>
      <c r="W2495" t="s">
        <v>27</v>
      </c>
      <c r="X2495">
        <v>22</v>
      </c>
      <c r="Y2495" t="s">
        <v>42</v>
      </c>
      <c r="Z2495">
        <v>6</v>
      </c>
      <c r="AA2495">
        <v>121</v>
      </c>
      <c r="AB2495">
        <v>5</v>
      </c>
    </row>
    <row r="2496" spans="10:28">
      <c r="J2496" s="340" t="str">
        <f t="shared" si="125"/>
        <v>2008MaleMaori253</v>
      </c>
      <c r="K2496">
        <v>2008</v>
      </c>
      <c r="L2496" t="s">
        <v>20</v>
      </c>
      <c r="M2496" t="s">
        <v>18</v>
      </c>
      <c r="N2496">
        <v>25</v>
      </c>
      <c r="O2496">
        <v>3</v>
      </c>
      <c r="P2496">
        <v>0</v>
      </c>
      <c r="Q2496">
        <v>0</v>
      </c>
      <c r="T2496" s="340" t="str">
        <f t="shared" si="126"/>
        <v>2008AllSexAllEth23Firearms and explosives</v>
      </c>
      <c r="U2496">
        <v>2008</v>
      </c>
      <c r="V2496" t="s">
        <v>17</v>
      </c>
      <c r="W2496" t="s">
        <v>27</v>
      </c>
      <c r="X2496">
        <v>23</v>
      </c>
      <c r="Y2496" t="s">
        <v>42</v>
      </c>
      <c r="Z2496">
        <v>8</v>
      </c>
      <c r="AA2496">
        <v>182</v>
      </c>
      <c r="AB2496">
        <v>4.4000000000000004</v>
      </c>
    </row>
    <row r="2497" spans="10:28">
      <c r="J2497" s="340" t="str">
        <f t="shared" si="125"/>
        <v>2008MaleMaori254</v>
      </c>
      <c r="K2497">
        <v>2008</v>
      </c>
      <c r="L2497" t="s">
        <v>20</v>
      </c>
      <c r="M2497" t="s">
        <v>18</v>
      </c>
      <c r="N2497">
        <v>25</v>
      </c>
      <c r="O2497">
        <v>4</v>
      </c>
      <c r="P2497">
        <v>0</v>
      </c>
      <c r="Q2497">
        <v>0</v>
      </c>
      <c r="T2497" s="340" t="str">
        <f t="shared" si="126"/>
        <v>2008AllSexAllEth24Firearms and explosives</v>
      </c>
      <c r="U2497">
        <v>2008</v>
      </c>
      <c r="V2497" t="s">
        <v>17</v>
      </c>
      <c r="W2497" t="s">
        <v>27</v>
      </c>
      <c r="X2497">
        <v>24</v>
      </c>
      <c r="Y2497" t="s">
        <v>42</v>
      </c>
      <c r="Z2497">
        <v>17</v>
      </c>
      <c r="AA2497">
        <v>159</v>
      </c>
      <c r="AB2497">
        <v>10.7</v>
      </c>
    </row>
    <row r="2498" spans="10:28">
      <c r="J2498" s="340" t="str">
        <f t="shared" si="125"/>
        <v>2008MaleMaori255</v>
      </c>
      <c r="K2498">
        <v>2008</v>
      </c>
      <c r="L2498" t="s">
        <v>20</v>
      </c>
      <c r="M2498" t="s">
        <v>18</v>
      </c>
      <c r="N2498">
        <v>25</v>
      </c>
      <c r="O2498">
        <v>5</v>
      </c>
      <c r="P2498">
        <v>1</v>
      </c>
      <c r="Q2498">
        <v>17.896857526012901</v>
      </c>
      <c r="R2498">
        <v>35.1</v>
      </c>
      <c r="T2498" s="340" t="str">
        <f t="shared" si="126"/>
        <v>2008AllSexAllEth25Firearms and explosives</v>
      </c>
      <c r="U2498">
        <v>2008</v>
      </c>
      <c r="V2498" t="s">
        <v>17</v>
      </c>
      <c r="W2498" t="s">
        <v>27</v>
      </c>
      <c r="X2498">
        <v>25</v>
      </c>
      <c r="Y2498" t="s">
        <v>42</v>
      </c>
      <c r="Z2498">
        <v>11</v>
      </c>
      <c r="AA2498">
        <v>51</v>
      </c>
      <c r="AB2498">
        <v>21.6</v>
      </c>
    </row>
    <row r="2499" spans="10:28">
      <c r="J2499" s="340" t="str">
        <f t="shared" si="125"/>
        <v>2008MaleNon-Maori211</v>
      </c>
      <c r="K2499">
        <v>2008</v>
      </c>
      <c r="L2499" t="s">
        <v>20</v>
      </c>
      <c r="M2499" t="s">
        <v>19</v>
      </c>
      <c r="N2499">
        <v>21</v>
      </c>
      <c r="O2499">
        <v>1</v>
      </c>
      <c r="P2499">
        <v>0</v>
      </c>
      <c r="Q2499">
        <v>0</v>
      </c>
      <c r="T2499" s="340" t="str">
        <f t="shared" si="126"/>
        <v>2008AllSexAllEth21Hanging, strangulation and suffocation</v>
      </c>
      <c r="U2499">
        <v>2008</v>
      </c>
      <c r="V2499" t="s">
        <v>17</v>
      </c>
      <c r="W2499" t="s">
        <v>27</v>
      </c>
      <c r="X2499">
        <v>21</v>
      </c>
      <c r="Y2499" t="s">
        <v>43</v>
      </c>
      <c r="Z2499">
        <v>5</v>
      </c>
      <c r="AA2499">
        <v>5</v>
      </c>
      <c r="AB2499">
        <v>100</v>
      </c>
    </row>
    <row r="2500" spans="10:28">
      <c r="J2500" s="340" t="str">
        <f t="shared" ref="J2500:J2563" si="127">K2500&amp;L2500&amp;M2500&amp;N2500&amp;O2500</f>
        <v>2008MaleNon-Maori212</v>
      </c>
      <c r="K2500">
        <v>2008</v>
      </c>
      <c r="L2500" t="s">
        <v>20</v>
      </c>
      <c r="M2500" t="s">
        <v>19</v>
      </c>
      <c r="N2500">
        <v>21</v>
      </c>
      <c r="O2500">
        <v>2</v>
      </c>
      <c r="P2500">
        <v>0</v>
      </c>
      <c r="Q2500">
        <v>0</v>
      </c>
      <c r="T2500" s="340" t="str">
        <f t="shared" si="126"/>
        <v>2008AllSexAllEth22Hanging, strangulation and suffocation</v>
      </c>
      <c r="U2500">
        <v>2008</v>
      </c>
      <c r="V2500" t="s">
        <v>17</v>
      </c>
      <c r="W2500" t="s">
        <v>27</v>
      </c>
      <c r="X2500">
        <v>22</v>
      </c>
      <c r="Y2500" t="s">
        <v>43</v>
      </c>
      <c r="Z2500">
        <v>87</v>
      </c>
      <c r="AA2500">
        <v>121</v>
      </c>
      <c r="AB2500">
        <v>71.900000000000006</v>
      </c>
    </row>
    <row r="2501" spans="10:28">
      <c r="J2501" s="340" t="str">
        <f t="shared" si="127"/>
        <v>2008MaleNon-Maori213</v>
      </c>
      <c r="K2501">
        <v>2008</v>
      </c>
      <c r="L2501" t="s">
        <v>20</v>
      </c>
      <c r="M2501" t="s">
        <v>19</v>
      </c>
      <c r="N2501">
        <v>21</v>
      </c>
      <c r="O2501">
        <v>3</v>
      </c>
      <c r="P2501">
        <v>0</v>
      </c>
      <c r="Q2501">
        <v>0</v>
      </c>
      <c r="T2501" s="340" t="str">
        <f t="shared" ref="T2501:T2564" si="128">U2501&amp;V2501&amp;W2501&amp;X2501&amp;Y2501</f>
        <v>2008AllSexAllEth23Hanging, strangulation and suffocation</v>
      </c>
      <c r="U2501">
        <v>2008</v>
      </c>
      <c r="V2501" t="s">
        <v>17</v>
      </c>
      <c r="W2501" t="s">
        <v>27</v>
      </c>
      <c r="X2501">
        <v>23</v>
      </c>
      <c r="Y2501" t="s">
        <v>43</v>
      </c>
      <c r="Z2501">
        <v>110</v>
      </c>
      <c r="AA2501">
        <v>182</v>
      </c>
      <c r="AB2501">
        <v>60.4</v>
      </c>
    </row>
    <row r="2502" spans="10:28">
      <c r="J2502" s="340" t="str">
        <f t="shared" si="127"/>
        <v>2008MaleNon-Maori214</v>
      </c>
      <c r="K2502">
        <v>2008</v>
      </c>
      <c r="L2502" t="s">
        <v>20</v>
      </c>
      <c r="M2502" t="s">
        <v>19</v>
      </c>
      <c r="N2502">
        <v>21</v>
      </c>
      <c r="O2502">
        <v>4</v>
      </c>
      <c r="P2502">
        <v>0</v>
      </c>
      <c r="Q2502">
        <v>0</v>
      </c>
      <c r="T2502" s="340" t="str">
        <f t="shared" si="128"/>
        <v>2008AllSexAllEth24Hanging, strangulation and suffocation</v>
      </c>
      <c r="U2502">
        <v>2008</v>
      </c>
      <c r="V2502" t="s">
        <v>17</v>
      </c>
      <c r="W2502" t="s">
        <v>27</v>
      </c>
      <c r="X2502">
        <v>24</v>
      </c>
      <c r="Y2502" t="s">
        <v>43</v>
      </c>
      <c r="Z2502">
        <v>77</v>
      </c>
      <c r="AA2502">
        <v>159</v>
      </c>
      <c r="AB2502">
        <v>48.4</v>
      </c>
    </row>
    <row r="2503" spans="10:28">
      <c r="J2503" s="340" t="str">
        <f t="shared" si="127"/>
        <v>2008MaleNon-Maori215</v>
      </c>
      <c r="K2503">
        <v>2008</v>
      </c>
      <c r="L2503" t="s">
        <v>20</v>
      </c>
      <c r="M2503" t="s">
        <v>19</v>
      </c>
      <c r="N2503">
        <v>21</v>
      </c>
      <c r="O2503">
        <v>5</v>
      </c>
      <c r="P2503">
        <v>0</v>
      </c>
      <c r="Q2503">
        <v>0</v>
      </c>
      <c r="T2503" s="340" t="str">
        <f t="shared" si="128"/>
        <v>2008AllSexAllEth25Hanging, strangulation and suffocation</v>
      </c>
      <c r="U2503">
        <v>2008</v>
      </c>
      <c r="V2503" t="s">
        <v>17</v>
      </c>
      <c r="W2503" t="s">
        <v>27</v>
      </c>
      <c r="X2503">
        <v>25</v>
      </c>
      <c r="Y2503" t="s">
        <v>43</v>
      </c>
      <c r="Z2503">
        <v>11</v>
      </c>
      <c r="AA2503">
        <v>51</v>
      </c>
      <c r="AB2503">
        <v>21.6</v>
      </c>
    </row>
    <row r="2504" spans="10:28">
      <c r="J2504" s="340" t="str">
        <f t="shared" si="127"/>
        <v>2008MaleNon-Maori221</v>
      </c>
      <c r="K2504">
        <v>2008</v>
      </c>
      <c r="L2504" t="s">
        <v>20</v>
      </c>
      <c r="M2504" t="s">
        <v>19</v>
      </c>
      <c r="N2504">
        <v>22</v>
      </c>
      <c r="O2504">
        <v>1</v>
      </c>
      <c r="P2504">
        <v>11</v>
      </c>
      <c r="Q2504">
        <v>22.706962558554</v>
      </c>
      <c r="R2504">
        <v>13.4</v>
      </c>
      <c r="T2504" s="340" t="str">
        <f t="shared" si="128"/>
        <v>2008AllSexAllEth22Jumping from a high place</v>
      </c>
      <c r="U2504">
        <v>2008</v>
      </c>
      <c r="V2504" t="s">
        <v>17</v>
      </c>
      <c r="W2504" t="s">
        <v>27</v>
      </c>
      <c r="X2504">
        <v>22</v>
      </c>
      <c r="Y2504" t="s">
        <v>44</v>
      </c>
      <c r="Z2504">
        <v>3</v>
      </c>
      <c r="AA2504">
        <v>121</v>
      </c>
      <c r="AB2504">
        <v>2.5</v>
      </c>
    </row>
    <row r="2505" spans="10:28">
      <c r="J2505" s="340" t="str">
        <f t="shared" si="127"/>
        <v>2008MaleNon-Maori222</v>
      </c>
      <c r="K2505">
        <v>2008</v>
      </c>
      <c r="L2505" t="s">
        <v>20</v>
      </c>
      <c r="M2505" t="s">
        <v>19</v>
      </c>
      <c r="N2505">
        <v>22</v>
      </c>
      <c r="O2505">
        <v>2</v>
      </c>
      <c r="P2505">
        <v>13</v>
      </c>
      <c r="Q2505">
        <v>26.317661281556301</v>
      </c>
      <c r="R2505">
        <v>14.3</v>
      </c>
      <c r="T2505" s="340" t="str">
        <f t="shared" si="128"/>
        <v>2008AllSexAllEth23Jumping from a high place</v>
      </c>
      <c r="U2505">
        <v>2008</v>
      </c>
      <c r="V2505" t="s">
        <v>17</v>
      </c>
      <c r="W2505" t="s">
        <v>27</v>
      </c>
      <c r="X2505">
        <v>23</v>
      </c>
      <c r="Y2505" t="s">
        <v>44</v>
      </c>
      <c r="Z2505">
        <v>5</v>
      </c>
      <c r="AA2505">
        <v>182</v>
      </c>
      <c r="AB2505">
        <v>2.7</v>
      </c>
    </row>
    <row r="2506" spans="10:28">
      <c r="J2506" s="340" t="str">
        <f t="shared" si="127"/>
        <v>2008MaleNon-Maori223</v>
      </c>
      <c r="K2506">
        <v>2008</v>
      </c>
      <c r="L2506" t="s">
        <v>20</v>
      </c>
      <c r="M2506" t="s">
        <v>19</v>
      </c>
      <c r="N2506">
        <v>22</v>
      </c>
      <c r="O2506">
        <v>3</v>
      </c>
      <c r="P2506">
        <v>10</v>
      </c>
      <c r="Q2506">
        <v>20.076415501319001</v>
      </c>
      <c r="R2506">
        <v>12.4</v>
      </c>
      <c r="T2506" s="340" t="str">
        <f t="shared" si="128"/>
        <v>2008AllSexAllEth24Jumping from a high place</v>
      </c>
      <c r="U2506">
        <v>2008</v>
      </c>
      <c r="V2506" t="s">
        <v>17</v>
      </c>
      <c r="W2506" t="s">
        <v>27</v>
      </c>
      <c r="X2506">
        <v>24</v>
      </c>
      <c r="Y2506" t="s">
        <v>44</v>
      </c>
      <c r="Z2506">
        <v>6</v>
      </c>
      <c r="AA2506">
        <v>159</v>
      </c>
      <c r="AB2506">
        <v>3.8</v>
      </c>
    </row>
    <row r="2507" spans="10:28">
      <c r="J2507" s="340" t="str">
        <f t="shared" si="127"/>
        <v>2008MaleNon-Maori224</v>
      </c>
      <c r="K2507">
        <v>2008</v>
      </c>
      <c r="L2507" t="s">
        <v>20</v>
      </c>
      <c r="M2507" t="s">
        <v>19</v>
      </c>
      <c r="N2507">
        <v>22</v>
      </c>
      <c r="O2507">
        <v>4</v>
      </c>
      <c r="P2507">
        <v>13</v>
      </c>
      <c r="Q2507">
        <v>26.088525879535698</v>
      </c>
      <c r="R2507">
        <v>14.2</v>
      </c>
      <c r="T2507" s="340" t="str">
        <f t="shared" si="128"/>
        <v>2008AllSexAllEth22Other</v>
      </c>
      <c r="U2507">
        <v>2008</v>
      </c>
      <c r="V2507" t="s">
        <v>17</v>
      </c>
      <c r="W2507" t="s">
        <v>27</v>
      </c>
      <c r="X2507">
        <v>22</v>
      </c>
      <c r="Y2507" t="s">
        <v>45</v>
      </c>
      <c r="Z2507">
        <v>5</v>
      </c>
      <c r="AA2507">
        <v>121</v>
      </c>
      <c r="AB2507">
        <v>4.0999999999999996</v>
      </c>
    </row>
    <row r="2508" spans="10:28">
      <c r="J2508" s="340" t="str">
        <f t="shared" si="127"/>
        <v>2008MaleNon-Maori225</v>
      </c>
      <c r="K2508">
        <v>2008</v>
      </c>
      <c r="L2508" t="s">
        <v>20</v>
      </c>
      <c r="M2508" t="s">
        <v>19</v>
      </c>
      <c r="N2508">
        <v>22</v>
      </c>
      <c r="O2508">
        <v>5</v>
      </c>
      <c r="P2508">
        <v>15</v>
      </c>
      <c r="Q2508">
        <v>30.927708600894899</v>
      </c>
      <c r="R2508">
        <v>15.7</v>
      </c>
      <c r="T2508" s="340" t="str">
        <f t="shared" si="128"/>
        <v>2008AllSexAllEth23Other</v>
      </c>
      <c r="U2508">
        <v>2008</v>
      </c>
      <c r="V2508" t="s">
        <v>17</v>
      </c>
      <c r="W2508" t="s">
        <v>27</v>
      </c>
      <c r="X2508">
        <v>23</v>
      </c>
      <c r="Y2508" t="s">
        <v>45</v>
      </c>
      <c r="Z2508">
        <v>6</v>
      </c>
      <c r="AA2508">
        <v>182</v>
      </c>
      <c r="AB2508">
        <v>3.3</v>
      </c>
    </row>
    <row r="2509" spans="10:28">
      <c r="J2509" s="340" t="str">
        <f t="shared" si="127"/>
        <v>2008MaleNon-Maori231</v>
      </c>
      <c r="K2509">
        <v>2008</v>
      </c>
      <c r="L2509" t="s">
        <v>20</v>
      </c>
      <c r="M2509" t="s">
        <v>19</v>
      </c>
      <c r="N2509">
        <v>23</v>
      </c>
      <c r="O2509">
        <v>1</v>
      </c>
      <c r="P2509">
        <v>17</v>
      </c>
      <c r="Q2509">
        <v>16.722126228830501</v>
      </c>
      <c r="R2509">
        <v>7.9</v>
      </c>
      <c r="T2509" s="340" t="str">
        <f t="shared" si="128"/>
        <v>2008AllSexAllEth24Other</v>
      </c>
      <c r="U2509">
        <v>2008</v>
      </c>
      <c r="V2509" t="s">
        <v>17</v>
      </c>
      <c r="W2509" t="s">
        <v>27</v>
      </c>
      <c r="X2509">
        <v>24</v>
      </c>
      <c r="Y2509" t="s">
        <v>45</v>
      </c>
      <c r="Z2509">
        <v>7</v>
      </c>
      <c r="AA2509">
        <v>159</v>
      </c>
      <c r="AB2509">
        <v>4.4000000000000004</v>
      </c>
    </row>
    <row r="2510" spans="10:28">
      <c r="J2510" s="340" t="str">
        <f t="shared" si="127"/>
        <v>2008MaleNon-Maori232</v>
      </c>
      <c r="K2510">
        <v>2008</v>
      </c>
      <c r="L2510" t="s">
        <v>20</v>
      </c>
      <c r="M2510" t="s">
        <v>19</v>
      </c>
      <c r="N2510">
        <v>23</v>
      </c>
      <c r="O2510">
        <v>2</v>
      </c>
      <c r="P2510">
        <v>14</v>
      </c>
      <c r="Q2510">
        <v>13.204531852267101</v>
      </c>
      <c r="R2510">
        <v>6.9</v>
      </c>
      <c r="T2510" s="340" t="str">
        <f t="shared" si="128"/>
        <v>2008AllSexAllEth25Other</v>
      </c>
      <c r="U2510">
        <v>2008</v>
      </c>
      <c r="V2510" t="s">
        <v>17</v>
      </c>
      <c r="W2510" t="s">
        <v>27</v>
      </c>
      <c r="X2510">
        <v>25</v>
      </c>
      <c r="Y2510" t="s">
        <v>45</v>
      </c>
      <c r="Z2510">
        <v>2</v>
      </c>
      <c r="AA2510">
        <v>51</v>
      </c>
      <c r="AB2510">
        <v>3.9</v>
      </c>
    </row>
    <row r="2511" spans="10:28">
      <c r="J2511" s="340" t="str">
        <f t="shared" si="127"/>
        <v>2008MaleNon-Maori233</v>
      </c>
      <c r="K2511">
        <v>2008</v>
      </c>
      <c r="L2511" t="s">
        <v>20</v>
      </c>
      <c r="M2511" t="s">
        <v>19</v>
      </c>
      <c r="N2511">
        <v>23</v>
      </c>
      <c r="O2511">
        <v>3</v>
      </c>
      <c r="P2511">
        <v>18</v>
      </c>
      <c r="Q2511">
        <v>17.375715076236901</v>
      </c>
      <c r="R2511">
        <v>8</v>
      </c>
      <c r="T2511" s="340" t="str">
        <f t="shared" si="128"/>
        <v>2008AllSexAllEth22Poisoning by gases and vapours</v>
      </c>
      <c r="U2511">
        <v>2008</v>
      </c>
      <c r="V2511" t="s">
        <v>17</v>
      </c>
      <c r="W2511" t="s">
        <v>27</v>
      </c>
      <c r="X2511">
        <v>22</v>
      </c>
      <c r="Y2511" t="s">
        <v>46</v>
      </c>
      <c r="Z2511">
        <v>14</v>
      </c>
      <c r="AA2511">
        <v>121</v>
      </c>
      <c r="AB2511">
        <v>11.6</v>
      </c>
    </row>
    <row r="2512" spans="10:28">
      <c r="J2512" s="340" t="str">
        <f t="shared" si="127"/>
        <v>2008MaleNon-Maori234</v>
      </c>
      <c r="K2512">
        <v>2008</v>
      </c>
      <c r="L2512" t="s">
        <v>20</v>
      </c>
      <c r="M2512" t="s">
        <v>19</v>
      </c>
      <c r="N2512">
        <v>23</v>
      </c>
      <c r="O2512">
        <v>4</v>
      </c>
      <c r="P2512">
        <v>26</v>
      </c>
      <c r="Q2512">
        <v>27.027672078128798</v>
      </c>
      <c r="R2512">
        <v>10.4</v>
      </c>
      <c r="T2512" s="340" t="str">
        <f t="shared" si="128"/>
        <v>2008AllSexAllEth23Poisoning by gases and vapours</v>
      </c>
      <c r="U2512">
        <v>2008</v>
      </c>
      <c r="V2512" t="s">
        <v>17</v>
      </c>
      <c r="W2512" t="s">
        <v>27</v>
      </c>
      <c r="X2512">
        <v>23</v>
      </c>
      <c r="Y2512" t="s">
        <v>46</v>
      </c>
      <c r="Z2512">
        <v>32</v>
      </c>
      <c r="AA2512">
        <v>182</v>
      </c>
      <c r="AB2512">
        <v>17.600000000000001</v>
      </c>
    </row>
    <row r="2513" spans="10:28">
      <c r="J2513" s="340" t="str">
        <f t="shared" si="127"/>
        <v>2008MaleNon-Maori235</v>
      </c>
      <c r="K2513">
        <v>2008</v>
      </c>
      <c r="L2513" t="s">
        <v>20</v>
      </c>
      <c r="M2513" t="s">
        <v>19</v>
      </c>
      <c r="N2513">
        <v>23</v>
      </c>
      <c r="O2513">
        <v>5</v>
      </c>
      <c r="P2513">
        <v>24</v>
      </c>
      <c r="Q2513">
        <v>31.6315897033748</v>
      </c>
      <c r="R2513">
        <v>12.7</v>
      </c>
      <c r="T2513" s="340" t="str">
        <f t="shared" si="128"/>
        <v>2008AllSexAllEth24Poisoning by gases and vapours</v>
      </c>
      <c r="U2513">
        <v>2008</v>
      </c>
      <c r="V2513" t="s">
        <v>17</v>
      </c>
      <c r="W2513" t="s">
        <v>27</v>
      </c>
      <c r="X2513">
        <v>24</v>
      </c>
      <c r="Y2513" t="s">
        <v>46</v>
      </c>
      <c r="Z2513">
        <v>21</v>
      </c>
      <c r="AA2513">
        <v>159</v>
      </c>
      <c r="AB2513">
        <v>13.2</v>
      </c>
    </row>
    <row r="2514" spans="10:28">
      <c r="J2514" s="340" t="str">
        <f t="shared" si="127"/>
        <v>2008MaleNon-Maori241</v>
      </c>
      <c r="K2514">
        <v>2008</v>
      </c>
      <c r="L2514" t="s">
        <v>20</v>
      </c>
      <c r="M2514" t="s">
        <v>19</v>
      </c>
      <c r="N2514">
        <v>24</v>
      </c>
      <c r="O2514">
        <v>1</v>
      </c>
      <c r="P2514">
        <v>25</v>
      </c>
      <c r="Q2514">
        <v>20.001827063535099</v>
      </c>
      <c r="R2514">
        <v>7.8</v>
      </c>
      <c r="T2514" s="340" t="str">
        <f t="shared" si="128"/>
        <v>2008AllSexAllEth25Poisoning by gases and vapours</v>
      </c>
      <c r="U2514">
        <v>2008</v>
      </c>
      <c r="V2514" t="s">
        <v>17</v>
      </c>
      <c r="W2514" t="s">
        <v>27</v>
      </c>
      <c r="X2514">
        <v>25</v>
      </c>
      <c r="Y2514" t="s">
        <v>46</v>
      </c>
      <c r="Z2514">
        <v>8</v>
      </c>
      <c r="AA2514">
        <v>51</v>
      </c>
      <c r="AB2514">
        <v>15.7</v>
      </c>
    </row>
    <row r="2515" spans="10:28">
      <c r="J2515" s="340" t="str">
        <f t="shared" si="127"/>
        <v>2008MaleNon-Maori242</v>
      </c>
      <c r="K2515">
        <v>2008</v>
      </c>
      <c r="L2515" t="s">
        <v>20</v>
      </c>
      <c r="M2515" t="s">
        <v>19</v>
      </c>
      <c r="N2515">
        <v>24</v>
      </c>
      <c r="O2515">
        <v>2</v>
      </c>
      <c r="P2515">
        <v>20</v>
      </c>
      <c r="Q2515">
        <v>18.6578115230033</v>
      </c>
      <c r="R2515">
        <v>8.1999999999999993</v>
      </c>
      <c r="T2515" s="340" t="str">
        <f t="shared" si="128"/>
        <v>2008AllSexAllEth22Poisoning by solids and liquids</v>
      </c>
      <c r="U2515">
        <v>2008</v>
      </c>
      <c r="V2515" t="s">
        <v>17</v>
      </c>
      <c r="W2515" t="s">
        <v>27</v>
      </c>
      <c r="X2515">
        <v>22</v>
      </c>
      <c r="Y2515" t="s">
        <v>47</v>
      </c>
      <c r="Z2515">
        <v>5</v>
      </c>
      <c r="AA2515">
        <v>121</v>
      </c>
      <c r="AB2515">
        <v>4.0999999999999996</v>
      </c>
    </row>
    <row r="2516" spans="10:28">
      <c r="J2516" s="340" t="str">
        <f t="shared" si="127"/>
        <v>2008MaleNon-Maori243</v>
      </c>
      <c r="K2516">
        <v>2008</v>
      </c>
      <c r="L2516" t="s">
        <v>20</v>
      </c>
      <c r="M2516" t="s">
        <v>19</v>
      </c>
      <c r="N2516">
        <v>24</v>
      </c>
      <c r="O2516">
        <v>3</v>
      </c>
      <c r="P2516">
        <v>28</v>
      </c>
      <c r="Q2516">
        <v>30.2952111835491</v>
      </c>
      <c r="R2516">
        <v>11.2</v>
      </c>
      <c r="T2516" s="340" t="str">
        <f t="shared" si="128"/>
        <v>2008AllSexAllEth23Poisoning by solids and liquids</v>
      </c>
      <c r="U2516">
        <v>2008</v>
      </c>
      <c r="V2516" t="s">
        <v>17</v>
      </c>
      <c r="W2516" t="s">
        <v>27</v>
      </c>
      <c r="X2516">
        <v>23</v>
      </c>
      <c r="Y2516" t="s">
        <v>47</v>
      </c>
      <c r="Z2516">
        <v>17</v>
      </c>
      <c r="AA2516">
        <v>182</v>
      </c>
      <c r="AB2516">
        <v>9.3000000000000007</v>
      </c>
    </row>
    <row r="2517" spans="10:28">
      <c r="J2517" s="340" t="str">
        <f t="shared" si="127"/>
        <v>2008MaleNon-Maori244</v>
      </c>
      <c r="K2517">
        <v>2008</v>
      </c>
      <c r="L2517" t="s">
        <v>20</v>
      </c>
      <c r="M2517" t="s">
        <v>19</v>
      </c>
      <c r="N2517">
        <v>24</v>
      </c>
      <c r="O2517">
        <v>4</v>
      </c>
      <c r="P2517">
        <v>22</v>
      </c>
      <c r="Q2517">
        <v>27.5786001336966</v>
      </c>
      <c r="R2517">
        <v>11.5</v>
      </c>
      <c r="T2517" s="340" t="str">
        <f t="shared" si="128"/>
        <v>2008AllSexAllEth24Poisoning by solids and liquids</v>
      </c>
      <c r="U2517">
        <v>2008</v>
      </c>
      <c r="V2517" t="s">
        <v>17</v>
      </c>
      <c r="W2517" t="s">
        <v>27</v>
      </c>
      <c r="X2517">
        <v>24</v>
      </c>
      <c r="Y2517" t="s">
        <v>47</v>
      </c>
      <c r="Z2517">
        <v>20</v>
      </c>
      <c r="AA2517">
        <v>159</v>
      </c>
      <c r="AB2517">
        <v>12.6</v>
      </c>
    </row>
    <row r="2518" spans="10:28">
      <c r="J2518" s="340" t="str">
        <f t="shared" si="127"/>
        <v>2008MaleNon-Maori245</v>
      </c>
      <c r="K2518">
        <v>2008</v>
      </c>
      <c r="L2518" t="s">
        <v>20</v>
      </c>
      <c r="M2518" t="s">
        <v>19</v>
      </c>
      <c r="N2518">
        <v>24</v>
      </c>
      <c r="O2518">
        <v>5</v>
      </c>
      <c r="P2518">
        <v>16</v>
      </c>
      <c r="Q2518">
        <v>26.207225538969901</v>
      </c>
      <c r="R2518">
        <v>12.8</v>
      </c>
      <c r="T2518" s="340" t="str">
        <f t="shared" si="128"/>
        <v>2008AllSexAllEth25Poisoning by solids and liquids</v>
      </c>
      <c r="U2518">
        <v>2008</v>
      </c>
      <c r="V2518" t="s">
        <v>17</v>
      </c>
      <c r="W2518" t="s">
        <v>27</v>
      </c>
      <c r="X2518">
        <v>25</v>
      </c>
      <c r="Y2518" t="s">
        <v>47</v>
      </c>
      <c r="Z2518">
        <v>13</v>
      </c>
      <c r="AA2518">
        <v>51</v>
      </c>
      <c r="AB2518">
        <v>25.5</v>
      </c>
    </row>
    <row r="2519" spans="10:28">
      <c r="J2519" s="340" t="str">
        <f t="shared" si="127"/>
        <v>2008MaleNon-Maori251</v>
      </c>
      <c r="K2519">
        <v>2008</v>
      </c>
      <c r="L2519" t="s">
        <v>20</v>
      </c>
      <c r="M2519" t="s">
        <v>19</v>
      </c>
      <c r="N2519">
        <v>25</v>
      </c>
      <c r="O2519">
        <v>1</v>
      </c>
      <c r="P2519">
        <v>7</v>
      </c>
      <c r="Q2519">
        <v>14.272521141553399</v>
      </c>
      <c r="R2519">
        <v>10.6</v>
      </c>
      <c r="T2519" s="340" t="str">
        <f t="shared" si="128"/>
        <v>2008AllSexAllEth22Sharp object</v>
      </c>
      <c r="U2519">
        <v>2008</v>
      </c>
      <c r="V2519" t="s">
        <v>17</v>
      </c>
      <c r="W2519" t="s">
        <v>27</v>
      </c>
      <c r="X2519">
        <v>22</v>
      </c>
      <c r="Y2519" t="s">
        <v>48</v>
      </c>
      <c r="Z2519">
        <v>1</v>
      </c>
      <c r="AA2519">
        <v>121</v>
      </c>
      <c r="AB2519">
        <v>0.8</v>
      </c>
    </row>
    <row r="2520" spans="10:28">
      <c r="J2520" s="340" t="str">
        <f t="shared" si="127"/>
        <v>2008MaleNon-Maori252</v>
      </c>
      <c r="K2520">
        <v>2008</v>
      </c>
      <c r="L2520" t="s">
        <v>20</v>
      </c>
      <c r="M2520" t="s">
        <v>19</v>
      </c>
      <c r="N2520">
        <v>25</v>
      </c>
      <c r="O2520">
        <v>2</v>
      </c>
      <c r="P2520">
        <v>10</v>
      </c>
      <c r="Q2520">
        <v>20.2376963283237</v>
      </c>
      <c r="R2520">
        <v>12.5</v>
      </c>
      <c r="T2520" s="340" t="str">
        <f t="shared" si="128"/>
        <v>2008AllSexAllEth23Sharp object</v>
      </c>
      <c r="U2520">
        <v>2008</v>
      </c>
      <c r="V2520" t="s">
        <v>17</v>
      </c>
      <c r="W2520" t="s">
        <v>27</v>
      </c>
      <c r="X2520">
        <v>23</v>
      </c>
      <c r="Y2520" t="s">
        <v>48</v>
      </c>
      <c r="Z2520">
        <v>3</v>
      </c>
      <c r="AA2520">
        <v>182</v>
      </c>
      <c r="AB2520">
        <v>1.6</v>
      </c>
    </row>
    <row r="2521" spans="10:28">
      <c r="J2521" s="340" t="str">
        <f t="shared" si="127"/>
        <v>2008MaleNon-Maori253</v>
      </c>
      <c r="K2521">
        <v>2008</v>
      </c>
      <c r="L2521" t="s">
        <v>20</v>
      </c>
      <c r="M2521" t="s">
        <v>19</v>
      </c>
      <c r="N2521">
        <v>25</v>
      </c>
      <c r="O2521">
        <v>3</v>
      </c>
      <c r="P2521">
        <v>7</v>
      </c>
      <c r="Q2521">
        <v>14.155971745331801</v>
      </c>
      <c r="R2521">
        <v>10.5</v>
      </c>
      <c r="T2521" s="340" t="str">
        <f t="shared" si="128"/>
        <v>2008AllSexAllEth24Sharp object</v>
      </c>
      <c r="U2521">
        <v>2008</v>
      </c>
      <c r="V2521" t="s">
        <v>17</v>
      </c>
      <c r="W2521" t="s">
        <v>27</v>
      </c>
      <c r="X2521">
        <v>24</v>
      </c>
      <c r="Y2521" t="s">
        <v>48</v>
      </c>
      <c r="Z2521">
        <v>7</v>
      </c>
      <c r="AA2521">
        <v>159</v>
      </c>
      <c r="AB2521">
        <v>4.4000000000000004</v>
      </c>
    </row>
    <row r="2522" spans="10:28">
      <c r="J2522" s="340" t="str">
        <f t="shared" si="127"/>
        <v>2008MaleNon-Maori254</v>
      </c>
      <c r="K2522">
        <v>2008</v>
      </c>
      <c r="L2522" t="s">
        <v>20</v>
      </c>
      <c r="M2522" t="s">
        <v>19</v>
      </c>
      <c r="N2522">
        <v>25</v>
      </c>
      <c r="O2522">
        <v>4</v>
      </c>
      <c r="P2522">
        <v>4</v>
      </c>
      <c r="Q2522">
        <v>8.5540814577598798</v>
      </c>
      <c r="R2522">
        <v>8.4</v>
      </c>
      <c r="T2522" s="340" t="str">
        <f t="shared" si="128"/>
        <v>2008AllSexAllEth25Sharp object</v>
      </c>
      <c r="U2522">
        <v>2008</v>
      </c>
      <c r="V2522" t="s">
        <v>17</v>
      </c>
      <c r="W2522" t="s">
        <v>27</v>
      </c>
      <c r="X2522">
        <v>25</v>
      </c>
      <c r="Y2522" t="s">
        <v>48</v>
      </c>
      <c r="Z2522">
        <v>3</v>
      </c>
      <c r="AA2522">
        <v>51</v>
      </c>
      <c r="AB2522">
        <v>5.9</v>
      </c>
    </row>
    <row r="2523" spans="10:28">
      <c r="J2523" s="340" t="str">
        <f t="shared" si="127"/>
        <v>2008MaleNon-Maori255</v>
      </c>
      <c r="K2523">
        <v>2008</v>
      </c>
      <c r="L2523" t="s">
        <v>20</v>
      </c>
      <c r="M2523" t="s">
        <v>19</v>
      </c>
      <c r="N2523">
        <v>25</v>
      </c>
      <c r="O2523">
        <v>5</v>
      </c>
      <c r="P2523">
        <v>7</v>
      </c>
      <c r="Q2523">
        <v>20.544989402069799</v>
      </c>
      <c r="R2523">
        <v>15.2</v>
      </c>
      <c r="T2523" s="340" t="str">
        <f t="shared" si="128"/>
        <v>2008AllSexAllEth23Submersion (drowning)</v>
      </c>
      <c r="U2523">
        <v>2008</v>
      </c>
      <c r="V2523" t="s">
        <v>17</v>
      </c>
      <c r="W2523" t="s">
        <v>27</v>
      </c>
      <c r="X2523">
        <v>23</v>
      </c>
      <c r="Y2523" t="s">
        <v>49</v>
      </c>
      <c r="Z2523">
        <v>1</v>
      </c>
      <c r="AA2523">
        <v>182</v>
      </c>
      <c r="AB2523">
        <v>0.5</v>
      </c>
    </row>
    <row r="2524" spans="10:28">
      <c r="J2524" s="340" t="str">
        <f t="shared" si="127"/>
        <v>2009AllSexAllEth211</v>
      </c>
      <c r="K2524">
        <v>2009</v>
      </c>
      <c r="L2524" t="s">
        <v>17</v>
      </c>
      <c r="M2524" t="s">
        <v>27</v>
      </c>
      <c r="N2524">
        <v>21</v>
      </c>
      <c r="O2524">
        <v>1</v>
      </c>
      <c r="P2524">
        <v>1</v>
      </c>
      <c r="Q2524">
        <v>0.54925968635535605</v>
      </c>
      <c r="R2524">
        <v>1.1000000000000001</v>
      </c>
      <c r="T2524" s="340" t="str">
        <f t="shared" si="128"/>
        <v>2008AllSexAllEth24Submersion (drowning)</v>
      </c>
      <c r="U2524">
        <v>2008</v>
      </c>
      <c r="V2524" t="s">
        <v>17</v>
      </c>
      <c r="W2524" t="s">
        <v>27</v>
      </c>
      <c r="X2524">
        <v>24</v>
      </c>
      <c r="Y2524" t="s">
        <v>49</v>
      </c>
      <c r="Z2524">
        <v>4</v>
      </c>
      <c r="AA2524">
        <v>159</v>
      </c>
      <c r="AB2524">
        <v>2.5</v>
      </c>
    </row>
    <row r="2525" spans="10:28">
      <c r="J2525" s="340" t="str">
        <f t="shared" si="127"/>
        <v>2009AllSexAllEth212</v>
      </c>
      <c r="K2525">
        <v>2009</v>
      </c>
      <c r="L2525" t="s">
        <v>17</v>
      </c>
      <c r="M2525" t="s">
        <v>27</v>
      </c>
      <c r="N2525">
        <v>21</v>
      </c>
      <c r="O2525">
        <v>2</v>
      </c>
      <c r="P2525">
        <v>3</v>
      </c>
      <c r="Q2525">
        <v>1.7547189532682601</v>
      </c>
      <c r="R2525">
        <v>2</v>
      </c>
      <c r="T2525" s="340" t="str">
        <f t="shared" si="128"/>
        <v>2008AllSexAllEth25Submersion (drowning)</v>
      </c>
      <c r="U2525">
        <v>2008</v>
      </c>
      <c r="V2525" t="s">
        <v>17</v>
      </c>
      <c r="W2525" t="s">
        <v>27</v>
      </c>
      <c r="X2525">
        <v>25</v>
      </c>
      <c r="Y2525" t="s">
        <v>49</v>
      </c>
      <c r="Z2525">
        <v>3</v>
      </c>
      <c r="AA2525">
        <v>51</v>
      </c>
      <c r="AB2525">
        <v>5.9</v>
      </c>
    </row>
    <row r="2526" spans="10:28">
      <c r="J2526" s="340" t="str">
        <f t="shared" si="127"/>
        <v>2009AllSexAllEth213</v>
      </c>
      <c r="K2526">
        <v>2009</v>
      </c>
      <c r="L2526" t="s">
        <v>17</v>
      </c>
      <c r="M2526" t="s">
        <v>27</v>
      </c>
      <c r="N2526">
        <v>21</v>
      </c>
      <c r="O2526">
        <v>3</v>
      </c>
      <c r="P2526">
        <v>1</v>
      </c>
      <c r="Q2526">
        <v>0.60509656167142201</v>
      </c>
      <c r="R2526">
        <v>1.2</v>
      </c>
      <c r="T2526" s="340" t="str">
        <f t="shared" si="128"/>
        <v>2008AllSexMaori22Firearms and explosives</v>
      </c>
      <c r="U2526">
        <v>2008</v>
      </c>
      <c r="V2526" t="s">
        <v>17</v>
      </c>
      <c r="W2526" t="s">
        <v>18</v>
      </c>
      <c r="X2526">
        <v>22</v>
      </c>
      <c r="Y2526" t="s">
        <v>42</v>
      </c>
      <c r="Z2526">
        <v>1</v>
      </c>
      <c r="AA2526">
        <v>35</v>
      </c>
      <c r="AB2526">
        <v>2.9</v>
      </c>
    </row>
    <row r="2527" spans="10:28">
      <c r="J2527" s="340" t="str">
        <f t="shared" si="127"/>
        <v>2009AllSexAllEth214</v>
      </c>
      <c r="K2527">
        <v>2009</v>
      </c>
      <c r="L2527" t="s">
        <v>17</v>
      </c>
      <c r="M2527" t="s">
        <v>27</v>
      </c>
      <c r="N2527">
        <v>21</v>
      </c>
      <c r="O2527">
        <v>4</v>
      </c>
      <c r="P2527">
        <v>2</v>
      </c>
      <c r="Q2527">
        <v>1.1834628492591801</v>
      </c>
      <c r="R2527">
        <v>1.6</v>
      </c>
      <c r="T2527" s="340" t="str">
        <f t="shared" si="128"/>
        <v>2008AllSexMaori24Firearms and explosives</v>
      </c>
      <c r="U2527">
        <v>2008</v>
      </c>
      <c r="V2527" t="s">
        <v>17</v>
      </c>
      <c r="W2527" t="s">
        <v>18</v>
      </c>
      <c r="X2527">
        <v>24</v>
      </c>
      <c r="Y2527" t="s">
        <v>42</v>
      </c>
      <c r="Z2527">
        <v>2</v>
      </c>
      <c r="AA2527">
        <v>10</v>
      </c>
      <c r="AB2527">
        <v>20</v>
      </c>
    </row>
    <row r="2528" spans="10:28">
      <c r="J2528" s="340" t="str">
        <f t="shared" si="127"/>
        <v>2009AllSexAllEth215</v>
      </c>
      <c r="K2528">
        <v>2009</v>
      </c>
      <c r="L2528" t="s">
        <v>17</v>
      </c>
      <c r="M2528" t="s">
        <v>27</v>
      </c>
      <c r="N2528">
        <v>21</v>
      </c>
      <c r="O2528">
        <v>5</v>
      </c>
      <c r="P2528">
        <v>3</v>
      </c>
      <c r="Q2528">
        <v>1.40273454407869</v>
      </c>
      <c r="R2528">
        <v>1.6</v>
      </c>
      <c r="T2528" s="340" t="str">
        <f t="shared" si="128"/>
        <v>2008AllSexMaori21Hanging, strangulation and suffocation</v>
      </c>
      <c r="U2528">
        <v>2008</v>
      </c>
      <c r="V2528" t="s">
        <v>17</v>
      </c>
      <c r="W2528" t="s">
        <v>18</v>
      </c>
      <c r="X2528">
        <v>21</v>
      </c>
      <c r="Y2528" t="s">
        <v>43</v>
      </c>
      <c r="Z2528">
        <v>4</v>
      </c>
      <c r="AA2528">
        <v>4</v>
      </c>
      <c r="AB2528">
        <v>100</v>
      </c>
    </row>
    <row r="2529" spans="10:28">
      <c r="J2529" s="340" t="str">
        <f t="shared" si="127"/>
        <v>2009AllSexAllEth221</v>
      </c>
      <c r="K2529">
        <v>2009</v>
      </c>
      <c r="L2529" t="s">
        <v>17</v>
      </c>
      <c r="M2529" t="s">
        <v>27</v>
      </c>
      <c r="N2529">
        <v>22</v>
      </c>
      <c r="O2529">
        <v>1</v>
      </c>
      <c r="P2529">
        <v>16</v>
      </c>
      <c r="Q2529">
        <v>15.6176130791048</v>
      </c>
      <c r="R2529">
        <v>7.7</v>
      </c>
      <c r="T2529" s="340" t="str">
        <f t="shared" si="128"/>
        <v>2008AllSexMaori22Hanging, strangulation and suffocation</v>
      </c>
      <c r="U2529">
        <v>2008</v>
      </c>
      <c r="V2529" t="s">
        <v>17</v>
      </c>
      <c r="W2529" t="s">
        <v>18</v>
      </c>
      <c r="X2529">
        <v>22</v>
      </c>
      <c r="Y2529" t="s">
        <v>43</v>
      </c>
      <c r="Z2529">
        <v>33</v>
      </c>
      <c r="AA2529">
        <v>35</v>
      </c>
      <c r="AB2529">
        <v>94.3</v>
      </c>
    </row>
    <row r="2530" spans="10:28">
      <c r="J2530" s="340" t="str">
        <f t="shared" si="127"/>
        <v>2009AllSexAllEth222</v>
      </c>
      <c r="K2530">
        <v>2009</v>
      </c>
      <c r="L2530" t="s">
        <v>17</v>
      </c>
      <c r="M2530" t="s">
        <v>27</v>
      </c>
      <c r="N2530">
        <v>22</v>
      </c>
      <c r="O2530">
        <v>2</v>
      </c>
      <c r="P2530">
        <v>12</v>
      </c>
      <c r="Q2530">
        <v>11.0101774329999</v>
      </c>
      <c r="R2530">
        <v>6.2</v>
      </c>
      <c r="T2530" s="340" t="str">
        <f t="shared" si="128"/>
        <v>2008AllSexMaori23Hanging, strangulation and suffocation</v>
      </c>
      <c r="U2530">
        <v>2008</v>
      </c>
      <c r="V2530" t="s">
        <v>17</v>
      </c>
      <c r="W2530" t="s">
        <v>18</v>
      </c>
      <c r="X2530">
        <v>23</v>
      </c>
      <c r="Y2530" t="s">
        <v>43</v>
      </c>
      <c r="Z2530">
        <v>32</v>
      </c>
      <c r="AA2530">
        <v>37</v>
      </c>
      <c r="AB2530">
        <v>86.5</v>
      </c>
    </row>
    <row r="2531" spans="10:28">
      <c r="J2531" s="340" t="str">
        <f t="shared" si="127"/>
        <v>2009AllSexAllEth223</v>
      </c>
      <c r="K2531">
        <v>2009</v>
      </c>
      <c r="L2531" t="s">
        <v>17</v>
      </c>
      <c r="M2531" t="s">
        <v>27</v>
      </c>
      <c r="N2531">
        <v>22</v>
      </c>
      <c r="O2531">
        <v>3</v>
      </c>
      <c r="P2531">
        <v>22</v>
      </c>
      <c r="Q2531">
        <v>18.6698371957295</v>
      </c>
      <c r="R2531">
        <v>7.8</v>
      </c>
      <c r="T2531" s="340" t="str">
        <f t="shared" si="128"/>
        <v>2008AllSexMaori24Hanging, strangulation and suffocation</v>
      </c>
      <c r="U2531">
        <v>2008</v>
      </c>
      <c r="V2531" t="s">
        <v>17</v>
      </c>
      <c r="W2531" t="s">
        <v>18</v>
      </c>
      <c r="X2531">
        <v>24</v>
      </c>
      <c r="Y2531" t="s">
        <v>43</v>
      </c>
      <c r="Z2531">
        <v>7</v>
      </c>
      <c r="AA2531">
        <v>10</v>
      </c>
      <c r="AB2531">
        <v>70</v>
      </c>
    </row>
    <row r="2532" spans="10:28">
      <c r="J2532" s="340" t="str">
        <f t="shared" si="127"/>
        <v>2009AllSexAllEth224</v>
      </c>
      <c r="K2532">
        <v>2009</v>
      </c>
      <c r="L2532" t="s">
        <v>17</v>
      </c>
      <c r="M2532" t="s">
        <v>27</v>
      </c>
      <c r="N2532">
        <v>22</v>
      </c>
      <c r="O2532">
        <v>4</v>
      </c>
      <c r="P2532">
        <v>29</v>
      </c>
      <c r="Q2532">
        <v>22.421879796150002</v>
      </c>
      <c r="R2532">
        <v>8.1999999999999993</v>
      </c>
      <c r="T2532" s="340" t="str">
        <f t="shared" si="128"/>
        <v>2008AllSexMaori23Other</v>
      </c>
      <c r="U2532">
        <v>2008</v>
      </c>
      <c r="V2532" t="s">
        <v>17</v>
      </c>
      <c r="W2532" t="s">
        <v>18</v>
      </c>
      <c r="X2532">
        <v>23</v>
      </c>
      <c r="Y2532" t="s">
        <v>45</v>
      </c>
      <c r="Z2532">
        <v>1</v>
      </c>
      <c r="AA2532">
        <v>37</v>
      </c>
      <c r="AB2532">
        <v>2.7</v>
      </c>
    </row>
    <row r="2533" spans="10:28">
      <c r="J2533" s="340" t="str">
        <f t="shared" si="127"/>
        <v>2009AllSexAllEth225</v>
      </c>
      <c r="K2533">
        <v>2009</v>
      </c>
      <c r="L2533" t="s">
        <v>17</v>
      </c>
      <c r="M2533" t="s">
        <v>27</v>
      </c>
      <c r="N2533">
        <v>22</v>
      </c>
      <c r="O2533">
        <v>5</v>
      </c>
      <c r="P2533">
        <v>37</v>
      </c>
      <c r="Q2533">
        <v>24.542902156326701</v>
      </c>
      <c r="R2533">
        <v>7.9</v>
      </c>
      <c r="T2533" s="340" t="str">
        <f t="shared" si="128"/>
        <v>2008AllSexMaori24Other</v>
      </c>
      <c r="U2533">
        <v>2008</v>
      </c>
      <c r="V2533" t="s">
        <v>17</v>
      </c>
      <c r="W2533" t="s">
        <v>18</v>
      </c>
      <c r="X2533">
        <v>24</v>
      </c>
      <c r="Y2533" t="s">
        <v>45</v>
      </c>
      <c r="Z2533">
        <v>1</v>
      </c>
      <c r="AA2533">
        <v>10</v>
      </c>
      <c r="AB2533">
        <v>10</v>
      </c>
    </row>
    <row r="2534" spans="10:28">
      <c r="J2534" s="340" t="str">
        <f t="shared" si="127"/>
        <v>2009AllSexAllEth231</v>
      </c>
      <c r="K2534">
        <v>2009</v>
      </c>
      <c r="L2534" t="s">
        <v>17</v>
      </c>
      <c r="M2534" t="s">
        <v>27</v>
      </c>
      <c r="N2534">
        <v>23</v>
      </c>
      <c r="O2534">
        <v>1</v>
      </c>
      <c r="P2534">
        <v>19</v>
      </c>
      <c r="Q2534">
        <v>8.3495916612372696</v>
      </c>
      <c r="R2534">
        <v>3.8</v>
      </c>
      <c r="T2534" s="340" t="str">
        <f t="shared" si="128"/>
        <v>2008AllSexMaori23Poisoning by gases and vapours</v>
      </c>
      <c r="U2534">
        <v>2008</v>
      </c>
      <c r="V2534" t="s">
        <v>17</v>
      </c>
      <c r="W2534" t="s">
        <v>18</v>
      </c>
      <c r="X2534">
        <v>23</v>
      </c>
      <c r="Y2534" t="s">
        <v>46</v>
      </c>
      <c r="Z2534">
        <v>2</v>
      </c>
      <c r="AA2534">
        <v>37</v>
      </c>
      <c r="AB2534">
        <v>5.4</v>
      </c>
    </row>
    <row r="2535" spans="10:28">
      <c r="J2535" s="340" t="str">
        <f t="shared" si="127"/>
        <v>2009AllSexAllEth232</v>
      </c>
      <c r="K2535">
        <v>2009</v>
      </c>
      <c r="L2535" t="s">
        <v>17</v>
      </c>
      <c r="M2535" t="s">
        <v>27</v>
      </c>
      <c r="N2535">
        <v>23</v>
      </c>
      <c r="O2535">
        <v>2</v>
      </c>
      <c r="P2535">
        <v>31</v>
      </c>
      <c r="Q2535">
        <v>12.930916649572801</v>
      </c>
      <c r="R2535">
        <v>4.5999999999999996</v>
      </c>
      <c r="T2535" s="340" t="str">
        <f t="shared" si="128"/>
        <v>2008AllSexMaori22Poisoning by solids and liquids</v>
      </c>
      <c r="U2535">
        <v>2008</v>
      </c>
      <c r="V2535" t="s">
        <v>17</v>
      </c>
      <c r="W2535" t="s">
        <v>18</v>
      </c>
      <c r="X2535">
        <v>22</v>
      </c>
      <c r="Y2535" t="s">
        <v>47</v>
      </c>
      <c r="Z2535">
        <v>1</v>
      </c>
      <c r="AA2535">
        <v>35</v>
      </c>
      <c r="AB2535">
        <v>2.9</v>
      </c>
    </row>
    <row r="2536" spans="10:28">
      <c r="J2536" s="340" t="str">
        <f t="shared" si="127"/>
        <v>2009AllSexAllEth233</v>
      </c>
      <c r="K2536">
        <v>2009</v>
      </c>
      <c r="L2536" t="s">
        <v>17</v>
      </c>
      <c r="M2536" t="s">
        <v>27</v>
      </c>
      <c r="N2536">
        <v>23</v>
      </c>
      <c r="O2536">
        <v>3</v>
      </c>
      <c r="P2536">
        <v>31</v>
      </c>
      <c r="Q2536">
        <v>12.9099007011847</v>
      </c>
      <c r="R2536">
        <v>4.5</v>
      </c>
      <c r="T2536" s="340" t="str">
        <f t="shared" si="128"/>
        <v>2008AllSexMaori23Poisoning by solids and liquids</v>
      </c>
      <c r="U2536">
        <v>2008</v>
      </c>
      <c r="V2536" t="s">
        <v>17</v>
      </c>
      <c r="W2536" t="s">
        <v>18</v>
      </c>
      <c r="X2536">
        <v>23</v>
      </c>
      <c r="Y2536" t="s">
        <v>47</v>
      </c>
      <c r="Z2536">
        <v>2</v>
      </c>
      <c r="AA2536">
        <v>37</v>
      </c>
      <c r="AB2536">
        <v>5.4</v>
      </c>
    </row>
    <row r="2537" spans="10:28">
      <c r="J2537" s="340" t="str">
        <f t="shared" si="127"/>
        <v>2009AllSexAllEth234</v>
      </c>
      <c r="K2537">
        <v>2009</v>
      </c>
      <c r="L2537" t="s">
        <v>17</v>
      </c>
      <c r="M2537" t="s">
        <v>27</v>
      </c>
      <c r="N2537">
        <v>23</v>
      </c>
      <c r="O2537">
        <v>4</v>
      </c>
      <c r="P2537">
        <v>41</v>
      </c>
      <c r="Q2537">
        <v>17.372435993773699</v>
      </c>
      <c r="R2537">
        <v>5.3</v>
      </c>
      <c r="T2537" s="340" t="str">
        <f t="shared" si="128"/>
        <v>2008AllSexMaori25Sharp object</v>
      </c>
      <c r="U2537">
        <v>2008</v>
      </c>
      <c r="V2537" t="s">
        <v>17</v>
      </c>
      <c r="W2537" t="s">
        <v>18</v>
      </c>
      <c r="X2537">
        <v>25</v>
      </c>
      <c r="Y2537" t="s">
        <v>48</v>
      </c>
      <c r="Z2537">
        <v>1</v>
      </c>
      <c r="AA2537">
        <v>1</v>
      </c>
      <c r="AB2537">
        <v>100</v>
      </c>
    </row>
    <row r="2538" spans="10:28">
      <c r="J2538" s="340" t="str">
        <f t="shared" si="127"/>
        <v>2009AllSexAllEth235</v>
      </c>
      <c r="K2538">
        <v>2009</v>
      </c>
      <c r="L2538" t="s">
        <v>17</v>
      </c>
      <c r="M2538" t="s">
        <v>27</v>
      </c>
      <c r="N2538">
        <v>23</v>
      </c>
      <c r="O2538">
        <v>5</v>
      </c>
      <c r="P2538">
        <v>51</v>
      </c>
      <c r="Q2538">
        <v>22.980220853362599</v>
      </c>
      <c r="R2538">
        <v>6.3</v>
      </c>
      <c r="T2538" s="340" t="str">
        <f t="shared" si="128"/>
        <v>2008AllSexNon-Maori22Firearms and explosives</v>
      </c>
      <c r="U2538">
        <v>2008</v>
      </c>
      <c r="V2538" t="s">
        <v>17</v>
      </c>
      <c r="W2538" t="s">
        <v>19</v>
      </c>
      <c r="X2538">
        <v>22</v>
      </c>
      <c r="Y2538" t="s">
        <v>42</v>
      </c>
      <c r="Z2538">
        <v>5</v>
      </c>
      <c r="AA2538">
        <v>86</v>
      </c>
      <c r="AB2538">
        <v>5.8</v>
      </c>
    </row>
    <row r="2539" spans="10:28">
      <c r="J2539" s="340" t="str">
        <f t="shared" si="127"/>
        <v>2009AllSexAllEth241</v>
      </c>
      <c r="K2539">
        <v>2009</v>
      </c>
      <c r="L2539" t="s">
        <v>17</v>
      </c>
      <c r="M2539" t="s">
        <v>27</v>
      </c>
      <c r="N2539">
        <v>24</v>
      </c>
      <c r="O2539">
        <v>1</v>
      </c>
      <c r="P2539">
        <v>25</v>
      </c>
      <c r="Q2539">
        <v>9.4056632822046495</v>
      </c>
      <c r="R2539">
        <v>3.7</v>
      </c>
      <c r="T2539" s="340" t="str">
        <f t="shared" si="128"/>
        <v>2008AllSexNon-Maori23Firearms and explosives</v>
      </c>
      <c r="U2539">
        <v>2008</v>
      </c>
      <c r="V2539" t="s">
        <v>17</v>
      </c>
      <c r="W2539" t="s">
        <v>19</v>
      </c>
      <c r="X2539">
        <v>23</v>
      </c>
      <c r="Y2539" t="s">
        <v>42</v>
      </c>
      <c r="Z2539">
        <v>8</v>
      </c>
      <c r="AA2539">
        <v>145</v>
      </c>
      <c r="AB2539">
        <v>5.5</v>
      </c>
    </row>
    <row r="2540" spans="10:28">
      <c r="J2540" s="340" t="str">
        <f t="shared" si="127"/>
        <v>2009AllSexAllEth242</v>
      </c>
      <c r="K2540">
        <v>2009</v>
      </c>
      <c r="L2540" t="s">
        <v>17</v>
      </c>
      <c r="M2540" t="s">
        <v>27</v>
      </c>
      <c r="N2540">
        <v>24</v>
      </c>
      <c r="O2540">
        <v>2</v>
      </c>
      <c r="P2540">
        <v>34</v>
      </c>
      <c r="Q2540">
        <v>14.479067118393999</v>
      </c>
      <c r="R2540">
        <v>4.9000000000000004</v>
      </c>
      <c r="T2540" s="340" t="str">
        <f t="shared" si="128"/>
        <v>2008AllSexNon-Maori24Firearms and explosives</v>
      </c>
      <c r="U2540">
        <v>2008</v>
      </c>
      <c r="V2540" t="s">
        <v>17</v>
      </c>
      <c r="W2540" t="s">
        <v>19</v>
      </c>
      <c r="X2540">
        <v>24</v>
      </c>
      <c r="Y2540" t="s">
        <v>42</v>
      </c>
      <c r="Z2540">
        <v>15</v>
      </c>
      <c r="AA2540">
        <v>149</v>
      </c>
      <c r="AB2540">
        <v>10.1</v>
      </c>
    </row>
    <row r="2541" spans="10:28">
      <c r="J2541" s="340" t="str">
        <f t="shared" si="127"/>
        <v>2009AllSexAllEth243</v>
      </c>
      <c r="K2541">
        <v>2009</v>
      </c>
      <c r="L2541" t="s">
        <v>17</v>
      </c>
      <c r="M2541" t="s">
        <v>27</v>
      </c>
      <c r="N2541">
        <v>24</v>
      </c>
      <c r="O2541">
        <v>3</v>
      </c>
      <c r="P2541">
        <v>24</v>
      </c>
      <c r="Q2541">
        <v>11.3287242061726</v>
      </c>
      <c r="R2541">
        <v>4.5</v>
      </c>
      <c r="T2541" s="340" t="str">
        <f t="shared" si="128"/>
        <v>2008AllSexNon-Maori25Firearms and explosives</v>
      </c>
      <c r="U2541">
        <v>2008</v>
      </c>
      <c r="V2541" t="s">
        <v>17</v>
      </c>
      <c r="W2541" t="s">
        <v>19</v>
      </c>
      <c r="X2541">
        <v>25</v>
      </c>
      <c r="Y2541" t="s">
        <v>42</v>
      </c>
      <c r="Z2541">
        <v>11</v>
      </c>
      <c r="AA2541">
        <v>50</v>
      </c>
      <c r="AB2541">
        <v>22</v>
      </c>
    </row>
    <row r="2542" spans="10:28">
      <c r="J2542" s="340" t="str">
        <f t="shared" si="127"/>
        <v>2009AllSexAllEth244</v>
      </c>
      <c r="K2542">
        <v>2009</v>
      </c>
      <c r="L2542" t="s">
        <v>17</v>
      </c>
      <c r="M2542" t="s">
        <v>27</v>
      </c>
      <c r="N2542">
        <v>24</v>
      </c>
      <c r="O2542">
        <v>4</v>
      </c>
      <c r="P2542">
        <v>44</v>
      </c>
      <c r="Q2542">
        <v>22.720631399735002</v>
      </c>
      <c r="R2542">
        <v>6.7</v>
      </c>
      <c r="T2542" s="340" t="str">
        <f t="shared" si="128"/>
        <v>2008AllSexNon-Maori21Hanging, strangulation and suffocation</v>
      </c>
      <c r="U2542">
        <v>2008</v>
      </c>
      <c r="V2542" t="s">
        <v>17</v>
      </c>
      <c r="W2542" t="s">
        <v>19</v>
      </c>
      <c r="X2542">
        <v>21</v>
      </c>
      <c r="Y2542" t="s">
        <v>43</v>
      </c>
      <c r="Z2542">
        <v>1</v>
      </c>
      <c r="AA2542">
        <v>1</v>
      </c>
      <c r="AB2542">
        <v>100</v>
      </c>
    </row>
    <row r="2543" spans="10:28">
      <c r="J2543" s="340" t="str">
        <f t="shared" si="127"/>
        <v>2009AllSexAllEth245</v>
      </c>
      <c r="K2543">
        <v>2009</v>
      </c>
      <c r="L2543" t="s">
        <v>17</v>
      </c>
      <c r="M2543" t="s">
        <v>27</v>
      </c>
      <c r="N2543">
        <v>24</v>
      </c>
      <c r="O2543">
        <v>5</v>
      </c>
      <c r="P2543">
        <v>29</v>
      </c>
      <c r="Q2543">
        <v>16.8337113337709</v>
      </c>
      <c r="R2543">
        <v>6.1</v>
      </c>
      <c r="T2543" s="340" t="str">
        <f t="shared" si="128"/>
        <v>2008AllSexNon-Maori22Hanging, strangulation and suffocation</v>
      </c>
      <c r="U2543">
        <v>2008</v>
      </c>
      <c r="V2543" t="s">
        <v>17</v>
      </c>
      <c r="W2543" t="s">
        <v>19</v>
      </c>
      <c r="X2543">
        <v>22</v>
      </c>
      <c r="Y2543" t="s">
        <v>43</v>
      </c>
      <c r="Z2543">
        <v>54</v>
      </c>
      <c r="AA2543">
        <v>86</v>
      </c>
      <c r="AB2543">
        <v>62.8</v>
      </c>
    </row>
    <row r="2544" spans="10:28">
      <c r="J2544" s="340" t="str">
        <f t="shared" si="127"/>
        <v>2009AllSexAllEth251</v>
      </c>
      <c r="K2544">
        <v>2009</v>
      </c>
      <c r="L2544" t="s">
        <v>17</v>
      </c>
      <c r="M2544" t="s">
        <v>27</v>
      </c>
      <c r="N2544">
        <v>25</v>
      </c>
      <c r="O2544">
        <v>1</v>
      </c>
      <c r="P2544">
        <v>13</v>
      </c>
      <c r="Q2544">
        <v>12.3359667452475</v>
      </c>
      <c r="R2544">
        <v>6.7</v>
      </c>
      <c r="T2544" s="340" t="str">
        <f t="shared" si="128"/>
        <v>2008AllSexNon-Maori23Hanging, strangulation and suffocation</v>
      </c>
      <c r="U2544">
        <v>2008</v>
      </c>
      <c r="V2544" t="s">
        <v>17</v>
      </c>
      <c r="W2544" t="s">
        <v>19</v>
      </c>
      <c r="X2544">
        <v>23</v>
      </c>
      <c r="Y2544" t="s">
        <v>43</v>
      </c>
      <c r="Z2544">
        <v>78</v>
      </c>
      <c r="AA2544">
        <v>145</v>
      </c>
      <c r="AB2544">
        <v>53.8</v>
      </c>
    </row>
    <row r="2545" spans="10:28">
      <c r="J2545" s="340" t="str">
        <f t="shared" si="127"/>
        <v>2009AllSexAllEth252</v>
      </c>
      <c r="K2545">
        <v>2009</v>
      </c>
      <c r="L2545" t="s">
        <v>17</v>
      </c>
      <c r="M2545" t="s">
        <v>27</v>
      </c>
      <c r="N2545">
        <v>25</v>
      </c>
      <c r="O2545">
        <v>2</v>
      </c>
      <c r="P2545">
        <v>9</v>
      </c>
      <c r="Q2545">
        <v>7.9607469030300404</v>
      </c>
      <c r="R2545">
        <v>5.2</v>
      </c>
      <c r="T2545" s="340" t="str">
        <f t="shared" si="128"/>
        <v>2008AllSexNon-Maori24Hanging, strangulation and suffocation</v>
      </c>
      <c r="U2545">
        <v>2008</v>
      </c>
      <c r="V2545" t="s">
        <v>17</v>
      </c>
      <c r="W2545" t="s">
        <v>19</v>
      </c>
      <c r="X2545">
        <v>24</v>
      </c>
      <c r="Y2545" t="s">
        <v>43</v>
      </c>
      <c r="Z2545">
        <v>70</v>
      </c>
      <c r="AA2545">
        <v>149</v>
      </c>
      <c r="AB2545">
        <v>47</v>
      </c>
    </row>
    <row r="2546" spans="10:28">
      <c r="J2546" s="340" t="str">
        <f t="shared" si="127"/>
        <v>2009AllSexAllEth253</v>
      </c>
      <c r="K2546">
        <v>2009</v>
      </c>
      <c r="L2546" t="s">
        <v>17</v>
      </c>
      <c r="M2546" t="s">
        <v>27</v>
      </c>
      <c r="N2546">
        <v>25</v>
      </c>
      <c r="O2546">
        <v>3</v>
      </c>
      <c r="P2546">
        <v>9</v>
      </c>
      <c r="Q2546">
        <v>7.6258764907202803</v>
      </c>
      <c r="R2546">
        <v>5</v>
      </c>
      <c r="T2546" s="340" t="str">
        <f t="shared" si="128"/>
        <v>2008AllSexNon-Maori25Hanging, strangulation and suffocation</v>
      </c>
      <c r="U2546">
        <v>2008</v>
      </c>
      <c r="V2546" t="s">
        <v>17</v>
      </c>
      <c r="W2546" t="s">
        <v>19</v>
      </c>
      <c r="X2546">
        <v>25</v>
      </c>
      <c r="Y2546" t="s">
        <v>43</v>
      </c>
      <c r="Z2546">
        <v>11</v>
      </c>
      <c r="AA2546">
        <v>50</v>
      </c>
      <c r="AB2546">
        <v>22</v>
      </c>
    </row>
    <row r="2547" spans="10:28">
      <c r="J2547" s="340" t="str">
        <f t="shared" si="127"/>
        <v>2009AllSexAllEth254</v>
      </c>
      <c r="K2547">
        <v>2009</v>
      </c>
      <c r="L2547" t="s">
        <v>17</v>
      </c>
      <c r="M2547" t="s">
        <v>27</v>
      </c>
      <c r="N2547">
        <v>25</v>
      </c>
      <c r="O2547">
        <v>4</v>
      </c>
      <c r="P2547">
        <v>13</v>
      </c>
      <c r="Q2547">
        <v>10.9220681739436</v>
      </c>
      <c r="R2547">
        <v>5.9</v>
      </c>
      <c r="T2547" s="340" t="str">
        <f t="shared" si="128"/>
        <v>2008AllSexNon-Maori22Jumping from a high place</v>
      </c>
      <c r="U2547">
        <v>2008</v>
      </c>
      <c r="V2547" t="s">
        <v>17</v>
      </c>
      <c r="W2547" t="s">
        <v>19</v>
      </c>
      <c r="X2547">
        <v>22</v>
      </c>
      <c r="Y2547" t="s">
        <v>44</v>
      </c>
      <c r="Z2547">
        <v>3</v>
      </c>
      <c r="AA2547">
        <v>86</v>
      </c>
      <c r="AB2547">
        <v>3.5</v>
      </c>
    </row>
    <row r="2548" spans="10:28">
      <c r="J2548" s="340" t="str">
        <f t="shared" si="127"/>
        <v>2009AllSexAllEth255</v>
      </c>
      <c r="K2548">
        <v>2009</v>
      </c>
      <c r="L2548" t="s">
        <v>17</v>
      </c>
      <c r="M2548" t="s">
        <v>27</v>
      </c>
      <c r="N2548">
        <v>25</v>
      </c>
      <c r="O2548">
        <v>5</v>
      </c>
      <c r="P2548">
        <v>8</v>
      </c>
      <c r="Q2548">
        <v>8.6152551911992195</v>
      </c>
      <c r="R2548">
        <v>6</v>
      </c>
      <c r="T2548" s="340" t="str">
        <f t="shared" si="128"/>
        <v>2008AllSexNon-Maori23Jumping from a high place</v>
      </c>
      <c r="U2548">
        <v>2008</v>
      </c>
      <c r="V2548" t="s">
        <v>17</v>
      </c>
      <c r="W2548" t="s">
        <v>19</v>
      </c>
      <c r="X2548">
        <v>23</v>
      </c>
      <c r="Y2548" t="s">
        <v>44</v>
      </c>
      <c r="Z2548">
        <v>5</v>
      </c>
      <c r="AA2548">
        <v>145</v>
      </c>
      <c r="AB2548">
        <v>3.4</v>
      </c>
    </row>
    <row r="2549" spans="10:28">
      <c r="J2549" s="340" t="str">
        <f t="shared" si="127"/>
        <v>2009AllSexMaori211</v>
      </c>
      <c r="K2549">
        <v>2009</v>
      </c>
      <c r="L2549" t="s">
        <v>17</v>
      </c>
      <c r="M2549" t="s">
        <v>18</v>
      </c>
      <c r="N2549">
        <v>21</v>
      </c>
      <c r="O2549">
        <v>1</v>
      </c>
      <c r="P2549">
        <v>1</v>
      </c>
      <c r="Q2549">
        <v>5.8795814419362502</v>
      </c>
      <c r="R2549">
        <v>11.5</v>
      </c>
      <c r="T2549" s="340" t="str">
        <f t="shared" si="128"/>
        <v>2008AllSexNon-Maori24Jumping from a high place</v>
      </c>
      <c r="U2549">
        <v>2008</v>
      </c>
      <c r="V2549" t="s">
        <v>17</v>
      </c>
      <c r="W2549" t="s">
        <v>19</v>
      </c>
      <c r="X2549">
        <v>24</v>
      </c>
      <c r="Y2549" t="s">
        <v>44</v>
      </c>
      <c r="Z2549">
        <v>6</v>
      </c>
      <c r="AA2549">
        <v>149</v>
      </c>
      <c r="AB2549">
        <v>4</v>
      </c>
    </row>
    <row r="2550" spans="10:28">
      <c r="J2550" s="340" t="str">
        <f t="shared" si="127"/>
        <v>2009AllSexMaori212</v>
      </c>
      <c r="K2550">
        <v>2009</v>
      </c>
      <c r="L2550" t="s">
        <v>17</v>
      </c>
      <c r="M2550" t="s">
        <v>18</v>
      </c>
      <c r="N2550">
        <v>21</v>
      </c>
      <c r="O2550">
        <v>2</v>
      </c>
      <c r="P2550">
        <v>1</v>
      </c>
      <c r="Q2550">
        <v>4.0885223914325497</v>
      </c>
      <c r="R2550">
        <v>8</v>
      </c>
      <c r="T2550" s="340" t="str">
        <f t="shared" si="128"/>
        <v>2008AllSexNon-Maori22Other</v>
      </c>
      <c r="U2550">
        <v>2008</v>
      </c>
      <c r="V2550" t="s">
        <v>17</v>
      </c>
      <c r="W2550" t="s">
        <v>19</v>
      </c>
      <c r="X2550">
        <v>22</v>
      </c>
      <c r="Y2550" t="s">
        <v>45</v>
      </c>
      <c r="Z2550">
        <v>5</v>
      </c>
      <c r="AA2550">
        <v>86</v>
      </c>
      <c r="AB2550">
        <v>5.8</v>
      </c>
    </row>
    <row r="2551" spans="10:28">
      <c r="J2551" s="340" t="str">
        <f t="shared" si="127"/>
        <v>2009AllSexMaori213</v>
      </c>
      <c r="K2551">
        <v>2009</v>
      </c>
      <c r="L2551" t="s">
        <v>17</v>
      </c>
      <c r="M2551" t="s">
        <v>18</v>
      </c>
      <c r="N2551">
        <v>21</v>
      </c>
      <c r="O2551">
        <v>3</v>
      </c>
      <c r="P2551">
        <v>1</v>
      </c>
      <c r="Q2551">
        <v>2.8612555949423202</v>
      </c>
      <c r="R2551">
        <v>5.6</v>
      </c>
      <c r="T2551" s="340" t="str">
        <f t="shared" si="128"/>
        <v>2008AllSexNon-Maori23Other</v>
      </c>
      <c r="U2551">
        <v>2008</v>
      </c>
      <c r="V2551" t="s">
        <v>17</v>
      </c>
      <c r="W2551" t="s">
        <v>19</v>
      </c>
      <c r="X2551">
        <v>23</v>
      </c>
      <c r="Y2551" t="s">
        <v>45</v>
      </c>
      <c r="Z2551">
        <v>5</v>
      </c>
      <c r="AA2551">
        <v>145</v>
      </c>
      <c r="AB2551">
        <v>3.4</v>
      </c>
    </row>
    <row r="2552" spans="10:28">
      <c r="J2552" s="340" t="str">
        <f t="shared" si="127"/>
        <v>2009AllSexMaori214</v>
      </c>
      <c r="K2552">
        <v>2009</v>
      </c>
      <c r="L2552" t="s">
        <v>17</v>
      </c>
      <c r="M2552" t="s">
        <v>18</v>
      </c>
      <c r="N2552">
        <v>21</v>
      </c>
      <c r="O2552">
        <v>4</v>
      </c>
      <c r="P2552">
        <v>1</v>
      </c>
      <c r="Q2552">
        <v>1.9247434033553801</v>
      </c>
      <c r="R2552">
        <v>3.8</v>
      </c>
      <c r="T2552" s="340" t="str">
        <f t="shared" si="128"/>
        <v>2008AllSexNon-Maori24Other</v>
      </c>
      <c r="U2552">
        <v>2008</v>
      </c>
      <c r="V2552" t="s">
        <v>17</v>
      </c>
      <c r="W2552" t="s">
        <v>19</v>
      </c>
      <c r="X2552">
        <v>24</v>
      </c>
      <c r="Y2552" t="s">
        <v>45</v>
      </c>
      <c r="Z2552">
        <v>6</v>
      </c>
      <c r="AA2552">
        <v>149</v>
      </c>
      <c r="AB2552">
        <v>4</v>
      </c>
    </row>
    <row r="2553" spans="10:28">
      <c r="J2553" s="340" t="str">
        <f t="shared" si="127"/>
        <v>2009AllSexMaori215</v>
      </c>
      <c r="K2553">
        <v>2009</v>
      </c>
      <c r="L2553" t="s">
        <v>17</v>
      </c>
      <c r="M2553" t="s">
        <v>18</v>
      </c>
      <c r="N2553">
        <v>21</v>
      </c>
      <c r="O2553">
        <v>5</v>
      </c>
      <c r="P2553">
        <v>1</v>
      </c>
      <c r="Q2553">
        <v>1.02586615024773</v>
      </c>
      <c r="R2553">
        <v>2</v>
      </c>
      <c r="T2553" s="340" t="str">
        <f t="shared" si="128"/>
        <v>2008AllSexNon-Maori25Other</v>
      </c>
      <c r="U2553">
        <v>2008</v>
      </c>
      <c r="V2553" t="s">
        <v>17</v>
      </c>
      <c r="W2553" t="s">
        <v>19</v>
      </c>
      <c r="X2553">
        <v>25</v>
      </c>
      <c r="Y2553" t="s">
        <v>45</v>
      </c>
      <c r="Z2553">
        <v>2</v>
      </c>
      <c r="AA2553">
        <v>50</v>
      </c>
      <c r="AB2553">
        <v>4</v>
      </c>
    </row>
    <row r="2554" spans="10:28">
      <c r="J2554" s="340" t="str">
        <f t="shared" si="127"/>
        <v>2009AllSexMaori221</v>
      </c>
      <c r="K2554">
        <v>2009</v>
      </c>
      <c r="L2554" t="s">
        <v>17</v>
      </c>
      <c r="M2554" t="s">
        <v>18</v>
      </c>
      <c r="N2554">
        <v>22</v>
      </c>
      <c r="O2554">
        <v>1</v>
      </c>
      <c r="P2554">
        <v>1</v>
      </c>
      <c r="Q2554">
        <v>11.549004648835201</v>
      </c>
      <c r="R2554">
        <v>22.6</v>
      </c>
      <c r="T2554" s="340" t="str">
        <f t="shared" si="128"/>
        <v>2008AllSexNon-Maori22Poisoning by gases and vapours</v>
      </c>
      <c r="U2554">
        <v>2008</v>
      </c>
      <c r="V2554" t="s">
        <v>17</v>
      </c>
      <c r="W2554" t="s">
        <v>19</v>
      </c>
      <c r="X2554">
        <v>22</v>
      </c>
      <c r="Y2554" t="s">
        <v>46</v>
      </c>
      <c r="Z2554">
        <v>14</v>
      </c>
      <c r="AA2554">
        <v>86</v>
      </c>
      <c r="AB2554">
        <v>16.3</v>
      </c>
    </row>
    <row r="2555" spans="10:28">
      <c r="J2555" s="340" t="str">
        <f t="shared" si="127"/>
        <v>2009AllSexMaori222</v>
      </c>
      <c r="K2555">
        <v>2009</v>
      </c>
      <c r="L2555" t="s">
        <v>17</v>
      </c>
      <c r="M2555" t="s">
        <v>18</v>
      </c>
      <c r="N2555">
        <v>22</v>
      </c>
      <c r="O2555">
        <v>2</v>
      </c>
      <c r="P2555">
        <v>2</v>
      </c>
      <c r="Q2555">
        <v>15.5284754169931</v>
      </c>
      <c r="R2555">
        <v>21.5</v>
      </c>
      <c r="T2555" s="340" t="str">
        <f t="shared" si="128"/>
        <v>2008AllSexNon-Maori23Poisoning by gases and vapours</v>
      </c>
      <c r="U2555">
        <v>2008</v>
      </c>
      <c r="V2555" t="s">
        <v>17</v>
      </c>
      <c r="W2555" t="s">
        <v>19</v>
      </c>
      <c r="X2555">
        <v>23</v>
      </c>
      <c r="Y2555" t="s">
        <v>46</v>
      </c>
      <c r="Z2555">
        <v>30</v>
      </c>
      <c r="AA2555">
        <v>145</v>
      </c>
      <c r="AB2555">
        <v>20.7</v>
      </c>
    </row>
    <row r="2556" spans="10:28">
      <c r="J2556" s="340" t="str">
        <f t="shared" si="127"/>
        <v>2009AllSexMaori223</v>
      </c>
      <c r="K2556">
        <v>2009</v>
      </c>
      <c r="L2556" t="s">
        <v>17</v>
      </c>
      <c r="M2556" t="s">
        <v>18</v>
      </c>
      <c r="N2556">
        <v>22</v>
      </c>
      <c r="O2556">
        <v>3</v>
      </c>
      <c r="P2556">
        <v>6</v>
      </c>
      <c r="Q2556">
        <v>30.6775877810298</v>
      </c>
      <c r="R2556">
        <v>24.5</v>
      </c>
      <c r="T2556" s="340" t="str">
        <f t="shared" si="128"/>
        <v>2008AllSexNon-Maori24Poisoning by gases and vapours</v>
      </c>
      <c r="U2556">
        <v>2008</v>
      </c>
      <c r="V2556" t="s">
        <v>17</v>
      </c>
      <c r="W2556" t="s">
        <v>19</v>
      </c>
      <c r="X2556">
        <v>24</v>
      </c>
      <c r="Y2556" t="s">
        <v>46</v>
      </c>
      <c r="Z2556">
        <v>21</v>
      </c>
      <c r="AA2556">
        <v>149</v>
      </c>
      <c r="AB2556">
        <v>14.1</v>
      </c>
    </row>
    <row r="2557" spans="10:28">
      <c r="J2557" s="340" t="str">
        <f t="shared" si="127"/>
        <v>2009AllSexMaori224</v>
      </c>
      <c r="K2557">
        <v>2009</v>
      </c>
      <c r="L2557" t="s">
        <v>17</v>
      </c>
      <c r="M2557" t="s">
        <v>18</v>
      </c>
      <c r="N2557">
        <v>22</v>
      </c>
      <c r="O2557">
        <v>4</v>
      </c>
      <c r="P2557">
        <v>7</v>
      </c>
      <c r="Q2557">
        <v>24.132200370588201</v>
      </c>
      <c r="R2557">
        <v>17.899999999999999</v>
      </c>
      <c r="T2557" s="340" t="str">
        <f t="shared" si="128"/>
        <v>2008AllSexNon-Maori25Poisoning by gases and vapours</v>
      </c>
      <c r="U2557">
        <v>2008</v>
      </c>
      <c r="V2557" t="s">
        <v>17</v>
      </c>
      <c r="W2557" t="s">
        <v>19</v>
      </c>
      <c r="X2557">
        <v>25</v>
      </c>
      <c r="Y2557" t="s">
        <v>46</v>
      </c>
      <c r="Z2557">
        <v>8</v>
      </c>
      <c r="AA2557">
        <v>50</v>
      </c>
      <c r="AB2557">
        <v>16</v>
      </c>
    </row>
    <row r="2558" spans="10:28">
      <c r="J2558" s="340" t="str">
        <f t="shared" si="127"/>
        <v>2009AllSexMaori225</v>
      </c>
      <c r="K2558">
        <v>2009</v>
      </c>
      <c r="L2558" t="s">
        <v>17</v>
      </c>
      <c r="M2558" t="s">
        <v>18</v>
      </c>
      <c r="N2558">
        <v>22</v>
      </c>
      <c r="O2558">
        <v>5</v>
      </c>
      <c r="P2558">
        <v>19</v>
      </c>
      <c r="Q2558">
        <v>37.2136445522221</v>
      </c>
      <c r="R2558">
        <v>16.7</v>
      </c>
      <c r="T2558" s="340" t="str">
        <f t="shared" si="128"/>
        <v>2008AllSexNon-Maori22Poisoning by solids and liquids</v>
      </c>
      <c r="U2558">
        <v>2008</v>
      </c>
      <c r="V2558" t="s">
        <v>17</v>
      </c>
      <c r="W2558" t="s">
        <v>19</v>
      </c>
      <c r="X2558">
        <v>22</v>
      </c>
      <c r="Y2558" t="s">
        <v>47</v>
      </c>
      <c r="Z2558">
        <v>4</v>
      </c>
      <c r="AA2558">
        <v>86</v>
      </c>
      <c r="AB2558">
        <v>4.7</v>
      </c>
    </row>
    <row r="2559" spans="10:28">
      <c r="J2559" s="340" t="str">
        <f t="shared" si="127"/>
        <v>2009AllSexMaori231</v>
      </c>
      <c r="K2559">
        <v>2009</v>
      </c>
      <c r="L2559" t="s">
        <v>17</v>
      </c>
      <c r="M2559" t="s">
        <v>18</v>
      </c>
      <c r="N2559">
        <v>23</v>
      </c>
      <c r="O2559">
        <v>1</v>
      </c>
      <c r="P2559">
        <v>1</v>
      </c>
      <c r="Q2559">
        <v>7.2606469772639901</v>
      </c>
      <c r="R2559">
        <v>14.2</v>
      </c>
      <c r="T2559" s="340" t="str">
        <f t="shared" si="128"/>
        <v>2008AllSexNon-Maori23Poisoning by solids and liquids</v>
      </c>
      <c r="U2559">
        <v>2008</v>
      </c>
      <c r="V2559" t="s">
        <v>17</v>
      </c>
      <c r="W2559" t="s">
        <v>19</v>
      </c>
      <c r="X2559">
        <v>23</v>
      </c>
      <c r="Y2559" t="s">
        <v>47</v>
      </c>
      <c r="Z2559">
        <v>15</v>
      </c>
      <c r="AA2559">
        <v>145</v>
      </c>
      <c r="AB2559">
        <v>10.3</v>
      </c>
    </row>
    <row r="2560" spans="10:28">
      <c r="J2560" s="340" t="str">
        <f t="shared" si="127"/>
        <v>2009AllSexMaori232</v>
      </c>
      <c r="K2560">
        <v>2009</v>
      </c>
      <c r="L2560" t="s">
        <v>17</v>
      </c>
      <c r="M2560" t="s">
        <v>18</v>
      </c>
      <c r="N2560">
        <v>23</v>
      </c>
      <c r="O2560">
        <v>2</v>
      </c>
      <c r="P2560">
        <v>4</v>
      </c>
      <c r="Q2560">
        <v>20.027558021922498</v>
      </c>
      <c r="R2560">
        <v>19.600000000000001</v>
      </c>
      <c r="T2560" s="340" t="str">
        <f t="shared" si="128"/>
        <v>2008AllSexNon-Maori24Poisoning by solids and liquids</v>
      </c>
      <c r="U2560">
        <v>2008</v>
      </c>
      <c r="V2560" t="s">
        <v>17</v>
      </c>
      <c r="W2560" t="s">
        <v>19</v>
      </c>
      <c r="X2560">
        <v>24</v>
      </c>
      <c r="Y2560" t="s">
        <v>47</v>
      </c>
      <c r="Z2560">
        <v>20</v>
      </c>
      <c r="AA2560">
        <v>149</v>
      </c>
      <c r="AB2560">
        <v>13.4</v>
      </c>
    </row>
    <row r="2561" spans="10:28">
      <c r="J2561" s="340" t="str">
        <f t="shared" si="127"/>
        <v>2009AllSexMaori233</v>
      </c>
      <c r="K2561">
        <v>2009</v>
      </c>
      <c r="L2561" t="s">
        <v>17</v>
      </c>
      <c r="M2561" t="s">
        <v>18</v>
      </c>
      <c r="N2561">
        <v>23</v>
      </c>
      <c r="O2561">
        <v>3</v>
      </c>
      <c r="P2561">
        <v>6</v>
      </c>
      <c r="Q2561">
        <v>21.5135080518323</v>
      </c>
      <c r="R2561">
        <v>17.2</v>
      </c>
      <c r="T2561" s="340" t="str">
        <f t="shared" si="128"/>
        <v>2008AllSexNon-Maori25Poisoning by solids and liquids</v>
      </c>
      <c r="U2561">
        <v>2008</v>
      </c>
      <c r="V2561" t="s">
        <v>17</v>
      </c>
      <c r="W2561" t="s">
        <v>19</v>
      </c>
      <c r="X2561">
        <v>25</v>
      </c>
      <c r="Y2561" t="s">
        <v>47</v>
      </c>
      <c r="Z2561">
        <v>13</v>
      </c>
      <c r="AA2561">
        <v>50</v>
      </c>
      <c r="AB2561">
        <v>26</v>
      </c>
    </row>
    <row r="2562" spans="10:28">
      <c r="J2562" s="340" t="str">
        <f t="shared" si="127"/>
        <v>2009AllSexMaori234</v>
      </c>
      <c r="K2562">
        <v>2009</v>
      </c>
      <c r="L2562" t="s">
        <v>17</v>
      </c>
      <c r="M2562" t="s">
        <v>18</v>
      </c>
      <c r="N2562">
        <v>23</v>
      </c>
      <c r="O2562">
        <v>4</v>
      </c>
      <c r="P2562">
        <v>7</v>
      </c>
      <c r="Q2562">
        <v>17.538187360115899</v>
      </c>
      <c r="R2562">
        <v>13</v>
      </c>
      <c r="T2562" s="340" t="str">
        <f t="shared" si="128"/>
        <v>2008AllSexNon-Maori22Sharp object</v>
      </c>
      <c r="U2562">
        <v>2008</v>
      </c>
      <c r="V2562" t="s">
        <v>17</v>
      </c>
      <c r="W2562" t="s">
        <v>19</v>
      </c>
      <c r="X2562">
        <v>22</v>
      </c>
      <c r="Y2562" t="s">
        <v>48</v>
      </c>
      <c r="Z2562">
        <v>1</v>
      </c>
      <c r="AA2562">
        <v>86</v>
      </c>
      <c r="AB2562">
        <v>1.2</v>
      </c>
    </row>
    <row r="2563" spans="10:28">
      <c r="J2563" s="340" t="str">
        <f t="shared" si="127"/>
        <v>2009AllSexMaori235</v>
      </c>
      <c r="K2563">
        <v>2009</v>
      </c>
      <c r="L2563" t="s">
        <v>17</v>
      </c>
      <c r="M2563" t="s">
        <v>18</v>
      </c>
      <c r="N2563">
        <v>23</v>
      </c>
      <c r="O2563">
        <v>5</v>
      </c>
      <c r="P2563">
        <v>13</v>
      </c>
      <c r="Q2563">
        <v>19.768169907375501</v>
      </c>
      <c r="R2563">
        <v>10.7</v>
      </c>
      <c r="T2563" s="340" t="str">
        <f t="shared" si="128"/>
        <v>2008AllSexNon-Maori23Sharp object</v>
      </c>
      <c r="U2563">
        <v>2008</v>
      </c>
      <c r="V2563" t="s">
        <v>17</v>
      </c>
      <c r="W2563" t="s">
        <v>19</v>
      </c>
      <c r="X2563">
        <v>23</v>
      </c>
      <c r="Y2563" t="s">
        <v>48</v>
      </c>
      <c r="Z2563">
        <v>3</v>
      </c>
      <c r="AA2563">
        <v>145</v>
      </c>
      <c r="AB2563">
        <v>2.1</v>
      </c>
    </row>
    <row r="2564" spans="10:28">
      <c r="J2564" s="340" t="str">
        <f t="shared" ref="J2564:J2627" si="129">K2564&amp;L2564&amp;M2564&amp;N2564&amp;O2564</f>
        <v>2009AllSexMaori241</v>
      </c>
      <c r="K2564">
        <v>2009</v>
      </c>
      <c r="L2564" t="s">
        <v>17</v>
      </c>
      <c r="M2564" t="s">
        <v>18</v>
      </c>
      <c r="N2564">
        <v>24</v>
      </c>
      <c r="O2564">
        <v>1</v>
      </c>
      <c r="P2564">
        <v>0</v>
      </c>
      <c r="Q2564">
        <v>0</v>
      </c>
      <c r="T2564" s="340" t="str">
        <f t="shared" si="128"/>
        <v>2008AllSexNon-Maori24Sharp object</v>
      </c>
      <c r="U2564">
        <v>2008</v>
      </c>
      <c r="V2564" t="s">
        <v>17</v>
      </c>
      <c r="W2564" t="s">
        <v>19</v>
      </c>
      <c r="X2564">
        <v>24</v>
      </c>
      <c r="Y2564" t="s">
        <v>48</v>
      </c>
      <c r="Z2564">
        <v>7</v>
      </c>
      <c r="AA2564">
        <v>149</v>
      </c>
      <c r="AB2564">
        <v>4.7</v>
      </c>
    </row>
    <row r="2565" spans="10:28">
      <c r="J2565" s="340" t="str">
        <f t="shared" si="129"/>
        <v>2009AllSexMaori242</v>
      </c>
      <c r="K2565">
        <v>2009</v>
      </c>
      <c r="L2565" t="s">
        <v>17</v>
      </c>
      <c r="M2565" t="s">
        <v>18</v>
      </c>
      <c r="N2565">
        <v>24</v>
      </c>
      <c r="O2565">
        <v>2</v>
      </c>
      <c r="P2565">
        <v>1</v>
      </c>
      <c r="Q2565">
        <v>7.8683622150388102</v>
      </c>
      <c r="R2565">
        <v>15.4</v>
      </c>
      <c r="T2565" s="340" t="str">
        <f t="shared" ref="T2565:T2628" si="130">U2565&amp;V2565&amp;W2565&amp;X2565&amp;Y2565</f>
        <v>2008AllSexNon-Maori25Sharp object</v>
      </c>
      <c r="U2565">
        <v>2008</v>
      </c>
      <c r="V2565" t="s">
        <v>17</v>
      </c>
      <c r="W2565" t="s">
        <v>19</v>
      </c>
      <c r="X2565">
        <v>25</v>
      </c>
      <c r="Y2565" t="s">
        <v>48</v>
      </c>
      <c r="Z2565">
        <v>2</v>
      </c>
      <c r="AA2565">
        <v>50</v>
      </c>
      <c r="AB2565">
        <v>4</v>
      </c>
    </row>
    <row r="2566" spans="10:28">
      <c r="J2566" s="340" t="str">
        <f t="shared" si="129"/>
        <v>2009AllSexMaori243</v>
      </c>
      <c r="K2566">
        <v>2009</v>
      </c>
      <c r="L2566" t="s">
        <v>17</v>
      </c>
      <c r="M2566" t="s">
        <v>18</v>
      </c>
      <c r="N2566">
        <v>24</v>
      </c>
      <c r="O2566">
        <v>3</v>
      </c>
      <c r="P2566">
        <v>1</v>
      </c>
      <c r="Q2566">
        <v>5.6445715564324503</v>
      </c>
      <c r="R2566">
        <v>11.1</v>
      </c>
      <c r="T2566" s="340" t="str">
        <f t="shared" si="130"/>
        <v>2008AllSexNon-Maori23Submersion (drowning)</v>
      </c>
      <c r="U2566">
        <v>2008</v>
      </c>
      <c r="V2566" t="s">
        <v>17</v>
      </c>
      <c r="W2566" t="s">
        <v>19</v>
      </c>
      <c r="X2566">
        <v>23</v>
      </c>
      <c r="Y2566" t="s">
        <v>49</v>
      </c>
      <c r="Z2566">
        <v>1</v>
      </c>
      <c r="AA2566">
        <v>145</v>
      </c>
      <c r="AB2566">
        <v>0.7</v>
      </c>
    </row>
    <row r="2567" spans="10:28">
      <c r="J2567" s="340" t="str">
        <f t="shared" si="129"/>
        <v>2009AllSexMaori244</v>
      </c>
      <c r="K2567">
        <v>2009</v>
      </c>
      <c r="L2567" t="s">
        <v>17</v>
      </c>
      <c r="M2567" t="s">
        <v>18</v>
      </c>
      <c r="N2567">
        <v>24</v>
      </c>
      <c r="O2567">
        <v>4</v>
      </c>
      <c r="P2567">
        <v>4</v>
      </c>
      <c r="Q2567">
        <v>15.5493262237782</v>
      </c>
      <c r="R2567">
        <v>15.2</v>
      </c>
      <c r="T2567" s="340" t="str">
        <f t="shared" si="130"/>
        <v>2008AllSexNon-Maori24Submersion (drowning)</v>
      </c>
      <c r="U2567">
        <v>2008</v>
      </c>
      <c r="V2567" t="s">
        <v>17</v>
      </c>
      <c r="W2567" t="s">
        <v>19</v>
      </c>
      <c r="X2567">
        <v>24</v>
      </c>
      <c r="Y2567" t="s">
        <v>49</v>
      </c>
      <c r="Z2567">
        <v>4</v>
      </c>
      <c r="AA2567">
        <v>149</v>
      </c>
      <c r="AB2567">
        <v>2.7</v>
      </c>
    </row>
    <row r="2568" spans="10:28">
      <c r="J2568" s="340" t="str">
        <f t="shared" si="129"/>
        <v>2009AllSexMaori245</v>
      </c>
      <c r="K2568">
        <v>2009</v>
      </c>
      <c r="L2568" t="s">
        <v>17</v>
      </c>
      <c r="M2568" t="s">
        <v>18</v>
      </c>
      <c r="N2568">
        <v>24</v>
      </c>
      <c r="O2568">
        <v>5</v>
      </c>
      <c r="P2568">
        <v>5</v>
      </c>
      <c r="Q2568">
        <v>10.960925315325699</v>
      </c>
      <c r="R2568">
        <v>9.6</v>
      </c>
      <c r="T2568" s="340" t="str">
        <f t="shared" si="130"/>
        <v>2008AllSexNon-Maori25Submersion (drowning)</v>
      </c>
      <c r="U2568">
        <v>2008</v>
      </c>
      <c r="V2568" t="s">
        <v>17</v>
      </c>
      <c r="W2568" t="s">
        <v>19</v>
      </c>
      <c r="X2568">
        <v>25</v>
      </c>
      <c r="Y2568" t="s">
        <v>49</v>
      </c>
      <c r="Z2568">
        <v>3</v>
      </c>
      <c r="AA2568">
        <v>50</v>
      </c>
      <c r="AB2568">
        <v>6</v>
      </c>
    </row>
    <row r="2569" spans="10:28">
      <c r="J2569" s="340" t="str">
        <f t="shared" si="129"/>
        <v>2009AllSexMaori251</v>
      </c>
      <c r="K2569">
        <v>2009</v>
      </c>
      <c r="L2569" t="s">
        <v>17</v>
      </c>
      <c r="M2569" t="s">
        <v>18</v>
      </c>
      <c r="N2569">
        <v>25</v>
      </c>
      <c r="O2569">
        <v>1</v>
      </c>
      <c r="P2569">
        <v>1</v>
      </c>
      <c r="Q2569">
        <v>55.544853097363998</v>
      </c>
      <c r="R2569">
        <v>108.9</v>
      </c>
      <c r="T2569" s="340" t="str">
        <f t="shared" si="130"/>
        <v>2008FemaleAllEth22Firearms and explosives</v>
      </c>
      <c r="U2569">
        <v>2008</v>
      </c>
      <c r="V2569" t="s">
        <v>8</v>
      </c>
      <c r="W2569" t="s">
        <v>27</v>
      </c>
      <c r="X2569">
        <v>22</v>
      </c>
      <c r="Y2569" t="s">
        <v>42</v>
      </c>
      <c r="Z2569">
        <v>1</v>
      </c>
      <c r="AA2569">
        <v>38</v>
      </c>
      <c r="AB2569">
        <v>2.6</v>
      </c>
    </row>
    <row r="2570" spans="10:28">
      <c r="J2570" s="340" t="str">
        <f t="shared" si="129"/>
        <v>2009AllSexMaori252</v>
      </c>
      <c r="K2570">
        <v>2009</v>
      </c>
      <c r="L2570" t="s">
        <v>17</v>
      </c>
      <c r="M2570" t="s">
        <v>18</v>
      </c>
      <c r="N2570">
        <v>25</v>
      </c>
      <c r="O2570">
        <v>2</v>
      </c>
      <c r="P2570">
        <v>0</v>
      </c>
      <c r="Q2570">
        <v>0</v>
      </c>
      <c r="T2570" s="340" t="str">
        <f t="shared" si="130"/>
        <v>2008FemaleAllEth23Firearms and explosives</v>
      </c>
      <c r="U2570">
        <v>2008</v>
      </c>
      <c r="V2570" t="s">
        <v>8</v>
      </c>
      <c r="W2570" t="s">
        <v>27</v>
      </c>
      <c r="X2570">
        <v>23</v>
      </c>
      <c r="Y2570" t="s">
        <v>42</v>
      </c>
      <c r="Z2570">
        <v>1</v>
      </c>
      <c r="AA2570">
        <v>49</v>
      </c>
      <c r="AB2570">
        <v>2</v>
      </c>
    </row>
    <row r="2571" spans="10:28">
      <c r="J2571" s="340" t="str">
        <f t="shared" si="129"/>
        <v>2009AllSexMaori253</v>
      </c>
      <c r="K2571">
        <v>2009</v>
      </c>
      <c r="L2571" t="s">
        <v>17</v>
      </c>
      <c r="M2571" t="s">
        <v>18</v>
      </c>
      <c r="N2571">
        <v>25</v>
      </c>
      <c r="O2571">
        <v>3</v>
      </c>
      <c r="P2571">
        <v>0</v>
      </c>
      <c r="Q2571">
        <v>0</v>
      </c>
      <c r="T2571" s="340" t="str">
        <f t="shared" si="130"/>
        <v>2008FemaleAllEth21Hanging, strangulation and suffocation</v>
      </c>
      <c r="U2571">
        <v>2008</v>
      </c>
      <c r="V2571" t="s">
        <v>8</v>
      </c>
      <c r="W2571" t="s">
        <v>27</v>
      </c>
      <c r="X2571">
        <v>21</v>
      </c>
      <c r="Y2571" t="s">
        <v>43</v>
      </c>
      <c r="Z2571">
        <v>3</v>
      </c>
      <c r="AA2571">
        <v>3</v>
      </c>
      <c r="AB2571">
        <v>100</v>
      </c>
    </row>
    <row r="2572" spans="10:28">
      <c r="J2572" s="340" t="str">
        <f t="shared" si="129"/>
        <v>2009AllSexMaori254</v>
      </c>
      <c r="K2572">
        <v>2009</v>
      </c>
      <c r="L2572" t="s">
        <v>17</v>
      </c>
      <c r="M2572" t="s">
        <v>18</v>
      </c>
      <c r="N2572">
        <v>25</v>
      </c>
      <c r="O2572">
        <v>4</v>
      </c>
      <c r="P2572">
        <v>0</v>
      </c>
      <c r="Q2572">
        <v>0</v>
      </c>
      <c r="T2572" s="340" t="str">
        <f t="shared" si="130"/>
        <v>2008FemaleAllEth22Hanging, strangulation and suffocation</v>
      </c>
      <c r="U2572">
        <v>2008</v>
      </c>
      <c r="V2572" t="s">
        <v>8</v>
      </c>
      <c r="W2572" t="s">
        <v>27</v>
      </c>
      <c r="X2572">
        <v>22</v>
      </c>
      <c r="Y2572" t="s">
        <v>43</v>
      </c>
      <c r="Z2572">
        <v>29</v>
      </c>
      <c r="AA2572">
        <v>38</v>
      </c>
      <c r="AB2572">
        <v>76.3</v>
      </c>
    </row>
    <row r="2573" spans="10:28">
      <c r="J2573" s="340" t="str">
        <f t="shared" si="129"/>
        <v>2009AllSexMaori255</v>
      </c>
      <c r="K2573">
        <v>2009</v>
      </c>
      <c r="L2573" t="s">
        <v>17</v>
      </c>
      <c r="M2573" t="s">
        <v>18</v>
      </c>
      <c r="N2573">
        <v>25</v>
      </c>
      <c r="O2573">
        <v>5</v>
      </c>
      <c r="P2573">
        <v>0</v>
      </c>
      <c r="Q2573">
        <v>0</v>
      </c>
      <c r="T2573" s="340" t="str">
        <f t="shared" si="130"/>
        <v>2008FemaleAllEth23Hanging, strangulation and suffocation</v>
      </c>
      <c r="U2573">
        <v>2008</v>
      </c>
      <c r="V2573" t="s">
        <v>8</v>
      </c>
      <c r="W2573" t="s">
        <v>27</v>
      </c>
      <c r="X2573">
        <v>23</v>
      </c>
      <c r="Y2573" t="s">
        <v>43</v>
      </c>
      <c r="Z2573">
        <v>29</v>
      </c>
      <c r="AA2573">
        <v>49</v>
      </c>
      <c r="AB2573">
        <v>59.2</v>
      </c>
    </row>
    <row r="2574" spans="10:28">
      <c r="J2574" s="340" t="str">
        <f t="shared" si="129"/>
        <v>2009AllSexNon-Maori211</v>
      </c>
      <c r="K2574">
        <v>2009</v>
      </c>
      <c r="L2574" t="s">
        <v>17</v>
      </c>
      <c r="M2574" t="s">
        <v>19</v>
      </c>
      <c r="N2574">
        <v>21</v>
      </c>
      <c r="O2574">
        <v>1</v>
      </c>
      <c r="P2574">
        <v>0</v>
      </c>
      <c r="Q2574">
        <v>0</v>
      </c>
      <c r="T2574" s="340" t="str">
        <f t="shared" si="130"/>
        <v>2008FemaleAllEth24Hanging, strangulation and suffocation</v>
      </c>
      <c r="U2574">
        <v>2008</v>
      </c>
      <c r="V2574" t="s">
        <v>8</v>
      </c>
      <c r="W2574" t="s">
        <v>27</v>
      </c>
      <c r="X2574">
        <v>24</v>
      </c>
      <c r="Y2574" t="s">
        <v>43</v>
      </c>
      <c r="Z2574">
        <v>16</v>
      </c>
      <c r="AA2574">
        <v>34</v>
      </c>
      <c r="AB2574">
        <v>47.1</v>
      </c>
    </row>
    <row r="2575" spans="10:28">
      <c r="J2575" s="340" t="str">
        <f t="shared" si="129"/>
        <v>2009AllSexNon-Maori212</v>
      </c>
      <c r="K2575">
        <v>2009</v>
      </c>
      <c r="L2575" t="s">
        <v>17</v>
      </c>
      <c r="M2575" t="s">
        <v>19</v>
      </c>
      <c r="N2575">
        <v>21</v>
      </c>
      <c r="O2575">
        <v>2</v>
      </c>
      <c r="P2575">
        <v>2</v>
      </c>
      <c r="Q2575">
        <v>1.3667485150057801</v>
      </c>
      <c r="R2575">
        <v>1.9</v>
      </c>
      <c r="T2575" s="340" t="str">
        <f t="shared" si="130"/>
        <v>2008FemaleAllEth25Hanging, strangulation and suffocation</v>
      </c>
      <c r="U2575">
        <v>2008</v>
      </c>
      <c r="V2575" t="s">
        <v>8</v>
      </c>
      <c r="W2575" t="s">
        <v>27</v>
      </c>
      <c r="X2575">
        <v>25</v>
      </c>
      <c r="Y2575" t="s">
        <v>43</v>
      </c>
      <c r="Z2575">
        <v>3</v>
      </c>
      <c r="AA2575">
        <v>15</v>
      </c>
      <c r="AB2575">
        <v>20</v>
      </c>
    </row>
    <row r="2576" spans="10:28">
      <c r="J2576" s="340" t="str">
        <f t="shared" si="129"/>
        <v>2009AllSexNon-Maori213</v>
      </c>
      <c r="K2576">
        <v>2009</v>
      </c>
      <c r="L2576" t="s">
        <v>17</v>
      </c>
      <c r="M2576" t="s">
        <v>19</v>
      </c>
      <c r="N2576">
        <v>21</v>
      </c>
      <c r="O2576">
        <v>3</v>
      </c>
      <c r="P2576">
        <v>0</v>
      </c>
      <c r="Q2576">
        <v>0</v>
      </c>
      <c r="T2576" s="340" t="str">
        <f t="shared" si="130"/>
        <v>2008FemaleAllEth23Jumping from a high place</v>
      </c>
      <c r="U2576">
        <v>2008</v>
      </c>
      <c r="V2576" t="s">
        <v>8</v>
      </c>
      <c r="W2576" t="s">
        <v>27</v>
      </c>
      <c r="X2576">
        <v>23</v>
      </c>
      <c r="Y2576" t="s">
        <v>44</v>
      </c>
      <c r="Z2576">
        <v>1</v>
      </c>
      <c r="AA2576">
        <v>49</v>
      </c>
      <c r="AB2576">
        <v>2</v>
      </c>
    </row>
    <row r="2577" spans="10:28">
      <c r="J2577" s="340" t="str">
        <f t="shared" si="129"/>
        <v>2009AllSexNon-Maori214</v>
      </c>
      <c r="K2577">
        <v>2009</v>
      </c>
      <c r="L2577" t="s">
        <v>17</v>
      </c>
      <c r="M2577" t="s">
        <v>19</v>
      </c>
      <c r="N2577">
        <v>21</v>
      </c>
      <c r="O2577">
        <v>4</v>
      </c>
      <c r="P2577">
        <v>1</v>
      </c>
      <c r="Q2577">
        <v>0.85082956342961202</v>
      </c>
      <c r="R2577">
        <v>1.7</v>
      </c>
      <c r="T2577" s="340" t="str">
        <f t="shared" si="130"/>
        <v>2008FemaleAllEth24Jumping from a high place</v>
      </c>
      <c r="U2577">
        <v>2008</v>
      </c>
      <c r="V2577" t="s">
        <v>8</v>
      </c>
      <c r="W2577" t="s">
        <v>27</v>
      </c>
      <c r="X2577">
        <v>24</v>
      </c>
      <c r="Y2577" t="s">
        <v>44</v>
      </c>
      <c r="Z2577">
        <v>1</v>
      </c>
      <c r="AA2577">
        <v>34</v>
      </c>
      <c r="AB2577">
        <v>2.9</v>
      </c>
    </row>
    <row r="2578" spans="10:28">
      <c r="J2578" s="340" t="str">
        <f t="shared" si="129"/>
        <v>2009AllSexNon-Maori215</v>
      </c>
      <c r="K2578">
        <v>2009</v>
      </c>
      <c r="L2578" t="s">
        <v>17</v>
      </c>
      <c r="M2578" t="s">
        <v>19</v>
      </c>
      <c r="N2578">
        <v>21</v>
      </c>
      <c r="O2578">
        <v>5</v>
      </c>
      <c r="P2578">
        <v>2</v>
      </c>
      <c r="Q2578">
        <v>1.7194316509388401</v>
      </c>
      <c r="R2578">
        <v>2.4</v>
      </c>
      <c r="T2578" s="340" t="str">
        <f t="shared" si="130"/>
        <v>2008FemaleAllEth22Other</v>
      </c>
      <c r="U2578">
        <v>2008</v>
      </c>
      <c r="V2578" t="s">
        <v>8</v>
      </c>
      <c r="W2578" t="s">
        <v>27</v>
      </c>
      <c r="X2578">
        <v>22</v>
      </c>
      <c r="Y2578" t="s">
        <v>45</v>
      </c>
      <c r="Z2578">
        <v>2</v>
      </c>
      <c r="AA2578">
        <v>38</v>
      </c>
      <c r="AB2578">
        <v>5.3</v>
      </c>
    </row>
    <row r="2579" spans="10:28">
      <c r="J2579" s="340" t="str">
        <f t="shared" si="129"/>
        <v>2009AllSexNon-Maori221</v>
      </c>
      <c r="K2579">
        <v>2009</v>
      </c>
      <c r="L2579" t="s">
        <v>17</v>
      </c>
      <c r="M2579" t="s">
        <v>19</v>
      </c>
      <c r="N2579">
        <v>22</v>
      </c>
      <c r="O2579">
        <v>1</v>
      </c>
      <c r="P2579">
        <v>15</v>
      </c>
      <c r="Q2579">
        <v>16.039434322912498</v>
      </c>
      <c r="R2579">
        <v>8.1</v>
      </c>
      <c r="T2579" s="340" t="str">
        <f t="shared" si="130"/>
        <v>2008FemaleAllEth24Other</v>
      </c>
      <c r="U2579">
        <v>2008</v>
      </c>
      <c r="V2579" t="s">
        <v>8</v>
      </c>
      <c r="W2579" t="s">
        <v>27</v>
      </c>
      <c r="X2579">
        <v>24</v>
      </c>
      <c r="Y2579" t="s">
        <v>45</v>
      </c>
      <c r="Z2579">
        <v>3</v>
      </c>
      <c r="AA2579">
        <v>34</v>
      </c>
      <c r="AB2579">
        <v>8.8000000000000007</v>
      </c>
    </row>
    <row r="2580" spans="10:28">
      <c r="J2580" s="340" t="str">
        <f t="shared" si="129"/>
        <v>2009AllSexNon-Maori222</v>
      </c>
      <c r="K2580">
        <v>2009</v>
      </c>
      <c r="L2580" t="s">
        <v>17</v>
      </c>
      <c r="M2580" t="s">
        <v>19</v>
      </c>
      <c r="N2580">
        <v>22</v>
      </c>
      <c r="O2580">
        <v>2</v>
      </c>
      <c r="P2580">
        <v>10</v>
      </c>
      <c r="Q2580">
        <v>10.410096181378201</v>
      </c>
      <c r="R2580">
        <v>6.5</v>
      </c>
      <c r="T2580" s="340" t="str">
        <f t="shared" si="130"/>
        <v>2008FemaleAllEth25Other</v>
      </c>
      <c r="U2580">
        <v>2008</v>
      </c>
      <c r="V2580" t="s">
        <v>8</v>
      </c>
      <c r="W2580" t="s">
        <v>27</v>
      </c>
      <c r="X2580">
        <v>25</v>
      </c>
      <c r="Y2580" t="s">
        <v>45</v>
      </c>
      <c r="Z2580">
        <v>1</v>
      </c>
      <c r="AA2580">
        <v>15</v>
      </c>
      <c r="AB2580">
        <v>6.7</v>
      </c>
    </row>
    <row r="2581" spans="10:28">
      <c r="J2581" s="340" t="str">
        <f t="shared" si="129"/>
        <v>2009AllSexNon-Maori223</v>
      </c>
      <c r="K2581">
        <v>2009</v>
      </c>
      <c r="L2581" t="s">
        <v>17</v>
      </c>
      <c r="M2581" t="s">
        <v>19</v>
      </c>
      <c r="N2581">
        <v>22</v>
      </c>
      <c r="O2581">
        <v>3</v>
      </c>
      <c r="P2581">
        <v>16</v>
      </c>
      <c r="Q2581">
        <v>16.269216944940499</v>
      </c>
      <c r="R2581">
        <v>8</v>
      </c>
      <c r="T2581" s="340" t="str">
        <f t="shared" si="130"/>
        <v>2008FemaleAllEth22Poisoning by gases and vapours</v>
      </c>
      <c r="U2581">
        <v>2008</v>
      </c>
      <c r="V2581" t="s">
        <v>8</v>
      </c>
      <c r="W2581" t="s">
        <v>27</v>
      </c>
      <c r="X2581">
        <v>22</v>
      </c>
      <c r="Y2581" t="s">
        <v>46</v>
      </c>
      <c r="Z2581">
        <v>1</v>
      </c>
      <c r="AA2581">
        <v>38</v>
      </c>
      <c r="AB2581">
        <v>2.6</v>
      </c>
    </row>
    <row r="2582" spans="10:28">
      <c r="J2582" s="340" t="str">
        <f t="shared" si="129"/>
        <v>2009AllSexNon-Maori224</v>
      </c>
      <c r="K2582">
        <v>2009</v>
      </c>
      <c r="L2582" t="s">
        <v>17</v>
      </c>
      <c r="M2582" t="s">
        <v>19</v>
      </c>
      <c r="N2582">
        <v>22</v>
      </c>
      <c r="O2582">
        <v>4</v>
      </c>
      <c r="P2582">
        <v>22</v>
      </c>
      <c r="Q2582">
        <v>21.964687597680602</v>
      </c>
      <c r="R2582">
        <v>9.1999999999999993</v>
      </c>
      <c r="T2582" s="340" t="str">
        <f t="shared" si="130"/>
        <v>2008FemaleAllEth23Poisoning by gases and vapours</v>
      </c>
      <c r="U2582">
        <v>2008</v>
      </c>
      <c r="V2582" t="s">
        <v>8</v>
      </c>
      <c r="W2582" t="s">
        <v>27</v>
      </c>
      <c r="X2582">
        <v>23</v>
      </c>
      <c r="Y2582" t="s">
        <v>46</v>
      </c>
      <c r="Z2582">
        <v>6</v>
      </c>
      <c r="AA2582">
        <v>49</v>
      </c>
      <c r="AB2582">
        <v>12.2</v>
      </c>
    </row>
    <row r="2583" spans="10:28">
      <c r="J2583" s="340" t="str">
        <f t="shared" si="129"/>
        <v>2009AllSexNon-Maori225</v>
      </c>
      <c r="K2583">
        <v>2009</v>
      </c>
      <c r="L2583" t="s">
        <v>17</v>
      </c>
      <c r="M2583" t="s">
        <v>19</v>
      </c>
      <c r="N2583">
        <v>22</v>
      </c>
      <c r="O2583">
        <v>5</v>
      </c>
      <c r="P2583">
        <v>18</v>
      </c>
      <c r="Q2583">
        <v>17.979522332622299</v>
      </c>
      <c r="R2583">
        <v>8.3000000000000007</v>
      </c>
      <c r="T2583" s="340" t="str">
        <f t="shared" si="130"/>
        <v>2008FemaleAllEth24Poisoning by gases and vapours</v>
      </c>
      <c r="U2583">
        <v>2008</v>
      </c>
      <c r="V2583" t="s">
        <v>8</v>
      </c>
      <c r="W2583" t="s">
        <v>27</v>
      </c>
      <c r="X2583">
        <v>24</v>
      </c>
      <c r="Y2583" t="s">
        <v>46</v>
      </c>
      <c r="Z2583">
        <v>3</v>
      </c>
      <c r="AA2583">
        <v>34</v>
      </c>
      <c r="AB2583">
        <v>8.8000000000000007</v>
      </c>
    </row>
    <row r="2584" spans="10:28">
      <c r="J2584" s="340" t="str">
        <f t="shared" si="129"/>
        <v>2009AllSexNon-Maori231</v>
      </c>
      <c r="K2584">
        <v>2009</v>
      </c>
      <c r="L2584" t="s">
        <v>17</v>
      </c>
      <c r="M2584" t="s">
        <v>19</v>
      </c>
      <c r="N2584">
        <v>23</v>
      </c>
      <c r="O2584">
        <v>1</v>
      </c>
      <c r="P2584">
        <v>18</v>
      </c>
      <c r="Q2584">
        <v>8.4078826754792502</v>
      </c>
      <c r="R2584">
        <v>3.9</v>
      </c>
      <c r="T2584" s="340" t="str">
        <f t="shared" si="130"/>
        <v>2008FemaleAllEth22Poisoning by solids and liquids</v>
      </c>
      <c r="U2584">
        <v>2008</v>
      </c>
      <c r="V2584" t="s">
        <v>8</v>
      </c>
      <c r="W2584" t="s">
        <v>27</v>
      </c>
      <c r="X2584">
        <v>22</v>
      </c>
      <c r="Y2584" t="s">
        <v>47</v>
      </c>
      <c r="Z2584">
        <v>4</v>
      </c>
      <c r="AA2584">
        <v>38</v>
      </c>
      <c r="AB2584">
        <v>10.5</v>
      </c>
    </row>
    <row r="2585" spans="10:28">
      <c r="J2585" s="340" t="str">
        <f t="shared" si="129"/>
        <v>2009AllSexNon-Maori232</v>
      </c>
      <c r="K2585">
        <v>2009</v>
      </c>
      <c r="L2585" t="s">
        <v>17</v>
      </c>
      <c r="M2585" t="s">
        <v>19</v>
      </c>
      <c r="N2585">
        <v>23</v>
      </c>
      <c r="O2585">
        <v>2</v>
      </c>
      <c r="P2585">
        <v>27</v>
      </c>
      <c r="Q2585">
        <v>12.250457343645399</v>
      </c>
      <c r="R2585">
        <v>4.5999999999999996</v>
      </c>
      <c r="T2585" s="340" t="str">
        <f t="shared" si="130"/>
        <v>2008FemaleAllEth23Poisoning by solids and liquids</v>
      </c>
      <c r="U2585">
        <v>2008</v>
      </c>
      <c r="V2585" t="s">
        <v>8</v>
      </c>
      <c r="W2585" t="s">
        <v>27</v>
      </c>
      <c r="X2585">
        <v>23</v>
      </c>
      <c r="Y2585" t="s">
        <v>47</v>
      </c>
      <c r="Z2585">
        <v>11</v>
      </c>
      <c r="AA2585">
        <v>49</v>
      </c>
      <c r="AB2585">
        <v>22.4</v>
      </c>
    </row>
    <row r="2586" spans="10:28">
      <c r="J2586" s="340" t="str">
        <f t="shared" si="129"/>
        <v>2009AllSexNon-Maori233</v>
      </c>
      <c r="K2586">
        <v>2009</v>
      </c>
      <c r="L2586" t="s">
        <v>17</v>
      </c>
      <c r="M2586" t="s">
        <v>19</v>
      </c>
      <c r="N2586">
        <v>23</v>
      </c>
      <c r="O2586">
        <v>3</v>
      </c>
      <c r="P2586">
        <v>25</v>
      </c>
      <c r="Q2586">
        <v>11.7408500486292</v>
      </c>
      <c r="R2586">
        <v>4.5999999999999996</v>
      </c>
      <c r="T2586" s="340" t="str">
        <f t="shared" si="130"/>
        <v>2008FemaleAllEth24Poisoning by solids and liquids</v>
      </c>
      <c r="U2586">
        <v>2008</v>
      </c>
      <c r="V2586" t="s">
        <v>8</v>
      </c>
      <c r="W2586" t="s">
        <v>27</v>
      </c>
      <c r="X2586">
        <v>24</v>
      </c>
      <c r="Y2586" t="s">
        <v>47</v>
      </c>
      <c r="Z2586">
        <v>11</v>
      </c>
      <c r="AA2586">
        <v>34</v>
      </c>
      <c r="AB2586">
        <v>32.4</v>
      </c>
    </row>
    <row r="2587" spans="10:28">
      <c r="J2587" s="340" t="str">
        <f t="shared" si="129"/>
        <v>2009AllSexNon-Maori234</v>
      </c>
      <c r="K2587">
        <v>2009</v>
      </c>
      <c r="L2587" t="s">
        <v>17</v>
      </c>
      <c r="M2587" t="s">
        <v>19</v>
      </c>
      <c r="N2587">
        <v>23</v>
      </c>
      <c r="O2587">
        <v>4</v>
      </c>
      <c r="P2587">
        <v>34</v>
      </c>
      <c r="Q2587">
        <v>17.324507743221801</v>
      </c>
      <c r="R2587">
        <v>5.8</v>
      </c>
      <c r="T2587" s="340" t="str">
        <f t="shared" si="130"/>
        <v>2008FemaleAllEth25Poisoning by solids and liquids</v>
      </c>
      <c r="U2587">
        <v>2008</v>
      </c>
      <c r="V2587" t="s">
        <v>8</v>
      </c>
      <c r="W2587" t="s">
        <v>27</v>
      </c>
      <c r="X2587">
        <v>25</v>
      </c>
      <c r="Y2587" t="s">
        <v>47</v>
      </c>
      <c r="Z2587">
        <v>8</v>
      </c>
      <c r="AA2587">
        <v>15</v>
      </c>
      <c r="AB2587">
        <v>53.3</v>
      </c>
    </row>
    <row r="2588" spans="10:28">
      <c r="J2588" s="340" t="str">
        <f t="shared" si="129"/>
        <v>2009AllSexNon-Maori235</v>
      </c>
      <c r="K2588">
        <v>2009</v>
      </c>
      <c r="L2588" t="s">
        <v>17</v>
      </c>
      <c r="M2588" t="s">
        <v>19</v>
      </c>
      <c r="N2588">
        <v>23</v>
      </c>
      <c r="O2588">
        <v>5</v>
      </c>
      <c r="P2588">
        <v>38</v>
      </c>
      <c r="Q2588">
        <v>24.614634084264999</v>
      </c>
      <c r="R2588">
        <v>7.8</v>
      </c>
      <c r="T2588" s="340" t="str">
        <f t="shared" si="130"/>
        <v>2008FemaleAllEth22Sharp object</v>
      </c>
      <c r="U2588">
        <v>2008</v>
      </c>
      <c r="V2588" t="s">
        <v>8</v>
      </c>
      <c r="W2588" t="s">
        <v>27</v>
      </c>
      <c r="X2588">
        <v>22</v>
      </c>
      <c r="Y2588" t="s">
        <v>48</v>
      </c>
      <c r="Z2588">
        <v>1</v>
      </c>
      <c r="AA2588">
        <v>38</v>
      </c>
      <c r="AB2588">
        <v>2.6</v>
      </c>
    </row>
    <row r="2589" spans="10:28">
      <c r="J2589" s="340" t="str">
        <f t="shared" si="129"/>
        <v>2009AllSexNon-Maori241</v>
      </c>
      <c r="K2589">
        <v>2009</v>
      </c>
      <c r="L2589" t="s">
        <v>17</v>
      </c>
      <c r="M2589" t="s">
        <v>19</v>
      </c>
      <c r="N2589">
        <v>24</v>
      </c>
      <c r="O2589">
        <v>1</v>
      </c>
      <c r="P2589">
        <v>25</v>
      </c>
      <c r="Q2589">
        <v>9.7549736578416208</v>
      </c>
      <c r="R2589">
        <v>3.8</v>
      </c>
      <c r="T2589" s="340" t="str">
        <f t="shared" si="130"/>
        <v>2008FemaleAllEth25Sharp object</v>
      </c>
      <c r="U2589">
        <v>2008</v>
      </c>
      <c r="V2589" t="s">
        <v>8</v>
      </c>
      <c r="W2589" t="s">
        <v>27</v>
      </c>
      <c r="X2589">
        <v>25</v>
      </c>
      <c r="Y2589" t="s">
        <v>48</v>
      </c>
      <c r="Z2589">
        <v>1</v>
      </c>
      <c r="AA2589">
        <v>15</v>
      </c>
      <c r="AB2589">
        <v>6.7</v>
      </c>
    </row>
    <row r="2590" spans="10:28">
      <c r="J2590" s="340" t="str">
        <f t="shared" si="129"/>
        <v>2009AllSexNon-Maori242</v>
      </c>
      <c r="K2590">
        <v>2009</v>
      </c>
      <c r="L2590" t="s">
        <v>17</v>
      </c>
      <c r="M2590" t="s">
        <v>19</v>
      </c>
      <c r="N2590">
        <v>24</v>
      </c>
      <c r="O2590">
        <v>2</v>
      </c>
      <c r="P2590">
        <v>33</v>
      </c>
      <c r="Q2590">
        <v>14.8461512393957</v>
      </c>
      <c r="R2590">
        <v>5.0999999999999996</v>
      </c>
      <c r="T2590" s="340" t="str">
        <f t="shared" si="130"/>
        <v>2008FemaleAllEth23Submersion (drowning)</v>
      </c>
      <c r="U2590">
        <v>2008</v>
      </c>
      <c r="V2590" t="s">
        <v>8</v>
      </c>
      <c r="W2590" t="s">
        <v>27</v>
      </c>
      <c r="X2590">
        <v>23</v>
      </c>
      <c r="Y2590" t="s">
        <v>49</v>
      </c>
      <c r="Z2590">
        <v>1</v>
      </c>
      <c r="AA2590">
        <v>49</v>
      </c>
      <c r="AB2590">
        <v>2</v>
      </c>
    </row>
    <row r="2591" spans="10:28">
      <c r="J2591" s="340" t="str">
        <f t="shared" si="129"/>
        <v>2009AllSexNon-Maori243</v>
      </c>
      <c r="K2591">
        <v>2009</v>
      </c>
      <c r="L2591" t="s">
        <v>17</v>
      </c>
      <c r="M2591" t="s">
        <v>19</v>
      </c>
      <c r="N2591">
        <v>24</v>
      </c>
      <c r="O2591">
        <v>3</v>
      </c>
      <c r="P2591">
        <v>23</v>
      </c>
      <c r="Q2591">
        <v>11.8586521427984</v>
      </c>
      <c r="R2591">
        <v>4.8</v>
      </c>
      <c r="T2591" s="340" t="str">
        <f t="shared" si="130"/>
        <v>2008FemaleAllEth25Submersion (drowning)</v>
      </c>
      <c r="U2591">
        <v>2008</v>
      </c>
      <c r="V2591" t="s">
        <v>8</v>
      </c>
      <c r="W2591" t="s">
        <v>27</v>
      </c>
      <c r="X2591">
        <v>25</v>
      </c>
      <c r="Y2591" t="s">
        <v>49</v>
      </c>
      <c r="Z2591">
        <v>2</v>
      </c>
      <c r="AA2591">
        <v>15</v>
      </c>
      <c r="AB2591">
        <v>13.3</v>
      </c>
    </row>
    <row r="2592" spans="10:28">
      <c r="J2592" s="340" t="str">
        <f t="shared" si="129"/>
        <v>2009AllSexNon-Maori244</v>
      </c>
      <c r="K2592">
        <v>2009</v>
      </c>
      <c r="L2592" t="s">
        <v>17</v>
      </c>
      <c r="M2592" t="s">
        <v>19</v>
      </c>
      <c r="N2592">
        <v>24</v>
      </c>
      <c r="O2592">
        <v>4</v>
      </c>
      <c r="P2592">
        <v>40</v>
      </c>
      <c r="Q2592">
        <v>23.829750272057701</v>
      </c>
      <c r="R2592">
        <v>7.4</v>
      </c>
      <c r="T2592" s="340" t="str">
        <f t="shared" si="130"/>
        <v>2008FemaleMaori22Firearms and explosives</v>
      </c>
      <c r="U2592">
        <v>2008</v>
      </c>
      <c r="V2592" t="s">
        <v>8</v>
      </c>
      <c r="W2592" t="s">
        <v>18</v>
      </c>
      <c r="X2592">
        <v>22</v>
      </c>
      <c r="Y2592" t="s">
        <v>42</v>
      </c>
      <c r="Z2592">
        <v>1</v>
      </c>
      <c r="AA2592">
        <v>18</v>
      </c>
      <c r="AB2592">
        <v>5.6</v>
      </c>
    </row>
    <row r="2593" spans="10:28">
      <c r="J2593" s="340" t="str">
        <f t="shared" si="129"/>
        <v>2009AllSexNon-Maori245</v>
      </c>
      <c r="K2593">
        <v>2009</v>
      </c>
      <c r="L2593" t="s">
        <v>17</v>
      </c>
      <c r="M2593" t="s">
        <v>19</v>
      </c>
      <c r="N2593">
        <v>24</v>
      </c>
      <c r="O2593">
        <v>5</v>
      </c>
      <c r="P2593">
        <v>24</v>
      </c>
      <c r="Q2593">
        <v>18.928635170409599</v>
      </c>
      <c r="R2593">
        <v>7.6</v>
      </c>
      <c r="T2593" s="340" t="str">
        <f t="shared" si="130"/>
        <v>2008FemaleMaori21Hanging, strangulation and suffocation</v>
      </c>
      <c r="U2593">
        <v>2008</v>
      </c>
      <c r="V2593" t="s">
        <v>8</v>
      </c>
      <c r="W2593" t="s">
        <v>18</v>
      </c>
      <c r="X2593">
        <v>21</v>
      </c>
      <c r="Y2593" t="s">
        <v>43</v>
      </c>
      <c r="Z2593">
        <v>2</v>
      </c>
      <c r="AA2593">
        <v>2</v>
      </c>
      <c r="AB2593">
        <v>100</v>
      </c>
    </row>
    <row r="2594" spans="10:28">
      <c r="J2594" s="340" t="str">
        <f t="shared" si="129"/>
        <v>2009AllSexNon-Maori251</v>
      </c>
      <c r="K2594">
        <v>2009</v>
      </c>
      <c r="L2594" t="s">
        <v>17</v>
      </c>
      <c r="M2594" t="s">
        <v>19</v>
      </c>
      <c r="N2594">
        <v>25</v>
      </c>
      <c r="O2594">
        <v>1</v>
      </c>
      <c r="P2594">
        <v>12</v>
      </c>
      <c r="Q2594">
        <v>11.5053243560706</v>
      </c>
      <c r="R2594">
        <v>6.5</v>
      </c>
      <c r="T2594" s="340" t="str">
        <f t="shared" si="130"/>
        <v>2008FemaleMaori22Hanging, strangulation and suffocation</v>
      </c>
      <c r="U2594">
        <v>2008</v>
      </c>
      <c r="V2594" t="s">
        <v>8</v>
      </c>
      <c r="W2594" t="s">
        <v>18</v>
      </c>
      <c r="X2594">
        <v>22</v>
      </c>
      <c r="Y2594" t="s">
        <v>43</v>
      </c>
      <c r="Z2594">
        <v>16</v>
      </c>
      <c r="AA2594">
        <v>18</v>
      </c>
      <c r="AB2594">
        <v>88.9</v>
      </c>
    </row>
    <row r="2595" spans="10:28">
      <c r="J2595" s="340" t="str">
        <f t="shared" si="129"/>
        <v>2009AllSexNon-Maori252</v>
      </c>
      <c r="K2595">
        <v>2009</v>
      </c>
      <c r="L2595" t="s">
        <v>17</v>
      </c>
      <c r="M2595" t="s">
        <v>19</v>
      </c>
      <c r="N2595">
        <v>25</v>
      </c>
      <c r="O2595">
        <v>2</v>
      </c>
      <c r="P2595">
        <v>9</v>
      </c>
      <c r="Q2595">
        <v>8.1368990288494203</v>
      </c>
      <c r="R2595">
        <v>5.3</v>
      </c>
      <c r="T2595" s="340" t="str">
        <f t="shared" si="130"/>
        <v>2008FemaleMaori23Hanging, strangulation and suffocation</v>
      </c>
      <c r="U2595">
        <v>2008</v>
      </c>
      <c r="V2595" t="s">
        <v>8</v>
      </c>
      <c r="W2595" t="s">
        <v>18</v>
      </c>
      <c r="X2595">
        <v>23</v>
      </c>
      <c r="Y2595" t="s">
        <v>43</v>
      </c>
      <c r="Z2595">
        <v>8</v>
      </c>
      <c r="AA2595">
        <v>9</v>
      </c>
      <c r="AB2595">
        <v>88.9</v>
      </c>
    </row>
    <row r="2596" spans="10:28">
      <c r="J2596" s="340" t="str">
        <f t="shared" si="129"/>
        <v>2009AllSexNon-Maori253</v>
      </c>
      <c r="K2596">
        <v>2009</v>
      </c>
      <c r="L2596" t="s">
        <v>17</v>
      </c>
      <c r="M2596" t="s">
        <v>19</v>
      </c>
      <c r="N2596">
        <v>25</v>
      </c>
      <c r="O2596">
        <v>3</v>
      </c>
      <c r="P2596">
        <v>9</v>
      </c>
      <c r="Q2596">
        <v>7.9295672413728404</v>
      </c>
      <c r="R2596">
        <v>5.2</v>
      </c>
      <c r="T2596" s="340" t="str">
        <f t="shared" si="130"/>
        <v>2008FemaleMaori24Hanging, strangulation and suffocation</v>
      </c>
      <c r="U2596">
        <v>2008</v>
      </c>
      <c r="V2596" t="s">
        <v>8</v>
      </c>
      <c r="W2596" t="s">
        <v>18</v>
      </c>
      <c r="X2596">
        <v>24</v>
      </c>
      <c r="Y2596" t="s">
        <v>43</v>
      </c>
      <c r="Z2596">
        <v>2</v>
      </c>
      <c r="AA2596">
        <v>2</v>
      </c>
      <c r="AB2596">
        <v>100</v>
      </c>
    </row>
    <row r="2597" spans="10:28">
      <c r="J2597" s="340" t="str">
        <f t="shared" si="129"/>
        <v>2009AllSexNon-Maori254</v>
      </c>
      <c r="K2597">
        <v>2009</v>
      </c>
      <c r="L2597" t="s">
        <v>17</v>
      </c>
      <c r="M2597" t="s">
        <v>19</v>
      </c>
      <c r="N2597">
        <v>25</v>
      </c>
      <c r="O2597">
        <v>4</v>
      </c>
      <c r="P2597">
        <v>13</v>
      </c>
      <c r="Q2597">
        <v>11.6680114689412</v>
      </c>
      <c r="R2597">
        <v>6.3</v>
      </c>
      <c r="T2597" s="340" t="str">
        <f t="shared" si="130"/>
        <v>2008FemaleMaori22Poisoning by solids and liquids</v>
      </c>
      <c r="U2597">
        <v>2008</v>
      </c>
      <c r="V2597" t="s">
        <v>8</v>
      </c>
      <c r="W2597" t="s">
        <v>18</v>
      </c>
      <c r="X2597">
        <v>22</v>
      </c>
      <c r="Y2597" t="s">
        <v>47</v>
      </c>
      <c r="Z2597">
        <v>1</v>
      </c>
      <c r="AA2597">
        <v>18</v>
      </c>
      <c r="AB2597">
        <v>5.6</v>
      </c>
    </row>
    <row r="2598" spans="10:28">
      <c r="J2598" s="340" t="str">
        <f t="shared" si="129"/>
        <v>2009AllSexNon-Maori255</v>
      </c>
      <c r="K2598">
        <v>2009</v>
      </c>
      <c r="L2598" t="s">
        <v>17</v>
      </c>
      <c r="M2598" t="s">
        <v>19</v>
      </c>
      <c r="N2598">
        <v>25</v>
      </c>
      <c r="O2598">
        <v>5</v>
      </c>
      <c r="P2598">
        <v>8</v>
      </c>
      <c r="Q2598">
        <v>10.1076171298003</v>
      </c>
      <c r="R2598">
        <v>7</v>
      </c>
      <c r="T2598" s="340" t="str">
        <f t="shared" si="130"/>
        <v>2008FemaleMaori23Poisoning by solids and liquids</v>
      </c>
      <c r="U2598">
        <v>2008</v>
      </c>
      <c r="V2598" t="s">
        <v>8</v>
      </c>
      <c r="W2598" t="s">
        <v>18</v>
      </c>
      <c r="X2598">
        <v>23</v>
      </c>
      <c r="Y2598" t="s">
        <v>47</v>
      </c>
      <c r="Z2598">
        <v>1</v>
      </c>
      <c r="AA2598">
        <v>9</v>
      </c>
      <c r="AB2598">
        <v>11.1</v>
      </c>
    </row>
    <row r="2599" spans="10:28">
      <c r="J2599" s="340" t="str">
        <f t="shared" si="129"/>
        <v>2009FemaleAllEth211</v>
      </c>
      <c r="K2599">
        <v>2009</v>
      </c>
      <c r="L2599" t="s">
        <v>8</v>
      </c>
      <c r="M2599" t="s">
        <v>27</v>
      </c>
      <c r="N2599">
        <v>21</v>
      </c>
      <c r="O2599">
        <v>1</v>
      </c>
      <c r="P2599">
        <v>0</v>
      </c>
      <c r="Q2599">
        <v>0</v>
      </c>
      <c r="T2599" s="340" t="str">
        <f t="shared" si="130"/>
        <v>2008FemaleNon-Maori23Firearms and explosives</v>
      </c>
      <c r="U2599">
        <v>2008</v>
      </c>
      <c r="V2599" t="s">
        <v>8</v>
      </c>
      <c r="W2599" t="s">
        <v>19</v>
      </c>
      <c r="X2599">
        <v>23</v>
      </c>
      <c r="Y2599" t="s">
        <v>42</v>
      </c>
      <c r="Z2599">
        <v>1</v>
      </c>
      <c r="AA2599">
        <v>40</v>
      </c>
      <c r="AB2599">
        <v>2.5</v>
      </c>
    </row>
    <row r="2600" spans="10:28">
      <c r="J2600" s="340" t="str">
        <f t="shared" si="129"/>
        <v>2009FemaleAllEth212</v>
      </c>
      <c r="K2600">
        <v>2009</v>
      </c>
      <c r="L2600" t="s">
        <v>8</v>
      </c>
      <c r="M2600" t="s">
        <v>27</v>
      </c>
      <c r="N2600">
        <v>21</v>
      </c>
      <c r="O2600">
        <v>2</v>
      </c>
      <c r="P2600">
        <v>1</v>
      </c>
      <c r="Q2600">
        <v>1.2027586424247201</v>
      </c>
      <c r="R2600">
        <v>2.4</v>
      </c>
      <c r="T2600" s="340" t="str">
        <f t="shared" si="130"/>
        <v>2008FemaleNon-Maori21Hanging, strangulation and suffocation</v>
      </c>
      <c r="U2600">
        <v>2008</v>
      </c>
      <c r="V2600" t="s">
        <v>8</v>
      </c>
      <c r="W2600" t="s">
        <v>19</v>
      </c>
      <c r="X2600">
        <v>21</v>
      </c>
      <c r="Y2600" t="s">
        <v>43</v>
      </c>
      <c r="Z2600">
        <v>1</v>
      </c>
      <c r="AA2600">
        <v>1</v>
      </c>
      <c r="AB2600">
        <v>100</v>
      </c>
    </row>
    <row r="2601" spans="10:28">
      <c r="J2601" s="340" t="str">
        <f t="shared" si="129"/>
        <v>2009FemaleAllEth213</v>
      </c>
      <c r="K2601">
        <v>2009</v>
      </c>
      <c r="L2601" t="s">
        <v>8</v>
      </c>
      <c r="M2601" t="s">
        <v>27</v>
      </c>
      <c r="N2601">
        <v>21</v>
      </c>
      <c r="O2601">
        <v>3</v>
      </c>
      <c r="P2601">
        <v>0</v>
      </c>
      <c r="Q2601">
        <v>0</v>
      </c>
      <c r="T2601" s="340" t="str">
        <f t="shared" si="130"/>
        <v>2008FemaleNon-Maori22Hanging, strangulation and suffocation</v>
      </c>
      <c r="U2601">
        <v>2008</v>
      </c>
      <c r="V2601" t="s">
        <v>8</v>
      </c>
      <c r="W2601" t="s">
        <v>19</v>
      </c>
      <c r="X2601">
        <v>22</v>
      </c>
      <c r="Y2601" t="s">
        <v>43</v>
      </c>
      <c r="Z2601">
        <v>13</v>
      </c>
      <c r="AA2601">
        <v>20</v>
      </c>
      <c r="AB2601">
        <v>65</v>
      </c>
    </row>
    <row r="2602" spans="10:28">
      <c r="J2602" s="340" t="str">
        <f t="shared" si="129"/>
        <v>2009FemaleAllEth214</v>
      </c>
      <c r="K2602">
        <v>2009</v>
      </c>
      <c r="L2602" t="s">
        <v>8</v>
      </c>
      <c r="M2602" t="s">
        <v>27</v>
      </c>
      <c r="N2602">
        <v>21</v>
      </c>
      <c r="O2602">
        <v>4</v>
      </c>
      <c r="P2602">
        <v>1</v>
      </c>
      <c r="Q2602">
        <v>1.21844122115413</v>
      </c>
      <c r="R2602">
        <v>2.4</v>
      </c>
      <c r="T2602" s="340" t="str">
        <f t="shared" si="130"/>
        <v>2008FemaleNon-Maori23Hanging, strangulation and suffocation</v>
      </c>
      <c r="U2602">
        <v>2008</v>
      </c>
      <c r="V2602" t="s">
        <v>8</v>
      </c>
      <c r="W2602" t="s">
        <v>19</v>
      </c>
      <c r="X2602">
        <v>23</v>
      </c>
      <c r="Y2602" t="s">
        <v>43</v>
      </c>
      <c r="Z2602">
        <v>21</v>
      </c>
      <c r="AA2602">
        <v>40</v>
      </c>
      <c r="AB2602">
        <v>52.5</v>
      </c>
    </row>
    <row r="2603" spans="10:28">
      <c r="J2603" s="340" t="str">
        <f t="shared" si="129"/>
        <v>2009FemaleAllEth215</v>
      </c>
      <c r="K2603">
        <v>2009</v>
      </c>
      <c r="L2603" t="s">
        <v>8</v>
      </c>
      <c r="M2603" t="s">
        <v>27</v>
      </c>
      <c r="N2603">
        <v>21</v>
      </c>
      <c r="O2603">
        <v>5</v>
      </c>
      <c r="P2603">
        <v>2</v>
      </c>
      <c r="Q2603">
        <v>1.9177804818441699</v>
      </c>
      <c r="R2603">
        <v>2.7</v>
      </c>
      <c r="T2603" s="340" t="str">
        <f t="shared" si="130"/>
        <v>2008FemaleNon-Maori24Hanging, strangulation and suffocation</v>
      </c>
      <c r="U2603">
        <v>2008</v>
      </c>
      <c r="V2603" t="s">
        <v>8</v>
      </c>
      <c r="W2603" t="s">
        <v>19</v>
      </c>
      <c r="X2603">
        <v>24</v>
      </c>
      <c r="Y2603" t="s">
        <v>43</v>
      </c>
      <c r="Z2603">
        <v>14</v>
      </c>
      <c r="AA2603">
        <v>32</v>
      </c>
      <c r="AB2603">
        <v>43.8</v>
      </c>
    </row>
    <row r="2604" spans="10:28">
      <c r="J2604" s="340" t="str">
        <f t="shared" si="129"/>
        <v>2009FemaleAllEth221</v>
      </c>
      <c r="K2604">
        <v>2009</v>
      </c>
      <c r="L2604" t="s">
        <v>8</v>
      </c>
      <c r="M2604" t="s">
        <v>27</v>
      </c>
      <c r="N2604">
        <v>22</v>
      </c>
      <c r="O2604">
        <v>1</v>
      </c>
      <c r="P2604">
        <v>1</v>
      </c>
      <c r="Q2604">
        <v>2.0327084956135102</v>
      </c>
      <c r="R2604">
        <v>4</v>
      </c>
      <c r="T2604" s="340" t="str">
        <f t="shared" si="130"/>
        <v>2008FemaleNon-Maori25Hanging, strangulation and suffocation</v>
      </c>
      <c r="U2604">
        <v>2008</v>
      </c>
      <c r="V2604" t="s">
        <v>8</v>
      </c>
      <c r="W2604" t="s">
        <v>19</v>
      </c>
      <c r="X2604">
        <v>25</v>
      </c>
      <c r="Y2604" t="s">
        <v>43</v>
      </c>
      <c r="Z2604">
        <v>3</v>
      </c>
      <c r="AA2604">
        <v>15</v>
      </c>
      <c r="AB2604">
        <v>20</v>
      </c>
    </row>
    <row r="2605" spans="10:28">
      <c r="J2605" s="340" t="str">
        <f t="shared" si="129"/>
        <v>2009FemaleAllEth222</v>
      </c>
      <c r="K2605">
        <v>2009</v>
      </c>
      <c r="L2605" t="s">
        <v>8</v>
      </c>
      <c r="M2605" t="s">
        <v>27</v>
      </c>
      <c r="N2605">
        <v>22</v>
      </c>
      <c r="O2605">
        <v>2</v>
      </c>
      <c r="P2605">
        <v>2</v>
      </c>
      <c r="Q2605">
        <v>3.7930639383244702</v>
      </c>
      <c r="R2605">
        <v>5.3</v>
      </c>
      <c r="T2605" s="340" t="str">
        <f t="shared" si="130"/>
        <v>2008FemaleNon-Maori23Jumping from a high place</v>
      </c>
      <c r="U2605">
        <v>2008</v>
      </c>
      <c r="V2605" t="s">
        <v>8</v>
      </c>
      <c r="W2605" t="s">
        <v>19</v>
      </c>
      <c r="X2605">
        <v>23</v>
      </c>
      <c r="Y2605" t="s">
        <v>44</v>
      </c>
      <c r="Z2605">
        <v>1</v>
      </c>
      <c r="AA2605">
        <v>40</v>
      </c>
      <c r="AB2605">
        <v>2.5</v>
      </c>
    </row>
    <row r="2606" spans="10:28">
      <c r="J2606" s="340" t="str">
        <f t="shared" si="129"/>
        <v>2009FemaleAllEth223</v>
      </c>
      <c r="K2606">
        <v>2009</v>
      </c>
      <c r="L2606" t="s">
        <v>8</v>
      </c>
      <c r="M2606" t="s">
        <v>27</v>
      </c>
      <c r="N2606">
        <v>22</v>
      </c>
      <c r="O2606">
        <v>3</v>
      </c>
      <c r="P2606">
        <v>4</v>
      </c>
      <c r="Q2606">
        <v>6.8965098891275298</v>
      </c>
      <c r="R2606">
        <v>6.8</v>
      </c>
      <c r="T2606" s="340" t="str">
        <f t="shared" si="130"/>
        <v>2008FemaleNon-Maori24Jumping from a high place</v>
      </c>
      <c r="U2606">
        <v>2008</v>
      </c>
      <c r="V2606" t="s">
        <v>8</v>
      </c>
      <c r="W2606" t="s">
        <v>19</v>
      </c>
      <c r="X2606">
        <v>24</v>
      </c>
      <c r="Y2606" t="s">
        <v>44</v>
      </c>
      <c r="Z2606">
        <v>1</v>
      </c>
      <c r="AA2606">
        <v>32</v>
      </c>
      <c r="AB2606">
        <v>3.1</v>
      </c>
    </row>
    <row r="2607" spans="10:28">
      <c r="J2607" s="340" t="str">
        <f t="shared" si="129"/>
        <v>2009FemaleAllEth224</v>
      </c>
      <c r="K2607">
        <v>2009</v>
      </c>
      <c r="L2607" t="s">
        <v>8</v>
      </c>
      <c r="M2607" t="s">
        <v>27</v>
      </c>
      <c r="N2607">
        <v>22</v>
      </c>
      <c r="O2607">
        <v>4</v>
      </c>
      <c r="P2607">
        <v>7</v>
      </c>
      <c r="Q2607">
        <v>10.7932562546727</v>
      </c>
      <c r="R2607">
        <v>8</v>
      </c>
      <c r="T2607" s="340" t="str">
        <f t="shared" si="130"/>
        <v>2008FemaleNon-Maori22Other</v>
      </c>
      <c r="U2607">
        <v>2008</v>
      </c>
      <c r="V2607" t="s">
        <v>8</v>
      </c>
      <c r="W2607" t="s">
        <v>19</v>
      </c>
      <c r="X2607">
        <v>22</v>
      </c>
      <c r="Y2607" t="s">
        <v>45</v>
      </c>
      <c r="Z2607">
        <v>2</v>
      </c>
      <c r="AA2607">
        <v>20</v>
      </c>
      <c r="AB2607">
        <v>10</v>
      </c>
    </row>
    <row r="2608" spans="10:28">
      <c r="J2608" s="340" t="str">
        <f t="shared" si="129"/>
        <v>2009FemaleAllEth225</v>
      </c>
      <c r="K2608">
        <v>2009</v>
      </c>
      <c r="L2608" t="s">
        <v>8</v>
      </c>
      <c r="M2608" t="s">
        <v>27</v>
      </c>
      <c r="N2608">
        <v>22</v>
      </c>
      <c r="O2608">
        <v>5</v>
      </c>
      <c r="P2608">
        <v>7</v>
      </c>
      <c r="Q2608">
        <v>9.0123647063600192</v>
      </c>
      <c r="R2608">
        <v>6.7</v>
      </c>
      <c r="T2608" s="340" t="str">
        <f t="shared" si="130"/>
        <v>2008FemaleNon-Maori24Other</v>
      </c>
      <c r="U2608">
        <v>2008</v>
      </c>
      <c r="V2608" t="s">
        <v>8</v>
      </c>
      <c r="W2608" t="s">
        <v>19</v>
      </c>
      <c r="X2608">
        <v>24</v>
      </c>
      <c r="Y2608" t="s">
        <v>45</v>
      </c>
      <c r="Z2608">
        <v>3</v>
      </c>
      <c r="AA2608">
        <v>32</v>
      </c>
      <c r="AB2608">
        <v>9.4</v>
      </c>
    </row>
    <row r="2609" spans="10:28">
      <c r="J2609" s="340" t="str">
        <f t="shared" si="129"/>
        <v>2009FemaleAllEth231</v>
      </c>
      <c r="K2609">
        <v>2009</v>
      </c>
      <c r="L2609" t="s">
        <v>8</v>
      </c>
      <c r="M2609" t="s">
        <v>27</v>
      </c>
      <c r="N2609">
        <v>23</v>
      </c>
      <c r="O2609">
        <v>1</v>
      </c>
      <c r="P2609">
        <v>3</v>
      </c>
      <c r="Q2609">
        <v>2.5018506522886699</v>
      </c>
      <c r="R2609">
        <v>2.8</v>
      </c>
      <c r="T2609" s="340" t="str">
        <f t="shared" si="130"/>
        <v>2008FemaleNon-Maori25Other</v>
      </c>
      <c r="U2609">
        <v>2008</v>
      </c>
      <c r="V2609" t="s">
        <v>8</v>
      </c>
      <c r="W2609" t="s">
        <v>19</v>
      </c>
      <c r="X2609">
        <v>25</v>
      </c>
      <c r="Y2609" t="s">
        <v>45</v>
      </c>
      <c r="Z2609">
        <v>1</v>
      </c>
      <c r="AA2609">
        <v>15</v>
      </c>
      <c r="AB2609">
        <v>6.7</v>
      </c>
    </row>
    <row r="2610" spans="10:28">
      <c r="J2610" s="340" t="str">
        <f t="shared" si="129"/>
        <v>2009FemaleAllEth232</v>
      </c>
      <c r="K2610">
        <v>2009</v>
      </c>
      <c r="L2610" t="s">
        <v>8</v>
      </c>
      <c r="M2610" t="s">
        <v>27</v>
      </c>
      <c r="N2610">
        <v>23</v>
      </c>
      <c r="O2610">
        <v>2</v>
      </c>
      <c r="P2610">
        <v>6</v>
      </c>
      <c r="Q2610">
        <v>4.8091336096875699</v>
      </c>
      <c r="R2610">
        <v>3.8</v>
      </c>
      <c r="T2610" s="340" t="str">
        <f t="shared" si="130"/>
        <v>2008FemaleNon-Maori22Poisoning by gases and vapours</v>
      </c>
      <c r="U2610">
        <v>2008</v>
      </c>
      <c r="V2610" t="s">
        <v>8</v>
      </c>
      <c r="W2610" t="s">
        <v>19</v>
      </c>
      <c r="X2610">
        <v>22</v>
      </c>
      <c r="Y2610" t="s">
        <v>46</v>
      </c>
      <c r="Z2610">
        <v>1</v>
      </c>
      <c r="AA2610">
        <v>20</v>
      </c>
      <c r="AB2610">
        <v>5</v>
      </c>
    </row>
    <row r="2611" spans="10:28">
      <c r="J2611" s="340" t="str">
        <f t="shared" si="129"/>
        <v>2009FemaleAllEth233</v>
      </c>
      <c r="K2611">
        <v>2009</v>
      </c>
      <c r="L2611" t="s">
        <v>8</v>
      </c>
      <c r="M2611" t="s">
        <v>27</v>
      </c>
      <c r="N2611">
        <v>23</v>
      </c>
      <c r="O2611">
        <v>3</v>
      </c>
      <c r="P2611">
        <v>9</v>
      </c>
      <c r="Q2611">
        <v>7.2762881222033</v>
      </c>
      <c r="R2611">
        <v>4.8</v>
      </c>
      <c r="T2611" s="340" t="str">
        <f t="shared" si="130"/>
        <v>2008FemaleNon-Maori23Poisoning by gases and vapours</v>
      </c>
      <c r="U2611">
        <v>2008</v>
      </c>
      <c r="V2611" t="s">
        <v>8</v>
      </c>
      <c r="W2611" t="s">
        <v>19</v>
      </c>
      <c r="X2611">
        <v>23</v>
      </c>
      <c r="Y2611" t="s">
        <v>46</v>
      </c>
      <c r="Z2611">
        <v>6</v>
      </c>
      <c r="AA2611">
        <v>40</v>
      </c>
      <c r="AB2611">
        <v>15</v>
      </c>
    </row>
    <row r="2612" spans="10:28">
      <c r="J2612" s="340" t="str">
        <f t="shared" si="129"/>
        <v>2009FemaleAllEth234</v>
      </c>
      <c r="K2612">
        <v>2009</v>
      </c>
      <c r="L2612" t="s">
        <v>8</v>
      </c>
      <c r="M2612" t="s">
        <v>27</v>
      </c>
      <c r="N2612">
        <v>23</v>
      </c>
      <c r="O2612">
        <v>4</v>
      </c>
      <c r="P2612">
        <v>10</v>
      </c>
      <c r="Q2612">
        <v>8.2424651691585993</v>
      </c>
      <c r="R2612">
        <v>5.0999999999999996</v>
      </c>
      <c r="T2612" s="340" t="str">
        <f t="shared" si="130"/>
        <v>2008FemaleNon-Maori24Poisoning by gases and vapours</v>
      </c>
      <c r="U2612">
        <v>2008</v>
      </c>
      <c r="V2612" t="s">
        <v>8</v>
      </c>
      <c r="W2612" t="s">
        <v>19</v>
      </c>
      <c r="X2612">
        <v>24</v>
      </c>
      <c r="Y2612" t="s">
        <v>46</v>
      </c>
      <c r="Z2612">
        <v>3</v>
      </c>
      <c r="AA2612">
        <v>32</v>
      </c>
      <c r="AB2612">
        <v>9.4</v>
      </c>
    </row>
    <row r="2613" spans="10:28">
      <c r="J2613" s="340" t="str">
        <f t="shared" si="129"/>
        <v>2009FemaleAllEth235</v>
      </c>
      <c r="K2613">
        <v>2009</v>
      </c>
      <c r="L2613" t="s">
        <v>8</v>
      </c>
      <c r="M2613" t="s">
        <v>27</v>
      </c>
      <c r="N2613">
        <v>23</v>
      </c>
      <c r="O2613">
        <v>5</v>
      </c>
      <c r="P2613">
        <v>13</v>
      </c>
      <c r="Q2613">
        <v>11.210394802678399</v>
      </c>
      <c r="R2613">
        <v>6.1</v>
      </c>
      <c r="T2613" s="340" t="str">
        <f t="shared" si="130"/>
        <v>2008FemaleNon-Maori22Poisoning by solids and liquids</v>
      </c>
      <c r="U2613">
        <v>2008</v>
      </c>
      <c r="V2613" t="s">
        <v>8</v>
      </c>
      <c r="W2613" t="s">
        <v>19</v>
      </c>
      <c r="X2613">
        <v>22</v>
      </c>
      <c r="Y2613" t="s">
        <v>47</v>
      </c>
      <c r="Z2613">
        <v>3</v>
      </c>
      <c r="AA2613">
        <v>20</v>
      </c>
      <c r="AB2613">
        <v>15</v>
      </c>
    </row>
    <row r="2614" spans="10:28">
      <c r="J2614" s="340" t="str">
        <f t="shared" si="129"/>
        <v>2009FemaleAllEth241</v>
      </c>
      <c r="K2614">
        <v>2009</v>
      </c>
      <c r="L2614" t="s">
        <v>8</v>
      </c>
      <c r="M2614" t="s">
        <v>27</v>
      </c>
      <c r="N2614">
        <v>24</v>
      </c>
      <c r="O2614">
        <v>1</v>
      </c>
      <c r="P2614">
        <v>5</v>
      </c>
      <c r="Q2614">
        <v>3.7327240044808301</v>
      </c>
      <c r="R2614">
        <v>3.3</v>
      </c>
      <c r="T2614" s="340" t="str">
        <f t="shared" si="130"/>
        <v>2008FemaleNon-Maori23Poisoning by solids and liquids</v>
      </c>
      <c r="U2614">
        <v>2008</v>
      </c>
      <c r="V2614" t="s">
        <v>8</v>
      </c>
      <c r="W2614" t="s">
        <v>19</v>
      </c>
      <c r="X2614">
        <v>23</v>
      </c>
      <c r="Y2614" t="s">
        <v>47</v>
      </c>
      <c r="Z2614">
        <v>10</v>
      </c>
      <c r="AA2614">
        <v>40</v>
      </c>
      <c r="AB2614">
        <v>25</v>
      </c>
    </row>
    <row r="2615" spans="10:28">
      <c r="J2615" s="340" t="str">
        <f t="shared" si="129"/>
        <v>2009FemaleAllEth242</v>
      </c>
      <c r="K2615">
        <v>2009</v>
      </c>
      <c r="L2615" t="s">
        <v>8</v>
      </c>
      <c r="M2615" t="s">
        <v>27</v>
      </c>
      <c r="N2615">
        <v>24</v>
      </c>
      <c r="O2615">
        <v>2</v>
      </c>
      <c r="P2615">
        <v>6</v>
      </c>
      <c r="Q2615">
        <v>5.0213095941022301</v>
      </c>
      <c r="R2615">
        <v>4</v>
      </c>
      <c r="T2615" s="340" t="str">
        <f t="shared" si="130"/>
        <v>2008FemaleNon-Maori24Poisoning by solids and liquids</v>
      </c>
      <c r="U2615">
        <v>2008</v>
      </c>
      <c r="V2615" t="s">
        <v>8</v>
      </c>
      <c r="W2615" t="s">
        <v>19</v>
      </c>
      <c r="X2615">
        <v>24</v>
      </c>
      <c r="Y2615" t="s">
        <v>47</v>
      </c>
      <c r="Z2615">
        <v>11</v>
      </c>
      <c r="AA2615">
        <v>32</v>
      </c>
      <c r="AB2615">
        <v>34.4</v>
      </c>
    </row>
    <row r="2616" spans="10:28">
      <c r="J2616" s="340" t="str">
        <f t="shared" si="129"/>
        <v>2009FemaleAllEth243</v>
      </c>
      <c r="K2616">
        <v>2009</v>
      </c>
      <c r="L2616" t="s">
        <v>8</v>
      </c>
      <c r="M2616" t="s">
        <v>27</v>
      </c>
      <c r="N2616">
        <v>24</v>
      </c>
      <c r="O2616">
        <v>3</v>
      </c>
      <c r="P2616">
        <v>9</v>
      </c>
      <c r="Q2616">
        <v>8.2709099384739009</v>
      </c>
      <c r="R2616">
        <v>5.4</v>
      </c>
      <c r="T2616" s="340" t="str">
        <f t="shared" si="130"/>
        <v>2008FemaleNon-Maori25Poisoning by solids and liquids</v>
      </c>
      <c r="U2616">
        <v>2008</v>
      </c>
      <c r="V2616" t="s">
        <v>8</v>
      </c>
      <c r="W2616" t="s">
        <v>19</v>
      </c>
      <c r="X2616">
        <v>25</v>
      </c>
      <c r="Y2616" t="s">
        <v>47</v>
      </c>
      <c r="Z2616">
        <v>8</v>
      </c>
      <c r="AA2616">
        <v>15</v>
      </c>
      <c r="AB2616">
        <v>53.3</v>
      </c>
    </row>
    <row r="2617" spans="10:28">
      <c r="J2617" s="340" t="str">
        <f t="shared" si="129"/>
        <v>2009FemaleAllEth244</v>
      </c>
      <c r="K2617">
        <v>2009</v>
      </c>
      <c r="L2617" t="s">
        <v>8</v>
      </c>
      <c r="M2617" t="s">
        <v>27</v>
      </c>
      <c r="N2617">
        <v>24</v>
      </c>
      <c r="O2617">
        <v>4</v>
      </c>
      <c r="P2617">
        <v>12</v>
      </c>
      <c r="Q2617">
        <v>12.011255405954699</v>
      </c>
      <c r="R2617">
        <v>6.8</v>
      </c>
      <c r="T2617" s="340" t="str">
        <f t="shared" si="130"/>
        <v>2008FemaleNon-Maori22Sharp object</v>
      </c>
      <c r="U2617">
        <v>2008</v>
      </c>
      <c r="V2617" t="s">
        <v>8</v>
      </c>
      <c r="W2617" t="s">
        <v>19</v>
      </c>
      <c r="X2617">
        <v>22</v>
      </c>
      <c r="Y2617" t="s">
        <v>48</v>
      </c>
      <c r="Z2617">
        <v>1</v>
      </c>
      <c r="AA2617">
        <v>20</v>
      </c>
      <c r="AB2617">
        <v>5</v>
      </c>
    </row>
    <row r="2618" spans="10:28">
      <c r="J2618" s="340" t="str">
        <f t="shared" si="129"/>
        <v>2009FemaleAllEth245</v>
      </c>
      <c r="K2618">
        <v>2009</v>
      </c>
      <c r="L2618" t="s">
        <v>8</v>
      </c>
      <c r="M2618" t="s">
        <v>27</v>
      </c>
      <c r="N2618">
        <v>24</v>
      </c>
      <c r="O2618">
        <v>5</v>
      </c>
      <c r="P2618">
        <v>6</v>
      </c>
      <c r="Q2618">
        <v>6.7493522273595001</v>
      </c>
      <c r="R2618">
        <v>5.4</v>
      </c>
      <c r="T2618" s="340" t="str">
        <f t="shared" si="130"/>
        <v>2008FemaleNon-Maori25Sharp object</v>
      </c>
      <c r="U2618">
        <v>2008</v>
      </c>
      <c r="V2618" t="s">
        <v>8</v>
      </c>
      <c r="W2618" t="s">
        <v>19</v>
      </c>
      <c r="X2618">
        <v>25</v>
      </c>
      <c r="Y2618" t="s">
        <v>48</v>
      </c>
      <c r="Z2618">
        <v>1</v>
      </c>
      <c r="AA2618">
        <v>15</v>
      </c>
      <c r="AB2618">
        <v>6.7</v>
      </c>
    </row>
    <row r="2619" spans="10:28">
      <c r="J2619" s="340" t="str">
        <f t="shared" si="129"/>
        <v>2009FemaleAllEth251</v>
      </c>
      <c r="K2619">
        <v>2009</v>
      </c>
      <c r="L2619" t="s">
        <v>8</v>
      </c>
      <c r="M2619" t="s">
        <v>27</v>
      </c>
      <c r="N2619">
        <v>25</v>
      </c>
      <c r="O2619">
        <v>1</v>
      </c>
      <c r="P2619">
        <v>3</v>
      </c>
      <c r="Q2619">
        <v>5.4926762370173901</v>
      </c>
      <c r="R2619">
        <v>6.2</v>
      </c>
      <c r="T2619" s="340" t="str">
        <f t="shared" si="130"/>
        <v>2008FemaleNon-Maori23Submersion (drowning)</v>
      </c>
      <c r="U2619">
        <v>2008</v>
      </c>
      <c r="V2619" t="s">
        <v>8</v>
      </c>
      <c r="W2619" t="s">
        <v>19</v>
      </c>
      <c r="X2619">
        <v>23</v>
      </c>
      <c r="Y2619" t="s">
        <v>49</v>
      </c>
      <c r="Z2619">
        <v>1</v>
      </c>
      <c r="AA2619">
        <v>40</v>
      </c>
      <c r="AB2619">
        <v>2.5</v>
      </c>
    </row>
    <row r="2620" spans="10:28">
      <c r="J2620" s="340" t="str">
        <f t="shared" si="129"/>
        <v>2009FemaleAllEth252</v>
      </c>
      <c r="K2620">
        <v>2009</v>
      </c>
      <c r="L2620" t="s">
        <v>8</v>
      </c>
      <c r="M2620" t="s">
        <v>27</v>
      </c>
      <c r="N2620">
        <v>25</v>
      </c>
      <c r="O2620">
        <v>2</v>
      </c>
      <c r="P2620">
        <v>3</v>
      </c>
      <c r="Q2620">
        <v>4.9026439314800401</v>
      </c>
      <c r="R2620">
        <v>5.5</v>
      </c>
      <c r="T2620" s="340" t="str">
        <f t="shared" si="130"/>
        <v>2008FemaleNon-Maori25Submersion (drowning)</v>
      </c>
      <c r="U2620">
        <v>2008</v>
      </c>
      <c r="V2620" t="s">
        <v>8</v>
      </c>
      <c r="W2620" t="s">
        <v>19</v>
      </c>
      <c r="X2620">
        <v>25</v>
      </c>
      <c r="Y2620" t="s">
        <v>49</v>
      </c>
      <c r="Z2620">
        <v>2</v>
      </c>
      <c r="AA2620">
        <v>15</v>
      </c>
      <c r="AB2620">
        <v>13.3</v>
      </c>
    </row>
    <row r="2621" spans="10:28">
      <c r="J2621" s="340" t="str">
        <f t="shared" si="129"/>
        <v>2009FemaleAllEth253</v>
      </c>
      <c r="K2621">
        <v>2009</v>
      </c>
      <c r="L2621" t="s">
        <v>8</v>
      </c>
      <c r="M2621" t="s">
        <v>27</v>
      </c>
      <c r="N2621">
        <v>25</v>
      </c>
      <c r="O2621">
        <v>3</v>
      </c>
      <c r="P2621">
        <v>2</v>
      </c>
      <c r="Q2621">
        <v>3.0748134163643299</v>
      </c>
      <c r="R2621">
        <v>4.3</v>
      </c>
      <c r="T2621" s="340" t="str">
        <f t="shared" si="130"/>
        <v>2008MaleAllEth22Firearms and explosives</v>
      </c>
      <c r="U2621">
        <v>2008</v>
      </c>
      <c r="V2621" t="s">
        <v>20</v>
      </c>
      <c r="W2621" t="s">
        <v>27</v>
      </c>
      <c r="X2621">
        <v>22</v>
      </c>
      <c r="Y2621" t="s">
        <v>42</v>
      </c>
      <c r="Z2621">
        <v>5</v>
      </c>
      <c r="AA2621">
        <v>83</v>
      </c>
      <c r="AB2621">
        <v>6</v>
      </c>
    </row>
    <row r="2622" spans="10:28">
      <c r="J2622" s="340" t="str">
        <f t="shared" si="129"/>
        <v>2009FemaleAllEth254</v>
      </c>
      <c r="K2622">
        <v>2009</v>
      </c>
      <c r="L2622" t="s">
        <v>8</v>
      </c>
      <c r="M2622" t="s">
        <v>27</v>
      </c>
      <c r="N2622">
        <v>25</v>
      </c>
      <c r="O2622">
        <v>4</v>
      </c>
      <c r="P2622">
        <v>4</v>
      </c>
      <c r="Q2622">
        <v>5.9328091024439802</v>
      </c>
      <c r="R2622">
        <v>5.8</v>
      </c>
      <c r="T2622" s="340" t="str">
        <f t="shared" si="130"/>
        <v>2008MaleAllEth23Firearms and explosives</v>
      </c>
      <c r="U2622">
        <v>2008</v>
      </c>
      <c r="V2622" t="s">
        <v>20</v>
      </c>
      <c r="W2622" t="s">
        <v>27</v>
      </c>
      <c r="X2622">
        <v>23</v>
      </c>
      <c r="Y2622" t="s">
        <v>42</v>
      </c>
      <c r="Z2622">
        <v>7</v>
      </c>
      <c r="AA2622">
        <v>133</v>
      </c>
      <c r="AB2622">
        <v>5.3</v>
      </c>
    </row>
    <row r="2623" spans="10:28">
      <c r="J2623" s="340" t="str">
        <f t="shared" si="129"/>
        <v>2009FemaleAllEth255</v>
      </c>
      <c r="K2623">
        <v>2009</v>
      </c>
      <c r="L2623" t="s">
        <v>8</v>
      </c>
      <c r="M2623" t="s">
        <v>27</v>
      </c>
      <c r="N2623">
        <v>25</v>
      </c>
      <c r="O2623">
        <v>5</v>
      </c>
      <c r="P2623">
        <v>0</v>
      </c>
      <c r="Q2623">
        <v>0</v>
      </c>
      <c r="T2623" s="340" t="str">
        <f t="shared" si="130"/>
        <v>2008MaleAllEth24Firearms and explosives</v>
      </c>
      <c r="U2623">
        <v>2008</v>
      </c>
      <c r="V2623" t="s">
        <v>20</v>
      </c>
      <c r="W2623" t="s">
        <v>27</v>
      </c>
      <c r="X2623">
        <v>24</v>
      </c>
      <c r="Y2623" t="s">
        <v>42</v>
      </c>
      <c r="Z2623">
        <v>17</v>
      </c>
      <c r="AA2623">
        <v>125</v>
      </c>
      <c r="AB2623">
        <v>13.6</v>
      </c>
    </row>
    <row r="2624" spans="10:28">
      <c r="J2624" s="340" t="str">
        <f t="shared" si="129"/>
        <v>2009FemaleMaori211</v>
      </c>
      <c r="K2624">
        <v>2009</v>
      </c>
      <c r="L2624" t="s">
        <v>8</v>
      </c>
      <c r="M2624" t="s">
        <v>18</v>
      </c>
      <c r="N2624">
        <v>21</v>
      </c>
      <c r="O2624">
        <v>1</v>
      </c>
      <c r="P2624">
        <v>0</v>
      </c>
      <c r="Q2624">
        <v>0</v>
      </c>
      <c r="T2624" s="340" t="str">
        <f t="shared" si="130"/>
        <v>2008MaleAllEth25Firearms and explosives</v>
      </c>
      <c r="U2624">
        <v>2008</v>
      </c>
      <c r="V2624" t="s">
        <v>20</v>
      </c>
      <c r="W2624" t="s">
        <v>27</v>
      </c>
      <c r="X2624">
        <v>25</v>
      </c>
      <c r="Y2624" t="s">
        <v>42</v>
      </c>
      <c r="Z2624">
        <v>11</v>
      </c>
      <c r="AA2624">
        <v>36</v>
      </c>
      <c r="AB2624">
        <v>30.6</v>
      </c>
    </row>
    <row r="2625" spans="10:28">
      <c r="J2625" s="340" t="str">
        <f t="shared" si="129"/>
        <v>2009FemaleMaori212</v>
      </c>
      <c r="K2625">
        <v>2009</v>
      </c>
      <c r="L2625" t="s">
        <v>8</v>
      </c>
      <c r="M2625" t="s">
        <v>18</v>
      </c>
      <c r="N2625">
        <v>21</v>
      </c>
      <c r="O2625">
        <v>2</v>
      </c>
      <c r="P2625">
        <v>0</v>
      </c>
      <c r="Q2625">
        <v>0</v>
      </c>
      <c r="T2625" s="340" t="str">
        <f t="shared" si="130"/>
        <v>2008MaleAllEth21Hanging, strangulation and suffocation</v>
      </c>
      <c r="U2625">
        <v>2008</v>
      </c>
      <c r="V2625" t="s">
        <v>20</v>
      </c>
      <c r="W2625" t="s">
        <v>27</v>
      </c>
      <c r="X2625">
        <v>21</v>
      </c>
      <c r="Y2625" t="s">
        <v>43</v>
      </c>
      <c r="Z2625">
        <v>2</v>
      </c>
      <c r="AA2625">
        <v>2</v>
      </c>
      <c r="AB2625">
        <v>100</v>
      </c>
    </row>
    <row r="2626" spans="10:28">
      <c r="J2626" s="340" t="str">
        <f t="shared" si="129"/>
        <v>2009FemaleMaori213</v>
      </c>
      <c r="K2626">
        <v>2009</v>
      </c>
      <c r="L2626" t="s">
        <v>8</v>
      </c>
      <c r="M2626" t="s">
        <v>18</v>
      </c>
      <c r="N2626">
        <v>21</v>
      </c>
      <c r="O2626">
        <v>3</v>
      </c>
      <c r="P2626">
        <v>0</v>
      </c>
      <c r="Q2626">
        <v>0</v>
      </c>
      <c r="T2626" s="340" t="str">
        <f t="shared" si="130"/>
        <v>2008MaleAllEth22Hanging, strangulation and suffocation</v>
      </c>
      <c r="U2626">
        <v>2008</v>
      </c>
      <c r="V2626" t="s">
        <v>20</v>
      </c>
      <c r="W2626" t="s">
        <v>27</v>
      </c>
      <c r="X2626">
        <v>22</v>
      </c>
      <c r="Y2626" t="s">
        <v>43</v>
      </c>
      <c r="Z2626">
        <v>58</v>
      </c>
      <c r="AA2626">
        <v>83</v>
      </c>
      <c r="AB2626">
        <v>69.900000000000006</v>
      </c>
    </row>
    <row r="2627" spans="10:28">
      <c r="J2627" s="340" t="str">
        <f t="shared" si="129"/>
        <v>2009FemaleMaori214</v>
      </c>
      <c r="K2627">
        <v>2009</v>
      </c>
      <c r="L2627" t="s">
        <v>8</v>
      </c>
      <c r="M2627" t="s">
        <v>18</v>
      </c>
      <c r="N2627">
        <v>21</v>
      </c>
      <c r="O2627">
        <v>4</v>
      </c>
      <c r="P2627">
        <v>1</v>
      </c>
      <c r="Q2627">
        <v>3.9525794115475601</v>
      </c>
      <c r="R2627">
        <v>7.7</v>
      </c>
      <c r="T2627" s="340" t="str">
        <f t="shared" si="130"/>
        <v>2008MaleAllEth23Hanging, strangulation and suffocation</v>
      </c>
      <c r="U2627">
        <v>2008</v>
      </c>
      <c r="V2627" t="s">
        <v>20</v>
      </c>
      <c r="W2627" t="s">
        <v>27</v>
      </c>
      <c r="X2627">
        <v>23</v>
      </c>
      <c r="Y2627" t="s">
        <v>43</v>
      </c>
      <c r="Z2627">
        <v>81</v>
      </c>
      <c r="AA2627">
        <v>133</v>
      </c>
      <c r="AB2627">
        <v>60.9</v>
      </c>
    </row>
    <row r="2628" spans="10:28">
      <c r="J2628" s="340" t="str">
        <f t="shared" ref="J2628:J2691" si="131">K2628&amp;L2628&amp;M2628&amp;N2628&amp;O2628</f>
        <v>2009FemaleMaori215</v>
      </c>
      <c r="K2628">
        <v>2009</v>
      </c>
      <c r="L2628" t="s">
        <v>8</v>
      </c>
      <c r="M2628" t="s">
        <v>18</v>
      </c>
      <c r="N2628">
        <v>21</v>
      </c>
      <c r="O2628">
        <v>5</v>
      </c>
      <c r="P2628">
        <v>1</v>
      </c>
      <c r="Q2628">
        <v>2.1120722995813699</v>
      </c>
      <c r="R2628">
        <v>4.0999999999999996</v>
      </c>
      <c r="T2628" s="340" t="str">
        <f t="shared" si="130"/>
        <v>2008MaleAllEth24Hanging, strangulation and suffocation</v>
      </c>
      <c r="U2628">
        <v>2008</v>
      </c>
      <c r="V2628" t="s">
        <v>20</v>
      </c>
      <c r="W2628" t="s">
        <v>27</v>
      </c>
      <c r="X2628">
        <v>24</v>
      </c>
      <c r="Y2628" t="s">
        <v>43</v>
      </c>
      <c r="Z2628">
        <v>61</v>
      </c>
      <c r="AA2628">
        <v>125</v>
      </c>
      <c r="AB2628">
        <v>48.8</v>
      </c>
    </row>
    <row r="2629" spans="10:28">
      <c r="J2629" s="340" t="str">
        <f t="shared" si="131"/>
        <v>2009FemaleMaori221</v>
      </c>
      <c r="K2629">
        <v>2009</v>
      </c>
      <c r="L2629" t="s">
        <v>8</v>
      </c>
      <c r="M2629" t="s">
        <v>18</v>
      </c>
      <c r="N2629">
        <v>22</v>
      </c>
      <c r="O2629">
        <v>1</v>
      </c>
      <c r="P2629">
        <v>0</v>
      </c>
      <c r="Q2629">
        <v>0</v>
      </c>
      <c r="T2629" s="340" t="str">
        <f t="shared" ref="T2629:T2692" si="132">U2629&amp;V2629&amp;W2629&amp;X2629&amp;Y2629</f>
        <v>2008MaleAllEth25Hanging, strangulation and suffocation</v>
      </c>
      <c r="U2629">
        <v>2008</v>
      </c>
      <c r="V2629" t="s">
        <v>20</v>
      </c>
      <c r="W2629" t="s">
        <v>27</v>
      </c>
      <c r="X2629">
        <v>25</v>
      </c>
      <c r="Y2629" t="s">
        <v>43</v>
      </c>
      <c r="Z2629">
        <v>8</v>
      </c>
      <c r="AA2629">
        <v>36</v>
      </c>
      <c r="AB2629">
        <v>22.2</v>
      </c>
    </row>
    <row r="2630" spans="10:28">
      <c r="J2630" s="340" t="str">
        <f t="shared" si="131"/>
        <v>2009FemaleMaori222</v>
      </c>
      <c r="K2630">
        <v>2009</v>
      </c>
      <c r="L2630" t="s">
        <v>8</v>
      </c>
      <c r="M2630" t="s">
        <v>18</v>
      </c>
      <c r="N2630">
        <v>22</v>
      </c>
      <c r="O2630">
        <v>2</v>
      </c>
      <c r="P2630">
        <v>1</v>
      </c>
      <c r="Q2630">
        <v>15.9890608823713</v>
      </c>
      <c r="R2630">
        <v>31.3</v>
      </c>
      <c r="T2630" s="340" t="str">
        <f t="shared" si="132"/>
        <v>2008MaleAllEth22Jumping from a high place</v>
      </c>
      <c r="U2630">
        <v>2008</v>
      </c>
      <c r="V2630" t="s">
        <v>20</v>
      </c>
      <c r="W2630" t="s">
        <v>27</v>
      </c>
      <c r="X2630">
        <v>22</v>
      </c>
      <c r="Y2630" t="s">
        <v>44</v>
      </c>
      <c r="Z2630">
        <v>3</v>
      </c>
      <c r="AA2630">
        <v>83</v>
      </c>
      <c r="AB2630">
        <v>3.6</v>
      </c>
    </row>
    <row r="2631" spans="10:28">
      <c r="J2631" s="340" t="str">
        <f t="shared" si="131"/>
        <v>2009FemaleMaori223</v>
      </c>
      <c r="K2631">
        <v>2009</v>
      </c>
      <c r="L2631" t="s">
        <v>8</v>
      </c>
      <c r="M2631" t="s">
        <v>18</v>
      </c>
      <c r="N2631">
        <v>22</v>
      </c>
      <c r="O2631">
        <v>3</v>
      </c>
      <c r="P2631">
        <v>2</v>
      </c>
      <c r="Q2631">
        <v>20.5585143710511</v>
      </c>
      <c r="R2631">
        <v>28.5</v>
      </c>
      <c r="T2631" s="340" t="str">
        <f t="shared" si="132"/>
        <v>2008MaleAllEth23Jumping from a high place</v>
      </c>
      <c r="U2631">
        <v>2008</v>
      </c>
      <c r="V2631" t="s">
        <v>20</v>
      </c>
      <c r="W2631" t="s">
        <v>27</v>
      </c>
      <c r="X2631">
        <v>23</v>
      </c>
      <c r="Y2631" t="s">
        <v>44</v>
      </c>
      <c r="Z2631">
        <v>4</v>
      </c>
      <c r="AA2631">
        <v>133</v>
      </c>
      <c r="AB2631">
        <v>3</v>
      </c>
    </row>
    <row r="2632" spans="10:28">
      <c r="J2632" s="340" t="str">
        <f t="shared" si="131"/>
        <v>2009FemaleMaori224</v>
      </c>
      <c r="K2632">
        <v>2009</v>
      </c>
      <c r="L2632" t="s">
        <v>8</v>
      </c>
      <c r="M2632" t="s">
        <v>18</v>
      </c>
      <c r="N2632">
        <v>22</v>
      </c>
      <c r="O2632">
        <v>4</v>
      </c>
      <c r="P2632">
        <v>3</v>
      </c>
      <c r="Q2632">
        <v>20.3952167128163</v>
      </c>
      <c r="R2632">
        <v>23.1</v>
      </c>
      <c r="T2632" s="340" t="str">
        <f t="shared" si="132"/>
        <v>2008MaleAllEth24Jumping from a high place</v>
      </c>
      <c r="U2632">
        <v>2008</v>
      </c>
      <c r="V2632" t="s">
        <v>20</v>
      </c>
      <c r="W2632" t="s">
        <v>27</v>
      </c>
      <c r="X2632">
        <v>24</v>
      </c>
      <c r="Y2632" t="s">
        <v>44</v>
      </c>
      <c r="Z2632">
        <v>5</v>
      </c>
      <c r="AA2632">
        <v>125</v>
      </c>
      <c r="AB2632">
        <v>4</v>
      </c>
    </row>
    <row r="2633" spans="10:28">
      <c r="J2633" s="340" t="str">
        <f t="shared" si="131"/>
        <v>2009FemaleMaori225</v>
      </c>
      <c r="K2633">
        <v>2009</v>
      </c>
      <c r="L2633" t="s">
        <v>8</v>
      </c>
      <c r="M2633" t="s">
        <v>18</v>
      </c>
      <c r="N2633">
        <v>22</v>
      </c>
      <c r="O2633">
        <v>5</v>
      </c>
      <c r="P2633">
        <v>5</v>
      </c>
      <c r="Q2633">
        <v>18.834872000644499</v>
      </c>
      <c r="R2633">
        <v>16.5</v>
      </c>
      <c r="T2633" s="340" t="str">
        <f t="shared" si="132"/>
        <v>2008MaleAllEth22Other</v>
      </c>
      <c r="U2633">
        <v>2008</v>
      </c>
      <c r="V2633" t="s">
        <v>20</v>
      </c>
      <c r="W2633" t="s">
        <v>27</v>
      </c>
      <c r="X2633">
        <v>22</v>
      </c>
      <c r="Y2633" t="s">
        <v>45</v>
      </c>
      <c r="Z2633">
        <v>3</v>
      </c>
      <c r="AA2633">
        <v>83</v>
      </c>
      <c r="AB2633">
        <v>3.6</v>
      </c>
    </row>
    <row r="2634" spans="10:28">
      <c r="J2634" s="340" t="str">
        <f t="shared" si="131"/>
        <v>2009FemaleMaori231</v>
      </c>
      <c r="K2634">
        <v>2009</v>
      </c>
      <c r="L2634" t="s">
        <v>8</v>
      </c>
      <c r="M2634" t="s">
        <v>18</v>
      </c>
      <c r="N2634">
        <v>23</v>
      </c>
      <c r="O2634">
        <v>1</v>
      </c>
      <c r="P2634">
        <v>0</v>
      </c>
      <c r="Q2634">
        <v>0</v>
      </c>
      <c r="T2634" s="340" t="str">
        <f t="shared" si="132"/>
        <v>2008MaleAllEth23Other</v>
      </c>
      <c r="U2634">
        <v>2008</v>
      </c>
      <c r="V2634" t="s">
        <v>20</v>
      </c>
      <c r="W2634" t="s">
        <v>27</v>
      </c>
      <c r="X2634">
        <v>23</v>
      </c>
      <c r="Y2634" t="s">
        <v>45</v>
      </c>
      <c r="Z2634">
        <v>6</v>
      </c>
      <c r="AA2634">
        <v>133</v>
      </c>
      <c r="AB2634">
        <v>4.5</v>
      </c>
    </row>
    <row r="2635" spans="10:28">
      <c r="J2635" s="340" t="str">
        <f t="shared" si="131"/>
        <v>2009FemaleMaori232</v>
      </c>
      <c r="K2635">
        <v>2009</v>
      </c>
      <c r="L2635" t="s">
        <v>8</v>
      </c>
      <c r="M2635" t="s">
        <v>18</v>
      </c>
      <c r="N2635">
        <v>23</v>
      </c>
      <c r="O2635">
        <v>2</v>
      </c>
      <c r="P2635">
        <v>0</v>
      </c>
      <c r="Q2635">
        <v>0</v>
      </c>
      <c r="T2635" s="340" t="str">
        <f t="shared" si="132"/>
        <v>2008MaleAllEth24Other</v>
      </c>
      <c r="U2635">
        <v>2008</v>
      </c>
      <c r="V2635" t="s">
        <v>20</v>
      </c>
      <c r="W2635" t="s">
        <v>27</v>
      </c>
      <c r="X2635">
        <v>24</v>
      </c>
      <c r="Y2635" t="s">
        <v>45</v>
      </c>
      <c r="Z2635">
        <v>4</v>
      </c>
      <c r="AA2635">
        <v>125</v>
      </c>
      <c r="AB2635">
        <v>3.2</v>
      </c>
    </row>
    <row r="2636" spans="10:28">
      <c r="J2636" s="340" t="str">
        <f t="shared" si="131"/>
        <v>2009FemaleMaori233</v>
      </c>
      <c r="K2636">
        <v>2009</v>
      </c>
      <c r="L2636" t="s">
        <v>8</v>
      </c>
      <c r="M2636" t="s">
        <v>18</v>
      </c>
      <c r="N2636">
        <v>23</v>
      </c>
      <c r="O2636">
        <v>3</v>
      </c>
      <c r="P2636">
        <v>3</v>
      </c>
      <c r="Q2636">
        <v>21.034861712107698</v>
      </c>
      <c r="R2636">
        <v>23.8</v>
      </c>
      <c r="T2636" s="340" t="str">
        <f t="shared" si="132"/>
        <v>2008MaleAllEth25Other</v>
      </c>
      <c r="U2636">
        <v>2008</v>
      </c>
      <c r="V2636" t="s">
        <v>20</v>
      </c>
      <c r="W2636" t="s">
        <v>27</v>
      </c>
      <c r="X2636">
        <v>25</v>
      </c>
      <c r="Y2636" t="s">
        <v>45</v>
      </c>
      <c r="Z2636">
        <v>1</v>
      </c>
      <c r="AA2636">
        <v>36</v>
      </c>
      <c r="AB2636">
        <v>2.8</v>
      </c>
    </row>
    <row r="2637" spans="10:28">
      <c r="J2637" s="340" t="str">
        <f t="shared" si="131"/>
        <v>2009FemaleMaori234</v>
      </c>
      <c r="K2637">
        <v>2009</v>
      </c>
      <c r="L2637" t="s">
        <v>8</v>
      </c>
      <c r="M2637" t="s">
        <v>18</v>
      </c>
      <c r="N2637">
        <v>23</v>
      </c>
      <c r="O2637">
        <v>4</v>
      </c>
      <c r="P2637">
        <v>1</v>
      </c>
      <c r="Q2637">
        <v>4.7135471718210002</v>
      </c>
      <c r="R2637">
        <v>9.1999999999999993</v>
      </c>
      <c r="T2637" s="340" t="str">
        <f t="shared" si="132"/>
        <v>2008MaleAllEth22Poisoning by gases and vapours</v>
      </c>
      <c r="U2637">
        <v>2008</v>
      </c>
      <c r="V2637" t="s">
        <v>20</v>
      </c>
      <c r="W2637" t="s">
        <v>27</v>
      </c>
      <c r="X2637">
        <v>22</v>
      </c>
      <c r="Y2637" t="s">
        <v>46</v>
      </c>
      <c r="Z2637">
        <v>13</v>
      </c>
      <c r="AA2637">
        <v>83</v>
      </c>
      <c r="AB2637">
        <v>15.7</v>
      </c>
    </row>
    <row r="2638" spans="10:28">
      <c r="J2638" s="340" t="str">
        <f t="shared" si="131"/>
        <v>2009FemaleMaori235</v>
      </c>
      <c r="K2638">
        <v>2009</v>
      </c>
      <c r="L2638" t="s">
        <v>8</v>
      </c>
      <c r="M2638" t="s">
        <v>18</v>
      </c>
      <c r="N2638">
        <v>23</v>
      </c>
      <c r="O2638">
        <v>5</v>
      </c>
      <c r="P2638">
        <v>4</v>
      </c>
      <c r="Q2638">
        <v>10.9356704814049</v>
      </c>
      <c r="R2638">
        <v>10.7</v>
      </c>
      <c r="T2638" s="340" t="str">
        <f t="shared" si="132"/>
        <v>2008MaleAllEth23Poisoning by gases and vapours</v>
      </c>
      <c r="U2638">
        <v>2008</v>
      </c>
      <c r="V2638" t="s">
        <v>20</v>
      </c>
      <c r="W2638" t="s">
        <v>27</v>
      </c>
      <c r="X2638">
        <v>23</v>
      </c>
      <c r="Y2638" t="s">
        <v>46</v>
      </c>
      <c r="Z2638">
        <v>26</v>
      </c>
      <c r="AA2638">
        <v>133</v>
      </c>
      <c r="AB2638">
        <v>19.5</v>
      </c>
    </row>
    <row r="2639" spans="10:28">
      <c r="J2639" s="340" t="str">
        <f t="shared" si="131"/>
        <v>2009FemaleMaori241</v>
      </c>
      <c r="K2639">
        <v>2009</v>
      </c>
      <c r="L2639" t="s">
        <v>8</v>
      </c>
      <c r="M2639" t="s">
        <v>18</v>
      </c>
      <c r="N2639">
        <v>24</v>
      </c>
      <c r="O2639">
        <v>1</v>
      </c>
      <c r="P2639">
        <v>0</v>
      </c>
      <c r="Q2639">
        <v>0</v>
      </c>
      <c r="T2639" s="340" t="str">
        <f t="shared" si="132"/>
        <v>2008MaleAllEth24Poisoning by gases and vapours</v>
      </c>
      <c r="U2639">
        <v>2008</v>
      </c>
      <c r="V2639" t="s">
        <v>20</v>
      </c>
      <c r="W2639" t="s">
        <v>27</v>
      </c>
      <c r="X2639">
        <v>24</v>
      </c>
      <c r="Y2639" t="s">
        <v>46</v>
      </c>
      <c r="Z2639">
        <v>18</v>
      </c>
      <c r="AA2639">
        <v>125</v>
      </c>
      <c r="AB2639">
        <v>14.4</v>
      </c>
    </row>
    <row r="2640" spans="10:28">
      <c r="J2640" s="340" t="str">
        <f t="shared" si="131"/>
        <v>2009FemaleMaori242</v>
      </c>
      <c r="K2640">
        <v>2009</v>
      </c>
      <c r="L2640" t="s">
        <v>8</v>
      </c>
      <c r="M2640" t="s">
        <v>18</v>
      </c>
      <c r="N2640">
        <v>24</v>
      </c>
      <c r="O2640">
        <v>2</v>
      </c>
      <c r="P2640">
        <v>0</v>
      </c>
      <c r="Q2640">
        <v>0</v>
      </c>
      <c r="T2640" s="340" t="str">
        <f t="shared" si="132"/>
        <v>2008MaleAllEth25Poisoning by gases and vapours</v>
      </c>
      <c r="U2640">
        <v>2008</v>
      </c>
      <c r="V2640" t="s">
        <v>20</v>
      </c>
      <c r="W2640" t="s">
        <v>27</v>
      </c>
      <c r="X2640">
        <v>25</v>
      </c>
      <c r="Y2640" t="s">
        <v>46</v>
      </c>
      <c r="Z2640">
        <v>8</v>
      </c>
      <c r="AA2640">
        <v>36</v>
      </c>
      <c r="AB2640">
        <v>22.2</v>
      </c>
    </row>
    <row r="2641" spans="10:28">
      <c r="J2641" s="340" t="str">
        <f t="shared" si="131"/>
        <v>2009FemaleMaori243</v>
      </c>
      <c r="K2641">
        <v>2009</v>
      </c>
      <c r="L2641" t="s">
        <v>8</v>
      </c>
      <c r="M2641" t="s">
        <v>18</v>
      </c>
      <c r="N2641">
        <v>24</v>
      </c>
      <c r="O2641">
        <v>3</v>
      </c>
      <c r="P2641">
        <v>0</v>
      </c>
      <c r="Q2641">
        <v>0</v>
      </c>
      <c r="T2641" s="340" t="str">
        <f t="shared" si="132"/>
        <v>2008MaleAllEth22Poisoning by solids and liquids</v>
      </c>
      <c r="U2641">
        <v>2008</v>
      </c>
      <c r="V2641" t="s">
        <v>20</v>
      </c>
      <c r="W2641" t="s">
        <v>27</v>
      </c>
      <c r="X2641">
        <v>22</v>
      </c>
      <c r="Y2641" t="s">
        <v>47</v>
      </c>
      <c r="Z2641">
        <v>1</v>
      </c>
      <c r="AA2641">
        <v>83</v>
      </c>
      <c r="AB2641">
        <v>1.2</v>
      </c>
    </row>
    <row r="2642" spans="10:28">
      <c r="J2642" s="340" t="str">
        <f t="shared" si="131"/>
        <v>2009FemaleMaori244</v>
      </c>
      <c r="K2642">
        <v>2009</v>
      </c>
      <c r="L2642" t="s">
        <v>8</v>
      </c>
      <c r="M2642" t="s">
        <v>18</v>
      </c>
      <c r="N2642">
        <v>24</v>
      </c>
      <c r="O2642">
        <v>4</v>
      </c>
      <c r="P2642">
        <v>3</v>
      </c>
      <c r="Q2642">
        <v>22.0329132903362</v>
      </c>
      <c r="R2642">
        <v>24.9</v>
      </c>
      <c r="T2642" s="340" t="str">
        <f t="shared" si="132"/>
        <v>2008MaleAllEth23Poisoning by solids and liquids</v>
      </c>
      <c r="U2642">
        <v>2008</v>
      </c>
      <c r="V2642" t="s">
        <v>20</v>
      </c>
      <c r="W2642" t="s">
        <v>27</v>
      </c>
      <c r="X2642">
        <v>23</v>
      </c>
      <c r="Y2642" t="s">
        <v>47</v>
      </c>
      <c r="Z2642">
        <v>6</v>
      </c>
      <c r="AA2642">
        <v>133</v>
      </c>
      <c r="AB2642">
        <v>4.5</v>
      </c>
    </row>
    <row r="2643" spans="10:28">
      <c r="J2643" s="340" t="str">
        <f t="shared" si="131"/>
        <v>2009FemaleMaori245</v>
      </c>
      <c r="K2643">
        <v>2009</v>
      </c>
      <c r="L2643" t="s">
        <v>8</v>
      </c>
      <c r="M2643" t="s">
        <v>18</v>
      </c>
      <c r="N2643">
        <v>24</v>
      </c>
      <c r="O2643">
        <v>5</v>
      </c>
      <c r="P2643">
        <v>1</v>
      </c>
      <c r="Q2643">
        <v>4.0328593414714602</v>
      </c>
      <c r="R2643">
        <v>7.9</v>
      </c>
      <c r="T2643" s="340" t="str">
        <f t="shared" si="132"/>
        <v>2008MaleAllEth24Poisoning by solids and liquids</v>
      </c>
      <c r="U2643">
        <v>2008</v>
      </c>
      <c r="V2643" t="s">
        <v>20</v>
      </c>
      <c r="W2643" t="s">
        <v>27</v>
      </c>
      <c r="X2643">
        <v>24</v>
      </c>
      <c r="Y2643" t="s">
        <v>47</v>
      </c>
      <c r="Z2643">
        <v>9</v>
      </c>
      <c r="AA2643">
        <v>125</v>
      </c>
      <c r="AB2643">
        <v>7.2</v>
      </c>
    </row>
    <row r="2644" spans="10:28">
      <c r="J2644" s="340" t="str">
        <f t="shared" si="131"/>
        <v>2009FemaleMaori251</v>
      </c>
      <c r="K2644">
        <v>2009</v>
      </c>
      <c r="L2644" t="s">
        <v>8</v>
      </c>
      <c r="M2644" t="s">
        <v>18</v>
      </c>
      <c r="N2644">
        <v>25</v>
      </c>
      <c r="O2644">
        <v>1</v>
      </c>
      <c r="P2644">
        <v>0</v>
      </c>
      <c r="Q2644">
        <v>0</v>
      </c>
      <c r="T2644" s="340" t="str">
        <f t="shared" si="132"/>
        <v>2008MaleAllEth25Poisoning by solids and liquids</v>
      </c>
      <c r="U2644">
        <v>2008</v>
      </c>
      <c r="V2644" t="s">
        <v>20</v>
      </c>
      <c r="W2644" t="s">
        <v>27</v>
      </c>
      <c r="X2644">
        <v>25</v>
      </c>
      <c r="Y2644" t="s">
        <v>47</v>
      </c>
      <c r="Z2644">
        <v>5</v>
      </c>
      <c r="AA2644">
        <v>36</v>
      </c>
      <c r="AB2644">
        <v>13.9</v>
      </c>
    </row>
    <row r="2645" spans="10:28">
      <c r="J2645" s="340" t="str">
        <f t="shared" si="131"/>
        <v>2009FemaleMaori252</v>
      </c>
      <c r="K2645">
        <v>2009</v>
      </c>
      <c r="L2645" t="s">
        <v>8</v>
      </c>
      <c r="M2645" t="s">
        <v>18</v>
      </c>
      <c r="N2645">
        <v>25</v>
      </c>
      <c r="O2645">
        <v>2</v>
      </c>
      <c r="P2645">
        <v>0</v>
      </c>
      <c r="Q2645">
        <v>0</v>
      </c>
      <c r="T2645" s="340" t="str">
        <f t="shared" si="132"/>
        <v>2008MaleAllEth23Sharp object</v>
      </c>
      <c r="U2645">
        <v>2008</v>
      </c>
      <c r="V2645" t="s">
        <v>20</v>
      </c>
      <c r="W2645" t="s">
        <v>27</v>
      </c>
      <c r="X2645">
        <v>23</v>
      </c>
      <c r="Y2645" t="s">
        <v>48</v>
      </c>
      <c r="Z2645">
        <v>3</v>
      </c>
      <c r="AA2645">
        <v>133</v>
      </c>
      <c r="AB2645">
        <v>2.2999999999999998</v>
      </c>
    </row>
    <row r="2646" spans="10:28">
      <c r="J2646" s="340" t="str">
        <f t="shared" si="131"/>
        <v>2009FemaleMaori253</v>
      </c>
      <c r="K2646">
        <v>2009</v>
      </c>
      <c r="L2646" t="s">
        <v>8</v>
      </c>
      <c r="M2646" t="s">
        <v>18</v>
      </c>
      <c r="N2646">
        <v>25</v>
      </c>
      <c r="O2646">
        <v>3</v>
      </c>
      <c r="P2646">
        <v>0</v>
      </c>
      <c r="Q2646">
        <v>0</v>
      </c>
      <c r="T2646" s="340" t="str">
        <f t="shared" si="132"/>
        <v>2008MaleAllEth24Sharp object</v>
      </c>
      <c r="U2646">
        <v>2008</v>
      </c>
      <c r="V2646" t="s">
        <v>20</v>
      </c>
      <c r="W2646" t="s">
        <v>27</v>
      </c>
      <c r="X2646">
        <v>24</v>
      </c>
      <c r="Y2646" t="s">
        <v>48</v>
      </c>
      <c r="Z2646">
        <v>7</v>
      </c>
      <c r="AA2646">
        <v>125</v>
      </c>
      <c r="AB2646">
        <v>5.6</v>
      </c>
    </row>
    <row r="2647" spans="10:28">
      <c r="J2647" s="340" t="str">
        <f t="shared" si="131"/>
        <v>2009FemaleMaori254</v>
      </c>
      <c r="K2647">
        <v>2009</v>
      </c>
      <c r="L2647" t="s">
        <v>8</v>
      </c>
      <c r="M2647" t="s">
        <v>18</v>
      </c>
      <c r="N2647">
        <v>25</v>
      </c>
      <c r="O2647">
        <v>4</v>
      </c>
      <c r="P2647">
        <v>0</v>
      </c>
      <c r="Q2647">
        <v>0</v>
      </c>
      <c r="T2647" s="340" t="str">
        <f t="shared" si="132"/>
        <v>2008MaleAllEth25Sharp object</v>
      </c>
      <c r="U2647">
        <v>2008</v>
      </c>
      <c r="V2647" t="s">
        <v>20</v>
      </c>
      <c r="W2647" t="s">
        <v>27</v>
      </c>
      <c r="X2647">
        <v>25</v>
      </c>
      <c r="Y2647" t="s">
        <v>48</v>
      </c>
      <c r="Z2647">
        <v>2</v>
      </c>
      <c r="AA2647">
        <v>36</v>
      </c>
      <c r="AB2647">
        <v>5.6</v>
      </c>
    </row>
    <row r="2648" spans="10:28">
      <c r="J2648" s="340" t="str">
        <f t="shared" si="131"/>
        <v>2009FemaleMaori255</v>
      </c>
      <c r="K2648">
        <v>2009</v>
      </c>
      <c r="L2648" t="s">
        <v>8</v>
      </c>
      <c r="M2648" t="s">
        <v>18</v>
      </c>
      <c r="N2648">
        <v>25</v>
      </c>
      <c r="O2648">
        <v>5</v>
      </c>
      <c r="P2648">
        <v>0</v>
      </c>
      <c r="Q2648">
        <v>0</v>
      </c>
      <c r="T2648" s="340" t="str">
        <f t="shared" si="132"/>
        <v>2008MaleAllEth24Submersion (drowning)</v>
      </c>
      <c r="U2648">
        <v>2008</v>
      </c>
      <c r="V2648" t="s">
        <v>20</v>
      </c>
      <c r="W2648" t="s">
        <v>27</v>
      </c>
      <c r="X2648">
        <v>24</v>
      </c>
      <c r="Y2648" t="s">
        <v>49</v>
      </c>
      <c r="Z2648">
        <v>4</v>
      </c>
      <c r="AA2648">
        <v>125</v>
      </c>
      <c r="AB2648">
        <v>3.2</v>
      </c>
    </row>
    <row r="2649" spans="10:28">
      <c r="J2649" s="340" t="str">
        <f t="shared" si="131"/>
        <v>2009FemaleNon-Maori211</v>
      </c>
      <c r="K2649">
        <v>2009</v>
      </c>
      <c r="L2649" t="s">
        <v>8</v>
      </c>
      <c r="M2649" t="s">
        <v>19</v>
      </c>
      <c r="N2649">
        <v>21</v>
      </c>
      <c r="O2649">
        <v>1</v>
      </c>
      <c r="P2649">
        <v>0</v>
      </c>
      <c r="Q2649">
        <v>0</v>
      </c>
      <c r="T2649" s="340" t="str">
        <f t="shared" si="132"/>
        <v>2008MaleAllEth25Submersion (drowning)</v>
      </c>
      <c r="U2649">
        <v>2008</v>
      </c>
      <c r="V2649" t="s">
        <v>20</v>
      </c>
      <c r="W2649" t="s">
        <v>27</v>
      </c>
      <c r="X2649">
        <v>25</v>
      </c>
      <c r="Y2649" t="s">
        <v>49</v>
      </c>
      <c r="Z2649">
        <v>1</v>
      </c>
      <c r="AA2649">
        <v>36</v>
      </c>
      <c r="AB2649">
        <v>2.8</v>
      </c>
    </row>
    <row r="2650" spans="10:28">
      <c r="J2650" s="340" t="str">
        <f t="shared" si="131"/>
        <v>2009FemaleNon-Maori212</v>
      </c>
      <c r="K2650">
        <v>2009</v>
      </c>
      <c r="L2650" t="s">
        <v>8</v>
      </c>
      <c r="M2650" t="s">
        <v>19</v>
      </c>
      <c r="N2650">
        <v>21</v>
      </c>
      <c r="O2650">
        <v>2</v>
      </c>
      <c r="P2650">
        <v>1</v>
      </c>
      <c r="Q2650">
        <v>1.40370939949364</v>
      </c>
      <c r="R2650">
        <v>2.8</v>
      </c>
      <c r="T2650" s="340" t="str">
        <f t="shared" si="132"/>
        <v>2008MaleMaori24Firearms and explosives</v>
      </c>
      <c r="U2650">
        <v>2008</v>
      </c>
      <c r="V2650" t="s">
        <v>20</v>
      </c>
      <c r="W2650" t="s">
        <v>18</v>
      </c>
      <c r="X2650">
        <v>24</v>
      </c>
      <c r="Y2650" t="s">
        <v>42</v>
      </c>
      <c r="Z2650">
        <v>2</v>
      </c>
      <c r="AA2650">
        <v>8</v>
      </c>
      <c r="AB2650">
        <v>25</v>
      </c>
    </row>
    <row r="2651" spans="10:28">
      <c r="J2651" s="340" t="str">
        <f t="shared" si="131"/>
        <v>2009FemaleNon-Maori213</v>
      </c>
      <c r="K2651">
        <v>2009</v>
      </c>
      <c r="L2651" t="s">
        <v>8</v>
      </c>
      <c r="M2651" t="s">
        <v>19</v>
      </c>
      <c r="N2651">
        <v>21</v>
      </c>
      <c r="O2651">
        <v>3</v>
      </c>
      <c r="P2651">
        <v>0</v>
      </c>
      <c r="Q2651">
        <v>0</v>
      </c>
      <c r="T2651" s="340" t="str">
        <f t="shared" si="132"/>
        <v>2008MaleMaori21Hanging, strangulation and suffocation</v>
      </c>
      <c r="U2651">
        <v>2008</v>
      </c>
      <c r="V2651" t="s">
        <v>20</v>
      </c>
      <c r="W2651" t="s">
        <v>18</v>
      </c>
      <c r="X2651">
        <v>21</v>
      </c>
      <c r="Y2651" t="s">
        <v>43</v>
      </c>
      <c r="Z2651">
        <v>2</v>
      </c>
      <c r="AA2651">
        <v>2</v>
      </c>
      <c r="AB2651">
        <v>100</v>
      </c>
    </row>
    <row r="2652" spans="10:28">
      <c r="J2652" s="340" t="str">
        <f t="shared" si="131"/>
        <v>2009FemaleNon-Maori214</v>
      </c>
      <c r="K2652">
        <v>2009</v>
      </c>
      <c r="L2652" t="s">
        <v>8</v>
      </c>
      <c r="M2652" t="s">
        <v>19</v>
      </c>
      <c r="N2652">
        <v>21</v>
      </c>
      <c r="O2652">
        <v>4</v>
      </c>
      <c r="P2652">
        <v>0</v>
      </c>
      <c r="Q2652">
        <v>0</v>
      </c>
      <c r="T2652" s="340" t="str">
        <f t="shared" si="132"/>
        <v>2008MaleMaori22Hanging, strangulation and suffocation</v>
      </c>
      <c r="U2652">
        <v>2008</v>
      </c>
      <c r="V2652" t="s">
        <v>20</v>
      </c>
      <c r="W2652" t="s">
        <v>18</v>
      </c>
      <c r="X2652">
        <v>22</v>
      </c>
      <c r="Y2652" t="s">
        <v>43</v>
      </c>
      <c r="Z2652">
        <v>17</v>
      </c>
      <c r="AA2652">
        <v>17</v>
      </c>
      <c r="AB2652">
        <v>100</v>
      </c>
    </row>
    <row r="2653" spans="10:28">
      <c r="J2653" s="340" t="str">
        <f t="shared" si="131"/>
        <v>2009FemaleNon-Maori215</v>
      </c>
      <c r="K2653">
        <v>2009</v>
      </c>
      <c r="L2653" t="s">
        <v>8</v>
      </c>
      <c r="M2653" t="s">
        <v>19</v>
      </c>
      <c r="N2653">
        <v>21</v>
      </c>
      <c r="O2653">
        <v>5</v>
      </c>
      <c r="P2653">
        <v>1</v>
      </c>
      <c r="Q2653">
        <v>1.75799623552836</v>
      </c>
      <c r="R2653">
        <v>3.4</v>
      </c>
      <c r="T2653" s="340" t="str">
        <f t="shared" si="132"/>
        <v>2008MaleMaori23Hanging, strangulation and suffocation</v>
      </c>
      <c r="U2653">
        <v>2008</v>
      </c>
      <c r="V2653" t="s">
        <v>20</v>
      </c>
      <c r="W2653" t="s">
        <v>18</v>
      </c>
      <c r="X2653">
        <v>23</v>
      </c>
      <c r="Y2653" t="s">
        <v>43</v>
      </c>
      <c r="Z2653">
        <v>24</v>
      </c>
      <c r="AA2653">
        <v>28</v>
      </c>
      <c r="AB2653">
        <v>85.7</v>
      </c>
    </row>
    <row r="2654" spans="10:28">
      <c r="J2654" s="340" t="str">
        <f t="shared" si="131"/>
        <v>2009FemaleNon-Maori221</v>
      </c>
      <c r="K2654">
        <v>2009</v>
      </c>
      <c r="L2654" t="s">
        <v>8</v>
      </c>
      <c r="M2654" t="s">
        <v>19</v>
      </c>
      <c r="N2654">
        <v>22</v>
      </c>
      <c r="O2654">
        <v>1</v>
      </c>
      <c r="P2654">
        <v>1</v>
      </c>
      <c r="Q2654">
        <v>2.2237276615313002</v>
      </c>
      <c r="R2654">
        <v>4.4000000000000004</v>
      </c>
      <c r="T2654" s="340" t="str">
        <f t="shared" si="132"/>
        <v>2008MaleMaori24Hanging, strangulation and suffocation</v>
      </c>
      <c r="U2654">
        <v>2008</v>
      </c>
      <c r="V2654" t="s">
        <v>20</v>
      </c>
      <c r="W2654" t="s">
        <v>18</v>
      </c>
      <c r="X2654">
        <v>24</v>
      </c>
      <c r="Y2654" t="s">
        <v>43</v>
      </c>
      <c r="Z2654">
        <v>5</v>
      </c>
      <c r="AA2654">
        <v>8</v>
      </c>
      <c r="AB2654">
        <v>62.5</v>
      </c>
    </row>
    <row r="2655" spans="10:28">
      <c r="J2655" s="340" t="str">
        <f t="shared" si="131"/>
        <v>2009FemaleNon-Maori222</v>
      </c>
      <c r="K2655">
        <v>2009</v>
      </c>
      <c r="L2655" t="s">
        <v>8</v>
      </c>
      <c r="M2655" t="s">
        <v>19</v>
      </c>
      <c r="N2655">
        <v>22</v>
      </c>
      <c r="O2655">
        <v>2</v>
      </c>
      <c r="P2655">
        <v>1</v>
      </c>
      <c r="Q2655">
        <v>2.1518001721539499</v>
      </c>
      <c r="R2655">
        <v>4.2</v>
      </c>
      <c r="T2655" s="340" t="str">
        <f t="shared" si="132"/>
        <v>2008MaleMaori23Other</v>
      </c>
      <c r="U2655">
        <v>2008</v>
      </c>
      <c r="V2655" t="s">
        <v>20</v>
      </c>
      <c r="W2655" t="s">
        <v>18</v>
      </c>
      <c r="X2655">
        <v>23</v>
      </c>
      <c r="Y2655" t="s">
        <v>45</v>
      </c>
      <c r="Z2655">
        <v>1</v>
      </c>
      <c r="AA2655">
        <v>28</v>
      </c>
      <c r="AB2655">
        <v>3.6</v>
      </c>
    </row>
    <row r="2656" spans="10:28">
      <c r="J2656" s="340" t="str">
        <f t="shared" si="131"/>
        <v>2009FemaleNon-Maori223</v>
      </c>
      <c r="K2656">
        <v>2009</v>
      </c>
      <c r="L2656" t="s">
        <v>8</v>
      </c>
      <c r="M2656" t="s">
        <v>19</v>
      </c>
      <c r="N2656">
        <v>22</v>
      </c>
      <c r="O2656">
        <v>3</v>
      </c>
      <c r="P2656">
        <v>2</v>
      </c>
      <c r="Q2656">
        <v>4.1403799422288401</v>
      </c>
      <c r="R2656">
        <v>5.7</v>
      </c>
      <c r="T2656" s="340" t="str">
        <f t="shared" si="132"/>
        <v>2008MaleMaori24Other</v>
      </c>
      <c r="U2656">
        <v>2008</v>
      </c>
      <c r="V2656" t="s">
        <v>20</v>
      </c>
      <c r="W2656" t="s">
        <v>18</v>
      </c>
      <c r="X2656">
        <v>24</v>
      </c>
      <c r="Y2656" t="s">
        <v>45</v>
      </c>
      <c r="Z2656">
        <v>1</v>
      </c>
      <c r="AA2656">
        <v>8</v>
      </c>
      <c r="AB2656">
        <v>12.5</v>
      </c>
    </row>
    <row r="2657" spans="10:28">
      <c r="J2657" s="340" t="str">
        <f t="shared" si="131"/>
        <v>2009FemaleNon-Maori224</v>
      </c>
      <c r="K2657">
        <v>2009</v>
      </c>
      <c r="L2657" t="s">
        <v>8</v>
      </c>
      <c r="M2657" t="s">
        <v>19</v>
      </c>
      <c r="N2657">
        <v>22</v>
      </c>
      <c r="O2657">
        <v>4</v>
      </c>
      <c r="P2657">
        <v>4</v>
      </c>
      <c r="Q2657">
        <v>7.9965349753743897</v>
      </c>
      <c r="R2657">
        <v>7.8</v>
      </c>
      <c r="T2657" s="340" t="str">
        <f t="shared" si="132"/>
        <v>2008MaleMaori23Poisoning by gases and vapours</v>
      </c>
      <c r="U2657">
        <v>2008</v>
      </c>
      <c r="V2657" t="s">
        <v>20</v>
      </c>
      <c r="W2657" t="s">
        <v>18</v>
      </c>
      <c r="X2657">
        <v>23</v>
      </c>
      <c r="Y2657" t="s">
        <v>46</v>
      </c>
      <c r="Z2657">
        <v>2</v>
      </c>
      <c r="AA2657">
        <v>28</v>
      </c>
      <c r="AB2657">
        <v>7.1</v>
      </c>
    </row>
    <row r="2658" spans="10:28">
      <c r="J2658" s="340" t="str">
        <f t="shared" si="131"/>
        <v>2009FemaleNon-Maori225</v>
      </c>
      <c r="K2658">
        <v>2009</v>
      </c>
      <c r="L2658" t="s">
        <v>8</v>
      </c>
      <c r="M2658" t="s">
        <v>19</v>
      </c>
      <c r="N2658">
        <v>22</v>
      </c>
      <c r="O2658">
        <v>5</v>
      </c>
      <c r="P2658">
        <v>2</v>
      </c>
      <c r="Q2658">
        <v>3.90081504652332</v>
      </c>
      <c r="R2658">
        <v>5.4</v>
      </c>
      <c r="T2658" s="340" t="str">
        <f t="shared" si="132"/>
        <v>2008MaleMaori23Poisoning by solids and liquids</v>
      </c>
      <c r="U2658">
        <v>2008</v>
      </c>
      <c r="V2658" t="s">
        <v>20</v>
      </c>
      <c r="W2658" t="s">
        <v>18</v>
      </c>
      <c r="X2658">
        <v>23</v>
      </c>
      <c r="Y2658" t="s">
        <v>47</v>
      </c>
      <c r="Z2658">
        <v>1</v>
      </c>
      <c r="AA2658">
        <v>28</v>
      </c>
      <c r="AB2658">
        <v>3.6</v>
      </c>
    </row>
    <row r="2659" spans="10:28">
      <c r="J2659" s="340" t="str">
        <f t="shared" si="131"/>
        <v>2009FemaleNon-Maori231</v>
      </c>
      <c r="K2659">
        <v>2009</v>
      </c>
      <c r="L2659" t="s">
        <v>8</v>
      </c>
      <c r="M2659" t="s">
        <v>19</v>
      </c>
      <c r="N2659">
        <v>23</v>
      </c>
      <c r="O2659">
        <v>1</v>
      </c>
      <c r="P2659">
        <v>3</v>
      </c>
      <c r="Q2659">
        <v>2.6478099393451</v>
      </c>
      <c r="R2659">
        <v>3</v>
      </c>
      <c r="T2659" s="340" t="str">
        <f t="shared" si="132"/>
        <v>2008MaleMaori25Sharp object</v>
      </c>
      <c r="U2659">
        <v>2008</v>
      </c>
      <c r="V2659" t="s">
        <v>20</v>
      </c>
      <c r="W2659" t="s">
        <v>18</v>
      </c>
      <c r="X2659">
        <v>25</v>
      </c>
      <c r="Y2659" t="s">
        <v>48</v>
      </c>
      <c r="Z2659">
        <v>1</v>
      </c>
      <c r="AA2659">
        <v>1</v>
      </c>
      <c r="AB2659">
        <v>100</v>
      </c>
    </row>
    <row r="2660" spans="10:28">
      <c r="J2660" s="340" t="str">
        <f t="shared" si="131"/>
        <v>2009FemaleNon-Maori232</v>
      </c>
      <c r="K2660">
        <v>2009</v>
      </c>
      <c r="L2660" t="s">
        <v>8</v>
      </c>
      <c r="M2660" t="s">
        <v>19</v>
      </c>
      <c r="N2660">
        <v>23</v>
      </c>
      <c r="O2660">
        <v>2</v>
      </c>
      <c r="P2660">
        <v>6</v>
      </c>
      <c r="Q2660">
        <v>5.2158790445506904</v>
      </c>
      <c r="R2660">
        <v>4.2</v>
      </c>
      <c r="T2660" s="340" t="str">
        <f t="shared" si="132"/>
        <v>2008MaleNon-Maori22Firearms and explosives</v>
      </c>
      <c r="U2660">
        <v>2008</v>
      </c>
      <c r="V2660" t="s">
        <v>20</v>
      </c>
      <c r="W2660" t="s">
        <v>19</v>
      </c>
      <c r="X2660">
        <v>22</v>
      </c>
      <c r="Y2660" t="s">
        <v>42</v>
      </c>
      <c r="Z2660">
        <v>5</v>
      </c>
      <c r="AA2660">
        <v>66</v>
      </c>
      <c r="AB2660">
        <v>7.6</v>
      </c>
    </row>
    <row r="2661" spans="10:28">
      <c r="J2661" s="340" t="str">
        <f t="shared" si="131"/>
        <v>2009FemaleNon-Maori233</v>
      </c>
      <c r="K2661">
        <v>2009</v>
      </c>
      <c r="L2661" t="s">
        <v>8</v>
      </c>
      <c r="M2661" t="s">
        <v>19</v>
      </c>
      <c r="N2661">
        <v>23</v>
      </c>
      <c r="O2661">
        <v>3</v>
      </c>
      <c r="P2661">
        <v>6</v>
      </c>
      <c r="Q2661">
        <v>5.4677857207776199</v>
      </c>
      <c r="R2661">
        <v>4.4000000000000004</v>
      </c>
      <c r="T2661" s="340" t="str">
        <f t="shared" si="132"/>
        <v>2008MaleNon-Maori23Firearms and explosives</v>
      </c>
      <c r="U2661">
        <v>2008</v>
      </c>
      <c r="V2661" t="s">
        <v>20</v>
      </c>
      <c r="W2661" t="s">
        <v>19</v>
      </c>
      <c r="X2661">
        <v>23</v>
      </c>
      <c r="Y2661" t="s">
        <v>42</v>
      </c>
      <c r="Z2661">
        <v>7</v>
      </c>
      <c r="AA2661">
        <v>105</v>
      </c>
      <c r="AB2661">
        <v>6.7</v>
      </c>
    </row>
    <row r="2662" spans="10:28">
      <c r="J2662" s="340" t="str">
        <f t="shared" si="131"/>
        <v>2009FemaleNon-Maori234</v>
      </c>
      <c r="K2662">
        <v>2009</v>
      </c>
      <c r="L2662" t="s">
        <v>8</v>
      </c>
      <c r="M2662" t="s">
        <v>19</v>
      </c>
      <c r="N2662">
        <v>23</v>
      </c>
      <c r="O2662">
        <v>4</v>
      </c>
      <c r="P2662">
        <v>9</v>
      </c>
      <c r="Q2662">
        <v>8.9872421215155107</v>
      </c>
      <c r="R2662">
        <v>5.9</v>
      </c>
      <c r="T2662" s="340" t="str">
        <f t="shared" si="132"/>
        <v>2008MaleNon-Maori24Firearms and explosives</v>
      </c>
      <c r="U2662">
        <v>2008</v>
      </c>
      <c r="V2662" t="s">
        <v>20</v>
      </c>
      <c r="W2662" t="s">
        <v>19</v>
      </c>
      <c r="X2662">
        <v>24</v>
      </c>
      <c r="Y2662" t="s">
        <v>42</v>
      </c>
      <c r="Z2662">
        <v>15</v>
      </c>
      <c r="AA2662">
        <v>117</v>
      </c>
      <c r="AB2662">
        <v>12.8</v>
      </c>
    </row>
    <row r="2663" spans="10:28">
      <c r="J2663" s="340" t="str">
        <f t="shared" si="131"/>
        <v>2009FemaleNon-Maori235</v>
      </c>
      <c r="K2663">
        <v>2009</v>
      </c>
      <c r="L2663" t="s">
        <v>8</v>
      </c>
      <c r="M2663" t="s">
        <v>19</v>
      </c>
      <c r="N2663">
        <v>23</v>
      </c>
      <c r="O2663">
        <v>5</v>
      </c>
      <c r="P2663">
        <v>9</v>
      </c>
      <c r="Q2663">
        <v>11.473754846461</v>
      </c>
      <c r="R2663">
        <v>7.5</v>
      </c>
      <c r="T2663" s="340" t="str">
        <f t="shared" si="132"/>
        <v>2008MaleNon-Maori25Firearms and explosives</v>
      </c>
      <c r="U2663">
        <v>2008</v>
      </c>
      <c r="V2663" t="s">
        <v>20</v>
      </c>
      <c r="W2663" t="s">
        <v>19</v>
      </c>
      <c r="X2663">
        <v>25</v>
      </c>
      <c r="Y2663" t="s">
        <v>42</v>
      </c>
      <c r="Z2663">
        <v>11</v>
      </c>
      <c r="AA2663">
        <v>35</v>
      </c>
      <c r="AB2663">
        <v>31.4</v>
      </c>
    </row>
    <row r="2664" spans="10:28">
      <c r="J2664" s="340" t="str">
        <f t="shared" si="131"/>
        <v>2009FemaleNon-Maori241</v>
      </c>
      <c r="K2664">
        <v>2009</v>
      </c>
      <c r="L2664" t="s">
        <v>8</v>
      </c>
      <c r="M2664" t="s">
        <v>19</v>
      </c>
      <c r="N2664">
        <v>24</v>
      </c>
      <c r="O2664">
        <v>1</v>
      </c>
      <c r="P2664">
        <v>5</v>
      </c>
      <c r="Q2664">
        <v>3.8729520787648202</v>
      </c>
      <c r="R2664">
        <v>3.4</v>
      </c>
      <c r="T2664" s="340" t="str">
        <f t="shared" si="132"/>
        <v>2008MaleNon-Maori22Hanging, strangulation and suffocation</v>
      </c>
      <c r="U2664">
        <v>2008</v>
      </c>
      <c r="V2664" t="s">
        <v>20</v>
      </c>
      <c r="W2664" t="s">
        <v>19</v>
      </c>
      <c r="X2664">
        <v>22</v>
      </c>
      <c r="Y2664" t="s">
        <v>43</v>
      </c>
      <c r="Z2664">
        <v>41</v>
      </c>
      <c r="AA2664">
        <v>66</v>
      </c>
      <c r="AB2664">
        <v>62.1</v>
      </c>
    </row>
    <row r="2665" spans="10:28">
      <c r="J2665" s="340" t="str">
        <f t="shared" si="131"/>
        <v>2009FemaleNon-Maori242</v>
      </c>
      <c r="K2665">
        <v>2009</v>
      </c>
      <c r="L2665" t="s">
        <v>8</v>
      </c>
      <c r="M2665" t="s">
        <v>19</v>
      </c>
      <c r="N2665">
        <v>24</v>
      </c>
      <c r="O2665">
        <v>2</v>
      </c>
      <c r="P2665">
        <v>6</v>
      </c>
      <c r="Q2665">
        <v>5.3063479527800199</v>
      </c>
      <c r="R2665">
        <v>4.2</v>
      </c>
      <c r="T2665" s="340" t="str">
        <f t="shared" si="132"/>
        <v>2008MaleNon-Maori23Hanging, strangulation and suffocation</v>
      </c>
      <c r="U2665">
        <v>2008</v>
      </c>
      <c r="V2665" t="s">
        <v>20</v>
      </c>
      <c r="W2665" t="s">
        <v>19</v>
      </c>
      <c r="X2665">
        <v>23</v>
      </c>
      <c r="Y2665" t="s">
        <v>43</v>
      </c>
      <c r="Z2665">
        <v>57</v>
      </c>
      <c r="AA2665">
        <v>105</v>
      </c>
      <c r="AB2665">
        <v>54.3</v>
      </c>
    </row>
    <row r="2666" spans="10:28">
      <c r="J2666" s="340" t="str">
        <f t="shared" si="131"/>
        <v>2009FemaleNon-Maori243</v>
      </c>
      <c r="K2666">
        <v>2009</v>
      </c>
      <c r="L2666" t="s">
        <v>8</v>
      </c>
      <c r="M2666" t="s">
        <v>19</v>
      </c>
      <c r="N2666">
        <v>24</v>
      </c>
      <c r="O2666">
        <v>3</v>
      </c>
      <c r="P2666">
        <v>9</v>
      </c>
      <c r="Q2666">
        <v>9.0263270479099695</v>
      </c>
      <c r="R2666">
        <v>5.9</v>
      </c>
      <c r="T2666" s="340" t="str">
        <f t="shared" si="132"/>
        <v>2008MaleNon-Maori24Hanging, strangulation and suffocation</v>
      </c>
      <c r="U2666">
        <v>2008</v>
      </c>
      <c r="V2666" t="s">
        <v>20</v>
      </c>
      <c r="W2666" t="s">
        <v>19</v>
      </c>
      <c r="X2666">
        <v>24</v>
      </c>
      <c r="Y2666" t="s">
        <v>43</v>
      </c>
      <c r="Z2666">
        <v>56</v>
      </c>
      <c r="AA2666">
        <v>117</v>
      </c>
      <c r="AB2666">
        <v>47.9</v>
      </c>
    </row>
    <row r="2667" spans="10:28">
      <c r="J2667" s="340" t="str">
        <f t="shared" si="131"/>
        <v>2009FemaleNon-Maori244</v>
      </c>
      <c r="K2667">
        <v>2009</v>
      </c>
      <c r="L2667" t="s">
        <v>8</v>
      </c>
      <c r="M2667" t="s">
        <v>19</v>
      </c>
      <c r="N2667">
        <v>24</v>
      </c>
      <c r="O2667">
        <v>4</v>
      </c>
      <c r="P2667">
        <v>9</v>
      </c>
      <c r="Q2667">
        <v>10.418451002239699</v>
      </c>
      <c r="R2667">
        <v>6.8</v>
      </c>
      <c r="T2667" s="340" t="str">
        <f t="shared" si="132"/>
        <v>2008MaleNon-Maori25Hanging, strangulation and suffocation</v>
      </c>
      <c r="U2667">
        <v>2008</v>
      </c>
      <c r="V2667" t="s">
        <v>20</v>
      </c>
      <c r="W2667" t="s">
        <v>19</v>
      </c>
      <c r="X2667">
        <v>25</v>
      </c>
      <c r="Y2667" t="s">
        <v>43</v>
      </c>
      <c r="Z2667">
        <v>8</v>
      </c>
      <c r="AA2667">
        <v>35</v>
      </c>
      <c r="AB2667">
        <v>22.9</v>
      </c>
    </row>
    <row r="2668" spans="10:28">
      <c r="J2668" s="340" t="str">
        <f t="shared" si="131"/>
        <v>2009FemaleNon-Maori245</v>
      </c>
      <c r="K2668">
        <v>2009</v>
      </c>
      <c r="L2668" t="s">
        <v>8</v>
      </c>
      <c r="M2668" t="s">
        <v>19</v>
      </c>
      <c r="N2668">
        <v>24</v>
      </c>
      <c r="O2668">
        <v>5</v>
      </c>
      <c r="P2668">
        <v>5</v>
      </c>
      <c r="Q2668">
        <v>7.7876934906775199</v>
      </c>
      <c r="R2668">
        <v>6.8</v>
      </c>
      <c r="T2668" s="340" t="str">
        <f t="shared" si="132"/>
        <v>2008MaleNon-Maori22Jumping from a high place</v>
      </c>
      <c r="U2668">
        <v>2008</v>
      </c>
      <c r="V2668" t="s">
        <v>20</v>
      </c>
      <c r="W2668" t="s">
        <v>19</v>
      </c>
      <c r="X2668">
        <v>22</v>
      </c>
      <c r="Y2668" t="s">
        <v>44</v>
      </c>
      <c r="Z2668">
        <v>3</v>
      </c>
      <c r="AA2668">
        <v>66</v>
      </c>
      <c r="AB2668">
        <v>4.5</v>
      </c>
    </row>
    <row r="2669" spans="10:28">
      <c r="J2669" s="340" t="str">
        <f t="shared" si="131"/>
        <v>2009FemaleNon-Maori251</v>
      </c>
      <c r="K2669">
        <v>2009</v>
      </c>
      <c r="L2669" t="s">
        <v>8</v>
      </c>
      <c r="M2669" t="s">
        <v>19</v>
      </c>
      <c r="N2669">
        <v>25</v>
      </c>
      <c r="O2669">
        <v>1</v>
      </c>
      <c r="P2669">
        <v>3</v>
      </c>
      <c r="Q2669">
        <v>5.55918223296253</v>
      </c>
      <c r="R2669">
        <v>6.3</v>
      </c>
      <c r="T2669" s="340" t="str">
        <f t="shared" si="132"/>
        <v>2008MaleNon-Maori23Jumping from a high place</v>
      </c>
      <c r="U2669">
        <v>2008</v>
      </c>
      <c r="V2669" t="s">
        <v>20</v>
      </c>
      <c r="W2669" t="s">
        <v>19</v>
      </c>
      <c r="X2669">
        <v>23</v>
      </c>
      <c r="Y2669" t="s">
        <v>44</v>
      </c>
      <c r="Z2669">
        <v>4</v>
      </c>
      <c r="AA2669">
        <v>105</v>
      </c>
      <c r="AB2669">
        <v>3.8</v>
      </c>
    </row>
    <row r="2670" spans="10:28">
      <c r="J2670" s="340" t="str">
        <f t="shared" si="131"/>
        <v>2009FemaleNon-Maori252</v>
      </c>
      <c r="K2670">
        <v>2009</v>
      </c>
      <c r="L2670" t="s">
        <v>8</v>
      </c>
      <c r="M2670" t="s">
        <v>19</v>
      </c>
      <c r="N2670">
        <v>25</v>
      </c>
      <c r="O2670">
        <v>2</v>
      </c>
      <c r="P2670">
        <v>3</v>
      </c>
      <c r="Q2670">
        <v>5.0160620554873603</v>
      </c>
      <c r="R2670">
        <v>5.7</v>
      </c>
      <c r="T2670" s="340" t="str">
        <f t="shared" si="132"/>
        <v>2008MaleNon-Maori24Jumping from a high place</v>
      </c>
      <c r="U2670">
        <v>2008</v>
      </c>
      <c r="V2670" t="s">
        <v>20</v>
      </c>
      <c r="W2670" t="s">
        <v>19</v>
      </c>
      <c r="X2670">
        <v>24</v>
      </c>
      <c r="Y2670" t="s">
        <v>44</v>
      </c>
      <c r="Z2670">
        <v>5</v>
      </c>
      <c r="AA2670">
        <v>117</v>
      </c>
      <c r="AB2670">
        <v>4.3</v>
      </c>
    </row>
    <row r="2671" spans="10:28">
      <c r="J2671" s="340" t="str">
        <f t="shared" si="131"/>
        <v>2009FemaleNon-Maori253</v>
      </c>
      <c r="K2671">
        <v>2009</v>
      </c>
      <c r="L2671" t="s">
        <v>8</v>
      </c>
      <c r="M2671" t="s">
        <v>19</v>
      </c>
      <c r="N2671">
        <v>25</v>
      </c>
      <c r="O2671">
        <v>3</v>
      </c>
      <c r="P2671">
        <v>2</v>
      </c>
      <c r="Q2671">
        <v>3.1931776088589401</v>
      </c>
      <c r="R2671">
        <v>4.4000000000000004</v>
      </c>
      <c r="T2671" s="340" t="str">
        <f t="shared" si="132"/>
        <v>2008MaleNon-Maori22Other</v>
      </c>
      <c r="U2671">
        <v>2008</v>
      </c>
      <c r="V2671" t="s">
        <v>20</v>
      </c>
      <c r="W2671" t="s">
        <v>19</v>
      </c>
      <c r="X2671">
        <v>22</v>
      </c>
      <c r="Y2671" t="s">
        <v>45</v>
      </c>
      <c r="Z2671">
        <v>3</v>
      </c>
      <c r="AA2671">
        <v>66</v>
      </c>
      <c r="AB2671">
        <v>4.5</v>
      </c>
    </row>
    <row r="2672" spans="10:28">
      <c r="J2672" s="340" t="str">
        <f t="shared" si="131"/>
        <v>2009FemaleNon-Maori254</v>
      </c>
      <c r="K2672">
        <v>2009</v>
      </c>
      <c r="L2672" t="s">
        <v>8</v>
      </c>
      <c r="M2672" t="s">
        <v>19</v>
      </c>
      <c r="N2672">
        <v>25</v>
      </c>
      <c r="O2672">
        <v>4</v>
      </c>
      <c r="P2672">
        <v>4</v>
      </c>
      <c r="Q2672">
        <v>6.3264968746202497</v>
      </c>
      <c r="R2672">
        <v>6.2</v>
      </c>
      <c r="T2672" s="340" t="str">
        <f t="shared" si="132"/>
        <v>2008MaleNon-Maori23Other</v>
      </c>
      <c r="U2672">
        <v>2008</v>
      </c>
      <c r="V2672" t="s">
        <v>20</v>
      </c>
      <c r="W2672" t="s">
        <v>19</v>
      </c>
      <c r="X2672">
        <v>23</v>
      </c>
      <c r="Y2672" t="s">
        <v>45</v>
      </c>
      <c r="Z2672">
        <v>5</v>
      </c>
      <c r="AA2672">
        <v>105</v>
      </c>
      <c r="AB2672">
        <v>4.8</v>
      </c>
    </row>
    <row r="2673" spans="10:28">
      <c r="J2673" s="340" t="str">
        <f t="shared" si="131"/>
        <v>2009FemaleNon-Maori255</v>
      </c>
      <c r="K2673">
        <v>2009</v>
      </c>
      <c r="L2673" t="s">
        <v>8</v>
      </c>
      <c r="M2673" t="s">
        <v>19</v>
      </c>
      <c r="N2673">
        <v>25</v>
      </c>
      <c r="O2673">
        <v>5</v>
      </c>
      <c r="P2673">
        <v>0</v>
      </c>
      <c r="Q2673">
        <v>0</v>
      </c>
      <c r="T2673" s="340" t="str">
        <f t="shared" si="132"/>
        <v>2008MaleNon-Maori24Other</v>
      </c>
      <c r="U2673">
        <v>2008</v>
      </c>
      <c r="V2673" t="s">
        <v>20</v>
      </c>
      <c r="W2673" t="s">
        <v>19</v>
      </c>
      <c r="X2673">
        <v>24</v>
      </c>
      <c r="Y2673" t="s">
        <v>45</v>
      </c>
      <c r="Z2673">
        <v>3</v>
      </c>
      <c r="AA2673">
        <v>117</v>
      </c>
      <c r="AB2673">
        <v>2.6</v>
      </c>
    </row>
    <row r="2674" spans="10:28">
      <c r="J2674" s="340" t="str">
        <f t="shared" si="131"/>
        <v>2009MaleAllEth211</v>
      </c>
      <c r="K2674">
        <v>2009</v>
      </c>
      <c r="L2674" t="s">
        <v>20</v>
      </c>
      <c r="M2674" t="s">
        <v>27</v>
      </c>
      <c r="N2674">
        <v>21</v>
      </c>
      <c r="O2674">
        <v>1</v>
      </c>
      <c r="P2674">
        <v>1</v>
      </c>
      <c r="Q2674">
        <v>1.07501048377097</v>
      </c>
      <c r="R2674">
        <v>2.1</v>
      </c>
      <c r="T2674" s="340" t="str">
        <f t="shared" si="132"/>
        <v>2008MaleNon-Maori25Other</v>
      </c>
      <c r="U2674">
        <v>2008</v>
      </c>
      <c r="V2674" t="s">
        <v>20</v>
      </c>
      <c r="W2674" t="s">
        <v>19</v>
      </c>
      <c r="X2674">
        <v>25</v>
      </c>
      <c r="Y2674" t="s">
        <v>45</v>
      </c>
      <c r="Z2674">
        <v>1</v>
      </c>
      <c r="AA2674">
        <v>35</v>
      </c>
      <c r="AB2674">
        <v>2.9</v>
      </c>
    </row>
    <row r="2675" spans="10:28">
      <c r="J2675" s="340" t="str">
        <f t="shared" si="131"/>
        <v>2009MaleAllEth212</v>
      </c>
      <c r="K2675">
        <v>2009</v>
      </c>
      <c r="L2675" t="s">
        <v>20</v>
      </c>
      <c r="M2675" t="s">
        <v>27</v>
      </c>
      <c r="N2675">
        <v>21</v>
      </c>
      <c r="O2675">
        <v>2</v>
      </c>
      <c r="P2675">
        <v>2</v>
      </c>
      <c r="Q2675">
        <v>2.2772775862678101</v>
      </c>
      <c r="R2675">
        <v>3.2</v>
      </c>
      <c r="T2675" s="340" t="str">
        <f t="shared" si="132"/>
        <v>2008MaleNon-Maori22Poisoning by gases and vapours</v>
      </c>
      <c r="U2675">
        <v>2008</v>
      </c>
      <c r="V2675" t="s">
        <v>20</v>
      </c>
      <c r="W2675" t="s">
        <v>19</v>
      </c>
      <c r="X2675">
        <v>22</v>
      </c>
      <c r="Y2675" t="s">
        <v>46</v>
      </c>
      <c r="Z2675">
        <v>13</v>
      </c>
      <c r="AA2675">
        <v>66</v>
      </c>
      <c r="AB2675">
        <v>19.7</v>
      </c>
    </row>
    <row r="2676" spans="10:28">
      <c r="J2676" s="340" t="str">
        <f t="shared" si="131"/>
        <v>2009MaleAllEth213</v>
      </c>
      <c r="K2676">
        <v>2009</v>
      </c>
      <c r="L2676" t="s">
        <v>20</v>
      </c>
      <c r="M2676" t="s">
        <v>27</v>
      </c>
      <c r="N2676">
        <v>21</v>
      </c>
      <c r="O2676">
        <v>3</v>
      </c>
      <c r="P2676">
        <v>1</v>
      </c>
      <c r="Q2676">
        <v>1.18025922862032</v>
      </c>
      <c r="R2676">
        <v>2.2999999999999998</v>
      </c>
      <c r="T2676" s="340" t="str">
        <f t="shared" si="132"/>
        <v>2008MaleNon-Maori23Poisoning by gases and vapours</v>
      </c>
      <c r="U2676">
        <v>2008</v>
      </c>
      <c r="V2676" t="s">
        <v>20</v>
      </c>
      <c r="W2676" t="s">
        <v>19</v>
      </c>
      <c r="X2676">
        <v>23</v>
      </c>
      <c r="Y2676" t="s">
        <v>46</v>
      </c>
      <c r="Z2676">
        <v>24</v>
      </c>
      <c r="AA2676">
        <v>105</v>
      </c>
      <c r="AB2676">
        <v>22.9</v>
      </c>
    </row>
    <row r="2677" spans="10:28">
      <c r="J2677" s="340" t="str">
        <f t="shared" si="131"/>
        <v>2009MaleAllEth214</v>
      </c>
      <c r="K2677">
        <v>2009</v>
      </c>
      <c r="L2677" t="s">
        <v>20</v>
      </c>
      <c r="M2677" t="s">
        <v>27</v>
      </c>
      <c r="N2677">
        <v>21</v>
      </c>
      <c r="O2677">
        <v>4</v>
      </c>
      <c r="P2677">
        <v>1</v>
      </c>
      <c r="Q2677">
        <v>1.1504372732303401</v>
      </c>
      <c r="R2677">
        <v>2.2999999999999998</v>
      </c>
      <c r="T2677" s="340" t="str">
        <f t="shared" si="132"/>
        <v>2008MaleNon-Maori24Poisoning by gases and vapours</v>
      </c>
      <c r="U2677">
        <v>2008</v>
      </c>
      <c r="V2677" t="s">
        <v>20</v>
      </c>
      <c r="W2677" t="s">
        <v>19</v>
      </c>
      <c r="X2677">
        <v>24</v>
      </c>
      <c r="Y2677" t="s">
        <v>46</v>
      </c>
      <c r="Z2677">
        <v>18</v>
      </c>
      <c r="AA2677">
        <v>117</v>
      </c>
      <c r="AB2677">
        <v>15.4</v>
      </c>
    </row>
    <row r="2678" spans="10:28">
      <c r="J2678" s="340" t="str">
        <f t="shared" si="131"/>
        <v>2009MaleAllEth215</v>
      </c>
      <c r="K2678">
        <v>2009</v>
      </c>
      <c r="L2678" t="s">
        <v>20</v>
      </c>
      <c r="M2678" t="s">
        <v>27</v>
      </c>
      <c r="N2678">
        <v>21</v>
      </c>
      <c r="O2678">
        <v>5</v>
      </c>
      <c r="P2678">
        <v>1</v>
      </c>
      <c r="Q2678">
        <v>0.91255140447167105</v>
      </c>
      <c r="R2678">
        <v>1.8</v>
      </c>
      <c r="T2678" s="340" t="str">
        <f t="shared" si="132"/>
        <v>2008MaleNon-Maori25Poisoning by gases and vapours</v>
      </c>
      <c r="U2678">
        <v>2008</v>
      </c>
      <c r="V2678" t="s">
        <v>20</v>
      </c>
      <c r="W2678" t="s">
        <v>19</v>
      </c>
      <c r="X2678">
        <v>25</v>
      </c>
      <c r="Y2678" t="s">
        <v>46</v>
      </c>
      <c r="Z2678">
        <v>8</v>
      </c>
      <c r="AA2678">
        <v>35</v>
      </c>
      <c r="AB2678">
        <v>22.9</v>
      </c>
    </row>
    <row r="2679" spans="10:28">
      <c r="J2679" s="340" t="str">
        <f t="shared" si="131"/>
        <v>2009MaleAllEth221</v>
      </c>
      <c r="K2679">
        <v>2009</v>
      </c>
      <c r="L2679" t="s">
        <v>20</v>
      </c>
      <c r="M2679" t="s">
        <v>27</v>
      </c>
      <c r="N2679">
        <v>22</v>
      </c>
      <c r="O2679">
        <v>1</v>
      </c>
      <c r="P2679">
        <v>15</v>
      </c>
      <c r="Q2679">
        <v>28.164917766248902</v>
      </c>
      <c r="R2679">
        <v>14.3</v>
      </c>
      <c r="T2679" s="340" t="str">
        <f t="shared" si="132"/>
        <v>2008MaleNon-Maori22Poisoning by solids and liquids</v>
      </c>
      <c r="U2679">
        <v>2008</v>
      </c>
      <c r="V2679" t="s">
        <v>20</v>
      </c>
      <c r="W2679" t="s">
        <v>19</v>
      </c>
      <c r="X2679">
        <v>22</v>
      </c>
      <c r="Y2679" t="s">
        <v>47</v>
      </c>
      <c r="Z2679">
        <v>1</v>
      </c>
      <c r="AA2679">
        <v>66</v>
      </c>
      <c r="AB2679">
        <v>1.5</v>
      </c>
    </row>
    <row r="2680" spans="10:28">
      <c r="J2680" s="340" t="str">
        <f t="shared" si="131"/>
        <v>2009MaleAllEth222</v>
      </c>
      <c r="K2680">
        <v>2009</v>
      </c>
      <c r="L2680" t="s">
        <v>20</v>
      </c>
      <c r="M2680" t="s">
        <v>27</v>
      </c>
      <c r="N2680">
        <v>22</v>
      </c>
      <c r="O2680">
        <v>2</v>
      </c>
      <c r="P2680">
        <v>10</v>
      </c>
      <c r="Q2680">
        <v>17.773916589734899</v>
      </c>
      <c r="R2680">
        <v>11</v>
      </c>
      <c r="T2680" s="340" t="str">
        <f t="shared" si="132"/>
        <v>2008MaleNon-Maori23Poisoning by solids and liquids</v>
      </c>
      <c r="U2680">
        <v>2008</v>
      </c>
      <c r="V2680" t="s">
        <v>20</v>
      </c>
      <c r="W2680" t="s">
        <v>19</v>
      </c>
      <c r="X2680">
        <v>23</v>
      </c>
      <c r="Y2680" t="s">
        <v>47</v>
      </c>
      <c r="Z2680">
        <v>5</v>
      </c>
      <c r="AA2680">
        <v>105</v>
      </c>
      <c r="AB2680">
        <v>4.8</v>
      </c>
    </row>
    <row r="2681" spans="10:28">
      <c r="J2681" s="340" t="str">
        <f t="shared" si="131"/>
        <v>2009MaleAllEth223</v>
      </c>
      <c r="K2681">
        <v>2009</v>
      </c>
      <c r="L2681" t="s">
        <v>20</v>
      </c>
      <c r="M2681" t="s">
        <v>27</v>
      </c>
      <c r="N2681">
        <v>22</v>
      </c>
      <c r="O2681">
        <v>3</v>
      </c>
      <c r="P2681">
        <v>18</v>
      </c>
      <c r="Q2681">
        <v>30.082087373683599</v>
      </c>
      <c r="R2681">
        <v>13.9</v>
      </c>
      <c r="T2681" s="340" t="str">
        <f t="shared" si="132"/>
        <v>2008MaleNon-Maori24Poisoning by solids and liquids</v>
      </c>
      <c r="U2681">
        <v>2008</v>
      </c>
      <c r="V2681" t="s">
        <v>20</v>
      </c>
      <c r="W2681" t="s">
        <v>19</v>
      </c>
      <c r="X2681">
        <v>24</v>
      </c>
      <c r="Y2681" t="s">
        <v>47</v>
      </c>
      <c r="Z2681">
        <v>9</v>
      </c>
      <c r="AA2681">
        <v>117</v>
      </c>
      <c r="AB2681">
        <v>7.7</v>
      </c>
    </row>
    <row r="2682" spans="10:28">
      <c r="J2682" s="340" t="str">
        <f t="shared" si="131"/>
        <v>2009MaleAllEth224</v>
      </c>
      <c r="K2682">
        <v>2009</v>
      </c>
      <c r="L2682" t="s">
        <v>20</v>
      </c>
      <c r="M2682" t="s">
        <v>27</v>
      </c>
      <c r="N2682">
        <v>22</v>
      </c>
      <c r="O2682">
        <v>4</v>
      </c>
      <c r="P2682">
        <v>22</v>
      </c>
      <c r="Q2682">
        <v>34.122141338269003</v>
      </c>
      <c r="R2682">
        <v>14.3</v>
      </c>
      <c r="T2682" s="340" t="str">
        <f t="shared" si="132"/>
        <v>2008MaleNon-Maori25Poisoning by solids and liquids</v>
      </c>
      <c r="U2682">
        <v>2008</v>
      </c>
      <c r="V2682" t="s">
        <v>20</v>
      </c>
      <c r="W2682" t="s">
        <v>19</v>
      </c>
      <c r="X2682">
        <v>25</v>
      </c>
      <c r="Y2682" t="s">
        <v>47</v>
      </c>
      <c r="Z2682">
        <v>5</v>
      </c>
      <c r="AA2682">
        <v>35</v>
      </c>
      <c r="AB2682">
        <v>14.3</v>
      </c>
    </row>
    <row r="2683" spans="10:28">
      <c r="J2683" s="340" t="str">
        <f t="shared" si="131"/>
        <v>2009MaleAllEth225</v>
      </c>
      <c r="K2683">
        <v>2009</v>
      </c>
      <c r="L2683" t="s">
        <v>20</v>
      </c>
      <c r="M2683" t="s">
        <v>27</v>
      </c>
      <c r="N2683">
        <v>22</v>
      </c>
      <c r="O2683">
        <v>5</v>
      </c>
      <c r="P2683">
        <v>30</v>
      </c>
      <c r="Q2683">
        <v>41.051185751395003</v>
      </c>
      <c r="R2683">
        <v>14.7</v>
      </c>
      <c r="T2683" s="340" t="str">
        <f t="shared" si="132"/>
        <v>2008MaleNon-Maori23Sharp object</v>
      </c>
      <c r="U2683">
        <v>2008</v>
      </c>
      <c r="V2683" t="s">
        <v>20</v>
      </c>
      <c r="W2683" t="s">
        <v>19</v>
      </c>
      <c r="X2683">
        <v>23</v>
      </c>
      <c r="Y2683" t="s">
        <v>48</v>
      </c>
      <c r="Z2683">
        <v>3</v>
      </c>
      <c r="AA2683">
        <v>105</v>
      </c>
      <c r="AB2683">
        <v>2.9</v>
      </c>
    </row>
    <row r="2684" spans="10:28">
      <c r="J2684" s="340" t="str">
        <f t="shared" si="131"/>
        <v>2009MaleAllEth231</v>
      </c>
      <c r="K2684">
        <v>2009</v>
      </c>
      <c r="L2684" t="s">
        <v>20</v>
      </c>
      <c r="M2684" t="s">
        <v>27</v>
      </c>
      <c r="N2684">
        <v>23</v>
      </c>
      <c r="O2684">
        <v>1</v>
      </c>
      <c r="P2684">
        <v>16</v>
      </c>
      <c r="Q2684">
        <v>14.865517454432</v>
      </c>
      <c r="R2684">
        <v>7.3</v>
      </c>
      <c r="T2684" s="340" t="str">
        <f t="shared" si="132"/>
        <v>2008MaleNon-Maori24Sharp object</v>
      </c>
      <c r="U2684">
        <v>2008</v>
      </c>
      <c r="V2684" t="s">
        <v>20</v>
      </c>
      <c r="W2684" t="s">
        <v>19</v>
      </c>
      <c r="X2684">
        <v>24</v>
      </c>
      <c r="Y2684" t="s">
        <v>48</v>
      </c>
      <c r="Z2684">
        <v>7</v>
      </c>
      <c r="AA2684">
        <v>117</v>
      </c>
      <c r="AB2684">
        <v>6</v>
      </c>
    </row>
    <row r="2685" spans="10:28">
      <c r="J2685" s="340" t="str">
        <f t="shared" si="131"/>
        <v>2009MaleAllEth232</v>
      </c>
      <c r="K2685">
        <v>2009</v>
      </c>
      <c r="L2685" t="s">
        <v>20</v>
      </c>
      <c r="M2685" t="s">
        <v>27</v>
      </c>
      <c r="N2685">
        <v>23</v>
      </c>
      <c r="O2685">
        <v>2</v>
      </c>
      <c r="P2685">
        <v>25</v>
      </c>
      <c r="Q2685">
        <v>21.742961264162599</v>
      </c>
      <c r="R2685">
        <v>8.5</v>
      </c>
      <c r="T2685" s="340" t="str">
        <f t="shared" si="132"/>
        <v>2008MaleNon-Maori25Sharp object</v>
      </c>
      <c r="U2685">
        <v>2008</v>
      </c>
      <c r="V2685" t="s">
        <v>20</v>
      </c>
      <c r="W2685" t="s">
        <v>19</v>
      </c>
      <c r="X2685">
        <v>25</v>
      </c>
      <c r="Y2685" t="s">
        <v>48</v>
      </c>
      <c r="Z2685">
        <v>1</v>
      </c>
      <c r="AA2685">
        <v>35</v>
      </c>
      <c r="AB2685">
        <v>2.9</v>
      </c>
    </row>
    <row r="2686" spans="10:28">
      <c r="J2686" s="340" t="str">
        <f t="shared" si="131"/>
        <v>2009MaleAllEth233</v>
      </c>
      <c r="K2686">
        <v>2009</v>
      </c>
      <c r="L2686" t="s">
        <v>20</v>
      </c>
      <c r="M2686" t="s">
        <v>27</v>
      </c>
      <c r="N2686">
        <v>23</v>
      </c>
      <c r="O2686">
        <v>3</v>
      </c>
      <c r="P2686">
        <v>22</v>
      </c>
      <c r="Q2686">
        <v>18.892870170975598</v>
      </c>
      <c r="R2686">
        <v>7.9</v>
      </c>
      <c r="T2686" s="340" t="str">
        <f t="shared" si="132"/>
        <v>2008MaleNon-Maori24Submersion (drowning)</v>
      </c>
      <c r="U2686">
        <v>2008</v>
      </c>
      <c r="V2686" t="s">
        <v>20</v>
      </c>
      <c r="W2686" t="s">
        <v>19</v>
      </c>
      <c r="X2686">
        <v>24</v>
      </c>
      <c r="Y2686" t="s">
        <v>49</v>
      </c>
      <c r="Z2686">
        <v>4</v>
      </c>
      <c r="AA2686">
        <v>117</v>
      </c>
      <c r="AB2686">
        <v>3.4</v>
      </c>
    </row>
    <row r="2687" spans="10:28">
      <c r="J2687" s="340" t="str">
        <f t="shared" si="131"/>
        <v>2009MaleAllEth234</v>
      </c>
      <c r="K2687">
        <v>2009</v>
      </c>
      <c r="L2687" t="s">
        <v>20</v>
      </c>
      <c r="M2687" t="s">
        <v>27</v>
      </c>
      <c r="N2687">
        <v>23</v>
      </c>
      <c r="O2687">
        <v>4</v>
      </c>
      <c r="P2687">
        <v>31</v>
      </c>
      <c r="Q2687">
        <v>27.029107333088199</v>
      </c>
      <c r="R2687">
        <v>9.5</v>
      </c>
      <c r="T2687" s="340" t="str">
        <f t="shared" si="132"/>
        <v>2008MaleNon-Maori25Submersion (drowning)</v>
      </c>
      <c r="U2687">
        <v>2008</v>
      </c>
      <c r="V2687" t="s">
        <v>20</v>
      </c>
      <c r="W2687" t="s">
        <v>19</v>
      </c>
      <c r="X2687">
        <v>25</v>
      </c>
      <c r="Y2687" t="s">
        <v>49</v>
      </c>
      <c r="Z2687">
        <v>1</v>
      </c>
      <c r="AA2687">
        <v>35</v>
      </c>
      <c r="AB2687">
        <v>2.9</v>
      </c>
    </row>
    <row r="2688" spans="10:28">
      <c r="J2688" s="340" t="str">
        <f t="shared" si="131"/>
        <v>2009MaleAllEth235</v>
      </c>
      <c r="K2688">
        <v>2009</v>
      </c>
      <c r="L2688" t="s">
        <v>20</v>
      </c>
      <c r="M2688" t="s">
        <v>27</v>
      </c>
      <c r="N2688">
        <v>23</v>
      </c>
      <c r="O2688">
        <v>5</v>
      </c>
      <c r="P2688">
        <v>38</v>
      </c>
      <c r="Q2688">
        <v>35.8654983851957</v>
      </c>
      <c r="R2688">
        <v>11.4</v>
      </c>
      <c r="T2688" s="340" t="str">
        <f t="shared" si="132"/>
        <v>2009AllSexAllEth21Firearms and explosives</v>
      </c>
      <c r="U2688">
        <v>2009</v>
      </c>
      <c r="V2688" t="s">
        <v>17</v>
      </c>
      <c r="W2688" t="s">
        <v>27</v>
      </c>
      <c r="X2688">
        <v>21</v>
      </c>
      <c r="Y2688" t="s">
        <v>42</v>
      </c>
      <c r="Z2688">
        <v>1</v>
      </c>
      <c r="AA2688">
        <v>10</v>
      </c>
      <c r="AB2688">
        <v>10</v>
      </c>
    </row>
    <row r="2689" spans="10:28">
      <c r="J2689" s="340" t="str">
        <f t="shared" si="131"/>
        <v>2009MaleAllEth241</v>
      </c>
      <c r="K2689">
        <v>2009</v>
      </c>
      <c r="L2689" t="s">
        <v>20</v>
      </c>
      <c r="M2689" t="s">
        <v>27</v>
      </c>
      <c r="N2689">
        <v>24</v>
      </c>
      <c r="O2689">
        <v>1</v>
      </c>
      <c r="P2689">
        <v>20</v>
      </c>
      <c r="Q2689">
        <v>15.170119517774699</v>
      </c>
      <c r="R2689">
        <v>6.6</v>
      </c>
      <c r="T2689" s="340" t="str">
        <f t="shared" si="132"/>
        <v>2009AllSexAllEth22Firearms and explosives</v>
      </c>
      <c r="U2689">
        <v>2009</v>
      </c>
      <c r="V2689" t="s">
        <v>17</v>
      </c>
      <c r="W2689" t="s">
        <v>27</v>
      </c>
      <c r="X2689">
        <v>22</v>
      </c>
      <c r="Y2689" t="s">
        <v>42</v>
      </c>
      <c r="Z2689">
        <v>9</v>
      </c>
      <c r="AA2689">
        <v>116</v>
      </c>
      <c r="AB2689">
        <v>7.8</v>
      </c>
    </row>
    <row r="2690" spans="10:28">
      <c r="J2690" s="340" t="str">
        <f t="shared" si="131"/>
        <v>2009MaleAllEth242</v>
      </c>
      <c r="K2690">
        <v>2009</v>
      </c>
      <c r="L2690" t="s">
        <v>20</v>
      </c>
      <c r="M2690" t="s">
        <v>27</v>
      </c>
      <c r="N2690">
        <v>24</v>
      </c>
      <c r="O2690">
        <v>2</v>
      </c>
      <c r="P2690">
        <v>28</v>
      </c>
      <c r="Q2690">
        <v>24.278807964491701</v>
      </c>
      <c r="R2690">
        <v>9</v>
      </c>
      <c r="T2690" s="340" t="str">
        <f t="shared" si="132"/>
        <v>2009AllSexAllEth23Firearms and explosives</v>
      </c>
      <c r="U2690">
        <v>2009</v>
      </c>
      <c r="V2690" t="s">
        <v>17</v>
      </c>
      <c r="W2690" t="s">
        <v>27</v>
      </c>
      <c r="X2690">
        <v>23</v>
      </c>
      <c r="Y2690" t="s">
        <v>42</v>
      </c>
      <c r="Z2690">
        <v>13</v>
      </c>
      <c r="AA2690">
        <v>173</v>
      </c>
      <c r="AB2690">
        <v>7.5</v>
      </c>
    </row>
    <row r="2691" spans="10:28">
      <c r="J2691" s="340" t="str">
        <f t="shared" si="131"/>
        <v>2009MaleAllEth243</v>
      </c>
      <c r="K2691">
        <v>2009</v>
      </c>
      <c r="L2691" t="s">
        <v>20</v>
      </c>
      <c r="M2691" t="s">
        <v>27</v>
      </c>
      <c r="N2691">
        <v>24</v>
      </c>
      <c r="O2691">
        <v>3</v>
      </c>
      <c r="P2691">
        <v>15</v>
      </c>
      <c r="Q2691">
        <v>14.558199814064499</v>
      </c>
      <c r="R2691">
        <v>7.4</v>
      </c>
      <c r="T2691" s="340" t="str">
        <f t="shared" si="132"/>
        <v>2009AllSexAllEth24Firearms and explosives</v>
      </c>
      <c r="U2691">
        <v>2009</v>
      </c>
      <c r="V2691" t="s">
        <v>17</v>
      </c>
      <c r="W2691" t="s">
        <v>27</v>
      </c>
      <c r="X2691">
        <v>24</v>
      </c>
      <c r="Y2691" t="s">
        <v>42</v>
      </c>
      <c r="Z2691">
        <v>23</v>
      </c>
      <c r="AA2691">
        <v>159</v>
      </c>
      <c r="AB2691">
        <v>14.5</v>
      </c>
    </row>
    <row r="2692" spans="10:28">
      <c r="J2692" s="340" t="str">
        <f t="shared" ref="J2692:J2755" si="133">K2692&amp;L2692&amp;M2692&amp;N2692&amp;O2692</f>
        <v>2009MaleAllEth244</v>
      </c>
      <c r="K2692">
        <v>2009</v>
      </c>
      <c r="L2692" t="s">
        <v>20</v>
      </c>
      <c r="M2692" t="s">
        <v>27</v>
      </c>
      <c r="N2692">
        <v>24</v>
      </c>
      <c r="O2692">
        <v>4</v>
      </c>
      <c r="P2692">
        <v>32</v>
      </c>
      <c r="Q2692">
        <v>34.1317636224681</v>
      </c>
      <c r="R2692">
        <v>11.8</v>
      </c>
      <c r="T2692" s="340" t="str">
        <f t="shared" si="132"/>
        <v>2009AllSexAllEth25Firearms and explosives</v>
      </c>
      <c r="U2692">
        <v>2009</v>
      </c>
      <c r="V2692" t="s">
        <v>17</v>
      </c>
      <c r="W2692" t="s">
        <v>27</v>
      </c>
      <c r="X2692">
        <v>25</v>
      </c>
      <c r="Y2692" t="s">
        <v>42</v>
      </c>
      <c r="Z2692">
        <v>7</v>
      </c>
      <c r="AA2692">
        <v>54</v>
      </c>
      <c r="AB2692">
        <v>13</v>
      </c>
    </row>
    <row r="2693" spans="10:28">
      <c r="J2693" s="340" t="str">
        <f t="shared" si="133"/>
        <v>2009MaleAllEth245</v>
      </c>
      <c r="K2693">
        <v>2009</v>
      </c>
      <c r="L2693" t="s">
        <v>20</v>
      </c>
      <c r="M2693" t="s">
        <v>27</v>
      </c>
      <c r="N2693">
        <v>24</v>
      </c>
      <c r="O2693">
        <v>5</v>
      </c>
      <c r="P2693">
        <v>23</v>
      </c>
      <c r="Q2693">
        <v>27.585895980860901</v>
      </c>
      <c r="R2693">
        <v>11.3</v>
      </c>
      <c r="T2693" s="340" t="str">
        <f t="shared" ref="T2693:T2756" si="134">U2693&amp;V2693&amp;W2693&amp;X2693&amp;Y2693</f>
        <v>2009AllSexAllEth21Hanging, strangulation and suffocation</v>
      </c>
      <c r="U2693">
        <v>2009</v>
      </c>
      <c r="V2693" t="s">
        <v>17</v>
      </c>
      <c r="W2693" t="s">
        <v>27</v>
      </c>
      <c r="X2693">
        <v>21</v>
      </c>
      <c r="Y2693" t="s">
        <v>43</v>
      </c>
      <c r="Z2693">
        <v>7</v>
      </c>
      <c r="AA2693">
        <v>10</v>
      </c>
      <c r="AB2693">
        <v>70</v>
      </c>
    </row>
    <row r="2694" spans="10:28">
      <c r="J2694" s="340" t="str">
        <f t="shared" si="133"/>
        <v>2009MaleAllEth251</v>
      </c>
      <c r="K2694">
        <v>2009</v>
      </c>
      <c r="L2694" t="s">
        <v>20</v>
      </c>
      <c r="M2694" t="s">
        <v>27</v>
      </c>
      <c r="N2694">
        <v>25</v>
      </c>
      <c r="O2694">
        <v>1</v>
      </c>
      <c r="P2694">
        <v>10</v>
      </c>
      <c r="Q2694">
        <v>19.667136601592802</v>
      </c>
      <c r="R2694">
        <v>12.2</v>
      </c>
      <c r="T2694" s="340" t="str">
        <f t="shared" si="134"/>
        <v>2009AllSexAllEth22Hanging, strangulation and suffocation</v>
      </c>
      <c r="U2694">
        <v>2009</v>
      </c>
      <c r="V2694" t="s">
        <v>17</v>
      </c>
      <c r="W2694" t="s">
        <v>27</v>
      </c>
      <c r="X2694">
        <v>22</v>
      </c>
      <c r="Y2694" t="s">
        <v>43</v>
      </c>
      <c r="Z2694">
        <v>95</v>
      </c>
      <c r="AA2694">
        <v>116</v>
      </c>
      <c r="AB2694">
        <v>81.900000000000006</v>
      </c>
    </row>
    <row r="2695" spans="10:28">
      <c r="J2695" s="340" t="str">
        <f t="shared" si="133"/>
        <v>2009MaleAllEth252</v>
      </c>
      <c r="K2695">
        <v>2009</v>
      </c>
      <c r="L2695" t="s">
        <v>20</v>
      </c>
      <c r="M2695" t="s">
        <v>27</v>
      </c>
      <c r="N2695">
        <v>25</v>
      </c>
      <c r="O2695">
        <v>2</v>
      </c>
      <c r="P2695">
        <v>6</v>
      </c>
      <c r="Q2695">
        <v>11.5649188746376</v>
      </c>
      <c r="R2695">
        <v>9.3000000000000007</v>
      </c>
      <c r="T2695" s="340" t="str">
        <f t="shared" si="134"/>
        <v>2009AllSexAllEth23Hanging, strangulation and suffocation</v>
      </c>
      <c r="U2695">
        <v>2009</v>
      </c>
      <c r="V2695" t="s">
        <v>17</v>
      </c>
      <c r="W2695" t="s">
        <v>27</v>
      </c>
      <c r="X2695">
        <v>23</v>
      </c>
      <c r="Y2695" t="s">
        <v>43</v>
      </c>
      <c r="Z2695">
        <v>100</v>
      </c>
      <c r="AA2695">
        <v>173</v>
      </c>
      <c r="AB2695">
        <v>57.8</v>
      </c>
    </row>
    <row r="2696" spans="10:28">
      <c r="J2696" s="340" t="str">
        <f t="shared" si="133"/>
        <v>2009MaleAllEth253</v>
      </c>
      <c r="K2696">
        <v>2009</v>
      </c>
      <c r="L2696" t="s">
        <v>20</v>
      </c>
      <c r="M2696" t="s">
        <v>27</v>
      </c>
      <c r="N2696">
        <v>25</v>
      </c>
      <c r="O2696">
        <v>3</v>
      </c>
      <c r="P2696">
        <v>7</v>
      </c>
      <c r="Q2696">
        <v>13.2183262030567</v>
      </c>
      <c r="R2696">
        <v>9.8000000000000007</v>
      </c>
      <c r="T2696" s="340" t="str">
        <f t="shared" si="134"/>
        <v>2009AllSexAllEth24Hanging, strangulation and suffocation</v>
      </c>
      <c r="U2696">
        <v>2009</v>
      </c>
      <c r="V2696" t="s">
        <v>17</v>
      </c>
      <c r="W2696" t="s">
        <v>27</v>
      </c>
      <c r="X2696">
        <v>24</v>
      </c>
      <c r="Y2696" t="s">
        <v>43</v>
      </c>
      <c r="Z2696">
        <v>81</v>
      </c>
      <c r="AA2696">
        <v>159</v>
      </c>
      <c r="AB2696">
        <v>50.9</v>
      </c>
    </row>
    <row r="2697" spans="10:28">
      <c r="J2697" s="340" t="str">
        <f t="shared" si="133"/>
        <v>2009MaleAllEth254</v>
      </c>
      <c r="K2697">
        <v>2009</v>
      </c>
      <c r="L2697" t="s">
        <v>20</v>
      </c>
      <c r="M2697" t="s">
        <v>27</v>
      </c>
      <c r="N2697">
        <v>25</v>
      </c>
      <c r="O2697">
        <v>4</v>
      </c>
      <c r="P2697">
        <v>9</v>
      </c>
      <c r="Q2697">
        <v>17.4621556014257</v>
      </c>
      <c r="R2697">
        <v>11.4</v>
      </c>
      <c r="T2697" s="340" t="str">
        <f t="shared" si="134"/>
        <v>2009AllSexAllEth25Hanging, strangulation and suffocation</v>
      </c>
      <c r="U2697">
        <v>2009</v>
      </c>
      <c r="V2697" t="s">
        <v>17</v>
      </c>
      <c r="W2697" t="s">
        <v>27</v>
      </c>
      <c r="X2697">
        <v>25</v>
      </c>
      <c r="Y2697" t="s">
        <v>43</v>
      </c>
      <c r="Z2697">
        <v>19</v>
      </c>
      <c r="AA2697">
        <v>54</v>
      </c>
      <c r="AB2697">
        <v>35.200000000000003</v>
      </c>
    </row>
    <row r="2698" spans="10:28">
      <c r="J2698" s="340" t="str">
        <f t="shared" si="133"/>
        <v>2009MaleAllEth255</v>
      </c>
      <c r="K2698">
        <v>2009</v>
      </c>
      <c r="L2698" t="s">
        <v>20</v>
      </c>
      <c r="M2698" t="s">
        <v>27</v>
      </c>
      <c r="N2698">
        <v>25</v>
      </c>
      <c r="O2698">
        <v>5</v>
      </c>
      <c r="P2698">
        <v>8</v>
      </c>
      <c r="Q2698">
        <v>19.316248384314399</v>
      </c>
      <c r="R2698">
        <v>13.4</v>
      </c>
      <c r="T2698" s="340" t="str">
        <f t="shared" si="134"/>
        <v>2009AllSexAllEth22Jumping from a high place</v>
      </c>
      <c r="U2698">
        <v>2009</v>
      </c>
      <c r="V2698" t="s">
        <v>17</v>
      </c>
      <c r="W2698" t="s">
        <v>27</v>
      </c>
      <c r="X2698">
        <v>22</v>
      </c>
      <c r="Y2698" t="s">
        <v>44</v>
      </c>
      <c r="Z2698">
        <v>5</v>
      </c>
      <c r="AA2698">
        <v>116</v>
      </c>
      <c r="AB2698">
        <v>4.3</v>
      </c>
    </row>
    <row r="2699" spans="10:28">
      <c r="J2699" s="340" t="str">
        <f t="shared" si="133"/>
        <v>2009MaleMaori211</v>
      </c>
      <c r="K2699">
        <v>2009</v>
      </c>
      <c r="L2699" t="s">
        <v>20</v>
      </c>
      <c r="M2699" t="s">
        <v>18</v>
      </c>
      <c r="N2699">
        <v>21</v>
      </c>
      <c r="O2699">
        <v>1</v>
      </c>
      <c r="P2699">
        <v>1</v>
      </c>
      <c r="Q2699">
        <v>11.596447014841999</v>
      </c>
      <c r="R2699">
        <v>22.7</v>
      </c>
      <c r="T2699" s="340" t="str">
        <f t="shared" si="134"/>
        <v>2009AllSexAllEth23Jumping from a high place</v>
      </c>
      <c r="U2699">
        <v>2009</v>
      </c>
      <c r="V2699" t="s">
        <v>17</v>
      </c>
      <c r="W2699" t="s">
        <v>27</v>
      </c>
      <c r="X2699">
        <v>23</v>
      </c>
      <c r="Y2699" t="s">
        <v>44</v>
      </c>
      <c r="Z2699">
        <v>6</v>
      </c>
      <c r="AA2699">
        <v>173</v>
      </c>
      <c r="AB2699">
        <v>3.5</v>
      </c>
    </row>
    <row r="2700" spans="10:28">
      <c r="J2700" s="340" t="str">
        <f t="shared" si="133"/>
        <v>2009MaleMaori212</v>
      </c>
      <c r="K2700">
        <v>2009</v>
      </c>
      <c r="L2700" t="s">
        <v>20</v>
      </c>
      <c r="M2700" t="s">
        <v>18</v>
      </c>
      <c r="N2700">
        <v>21</v>
      </c>
      <c r="O2700">
        <v>2</v>
      </c>
      <c r="P2700">
        <v>1</v>
      </c>
      <c r="Q2700">
        <v>7.9264115064915801</v>
      </c>
      <c r="R2700">
        <v>15.5</v>
      </c>
      <c r="T2700" s="340" t="str">
        <f t="shared" si="134"/>
        <v>2009AllSexAllEth24Jumping from a high place</v>
      </c>
      <c r="U2700">
        <v>2009</v>
      </c>
      <c r="V2700" t="s">
        <v>17</v>
      </c>
      <c r="W2700" t="s">
        <v>27</v>
      </c>
      <c r="X2700">
        <v>24</v>
      </c>
      <c r="Y2700" t="s">
        <v>44</v>
      </c>
      <c r="Z2700">
        <v>6</v>
      </c>
      <c r="AA2700">
        <v>159</v>
      </c>
      <c r="AB2700">
        <v>3.8</v>
      </c>
    </row>
    <row r="2701" spans="10:28">
      <c r="J2701" s="340" t="str">
        <f t="shared" si="133"/>
        <v>2009MaleMaori213</v>
      </c>
      <c r="K2701">
        <v>2009</v>
      </c>
      <c r="L2701" t="s">
        <v>20</v>
      </c>
      <c r="M2701" t="s">
        <v>18</v>
      </c>
      <c r="N2701">
        <v>21</v>
      </c>
      <c r="O2701">
        <v>3</v>
      </c>
      <c r="P2701">
        <v>1</v>
      </c>
      <c r="Q2701">
        <v>5.55277119927384</v>
      </c>
      <c r="R2701">
        <v>10.9</v>
      </c>
      <c r="T2701" s="340" t="str">
        <f t="shared" si="134"/>
        <v>2009AllSexAllEth21Other</v>
      </c>
      <c r="U2701">
        <v>2009</v>
      </c>
      <c r="V2701" t="s">
        <v>17</v>
      </c>
      <c r="W2701" t="s">
        <v>27</v>
      </c>
      <c r="X2701">
        <v>21</v>
      </c>
      <c r="Y2701" t="s">
        <v>45</v>
      </c>
      <c r="Z2701">
        <v>1</v>
      </c>
      <c r="AA2701">
        <v>10</v>
      </c>
      <c r="AB2701">
        <v>10</v>
      </c>
    </row>
    <row r="2702" spans="10:28">
      <c r="J2702" s="340" t="str">
        <f t="shared" si="133"/>
        <v>2009MaleMaori214</v>
      </c>
      <c r="K2702">
        <v>2009</v>
      </c>
      <c r="L2702" t="s">
        <v>20</v>
      </c>
      <c r="M2702" t="s">
        <v>18</v>
      </c>
      <c r="N2702">
        <v>21</v>
      </c>
      <c r="O2702">
        <v>4</v>
      </c>
      <c r="P2702">
        <v>0</v>
      </c>
      <c r="Q2702">
        <v>0</v>
      </c>
      <c r="T2702" s="340" t="str">
        <f t="shared" si="134"/>
        <v>2009AllSexAllEth23Other</v>
      </c>
      <c r="U2702">
        <v>2009</v>
      </c>
      <c r="V2702" t="s">
        <v>17</v>
      </c>
      <c r="W2702" t="s">
        <v>27</v>
      </c>
      <c r="X2702">
        <v>23</v>
      </c>
      <c r="Y2702" t="s">
        <v>45</v>
      </c>
      <c r="Z2702">
        <v>8</v>
      </c>
      <c r="AA2702">
        <v>173</v>
      </c>
      <c r="AB2702">
        <v>4.5999999999999996</v>
      </c>
    </row>
    <row r="2703" spans="10:28">
      <c r="J2703" s="340" t="str">
        <f t="shared" si="133"/>
        <v>2009MaleMaori215</v>
      </c>
      <c r="K2703">
        <v>2009</v>
      </c>
      <c r="L2703" t="s">
        <v>20</v>
      </c>
      <c r="M2703" t="s">
        <v>18</v>
      </c>
      <c r="N2703">
        <v>21</v>
      </c>
      <c r="O2703">
        <v>5</v>
      </c>
      <c r="P2703">
        <v>0</v>
      </c>
      <c r="Q2703">
        <v>0</v>
      </c>
      <c r="T2703" s="340" t="str">
        <f t="shared" si="134"/>
        <v>2009AllSexAllEth24Other</v>
      </c>
      <c r="U2703">
        <v>2009</v>
      </c>
      <c r="V2703" t="s">
        <v>17</v>
      </c>
      <c r="W2703" t="s">
        <v>27</v>
      </c>
      <c r="X2703">
        <v>24</v>
      </c>
      <c r="Y2703" t="s">
        <v>45</v>
      </c>
      <c r="Z2703">
        <v>2</v>
      </c>
      <c r="AA2703">
        <v>159</v>
      </c>
      <c r="AB2703">
        <v>1.3</v>
      </c>
    </row>
    <row r="2704" spans="10:28">
      <c r="J2704" s="340" t="str">
        <f t="shared" si="133"/>
        <v>2009MaleMaori221</v>
      </c>
      <c r="K2704">
        <v>2009</v>
      </c>
      <c r="L2704" t="s">
        <v>20</v>
      </c>
      <c r="M2704" t="s">
        <v>18</v>
      </c>
      <c r="N2704">
        <v>22</v>
      </c>
      <c r="O2704">
        <v>1</v>
      </c>
      <c r="P2704">
        <v>1</v>
      </c>
      <c r="Q2704">
        <v>22.273904800321102</v>
      </c>
      <c r="R2704">
        <v>43.7</v>
      </c>
      <c r="T2704" s="340" t="str">
        <f t="shared" si="134"/>
        <v>2009AllSexAllEth25Other</v>
      </c>
      <c r="U2704">
        <v>2009</v>
      </c>
      <c r="V2704" t="s">
        <v>17</v>
      </c>
      <c r="W2704" t="s">
        <v>27</v>
      </c>
      <c r="X2704">
        <v>25</v>
      </c>
      <c r="Y2704" t="s">
        <v>45</v>
      </c>
      <c r="Z2704">
        <v>4</v>
      </c>
      <c r="AA2704">
        <v>54</v>
      </c>
      <c r="AB2704">
        <v>7.4</v>
      </c>
    </row>
    <row r="2705" spans="10:28">
      <c r="J2705" s="340" t="str">
        <f t="shared" si="133"/>
        <v>2009MaleMaori222</v>
      </c>
      <c r="K2705">
        <v>2009</v>
      </c>
      <c r="L2705" t="s">
        <v>20</v>
      </c>
      <c r="M2705" t="s">
        <v>18</v>
      </c>
      <c r="N2705">
        <v>22</v>
      </c>
      <c r="O2705">
        <v>2</v>
      </c>
      <c r="P2705">
        <v>1</v>
      </c>
      <c r="Q2705">
        <v>15.086297384160201</v>
      </c>
      <c r="R2705">
        <v>29.6</v>
      </c>
      <c r="T2705" s="340" t="str">
        <f t="shared" si="134"/>
        <v>2009AllSexAllEth22Poisoning by gases and vapours</v>
      </c>
      <c r="U2705">
        <v>2009</v>
      </c>
      <c r="V2705" t="s">
        <v>17</v>
      </c>
      <c r="W2705" t="s">
        <v>27</v>
      </c>
      <c r="X2705">
        <v>22</v>
      </c>
      <c r="Y2705" t="s">
        <v>46</v>
      </c>
      <c r="Z2705">
        <v>4</v>
      </c>
      <c r="AA2705">
        <v>116</v>
      </c>
      <c r="AB2705">
        <v>3.4</v>
      </c>
    </row>
    <row r="2706" spans="10:28">
      <c r="J2706" s="340" t="str">
        <f t="shared" si="133"/>
        <v>2009MaleMaori223</v>
      </c>
      <c r="K2706">
        <v>2009</v>
      </c>
      <c r="L2706" t="s">
        <v>20</v>
      </c>
      <c r="M2706" t="s">
        <v>18</v>
      </c>
      <c r="N2706">
        <v>22</v>
      </c>
      <c r="O2706">
        <v>3</v>
      </c>
      <c r="P2706">
        <v>4</v>
      </c>
      <c r="Q2706">
        <v>40.672735918141697</v>
      </c>
      <c r="R2706">
        <v>39.9</v>
      </c>
      <c r="T2706" s="340" t="str">
        <f t="shared" si="134"/>
        <v>2009AllSexAllEth23Poisoning by gases and vapours</v>
      </c>
      <c r="U2706">
        <v>2009</v>
      </c>
      <c r="V2706" t="s">
        <v>17</v>
      </c>
      <c r="W2706" t="s">
        <v>27</v>
      </c>
      <c r="X2706">
        <v>23</v>
      </c>
      <c r="Y2706" t="s">
        <v>46</v>
      </c>
      <c r="Z2706">
        <v>22</v>
      </c>
      <c r="AA2706">
        <v>173</v>
      </c>
      <c r="AB2706">
        <v>12.7</v>
      </c>
    </row>
    <row r="2707" spans="10:28">
      <c r="J2707" s="340" t="str">
        <f t="shared" si="133"/>
        <v>2009MaleMaori224</v>
      </c>
      <c r="K2707">
        <v>2009</v>
      </c>
      <c r="L2707" t="s">
        <v>20</v>
      </c>
      <c r="M2707" t="s">
        <v>18</v>
      </c>
      <c r="N2707">
        <v>22</v>
      </c>
      <c r="O2707">
        <v>4</v>
      </c>
      <c r="P2707">
        <v>4</v>
      </c>
      <c r="Q2707">
        <v>27.976926755755599</v>
      </c>
      <c r="R2707">
        <v>27.4</v>
      </c>
      <c r="T2707" s="340" t="str">
        <f t="shared" si="134"/>
        <v>2009AllSexAllEth24Poisoning by gases and vapours</v>
      </c>
      <c r="U2707">
        <v>2009</v>
      </c>
      <c r="V2707" t="s">
        <v>17</v>
      </c>
      <c r="W2707" t="s">
        <v>27</v>
      </c>
      <c r="X2707">
        <v>24</v>
      </c>
      <c r="Y2707" t="s">
        <v>46</v>
      </c>
      <c r="Z2707">
        <v>16</v>
      </c>
      <c r="AA2707">
        <v>159</v>
      </c>
      <c r="AB2707">
        <v>10.1</v>
      </c>
    </row>
    <row r="2708" spans="10:28">
      <c r="J2708" s="340" t="str">
        <f t="shared" si="133"/>
        <v>2009MaleMaori225</v>
      </c>
      <c r="K2708">
        <v>2009</v>
      </c>
      <c r="L2708" t="s">
        <v>20</v>
      </c>
      <c r="M2708" t="s">
        <v>18</v>
      </c>
      <c r="N2708">
        <v>22</v>
      </c>
      <c r="O2708">
        <v>5</v>
      </c>
      <c r="P2708">
        <v>14</v>
      </c>
      <c r="Q2708">
        <v>57.1666200470737</v>
      </c>
      <c r="R2708">
        <v>29.9</v>
      </c>
      <c r="T2708" s="340" t="str">
        <f t="shared" si="134"/>
        <v>2009AllSexAllEth25Poisoning by gases and vapours</v>
      </c>
      <c r="U2708">
        <v>2009</v>
      </c>
      <c r="V2708" t="s">
        <v>17</v>
      </c>
      <c r="W2708" t="s">
        <v>27</v>
      </c>
      <c r="X2708">
        <v>25</v>
      </c>
      <c r="Y2708" t="s">
        <v>46</v>
      </c>
      <c r="Z2708">
        <v>8</v>
      </c>
      <c r="AA2708">
        <v>54</v>
      </c>
      <c r="AB2708">
        <v>14.8</v>
      </c>
    </row>
    <row r="2709" spans="10:28">
      <c r="J2709" s="340" t="str">
        <f t="shared" si="133"/>
        <v>2009MaleMaori231</v>
      </c>
      <c r="K2709">
        <v>2009</v>
      </c>
      <c r="L2709" t="s">
        <v>20</v>
      </c>
      <c r="M2709" t="s">
        <v>18</v>
      </c>
      <c r="N2709">
        <v>23</v>
      </c>
      <c r="O2709">
        <v>1</v>
      </c>
      <c r="P2709">
        <v>1</v>
      </c>
      <c r="Q2709">
        <v>14.4299743366775</v>
      </c>
      <c r="R2709">
        <v>28.3</v>
      </c>
      <c r="T2709" s="340" t="str">
        <f t="shared" si="134"/>
        <v>2009AllSexAllEth21Poisoning by solids and liquids</v>
      </c>
      <c r="U2709">
        <v>2009</v>
      </c>
      <c r="V2709" t="s">
        <v>17</v>
      </c>
      <c r="W2709" t="s">
        <v>27</v>
      </c>
      <c r="X2709">
        <v>21</v>
      </c>
      <c r="Y2709" t="s">
        <v>47</v>
      </c>
      <c r="Z2709">
        <v>1</v>
      </c>
      <c r="AA2709">
        <v>10</v>
      </c>
      <c r="AB2709">
        <v>10</v>
      </c>
    </row>
    <row r="2710" spans="10:28">
      <c r="J2710" s="340" t="str">
        <f t="shared" si="133"/>
        <v>2009MaleMaori232</v>
      </c>
      <c r="K2710">
        <v>2009</v>
      </c>
      <c r="L2710" t="s">
        <v>20</v>
      </c>
      <c r="M2710" t="s">
        <v>18</v>
      </c>
      <c r="N2710">
        <v>23</v>
      </c>
      <c r="O2710">
        <v>2</v>
      </c>
      <c r="P2710">
        <v>4</v>
      </c>
      <c r="Q2710">
        <v>40.4658146024221</v>
      </c>
      <c r="R2710">
        <v>39.700000000000003</v>
      </c>
      <c r="T2710" s="340" t="str">
        <f t="shared" si="134"/>
        <v>2009AllSexAllEth22Poisoning by solids and liquids</v>
      </c>
      <c r="U2710">
        <v>2009</v>
      </c>
      <c r="V2710" t="s">
        <v>17</v>
      </c>
      <c r="W2710" t="s">
        <v>27</v>
      </c>
      <c r="X2710">
        <v>22</v>
      </c>
      <c r="Y2710" t="s">
        <v>47</v>
      </c>
      <c r="Z2710">
        <v>2</v>
      </c>
      <c r="AA2710">
        <v>116</v>
      </c>
      <c r="AB2710">
        <v>1.7</v>
      </c>
    </row>
    <row r="2711" spans="10:28">
      <c r="J2711" s="340" t="str">
        <f t="shared" si="133"/>
        <v>2009MaleMaori233</v>
      </c>
      <c r="K2711">
        <v>2009</v>
      </c>
      <c r="L2711" t="s">
        <v>20</v>
      </c>
      <c r="M2711" t="s">
        <v>18</v>
      </c>
      <c r="N2711">
        <v>23</v>
      </c>
      <c r="O2711">
        <v>3</v>
      </c>
      <c r="P2711">
        <v>3</v>
      </c>
      <c r="Q2711">
        <v>21.997401196265901</v>
      </c>
      <c r="R2711">
        <v>24.9</v>
      </c>
      <c r="T2711" s="340" t="str">
        <f t="shared" si="134"/>
        <v>2009AllSexAllEth23Poisoning by solids and liquids</v>
      </c>
      <c r="U2711">
        <v>2009</v>
      </c>
      <c r="V2711" t="s">
        <v>17</v>
      </c>
      <c r="W2711" t="s">
        <v>27</v>
      </c>
      <c r="X2711">
        <v>23</v>
      </c>
      <c r="Y2711" t="s">
        <v>47</v>
      </c>
      <c r="Z2711">
        <v>21</v>
      </c>
      <c r="AA2711">
        <v>173</v>
      </c>
      <c r="AB2711">
        <v>12.1</v>
      </c>
    </row>
    <row r="2712" spans="10:28">
      <c r="J2712" s="340" t="str">
        <f t="shared" si="133"/>
        <v>2009MaleMaori234</v>
      </c>
      <c r="K2712">
        <v>2009</v>
      </c>
      <c r="L2712" t="s">
        <v>20</v>
      </c>
      <c r="M2712" t="s">
        <v>18</v>
      </c>
      <c r="N2712">
        <v>23</v>
      </c>
      <c r="O2712">
        <v>4</v>
      </c>
      <c r="P2712">
        <v>6</v>
      </c>
      <c r="Q2712">
        <v>32.0889021429088</v>
      </c>
      <c r="R2712">
        <v>25.7</v>
      </c>
      <c r="T2712" s="340" t="str">
        <f t="shared" si="134"/>
        <v>2009AllSexAllEth24Poisoning by solids and liquids</v>
      </c>
      <c r="U2712">
        <v>2009</v>
      </c>
      <c r="V2712" t="s">
        <v>17</v>
      </c>
      <c r="W2712" t="s">
        <v>27</v>
      </c>
      <c r="X2712">
        <v>24</v>
      </c>
      <c r="Y2712" t="s">
        <v>47</v>
      </c>
      <c r="Z2712">
        <v>23</v>
      </c>
      <c r="AA2712">
        <v>159</v>
      </c>
      <c r="AB2712">
        <v>14.5</v>
      </c>
    </row>
    <row r="2713" spans="10:28">
      <c r="J2713" s="340" t="str">
        <f t="shared" si="133"/>
        <v>2009MaleMaori235</v>
      </c>
      <c r="K2713">
        <v>2009</v>
      </c>
      <c r="L2713" t="s">
        <v>20</v>
      </c>
      <c r="M2713" t="s">
        <v>18</v>
      </c>
      <c r="N2713">
        <v>23</v>
      </c>
      <c r="O2713">
        <v>5</v>
      </c>
      <c r="P2713">
        <v>9</v>
      </c>
      <c r="Q2713">
        <v>30.8757749010548</v>
      </c>
      <c r="R2713">
        <v>20.2</v>
      </c>
      <c r="T2713" s="340" t="str">
        <f t="shared" si="134"/>
        <v>2009AllSexAllEth25Poisoning by solids and liquids</v>
      </c>
      <c r="U2713">
        <v>2009</v>
      </c>
      <c r="V2713" t="s">
        <v>17</v>
      </c>
      <c r="W2713" t="s">
        <v>27</v>
      </c>
      <c r="X2713">
        <v>25</v>
      </c>
      <c r="Y2713" t="s">
        <v>47</v>
      </c>
      <c r="Z2713">
        <v>12</v>
      </c>
      <c r="AA2713">
        <v>54</v>
      </c>
      <c r="AB2713">
        <v>22.2</v>
      </c>
    </row>
    <row r="2714" spans="10:28">
      <c r="J2714" s="340" t="str">
        <f t="shared" si="133"/>
        <v>2009MaleMaori241</v>
      </c>
      <c r="K2714">
        <v>2009</v>
      </c>
      <c r="L2714" t="s">
        <v>20</v>
      </c>
      <c r="M2714" t="s">
        <v>18</v>
      </c>
      <c r="N2714">
        <v>24</v>
      </c>
      <c r="O2714">
        <v>1</v>
      </c>
      <c r="P2714">
        <v>0</v>
      </c>
      <c r="Q2714">
        <v>0</v>
      </c>
      <c r="T2714" s="340" t="str">
        <f t="shared" si="134"/>
        <v>2009AllSexAllEth23Sharp object</v>
      </c>
      <c r="U2714">
        <v>2009</v>
      </c>
      <c r="V2714" t="s">
        <v>17</v>
      </c>
      <c r="W2714" t="s">
        <v>27</v>
      </c>
      <c r="X2714">
        <v>23</v>
      </c>
      <c r="Y2714" t="s">
        <v>48</v>
      </c>
      <c r="Z2714">
        <v>1</v>
      </c>
      <c r="AA2714">
        <v>173</v>
      </c>
      <c r="AB2714">
        <v>0.6</v>
      </c>
    </row>
    <row r="2715" spans="10:28">
      <c r="J2715" s="340" t="str">
        <f t="shared" si="133"/>
        <v>2009MaleMaori242</v>
      </c>
      <c r="K2715">
        <v>2009</v>
      </c>
      <c r="L2715" t="s">
        <v>20</v>
      </c>
      <c r="M2715" t="s">
        <v>18</v>
      </c>
      <c r="N2715">
        <v>24</v>
      </c>
      <c r="O2715">
        <v>2</v>
      </c>
      <c r="P2715">
        <v>1</v>
      </c>
      <c r="Q2715">
        <v>15.8805877089326</v>
      </c>
      <c r="R2715">
        <v>31.1</v>
      </c>
      <c r="T2715" s="340" t="str">
        <f t="shared" si="134"/>
        <v>2009AllSexAllEth24Sharp object</v>
      </c>
      <c r="U2715">
        <v>2009</v>
      </c>
      <c r="V2715" t="s">
        <v>17</v>
      </c>
      <c r="W2715" t="s">
        <v>27</v>
      </c>
      <c r="X2715">
        <v>24</v>
      </c>
      <c r="Y2715" t="s">
        <v>48</v>
      </c>
      <c r="Z2715">
        <v>6</v>
      </c>
      <c r="AA2715">
        <v>159</v>
      </c>
      <c r="AB2715">
        <v>3.8</v>
      </c>
    </row>
    <row r="2716" spans="10:28">
      <c r="J2716" s="340" t="str">
        <f t="shared" si="133"/>
        <v>2009MaleMaori243</v>
      </c>
      <c r="K2716">
        <v>2009</v>
      </c>
      <c r="L2716" t="s">
        <v>20</v>
      </c>
      <c r="M2716" t="s">
        <v>18</v>
      </c>
      <c r="N2716">
        <v>24</v>
      </c>
      <c r="O2716">
        <v>3</v>
      </c>
      <c r="P2716">
        <v>1</v>
      </c>
      <c r="Q2716">
        <v>11.5050402666163</v>
      </c>
      <c r="R2716">
        <v>22.5</v>
      </c>
      <c r="T2716" s="340" t="str">
        <f t="shared" si="134"/>
        <v>2009AllSexAllEth25Sharp object</v>
      </c>
      <c r="U2716">
        <v>2009</v>
      </c>
      <c r="V2716" t="s">
        <v>17</v>
      </c>
      <c r="W2716" t="s">
        <v>27</v>
      </c>
      <c r="X2716">
        <v>25</v>
      </c>
      <c r="Y2716" t="s">
        <v>48</v>
      </c>
      <c r="Z2716">
        <v>3</v>
      </c>
      <c r="AA2716">
        <v>54</v>
      </c>
      <c r="AB2716">
        <v>5.6</v>
      </c>
    </row>
    <row r="2717" spans="10:28">
      <c r="J2717" s="340" t="str">
        <f t="shared" si="133"/>
        <v>2009MaleMaori244</v>
      </c>
      <c r="K2717">
        <v>2009</v>
      </c>
      <c r="L2717" t="s">
        <v>20</v>
      </c>
      <c r="M2717" t="s">
        <v>18</v>
      </c>
      <c r="N2717">
        <v>24</v>
      </c>
      <c r="O2717">
        <v>4</v>
      </c>
      <c r="P2717">
        <v>1</v>
      </c>
      <c r="Q2717">
        <v>8.2578249900464407</v>
      </c>
      <c r="R2717">
        <v>16.2</v>
      </c>
      <c r="T2717" s="340" t="str">
        <f t="shared" si="134"/>
        <v>2009AllSexAllEth22Submersion (drowning)</v>
      </c>
      <c r="U2717">
        <v>2009</v>
      </c>
      <c r="V2717" t="s">
        <v>17</v>
      </c>
      <c r="W2717" t="s">
        <v>27</v>
      </c>
      <c r="X2717">
        <v>22</v>
      </c>
      <c r="Y2717" t="s">
        <v>49</v>
      </c>
      <c r="Z2717">
        <v>1</v>
      </c>
      <c r="AA2717">
        <v>116</v>
      </c>
      <c r="AB2717">
        <v>0.9</v>
      </c>
    </row>
    <row r="2718" spans="10:28">
      <c r="J2718" s="340" t="str">
        <f t="shared" si="133"/>
        <v>2009MaleMaori245</v>
      </c>
      <c r="K2718">
        <v>2009</v>
      </c>
      <c r="L2718" t="s">
        <v>20</v>
      </c>
      <c r="M2718" t="s">
        <v>18</v>
      </c>
      <c r="N2718">
        <v>24</v>
      </c>
      <c r="O2718">
        <v>5</v>
      </c>
      <c r="P2718">
        <v>4</v>
      </c>
      <c r="Q2718">
        <v>19.204652366840001</v>
      </c>
      <c r="R2718">
        <v>18.8</v>
      </c>
      <c r="T2718" s="340" t="str">
        <f t="shared" si="134"/>
        <v>2009AllSexAllEth23Submersion (drowning)</v>
      </c>
      <c r="U2718">
        <v>2009</v>
      </c>
      <c r="V2718" t="s">
        <v>17</v>
      </c>
      <c r="W2718" t="s">
        <v>27</v>
      </c>
      <c r="X2718">
        <v>23</v>
      </c>
      <c r="Y2718" t="s">
        <v>49</v>
      </c>
      <c r="Z2718">
        <v>2</v>
      </c>
      <c r="AA2718">
        <v>173</v>
      </c>
      <c r="AB2718">
        <v>1.2</v>
      </c>
    </row>
    <row r="2719" spans="10:28">
      <c r="J2719" s="340" t="str">
        <f t="shared" si="133"/>
        <v>2009MaleMaori251</v>
      </c>
      <c r="K2719">
        <v>2009</v>
      </c>
      <c r="L2719" t="s">
        <v>20</v>
      </c>
      <c r="M2719" t="s">
        <v>18</v>
      </c>
      <c r="N2719">
        <v>25</v>
      </c>
      <c r="O2719">
        <v>1</v>
      </c>
      <c r="P2719">
        <v>1</v>
      </c>
      <c r="Q2719">
        <v>121.801996535203</v>
      </c>
      <c r="R2719">
        <v>238.7</v>
      </c>
      <c r="T2719" s="340" t="str">
        <f t="shared" si="134"/>
        <v>2009AllSexAllEth24Submersion (drowning)</v>
      </c>
      <c r="U2719">
        <v>2009</v>
      </c>
      <c r="V2719" t="s">
        <v>17</v>
      </c>
      <c r="W2719" t="s">
        <v>27</v>
      </c>
      <c r="X2719">
        <v>24</v>
      </c>
      <c r="Y2719" t="s">
        <v>49</v>
      </c>
      <c r="Z2719">
        <v>2</v>
      </c>
      <c r="AA2719">
        <v>159</v>
      </c>
      <c r="AB2719">
        <v>1.3</v>
      </c>
    </row>
    <row r="2720" spans="10:28">
      <c r="J2720" s="340" t="str">
        <f t="shared" si="133"/>
        <v>2009MaleMaori252</v>
      </c>
      <c r="K2720">
        <v>2009</v>
      </c>
      <c r="L2720" t="s">
        <v>20</v>
      </c>
      <c r="M2720" t="s">
        <v>18</v>
      </c>
      <c r="N2720">
        <v>25</v>
      </c>
      <c r="O2720">
        <v>2</v>
      </c>
      <c r="P2720">
        <v>0</v>
      </c>
      <c r="Q2720">
        <v>0</v>
      </c>
      <c r="T2720" s="340" t="str">
        <f t="shared" si="134"/>
        <v>2009AllSexAllEth25Submersion (drowning)</v>
      </c>
      <c r="U2720">
        <v>2009</v>
      </c>
      <c r="V2720" t="s">
        <v>17</v>
      </c>
      <c r="W2720" t="s">
        <v>27</v>
      </c>
      <c r="X2720">
        <v>25</v>
      </c>
      <c r="Y2720" t="s">
        <v>49</v>
      </c>
      <c r="Z2720">
        <v>1</v>
      </c>
      <c r="AA2720">
        <v>54</v>
      </c>
      <c r="AB2720">
        <v>1.9</v>
      </c>
    </row>
    <row r="2721" spans="10:28">
      <c r="J2721" s="340" t="str">
        <f t="shared" si="133"/>
        <v>2009MaleMaori253</v>
      </c>
      <c r="K2721">
        <v>2009</v>
      </c>
      <c r="L2721" t="s">
        <v>20</v>
      </c>
      <c r="M2721" t="s">
        <v>18</v>
      </c>
      <c r="N2721">
        <v>25</v>
      </c>
      <c r="O2721">
        <v>3</v>
      </c>
      <c r="P2721">
        <v>0</v>
      </c>
      <c r="Q2721">
        <v>0</v>
      </c>
      <c r="T2721" s="340" t="str">
        <f t="shared" si="134"/>
        <v>2009AllSexMaori23Firearms and explosives</v>
      </c>
      <c r="U2721">
        <v>2009</v>
      </c>
      <c r="V2721" t="s">
        <v>17</v>
      </c>
      <c r="W2721" t="s">
        <v>18</v>
      </c>
      <c r="X2721">
        <v>23</v>
      </c>
      <c r="Y2721" t="s">
        <v>42</v>
      </c>
      <c r="Z2721">
        <v>2</v>
      </c>
      <c r="AA2721">
        <v>31</v>
      </c>
      <c r="AB2721">
        <v>6.5</v>
      </c>
    </row>
    <row r="2722" spans="10:28">
      <c r="J2722" s="340" t="str">
        <f t="shared" si="133"/>
        <v>2009MaleMaori254</v>
      </c>
      <c r="K2722">
        <v>2009</v>
      </c>
      <c r="L2722" t="s">
        <v>20</v>
      </c>
      <c r="M2722" t="s">
        <v>18</v>
      </c>
      <c r="N2722">
        <v>25</v>
      </c>
      <c r="O2722">
        <v>4</v>
      </c>
      <c r="P2722">
        <v>0</v>
      </c>
      <c r="Q2722">
        <v>0</v>
      </c>
      <c r="T2722" s="340" t="str">
        <f t="shared" si="134"/>
        <v>2009AllSexMaori24Firearms and explosives</v>
      </c>
      <c r="U2722">
        <v>2009</v>
      </c>
      <c r="V2722" t="s">
        <v>17</v>
      </c>
      <c r="W2722" t="s">
        <v>18</v>
      </c>
      <c r="X2722">
        <v>24</v>
      </c>
      <c r="Y2722" t="s">
        <v>42</v>
      </c>
      <c r="Z2722">
        <v>1</v>
      </c>
      <c r="AA2722">
        <v>11</v>
      </c>
      <c r="AB2722">
        <v>9.1</v>
      </c>
    </row>
    <row r="2723" spans="10:28">
      <c r="J2723" s="340" t="str">
        <f t="shared" si="133"/>
        <v>2009MaleMaori255</v>
      </c>
      <c r="K2723">
        <v>2009</v>
      </c>
      <c r="L2723" t="s">
        <v>20</v>
      </c>
      <c r="M2723" t="s">
        <v>18</v>
      </c>
      <c r="N2723">
        <v>25</v>
      </c>
      <c r="O2723">
        <v>5</v>
      </c>
      <c r="P2723">
        <v>0</v>
      </c>
      <c r="Q2723">
        <v>0</v>
      </c>
      <c r="T2723" s="340" t="str">
        <f t="shared" si="134"/>
        <v>2009AllSexMaori21Hanging, strangulation and suffocation</v>
      </c>
      <c r="U2723">
        <v>2009</v>
      </c>
      <c r="V2723" t="s">
        <v>17</v>
      </c>
      <c r="W2723" t="s">
        <v>18</v>
      </c>
      <c r="X2723">
        <v>21</v>
      </c>
      <c r="Y2723" t="s">
        <v>43</v>
      </c>
      <c r="Z2723">
        <v>5</v>
      </c>
      <c r="AA2723">
        <v>5</v>
      </c>
      <c r="AB2723">
        <v>100</v>
      </c>
    </row>
    <row r="2724" spans="10:28">
      <c r="J2724" s="340" t="str">
        <f t="shared" si="133"/>
        <v>2009MaleNon-Maori211</v>
      </c>
      <c r="K2724">
        <v>2009</v>
      </c>
      <c r="L2724" t="s">
        <v>20</v>
      </c>
      <c r="M2724" t="s">
        <v>19</v>
      </c>
      <c r="N2724">
        <v>21</v>
      </c>
      <c r="O2724">
        <v>1</v>
      </c>
      <c r="P2724">
        <v>0</v>
      </c>
      <c r="Q2724">
        <v>0</v>
      </c>
      <c r="T2724" s="340" t="str">
        <f t="shared" si="134"/>
        <v>2009AllSexMaori22Hanging, strangulation and suffocation</v>
      </c>
      <c r="U2724">
        <v>2009</v>
      </c>
      <c r="V2724" t="s">
        <v>17</v>
      </c>
      <c r="W2724" t="s">
        <v>18</v>
      </c>
      <c r="X2724">
        <v>22</v>
      </c>
      <c r="Y2724" t="s">
        <v>43</v>
      </c>
      <c r="Z2724">
        <v>34</v>
      </c>
      <c r="AA2724">
        <v>35</v>
      </c>
      <c r="AB2724">
        <v>97.1</v>
      </c>
    </row>
    <row r="2725" spans="10:28">
      <c r="J2725" s="340" t="str">
        <f t="shared" si="133"/>
        <v>2009MaleNon-Maori212</v>
      </c>
      <c r="K2725">
        <v>2009</v>
      </c>
      <c r="L2725" t="s">
        <v>20</v>
      </c>
      <c r="M2725" t="s">
        <v>19</v>
      </c>
      <c r="N2725">
        <v>21</v>
      </c>
      <c r="O2725">
        <v>2</v>
      </c>
      <c r="P2725">
        <v>1</v>
      </c>
      <c r="Q2725">
        <v>1.3316662520222899</v>
      </c>
      <c r="R2725">
        <v>2.6</v>
      </c>
      <c r="T2725" s="340" t="str">
        <f t="shared" si="134"/>
        <v>2009AllSexMaori23Hanging, strangulation and suffocation</v>
      </c>
      <c r="U2725">
        <v>2009</v>
      </c>
      <c r="V2725" t="s">
        <v>17</v>
      </c>
      <c r="W2725" t="s">
        <v>18</v>
      </c>
      <c r="X2725">
        <v>23</v>
      </c>
      <c r="Y2725" t="s">
        <v>43</v>
      </c>
      <c r="Z2725">
        <v>21</v>
      </c>
      <c r="AA2725">
        <v>31</v>
      </c>
      <c r="AB2725">
        <v>67.7</v>
      </c>
    </row>
    <row r="2726" spans="10:28">
      <c r="J2726" s="340" t="str">
        <f t="shared" si="133"/>
        <v>2009MaleNon-Maori213</v>
      </c>
      <c r="K2726">
        <v>2009</v>
      </c>
      <c r="L2726" t="s">
        <v>20</v>
      </c>
      <c r="M2726" t="s">
        <v>19</v>
      </c>
      <c r="N2726">
        <v>21</v>
      </c>
      <c r="O2726">
        <v>3</v>
      </c>
      <c r="P2726">
        <v>0</v>
      </c>
      <c r="Q2726">
        <v>0</v>
      </c>
      <c r="T2726" s="340" t="str">
        <f t="shared" si="134"/>
        <v>2009AllSexMaori24Hanging, strangulation and suffocation</v>
      </c>
      <c r="U2726">
        <v>2009</v>
      </c>
      <c r="V2726" t="s">
        <v>17</v>
      </c>
      <c r="W2726" t="s">
        <v>18</v>
      </c>
      <c r="X2726">
        <v>24</v>
      </c>
      <c r="Y2726" t="s">
        <v>43</v>
      </c>
      <c r="Z2726">
        <v>9</v>
      </c>
      <c r="AA2726">
        <v>11</v>
      </c>
      <c r="AB2726">
        <v>81.8</v>
      </c>
    </row>
    <row r="2727" spans="10:28">
      <c r="J2727" s="340" t="str">
        <f t="shared" si="133"/>
        <v>2009MaleNon-Maori214</v>
      </c>
      <c r="K2727">
        <v>2009</v>
      </c>
      <c r="L2727" t="s">
        <v>20</v>
      </c>
      <c r="M2727" t="s">
        <v>19</v>
      </c>
      <c r="N2727">
        <v>21</v>
      </c>
      <c r="O2727">
        <v>4</v>
      </c>
      <c r="P2727">
        <v>1</v>
      </c>
      <c r="Q2727">
        <v>1.64987118852017</v>
      </c>
      <c r="R2727">
        <v>3.2</v>
      </c>
      <c r="T2727" s="340" t="str">
        <f t="shared" si="134"/>
        <v>2009AllSexMaori25Hanging, strangulation and suffocation</v>
      </c>
      <c r="U2727">
        <v>2009</v>
      </c>
      <c r="V2727" t="s">
        <v>17</v>
      </c>
      <c r="W2727" t="s">
        <v>18</v>
      </c>
      <c r="X2727">
        <v>25</v>
      </c>
      <c r="Y2727" t="s">
        <v>43</v>
      </c>
      <c r="Z2727">
        <v>1</v>
      </c>
      <c r="AA2727">
        <v>1</v>
      </c>
      <c r="AB2727">
        <v>100</v>
      </c>
    </row>
    <row r="2728" spans="10:28">
      <c r="J2728" s="340" t="str">
        <f t="shared" si="133"/>
        <v>2009MaleNon-Maori215</v>
      </c>
      <c r="K2728">
        <v>2009</v>
      </c>
      <c r="L2728" t="s">
        <v>20</v>
      </c>
      <c r="M2728" t="s">
        <v>19</v>
      </c>
      <c r="N2728">
        <v>21</v>
      </c>
      <c r="O2728">
        <v>5</v>
      </c>
      <c r="P2728">
        <v>1</v>
      </c>
      <c r="Q2728">
        <v>1.6826030814587001</v>
      </c>
      <c r="R2728">
        <v>3.3</v>
      </c>
      <c r="T2728" s="340" t="str">
        <f t="shared" si="134"/>
        <v>2009AllSexMaori22Jumping from a high place</v>
      </c>
      <c r="U2728">
        <v>2009</v>
      </c>
      <c r="V2728" t="s">
        <v>17</v>
      </c>
      <c r="W2728" t="s">
        <v>18</v>
      </c>
      <c r="X2728">
        <v>22</v>
      </c>
      <c r="Y2728" t="s">
        <v>44</v>
      </c>
      <c r="Z2728">
        <v>1</v>
      </c>
      <c r="AA2728">
        <v>35</v>
      </c>
      <c r="AB2728">
        <v>2.9</v>
      </c>
    </row>
    <row r="2729" spans="10:28">
      <c r="J2729" s="340" t="str">
        <f t="shared" si="133"/>
        <v>2009MaleNon-Maori221</v>
      </c>
      <c r="K2729">
        <v>2009</v>
      </c>
      <c r="L2729" t="s">
        <v>20</v>
      </c>
      <c r="M2729" t="s">
        <v>19</v>
      </c>
      <c r="N2729">
        <v>22</v>
      </c>
      <c r="O2729">
        <v>1</v>
      </c>
      <c r="P2729">
        <v>14</v>
      </c>
      <c r="Q2729">
        <v>28.8372402334846</v>
      </c>
      <c r="R2729">
        <v>15.1</v>
      </c>
      <c r="T2729" s="340" t="str">
        <f t="shared" si="134"/>
        <v>2009AllSexMaori23Jumping from a high place</v>
      </c>
      <c r="U2729">
        <v>2009</v>
      </c>
      <c r="V2729" t="s">
        <v>17</v>
      </c>
      <c r="W2729" t="s">
        <v>18</v>
      </c>
      <c r="X2729">
        <v>23</v>
      </c>
      <c r="Y2729" t="s">
        <v>44</v>
      </c>
      <c r="Z2729">
        <v>2</v>
      </c>
      <c r="AA2729">
        <v>31</v>
      </c>
      <c r="AB2729">
        <v>6.5</v>
      </c>
    </row>
    <row r="2730" spans="10:28">
      <c r="J2730" s="340" t="str">
        <f t="shared" si="133"/>
        <v>2009MaleNon-Maori222</v>
      </c>
      <c r="K2730">
        <v>2009</v>
      </c>
      <c r="L2730" t="s">
        <v>20</v>
      </c>
      <c r="M2730" t="s">
        <v>19</v>
      </c>
      <c r="N2730">
        <v>22</v>
      </c>
      <c r="O2730">
        <v>2</v>
      </c>
      <c r="P2730">
        <v>9</v>
      </c>
      <c r="Q2730">
        <v>18.150587274559498</v>
      </c>
      <c r="R2730">
        <v>11.9</v>
      </c>
      <c r="T2730" s="340" t="str">
        <f t="shared" si="134"/>
        <v>2009AllSexMaori23Poisoning by gases and vapours</v>
      </c>
      <c r="U2730">
        <v>2009</v>
      </c>
      <c r="V2730" t="s">
        <v>17</v>
      </c>
      <c r="W2730" t="s">
        <v>18</v>
      </c>
      <c r="X2730">
        <v>23</v>
      </c>
      <c r="Y2730" t="s">
        <v>46</v>
      </c>
      <c r="Z2730">
        <v>3</v>
      </c>
      <c r="AA2730">
        <v>31</v>
      </c>
      <c r="AB2730">
        <v>9.6999999999999993</v>
      </c>
    </row>
    <row r="2731" spans="10:28">
      <c r="J2731" s="340" t="str">
        <f t="shared" si="133"/>
        <v>2009MaleNon-Maori223</v>
      </c>
      <c r="K2731">
        <v>2009</v>
      </c>
      <c r="L2731" t="s">
        <v>20</v>
      </c>
      <c r="M2731" t="s">
        <v>19</v>
      </c>
      <c r="N2731">
        <v>22</v>
      </c>
      <c r="O2731">
        <v>3</v>
      </c>
      <c r="P2731">
        <v>14</v>
      </c>
      <c r="Q2731">
        <v>27.967777287431801</v>
      </c>
      <c r="R2731">
        <v>14.7</v>
      </c>
      <c r="T2731" s="340" t="str">
        <f t="shared" si="134"/>
        <v>2009AllSexMaori23Poisoning by solids and liquids</v>
      </c>
      <c r="U2731">
        <v>2009</v>
      </c>
      <c r="V2731" t="s">
        <v>17</v>
      </c>
      <c r="W2731" t="s">
        <v>18</v>
      </c>
      <c r="X2731">
        <v>23</v>
      </c>
      <c r="Y2731" t="s">
        <v>47</v>
      </c>
      <c r="Z2731">
        <v>3</v>
      </c>
      <c r="AA2731">
        <v>31</v>
      </c>
      <c r="AB2731">
        <v>9.6999999999999993</v>
      </c>
    </row>
    <row r="2732" spans="10:28">
      <c r="J2732" s="340" t="str">
        <f t="shared" si="133"/>
        <v>2009MaleNon-Maori224</v>
      </c>
      <c r="K2732">
        <v>2009</v>
      </c>
      <c r="L2732" t="s">
        <v>20</v>
      </c>
      <c r="M2732" t="s">
        <v>19</v>
      </c>
      <c r="N2732">
        <v>22</v>
      </c>
      <c r="O2732">
        <v>4</v>
      </c>
      <c r="P2732">
        <v>18</v>
      </c>
      <c r="Q2732">
        <v>35.907586284194501</v>
      </c>
      <c r="R2732">
        <v>16.600000000000001</v>
      </c>
      <c r="T2732" s="340" t="str">
        <f t="shared" si="134"/>
        <v>2009AllSexMaori24Poisoning by solids and liquids</v>
      </c>
      <c r="U2732">
        <v>2009</v>
      </c>
      <c r="V2732" t="s">
        <v>17</v>
      </c>
      <c r="W2732" t="s">
        <v>18</v>
      </c>
      <c r="X2732">
        <v>24</v>
      </c>
      <c r="Y2732" t="s">
        <v>47</v>
      </c>
      <c r="Z2732">
        <v>1</v>
      </c>
      <c r="AA2732">
        <v>11</v>
      </c>
      <c r="AB2732">
        <v>9.1</v>
      </c>
    </row>
    <row r="2733" spans="10:28">
      <c r="J2733" s="340" t="str">
        <f t="shared" si="133"/>
        <v>2009MaleNon-Maori225</v>
      </c>
      <c r="K2733">
        <v>2009</v>
      </c>
      <c r="L2733" t="s">
        <v>20</v>
      </c>
      <c r="M2733" t="s">
        <v>19</v>
      </c>
      <c r="N2733">
        <v>22</v>
      </c>
      <c r="O2733">
        <v>5</v>
      </c>
      <c r="P2733">
        <v>16</v>
      </c>
      <c r="Q2733">
        <v>32.759896622286398</v>
      </c>
      <c r="R2733">
        <v>16.100000000000001</v>
      </c>
      <c r="T2733" s="340" t="str">
        <f t="shared" si="134"/>
        <v>2009AllSexNon-Maori21Firearms and explosives</v>
      </c>
      <c r="U2733">
        <v>2009</v>
      </c>
      <c r="V2733" t="s">
        <v>17</v>
      </c>
      <c r="W2733" t="s">
        <v>19</v>
      </c>
      <c r="X2733">
        <v>21</v>
      </c>
      <c r="Y2733" t="s">
        <v>42</v>
      </c>
      <c r="Z2733">
        <v>1</v>
      </c>
      <c r="AA2733">
        <v>5</v>
      </c>
      <c r="AB2733">
        <v>20</v>
      </c>
    </row>
    <row r="2734" spans="10:28">
      <c r="J2734" s="340" t="str">
        <f t="shared" si="133"/>
        <v>2009MaleNon-Maori231</v>
      </c>
      <c r="K2734">
        <v>2009</v>
      </c>
      <c r="L2734" t="s">
        <v>20</v>
      </c>
      <c r="M2734" t="s">
        <v>19</v>
      </c>
      <c r="N2734">
        <v>23</v>
      </c>
      <c r="O2734">
        <v>1</v>
      </c>
      <c r="P2734">
        <v>15</v>
      </c>
      <c r="Q2734">
        <v>14.893027219110399</v>
      </c>
      <c r="R2734">
        <v>7.5</v>
      </c>
      <c r="T2734" s="340" t="str">
        <f t="shared" si="134"/>
        <v>2009AllSexNon-Maori22Firearms and explosives</v>
      </c>
      <c r="U2734">
        <v>2009</v>
      </c>
      <c r="V2734" t="s">
        <v>17</v>
      </c>
      <c r="W2734" t="s">
        <v>19</v>
      </c>
      <c r="X2734">
        <v>22</v>
      </c>
      <c r="Y2734" t="s">
        <v>42</v>
      </c>
      <c r="Z2734">
        <v>9</v>
      </c>
      <c r="AA2734">
        <v>81</v>
      </c>
      <c r="AB2734">
        <v>11.1</v>
      </c>
    </row>
    <row r="2735" spans="10:28">
      <c r="J2735" s="340" t="str">
        <f t="shared" si="133"/>
        <v>2009MaleNon-Maori232</v>
      </c>
      <c r="K2735">
        <v>2009</v>
      </c>
      <c r="L2735" t="s">
        <v>20</v>
      </c>
      <c r="M2735" t="s">
        <v>19</v>
      </c>
      <c r="N2735">
        <v>23</v>
      </c>
      <c r="O2735">
        <v>2</v>
      </c>
      <c r="P2735">
        <v>21</v>
      </c>
      <c r="Q2735">
        <v>19.935865902478898</v>
      </c>
      <c r="R2735">
        <v>8.5</v>
      </c>
      <c r="T2735" s="340" t="str">
        <f t="shared" si="134"/>
        <v>2009AllSexNon-Maori23Firearms and explosives</v>
      </c>
      <c r="U2735">
        <v>2009</v>
      </c>
      <c r="V2735" t="s">
        <v>17</v>
      </c>
      <c r="W2735" t="s">
        <v>19</v>
      </c>
      <c r="X2735">
        <v>23</v>
      </c>
      <c r="Y2735" t="s">
        <v>42</v>
      </c>
      <c r="Z2735">
        <v>11</v>
      </c>
      <c r="AA2735">
        <v>142</v>
      </c>
      <c r="AB2735">
        <v>7.7</v>
      </c>
    </row>
    <row r="2736" spans="10:28">
      <c r="J2736" s="340" t="str">
        <f t="shared" si="133"/>
        <v>2009MaleNon-Maori233</v>
      </c>
      <c r="K2736">
        <v>2009</v>
      </c>
      <c r="L2736" t="s">
        <v>20</v>
      </c>
      <c r="M2736" t="s">
        <v>19</v>
      </c>
      <c r="N2736">
        <v>23</v>
      </c>
      <c r="O2736">
        <v>3</v>
      </c>
      <c r="P2736">
        <v>19</v>
      </c>
      <c r="Q2736">
        <v>18.409534926362799</v>
      </c>
      <c r="R2736">
        <v>8.3000000000000007</v>
      </c>
      <c r="T2736" s="340" t="str">
        <f t="shared" si="134"/>
        <v>2009AllSexNon-Maori24Firearms and explosives</v>
      </c>
      <c r="U2736">
        <v>2009</v>
      </c>
      <c r="V2736" t="s">
        <v>17</v>
      </c>
      <c r="W2736" t="s">
        <v>19</v>
      </c>
      <c r="X2736">
        <v>24</v>
      </c>
      <c r="Y2736" t="s">
        <v>42</v>
      </c>
      <c r="Z2736">
        <v>22</v>
      </c>
      <c r="AA2736">
        <v>148</v>
      </c>
      <c r="AB2736">
        <v>14.9</v>
      </c>
    </row>
    <row r="2737" spans="10:28">
      <c r="J2737" s="340" t="str">
        <f t="shared" si="133"/>
        <v>2009MaleNon-Maori234</v>
      </c>
      <c r="K2737">
        <v>2009</v>
      </c>
      <c r="L2737" t="s">
        <v>20</v>
      </c>
      <c r="M2737" t="s">
        <v>19</v>
      </c>
      <c r="N2737">
        <v>23</v>
      </c>
      <c r="O2737">
        <v>4</v>
      </c>
      <c r="P2737">
        <v>25</v>
      </c>
      <c r="Q2737">
        <v>26.004350842744099</v>
      </c>
      <c r="R2737">
        <v>10.199999999999999</v>
      </c>
      <c r="T2737" s="340" t="str">
        <f t="shared" si="134"/>
        <v>2009AllSexNon-Maori25Firearms and explosives</v>
      </c>
      <c r="U2737">
        <v>2009</v>
      </c>
      <c r="V2737" t="s">
        <v>17</v>
      </c>
      <c r="W2737" t="s">
        <v>19</v>
      </c>
      <c r="X2737">
        <v>25</v>
      </c>
      <c r="Y2737" t="s">
        <v>42</v>
      </c>
      <c r="Z2737">
        <v>7</v>
      </c>
      <c r="AA2737">
        <v>53</v>
      </c>
      <c r="AB2737">
        <v>13.2</v>
      </c>
    </row>
    <row r="2738" spans="10:28">
      <c r="J2738" s="340" t="str">
        <f t="shared" si="133"/>
        <v>2009MaleNon-Maori235</v>
      </c>
      <c r="K2738">
        <v>2009</v>
      </c>
      <c r="L2738" t="s">
        <v>20</v>
      </c>
      <c r="M2738" t="s">
        <v>19</v>
      </c>
      <c r="N2738">
        <v>23</v>
      </c>
      <c r="O2738">
        <v>5</v>
      </c>
      <c r="P2738">
        <v>29</v>
      </c>
      <c r="Q2738">
        <v>38.158500825912299</v>
      </c>
      <c r="R2738">
        <v>13.9</v>
      </c>
      <c r="T2738" s="340" t="str">
        <f t="shared" si="134"/>
        <v>2009AllSexNon-Maori21Hanging, strangulation and suffocation</v>
      </c>
      <c r="U2738">
        <v>2009</v>
      </c>
      <c r="V2738" t="s">
        <v>17</v>
      </c>
      <c r="W2738" t="s">
        <v>19</v>
      </c>
      <c r="X2738">
        <v>21</v>
      </c>
      <c r="Y2738" t="s">
        <v>43</v>
      </c>
      <c r="Z2738">
        <v>2</v>
      </c>
      <c r="AA2738">
        <v>5</v>
      </c>
      <c r="AB2738">
        <v>40</v>
      </c>
    </row>
    <row r="2739" spans="10:28">
      <c r="J2739" s="340" t="str">
        <f t="shared" si="133"/>
        <v>2009MaleNon-Maori241</v>
      </c>
      <c r="K2739">
        <v>2009</v>
      </c>
      <c r="L2739" t="s">
        <v>20</v>
      </c>
      <c r="M2739" t="s">
        <v>19</v>
      </c>
      <c r="N2739">
        <v>24</v>
      </c>
      <c r="O2739">
        <v>1</v>
      </c>
      <c r="P2739">
        <v>20</v>
      </c>
      <c r="Q2739">
        <v>15.7242890098046</v>
      </c>
      <c r="R2739">
        <v>6.9</v>
      </c>
      <c r="T2739" s="340" t="str">
        <f t="shared" si="134"/>
        <v>2009AllSexNon-Maori22Hanging, strangulation and suffocation</v>
      </c>
      <c r="U2739">
        <v>2009</v>
      </c>
      <c r="V2739" t="s">
        <v>17</v>
      </c>
      <c r="W2739" t="s">
        <v>19</v>
      </c>
      <c r="X2739">
        <v>22</v>
      </c>
      <c r="Y2739" t="s">
        <v>43</v>
      </c>
      <c r="Z2739">
        <v>61</v>
      </c>
      <c r="AA2739">
        <v>81</v>
      </c>
      <c r="AB2739">
        <v>75.3</v>
      </c>
    </row>
    <row r="2740" spans="10:28">
      <c r="J2740" s="340" t="str">
        <f t="shared" si="133"/>
        <v>2009MaleNon-Maori242</v>
      </c>
      <c r="K2740">
        <v>2009</v>
      </c>
      <c r="L2740" t="s">
        <v>20</v>
      </c>
      <c r="M2740" t="s">
        <v>19</v>
      </c>
      <c r="N2740">
        <v>24</v>
      </c>
      <c r="O2740">
        <v>2</v>
      </c>
      <c r="P2740">
        <v>27</v>
      </c>
      <c r="Q2740">
        <v>24.7251729723613</v>
      </c>
      <c r="R2740">
        <v>9.3000000000000007</v>
      </c>
      <c r="T2740" s="340" t="str">
        <f t="shared" si="134"/>
        <v>2009AllSexNon-Maori23Hanging, strangulation and suffocation</v>
      </c>
      <c r="U2740">
        <v>2009</v>
      </c>
      <c r="V2740" t="s">
        <v>17</v>
      </c>
      <c r="W2740" t="s">
        <v>19</v>
      </c>
      <c r="X2740">
        <v>23</v>
      </c>
      <c r="Y2740" t="s">
        <v>43</v>
      </c>
      <c r="Z2740">
        <v>79</v>
      </c>
      <c r="AA2740">
        <v>142</v>
      </c>
      <c r="AB2740">
        <v>55.6</v>
      </c>
    </row>
    <row r="2741" spans="10:28">
      <c r="J2741" s="340" t="str">
        <f t="shared" si="133"/>
        <v>2009MaleNon-Maori243</v>
      </c>
      <c r="K2741">
        <v>2009</v>
      </c>
      <c r="L2741" t="s">
        <v>20</v>
      </c>
      <c r="M2741" t="s">
        <v>19</v>
      </c>
      <c r="N2741">
        <v>24</v>
      </c>
      <c r="O2741">
        <v>3</v>
      </c>
      <c r="P2741">
        <v>14</v>
      </c>
      <c r="Q2741">
        <v>14.856811344459301</v>
      </c>
      <c r="R2741">
        <v>7.8</v>
      </c>
      <c r="T2741" s="340" t="str">
        <f t="shared" si="134"/>
        <v>2009AllSexNon-Maori24Hanging, strangulation and suffocation</v>
      </c>
      <c r="U2741">
        <v>2009</v>
      </c>
      <c r="V2741" t="s">
        <v>17</v>
      </c>
      <c r="W2741" t="s">
        <v>19</v>
      </c>
      <c r="X2741">
        <v>24</v>
      </c>
      <c r="Y2741" t="s">
        <v>43</v>
      </c>
      <c r="Z2741">
        <v>72</v>
      </c>
      <c r="AA2741">
        <v>148</v>
      </c>
      <c r="AB2741">
        <v>48.6</v>
      </c>
    </row>
    <row r="2742" spans="10:28">
      <c r="J2742" s="340" t="str">
        <f t="shared" si="133"/>
        <v>2009MaleNon-Maori244</v>
      </c>
      <c r="K2742">
        <v>2009</v>
      </c>
      <c r="L2742" t="s">
        <v>20</v>
      </c>
      <c r="M2742" t="s">
        <v>19</v>
      </c>
      <c r="N2742">
        <v>24</v>
      </c>
      <c r="O2742">
        <v>4</v>
      </c>
      <c r="P2742">
        <v>31</v>
      </c>
      <c r="Q2742">
        <v>38.052010570451998</v>
      </c>
      <c r="R2742">
        <v>13.4</v>
      </c>
      <c r="T2742" s="340" t="str">
        <f t="shared" si="134"/>
        <v>2009AllSexNon-Maori25Hanging, strangulation and suffocation</v>
      </c>
      <c r="U2742">
        <v>2009</v>
      </c>
      <c r="V2742" t="s">
        <v>17</v>
      </c>
      <c r="W2742" t="s">
        <v>19</v>
      </c>
      <c r="X2742">
        <v>25</v>
      </c>
      <c r="Y2742" t="s">
        <v>43</v>
      </c>
      <c r="Z2742">
        <v>18</v>
      </c>
      <c r="AA2742">
        <v>53</v>
      </c>
      <c r="AB2742">
        <v>34</v>
      </c>
    </row>
    <row r="2743" spans="10:28">
      <c r="J2743" s="340" t="str">
        <f t="shared" si="133"/>
        <v>2009MaleNon-Maori245</v>
      </c>
      <c r="K2743">
        <v>2009</v>
      </c>
      <c r="L2743" t="s">
        <v>20</v>
      </c>
      <c r="M2743" t="s">
        <v>19</v>
      </c>
      <c r="N2743">
        <v>24</v>
      </c>
      <c r="O2743">
        <v>5</v>
      </c>
      <c r="P2743">
        <v>19</v>
      </c>
      <c r="Q2743">
        <v>30.352661798936499</v>
      </c>
      <c r="R2743">
        <v>13.6</v>
      </c>
      <c r="T2743" s="340" t="str">
        <f t="shared" si="134"/>
        <v>2009AllSexNon-Maori22Jumping from a high place</v>
      </c>
      <c r="U2743">
        <v>2009</v>
      </c>
      <c r="V2743" t="s">
        <v>17</v>
      </c>
      <c r="W2743" t="s">
        <v>19</v>
      </c>
      <c r="X2743">
        <v>22</v>
      </c>
      <c r="Y2743" t="s">
        <v>44</v>
      </c>
      <c r="Z2743">
        <v>4</v>
      </c>
      <c r="AA2743">
        <v>81</v>
      </c>
      <c r="AB2743">
        <v>4.9000000000000004</v>
      </c>
    </row>
    <row r="2744" spans="10:28">
      <c r="J2744" s="340" t="str">
        <f t="shared" si="133"/>
        <v>2009MaleNon-Maori251</v>
      </c>
      <c r="K2744">
        <v>2009</v>
      </c>
      <c r="L2744" t="s">
        <v>20</v>
      </c>
      <c r="M2744" t="s">
        <v>19</v>
      </c>
      <c r="N2744">
        <v>25</v>
      </c>
      <c r="O2744">
        <v>1</v>
      </c>
      <c r="P2744">
        <v>9</v>
      </c>
      <c r="Q2744">
        <v>17.845641702691299</v>
      </c>
      <c r="R2744">
        <v>11.7</v>
      </c>
      <c r="T2744" s="340" t="str">
        <f t="shared" si="134"/>
        <v>2009AllSexNon-Maori23Jumping from a high place</v>
      </c>
      <c r="U2744">
        <v>2009</v>
      </c>
      <c r="V2744" t="s">
        <v>17</v>
      </c>
      <c r="W2744" t="s">
        <v>19</v>
      </c>
      <c r="X2744">
        <v>23</v>
      </c>
      <c r="Y2744" t="s">
        <v>44</v>
      </c>
      <c r="Z2744">
        <v>4</v>
      </c>
      <c r="AA2744">
        <v>142</v>
      </c>
      <c r="AB2744">
        <v>2.8</v>
      </c>
    </row>
    <row r="2745" spans="10:28">
      <c r="J2745" s="340" t="str">
        <f t="shared" si="133"/>
        <v>2009MaleNon-Maori252</v>
      </c>
      <c r="K2745">
        <v>2009</v>
      </c>
      <c r="L2745" t="s">
        <v>20</v>
      </c>
      <c r="M2745" t="s">
        <v>19</v>
      </c>
      <c r="N2745">
        <v>25</v>
      </c>
      <c r="O2745">
        <v>2</v>
      </c>
      <c r="P2745">
        <v>6</v>
      </c>
      <c r="Q2745">
        <v>11.807012959157101</v>
      </c>
      <c r="R2745">
        <v>9.4</v>
      </c>
      <c r="T2745" s="340" t="str">
        <f t="shared" si="134"/>
        <v>2009AllSexNon-Maori24Jumping from a high place</v>
      </c>
      <c r="U2745">
        <v>2009</v>
      </c>
      <c r="V2745" t="s">
        <v>17</v>
      </c>
      <c r="W2745" t="s">
        <v>19</v>
      </c>
      <c r="X2745">
        <v>24</v>
      </c>
      <c r="Y2745" t="s">
        <v>44</v>
      </c>
      <c r="Z2745">
        <v>6</v>
      </c>
      <c r="AA2745">
        <v>148</v>
      </c>
      <c r="AB2745">
        <v>4.0999999999999996</v>
      </c>
    </row>
    <row r="2746" spans="10:28">
      <c r="J2746" s="340" t="str">
        <f t="shared" si="133"/>
        <v>2009MaleNon-Maori253</v>
      </c>
      <c r="K2746">
        <v>2009</v>
      </c>
      <c r="L2746" t="s">
        <v>20</v>
      </c>
      <c r="M2746" t="s">
        <v>19</v>
      </c>
      <c r="N2746">
        <v>25</v>
      </c>
      <c r="O2746">
        <v>3</v>
      </c>
      <c r="P2746">
        <v>7</v>
      </c>
      <c r="Q2746">
        <v>13.762764148025299</v>
      </c>
      <c r="R2746">
        <v>10.199999999999999</v>
      </c>
      <c r="T2746" s="340" t="str">
        <f t="shared" si="134"/>
        <v>2009AllSexNon-Maori21Other</v>
      </c>
      <c r="U2746">
        <v>2009</v>
      </c>
      <c r="V2746" t="s">
        <v>17</v>
      </c>
      <c r="W2746" t="s">
        <v>19</v>
      </c>
      <c r="X2746">
        <v>21</v>
      </c>
      <c r="Y2746" t="s">
        <v>45</v>
      </c>
      <c r="Z2746">
        <v>1</v>
      </c>
      <c r="AA2746">
        <v>5</v>
      </c>
      <c r="AB2746">
        <v>20</v>
      </c>
    </row>
    <row r="2747" spans="10:28">
      <c r="J2747" s="340" t="str">
        <f t="shared" si="133"/>
        <v>2009MaleNon-Maori254</v>
      </c>
      <c r="K2747">
        <v>2009</v>
      </c>
      <c r="L2747" t="s">
        <v>20</v>
      </c>
      <c r="M2747" t="s">
        <v>19</v>
      </c>
      <c r="N2747">
        <v>25</v>
      </c>
      <c r="O2747">
        <v>4</v>
      </c>
      <c r="P2747">
        <v>9</v>
      </c>
      <c r="Q2747">
        <v>18.7084211564569</v>
      </c>
      <c r="R2747">
        <v>12.2</v>
      </c>
      <c r="T2747" s="340" t="str">
        <f t="shared" si="134"/>
        <v>2009AllSexNon-Maori23Other</v>
      </c>
      <c r="U2747">
        <v>2009</v>
      </c>
      <c r="V2747" t="s">
        <v>17</v>
      </c>
      <c r="W2747" t="s">
        <v>19</v>
      </c>
      <c r="X2747">
        <v>23</v>
      </c>
      <c r="Y2747" t="s">
        <v>45</v>
      </c>
      <c r="Z2747">
        <v>8</v>
      </c>
      <c r="AA2747">
        <v>142</v>
      </c>
      <c r="AB2747">
        <v>5.6</v>
      </c>
    </row>
    <row r="2748" spans="10:28">
      <c r="J2748" s="340" t="str">
        <f t="shared" si="133"/>
        <v>2009MaleNon-Maori255</v>
      </c>
      <c r="K2748">
        <v>2009</v>
      </c>
      <c r="L2748" t="s">
        <v>20</v>
      </c>
      <c r="M2748" t="s">
        <v>19</v>
      </c>
      <c r="N2748">
        <v>25</v>
      </c>
      <c r="O2748">
        <v>5</v>
      </c>
      <c r="P2748">
        <v>8</v>
      </c>
      <c r="Q2748">
        <v>22.771451876166999</v>
      </c>
      <c r="R2748">
        <v>15.8</v>
      </c>
      <c r="T2748" s="340" t="str">
        <f t="shared" si="134"/>
        <v>2009AllSexNon-Maori24Other</v>
      </c>
      <c r="U2748">
        <v>2009</v>
      </c>
      <c r="V2748" t="s">
        <v>17</v>
      </c>
      <c r="W2748" t="s">
        <v>19</v>
      </c>
      <c r="X2748">
        <v>24</v>
      </c>
      <c r="Y2748" t="s">
        <v>45</v>
      </c>
      <c r="Z2748">
        <v>2</v>
      </c>
      <c r="AA2748">
        <v>148</v>
      </c>
      <c r="AB2748">
        <v>1.4</v>
      </c>
    </row>
    <row r="2749" spans="10:28">
      <c r="J2749" s="340" t="str">
        <f t="shared" si="133"/>
        <v>2010AllSexAllEth211</v>
      </c>
      <c r="K2749">
        <v>2010</v>
      </c>
      <c r="L2749" t="s">
        <v>17</v>
      </c>
      <c r="M2749" t="s">
        <v>27</v>
      </c>
      <c r="N2749">
        <v>21</v>
      </c>
      <c r="O2749">
        <v>1</v>
      </c>
      <c r="P2749">
        <v>0</v>
      </c>
      <c r="Q2749">
        <v>0</v>
      </c>
      <c r="T2749" s="340" t="str">
        <f t="shared" si="134"/>
        <v>2009AllSexNon-Maori25Other</v>
      </c>
      <c r="U2749">
        <v>2009</v>
      </c>
      <c r="V2749" t="s">
        <v>17</v>
      </c>
      <c r="W2749" t="s">
        <v>19</v>
      </c>
      <c r="X2749">
        <v>25</v>
      </c>
      <c r="Y2749" t="s">
        <v>45</v>
      </c>
      <c r="Z2749">
        <v>4</v>
      </c>
      <c r="AA2749">
        <v>53</v>
      </c>
      <c r="AB2749">
        <v>7.5</v>
      </c>
    </row>
    <row r="2750" spans="10:28">
      <c r="J2750" s="340" t="str">
        <f t="shared" si="133"/>
        <v>2010AllSexAllEth212</v>
      </c>
      <c r="K2750">
        <v>2010</v>
      </c>
      <c r="L2750" t="s">
        <v>17</v>
      </c>
      <c r="M2750" t="s">
        <v>27</v>
      </c>
      <c r="N2750">
        <v>21</v>
      </c>
      <c r="O2750">
        <v>2</v>
      </c>
      <c r="P2750">
        <v>0</v>
      </c>
      <c r="Q2750">
        <v>0</v>
      </c>
      <c r="T2750" s="340" t="str">
        <f t="shared" si="134"/>
        <v>2009AllSexNon-Maori22Poisoning by gases and vapours</v>
      </c>
      <c r="U2750">
        <v>2009</v>
      </c>
      <c r="V2750" t="s">
        <v>17</v>
      </c>
      <c r="W2750" t="s">
        <v>19</v>
      </c>
      <c r="X2750">
        <v>22</v>
      </c>
      <c r="Y2750" t="s">
        <v>46</v>
      </c>
      <c r="Z2750">
        <v>4</v>
      </c>
      <c r="AA2750">
        <v>81</v>
      </c>
      <c r="AB2750">
        <v>4.9000000000000004</v>
      </c>
    </row>
    <row r="2751" spans="10:28">
      <c r="J2751" s="340" t="str">
        <f t="shared" si="133"/>
        <v>2010AllSexAllEth213</v>
      </c>
      <c r="K2751">
        <v>2010</v>
      </c>
      <c r="L2751" t="s">
        <v>17</v>
      </c>
      <c r="M2751" t="s">
        <v>27</v>
      </c>
      <c r="N2751">
        <v>21</v>
      </c>
      <c r="O2751">
        <v>3</v>
      </c>
      <c r="P2751">
        <v>1</v>
      </c>
      <c r="Q2751">
        <v>0.59176453645985305</v>
      </c>
      <c r="R2751">
        <v>1.2</v>
      </c>
      <c r="T2751" s="340" t="str">
        <f t="shared" si="134"/>
        <v>2009AllSexNon-Maori23Poisoning by gases and vapours</v>
      </c>
      <c r="U2751">
        <v>2009</v>
      </c>
      <c r="V2751" t="s">
        <v>17</v>
      </c>
      <c r="W2751" t="s">
        <v>19</v>
      </c>
      <c r="X2751">
        <v>23</v>
      </c>
      <c r="Y2751" t="s">
        <v>46</v>
      </c>
      <c r="Z2751">
        <v>19</v>
      </c>
      <c r="AA2751">
        <v>142</v>
      </c>
      <c r="AB2751">
        <v>13.4</v>
      </c>
    </row>
    <row r="2752" spans="10:28">
      <c r="J2752" s="340" t="str">
        <f t="shared" si="133"/>
        <v>2010AllSexAllEth214</v>
      </c>
      <c r="K2752">
        <v>2010</v>
      </c>
      <c r="L2752" t="s">
        <v>17</v>
      </c>
      <c r="M2752" t="s">
        <v>27</v>
      </c>
      <c r="N2752">
        <v>21</v>
      </c>
      <c r="O2752">
        <v>4</v>
      </c>
      <c r="P2752">
        <v>1</v>
      </c>
      <c r="Q2752">
        <v>0.58724065132311898</v>
      </c>
      <c r="R2752">
        <v>1.2</v>
      </c>
      <c r="T2752" s="340" t="str">
        <f t="shared" si="134"/>
        <v>2009AllSexNon-Maori24Poisoning by gases and vapours</v>
      </c>
      <c r="U2752">
        <v>2009</v>
      </c>
      <c r="V2752" t="s">
        <v>17</v>
      </c>
      <c r="W2752" t="s">
        <v>19</v>
      </c>
      <c r="X2752">
        <v>24</v>
      </c>
      <c r="Y2752" t="s">
        <v>46</v>
      </c>
      <c r="Z2752">
        <v>16</v>
      </c>
      <c r="AA2752">
        <v>148</v>
      </c>
      <c r="AB2752">
        <v>10.8</v>
      </c>
    </row>
    <row r="2753" spans="10:28">
      <c r="J2753" s="340" t="str">
        <f t="shared" si="133"/>
        <v>2010AllSexAllEth215</v>
      </c>
      <c r="K2753">
        <v>2010</v>
      </c>
      <c r="L2753" t="s">
        <v>17</v>
      </c>
      <c r="M2753" t="s">
        <v>27</v>
      </c>
      <c r="N2753">
        <v>21</v>
      </c>
      <c r="O2753">
        <v>5</v>
      </c>
      <c r="P2753">
        <v>3</v>
      </c>
      <c r="Q2753">
        <v>1.3993723740473001</v>
      </c>
      <c r="R2753">
        <v>1.6</v>
      </c>
      <c r="T2753" s="340" t="str">
        <f t="shared" si="134"/>
        <v>2009AllSexNon-Maori25Poisoning by gases and vapours</v>
      </c>
      <c r="U2753">
        <v>2009</v>
      </c>
      <c r="V2753" t="s">
        <v>17</v>
      </c>
      <c r="W2753" t="s">
        <v>19</v>
      </c>
      <c r="X2753">
        <v>25</v>
      </c>
      <c r="Y2753" t="s">
        <v>46</v>
      </c>
      <c r="Z2753">
        <v>8</v>
      </c>
      <c r="AA2753">
        <v>53</v>
      </c>
      <c r="AB2753">
        <v>15.1</v>
      </c>
    </row>
    <row r="2754" spans="10:28">
      <c r="J2754" s="340" t="str">
        <f t="shared" si="133"/>
        <v>2010AllSexAllEth221</v>
      </c>
      <c r="K2754">
        <v>2010</v>
      </c>
      <c r="L2754" t="s">
        <v>17</v>
      </c>
      <c r="M2754" t="s">
        <v>27</v>
      </c>
      <c r="N2754">
        <v>22</v>
      </c>
      <c r="O2754">
        <v>1</v>
      </c>
      <c r="P2754">
        <v>11</v>
      </c>
      <c r="Q2754">
        <v>10.0563462654691</v>
      </c>
      <c r="R2754">
        <v>5.9</v>
      </c>
      <c r="T2754" s="340" t="str">
        <f t="shared" si="134"/>
        <v>2009AllSexNon-Maori21Poisoning by solids and liquids</v>
      </c>
      <c r="U2754">
        <v>2009</v>
      </c>
      <c r="V2754" t="s">
        <v>17</v>
      </c>
      <c r="W2754" t="s">
        <v>19</v>
      </c>
      <c r="X2754">
        <v>21</v>
      </c>
      <c r="Y2754" t="s">
        <v>47</v>
      </c>
      <c r="Z2754">
        <v>1</v>
      </c>
      <c r="AA2754">
        <v>5</v>
      </c>
      <c r="AB2754">
        <v>20</v>
      </c>
    </row>
    <row r="2755" spans="10:28">
      <c r="J2755" s="340" t="str">
        <f t="shared" si="133"/>
        <v>2010AllSexAllEth222</v>
      </c>
      <c r="K2755">
        <v>2010</v>
      </c>
      <c r="L2755" t="s">
        <v>17</v>
      </c>
      <c r="M2755" t="s">
        <v>27</v>
      </c>
      <c r="N2755">
        <v>22</v>
      </c>
      <c r="O2755">
        <v>2</v>
      </c>
      <c r="P2755">
        <v>13</v>
      </c>
      <c r="Q2755">
        <v>11.7754172294279</v>
      </c>
      <c r="R2755">
        <v>6.4</v>
      </c>
      <c r="T2755" s="340" t="str">
        <f t="shared" si="134"/>
        <v>2009AllSexNon-Maori22Poisoning by solids and liquids</v>
      </c>
      <c r="U2755">
        <v>2009</v>
      </c>
      <c r="V2755" t="s">
        <v>17</v>
      </c>
      <c r="W2755" t="s">
        <v>19</v>
      </c>
      <c r="X2755">
        <v>22</v>
      </c>
      <c r="Y2755" t="s">
        <v>47</v>
      </c>
      <c r="Z2755">
        <v>2</v>
      </c>
      <c r="AA2755">
        <v>81</v>
      </c>
      <c r="AB2755">
        <v>2.5</v>
      </c>
    </row>
    <row r="2756" spans="10:28">
      <c r="J2756" s="340" t="str">
        <f t="shared" ref="J2756:J2819" si="135">K2756&amp;L2756&amp;M2756&amp;N2756&amp;O2756</f>
        <v>2010AllSexAllEth223</v>
      </c>
      <c r="K2756">
        <v>2010</v>
      </c>
      <c r="L2756" t="s">
        <v>17</v>
      </c>
      <c r="M2756" t="s">
        <v>27</v>
      </c>
      <c r="N2756">
        <v>22</v>
      </c>
      <c r="O2756">
        <v>3</v>
      </c>
      <c r="P2756">
        <v>19</v>
      </c>
      <c r="Q2756">
        <v>16.283162914851601</v>
      </c>
      <c r="R2756">
        <v>7.3</v>
      </c>
      <c r="T2756" s="340" t="str">
        <f t="shared" si="134"/>
        <v>2009AllSexNon-Maori23Poisoning by solids and liquids</v>
      </c>
      <c r="U2756">
        <v>2009</v>
      </c>
      <c r="V2756" t="s">
        <v>17</v>
      </c>
      <c r="W2756" t="s">
        <v>19</v>
      </c>
      <c r="X2756">
        <v>23</v>
      </c>
      <c r="Y2756" t="s">
        <v>47</v>
      </c>
      <c r="Z2756">
        <v>18</v>
      </c>
      <c r="AA2756">
        <v>142</v>
      </c>
      <c r="AB2756">
        <v>12.7</v>
      </c>
    </row>
    <row r="2757" spans="10:28">
      <c r="J2757" s="340" t="str">
        <f t="shared" si="135"/>
        <v>2010AllSexAllEth224</v>
      </c>
      <c r="K2757">
        <v>2010</v>
      </c>
      <c r="L2757" t="s">
        <v>17</v>
      </c>
      <c r="M2757" t="s">
        <v>27</v>
      </c>
      <c r="N2757">
        <v>22</v>
      </c>
      <c r="O2757">
        <v>4</v>
      </c>
      <c r="P2757">
        <v>25</v>
      </c>
      <c r="Q2757">
        <v>19.059862588335498</v>
      </c>
      <c r="R2757">
        <v>7.5</v>
      </c>
      <c r="T2757" s="340" t="str">
        <f t="shared" ref="T2757:T2820" si="136">U2757&amp;V2757&amp;W2757&amp;X2757&amp;Y2757</f>
        <v>2009AllSexNon-Maori24Poisoning by solids and liquids</v>
      </c>
      <c r="U2757">
        <v>2009</v>
      </c>
      <c r="V2757" t="s">
        <v>17</v>
      </c>
      <c r="W2757" t="s">
        <v>19</v>
      </c>
      <c r="X2757">
        <v>24</v>
      </c>
      <c r="Y2757" t="s">
        <v>47</v>
      </c>
      <c r="Z2757">
        <v>22</v>
      </c>
      <c r="AA2757">
        <v>148</v>
      </c>
      <c r="AB2757">
        <v>14.9</v>
      </c>
    </row>
    <row r="2758" spans="10:28">
      <c r="J2758" s="340" t="str">
        <f t="shared" si="135"/>
        <v>2010AllSexAllEth225</v>
      </c>
      <c r="K2758">
        <v>2010</v>
      </c>
      <c r="L2758" t="s">
        <v>17</v>
      </c>
      <c r="M2758" t="s">
        <v>27</v>
      </c>
      <c r="N2758">
        <v>22</v>
      </c>
      <c r="O2758">
        <v>5</v>
      </c>
      <c r="P2758">
        <v>41</v>
      </c>
      <c r="Q2758">
        <v>27.469658845595099</v>
      </c>
      <c r="R2758">
        <v>8.4</v>
      </c>
      <c r="T2758" s="340" t="str">
        <f t="shared" si="136"/>
        <v>2009AllSexNon-Maori25Poisoning by solids and liquids</v>
      </c>
      <c r="U2758">
        <v>2009</v>
      </c>
      <c r="V2758" t="s">
        <v>17</v>
      </c>
      <c r="W2758" t="s">
        <v>19</v>
      </c>
      <c r="X2758">
        <v>25</v>
      </c>
      <c r="Y2758" t="s">
        <v>47</v>
      </c>
      <c r="Z2758">
        <v>12</v>
      </c>
      <c r="AA2758">
        <v>53</v>
      </c>
      <c r="AB2758">
        <v>22.6</v>
      </c>
    </row>
    <row r="2759" spans="10:28">
      <c r="J2759" s="340" t="str">
        <f t="shared" si="135"/>
        <v>2010AllSexAllEth231</v>
      </c>
      <c r="K2759">
        <v>2010</v>
      </c>
      <c r="L2759" t="s">
        <v>17</v>
      </c>
      <c r="M2759" t="s">
        <v>27</v>
      </c>
      <c r="N2759">
        <v>23</v>
      </c>
      <c r="O2759">
        <v>1</v>
      </c>
      <c r="P2759">
        <v>35</v>
      </c>
      <c r="Q2759">
        <v>15.8243637928763</v>
      </c>
      <c r="R2759">
        <v>5.2</v>
      </c>
      <c r="T2759" s="340" t="str">
        <f t="shared" si="136"/>
        <v>2009AllSexNon-Maori23Sharp object</v>
      </c>
      <c r="U2759">
        <v>2009</v>
      </c>
      <c r="V2759" t="s">
        <v>17</v>
      </c>
      <c r="W2759" t="s">
        <v>19</v>
      </c>
      <c r="X2759">
        <v>23</v>
      </c>
      <c r="Y2759" t="s">
        <v>48</v>
      </c>
      <c r="Z2759">
        <v>1</v>
      </c>
      <c r="AA2759">
        <v>142</v>
      </c>
      <c r="AB2759">
        <v>0.7</v>
      </c>
    </row>
    <row r="2760" spans="10:28">
      <c r="J2760" s="340" t="str">
        <f t="shared" si="135"/>
        <v>2010AllSexAllEth232</v>
      </c>
      <c r="K2760">
        <v>2010</v>
      </c>
      <c r="L2760" t="s">
        <v>17</v>
      </c>
      <c r="M2760" t="s">
        <v>27</v>
      </c>
      <c r="N2760">
        <v>23</v>
      </c>
      <c r="O2760">
        <v>2</v>
      </c>
      <c r="P2760">
        <v>33</v>
      </c>
      <c r="Q2760">
        <v>13.8633531553544</v>
      </c>
      <c r="R2760">
        <v>4.7</v>
      </c>
      <c r="T2760" s="340" t="str">
        <f t="shared" si="136"/>
        <v>2009AllSexNon-Maori24Sharp object</v>
      </c>
      <c r="U2760">
        <v>2009</v>
      </c>
      <c r="V2760" t="s">
        <v>17</v>
      </c>
      <c r="W2760" t="s">
        <v>19</v>
      </c>
      <c r="X2760">
        <v>24</v>
      </c>
      <c r="Y2760" t="s">
        <v>48</v>
      </c>
      <c r="Z2760">
        <v>6</v>
      </c>
      <c r="AA2760">
        <v>148</v>
      </c>
      <c r="AB2760">
        <v>4.0999999999999996</v>
      </c>
    </row>
    <row r="2761" spans="10:28">
      <c r="J2761" s="340" t="str">
        <f t="shared" si="135"/>
        <v>2010AllSexAllEth233</v>
      </c>
      <c r="K2761">
        <v>2010</v>
      </c>
      <c r="L2761" t="s">
        <v>17</v>
      </c>
      <c r="M2761" t="s">
        <v>27</v>
      </c>
      <c r="N2761">
        <v>23</v>
      </c>
      <c r="O2761">
        <v>3</v>
      </c>
      <c r="P2761">
        <v>37</v>
      </c>
      <c r="Q2761">
        <v>15.275189025334999</v>
      </c>
      <c r="R2761">
        <v>4.9000000000000004</v>
      </c>
      <c r="T2761" s="340" t="str">
        <f t="shared" si="136"/>
        <v>2009AllSexNon-Maori25Sharp object</v>
      </c>
      <c r="U2761">
        <v>2009</v>
      </c>
      <c r="V2761" t="s">
        <v>17</v>
      </c>
      <c r="W2761" t="s">
        <v>19</v>
      </c>
      <c r="X2761">
        <v>25</v>
      </c>
      <c r="Y2761" t="s">
        <v>48</v>
      </c>
      <c r="Z2761">
        <v>3</v>
      </c>
      <c r="AA2761">
        <v>53</v>
      </c>
      <c r="AB2761">
        <v>5.7</v>
      </c>
    </row>
    <row r="2762" spans="10:28">
      <c r="J2762" s="340" t="str">
        <f t="shared" si="135"/>
        <v>2010AllSexAllEth234</v>
      </c>
      <c r="K2762">
        <v>2010</v>
      </c>
      <c r="L2762" t="s">
        <v>17</v>
      </c>
      <c r="M2762" t="s">
        <v>27</v>
      </c>
      <c r="N2762">
        <v>23</v>
      </c>
      <c r="O2762">
        <v>4</v>
      </c>
      <c r="P2762">
        <v>41</v>
      </c>
      <c r="Q2762">
        <v>17.297876759946501</v>
      </c>
      <c r="R2762">
        <v>5.3</v>
      </c>
      <c r="T2762" s="340" t="str">
        <f t="shared" si="136"/>
        <v>2009AllSexNon-Maori22Submersion (drowning)</v>
      </c>
      <c r="U2762">
        <v>2009</v>
      </c>
      <c r="V2762" t="s">
        <v>17</v>
      </c>
      <c r="W2762" t="s">
        <v>19</v>
      </c>
      <c r="X2762">
        <v>22</v>
      </c>
      <c r="Y2762" t="s">
        <v>49</v>
      </c>
      <c r="Z2762">
        <v>1</v>
      </c>
      <c r="AA2762">
        <v>81</v>
      </c>
      <c r="AB2762">
        <v>1.2</v>
      </c>
    </row>
    <row r="2763" spans="10:28">
      <c r="J2763" s="340" t="str">
        <f t="shared" si="135"/>
        <v>2010AllSexAllEth235</v>
      </c>
      <c r="K2763">
        <v>2010</v>
      </c>
      <c r="L2763" t="s">
        <v>17</v>
      </c>
      <c r="M2763" t="s">
        <v>27</v>
      </c>
      <c r="N2763">
        <v>23</v>
      </c>
      <c r="O2763">
        <v>5</v>
      </c>
      <c r="P2763">
        <v>46</v>
      </c>
      <c r="Q2763">
        <v>20.571696514574999</v>
      </c>
      <c r="R2763">
        <v>5.9</v>
      </c>
      <c r="T2763" s="340" t="str">
        <f t="shared" si="136"/>
        <v>2009AllSexNon-Maori23Submersion (drowning)</v>
      </c>
      <c r="U2763">
        <v>2009</v>
      </c>
      <c r="V2763" t="s">
        <v>17</v>
      </c>
      <c r="W2763" t="s">
        <v>19</v>
      </c>
      <c r="X2763">
        <v>23</v>
      </c>
      <c r="Y2763" t="s">
        <v>49</v>
      </c>
      <c r="Z2763">
        <v>2</v>
      </c>
      <c r="AA2763">
        <v>142</v>
      </c>
      <c r="AB2763">
        <v>1.4</v>
      </c>
    </row>
    <row r="2764" spans="10:28">
      <c r="J2764" s="340" t="str">
        <f t="shared" si="135"/>
        <v>2010AllSexAllEth241</v>
      </c>
      <c r="K2764">
        <v>2010</v>
      </c>
      <c r="L2764" t="s">
        <v>17</v>
      </c>
      <c r="M2764" t="s">
        <v>27</v>
      </c>
      <c r="N2764">
        <v>24</v>
      </c>
      <c r="O2764">
        <v>1</v>
      </c>
      <c r="P2764">
        <v>33</v>
      </c>
      <c r="Q2764">
        <v>12.328896914508899</v>
      </c>
      <c r="R2764">
        <v>4.2</v>
      </c>
      <c r="T2764" s="340" t="str">
        <f t="shared" si="136"/>
        <v>2009AllSexNon-Maori24Submersion (drowning)</v>
      </c>
      <c r="U2764">
        <v>2009</v>
      </c>
      <c r="V2764" t="s">
        <v>17</v>
      </c>
      <c r="W2764" t="s">
        <v>19</v>
      </c>
      <c r="X2764">
        <v>24</v>
      </c>
      <c r="Y2764" t="s">
        <v>49</v>
      </c>
      <c r="Z2764">
        <v>2</v>
      </c>
      <c r="AA2764">
        <v>148</v>
      </c>
      <c r="AB2764">
        <v>1.4</v>
      </c>
    </row>
    <row r="2765" spans="10:28">
      <c r="J2765" s="340" t="str">
        <f t="shared" si="135"/>
        <v>2010AllSexAllEth242</v>
      </c>
      <c r="K2765">
        <v>2010</v>
      </c>
      <c r="L2765" t="s">
        <v>17</v>
      </c>
      <c r="M2765" t="s">
        <v>27</v>
      </c>
      <c r="N2765">
        <v>24</v>
      </c>
      <c r="O2765">
        <v>2</v>
      </c>
      <c r="P2765">
        <v>31</v>
      </c>
      <c r="Q2765">
        <v>12.971305078521601</v>
      </c>
      <c r="R2765">
        <v>4.5999999999999996</v>
      </c>
      <c r="T2765" s="340" t="str">
        <f t="shared" si="136"/>
        <v>2009AllSexNon-Maori25Submersion (drowning)</v>
      </c>
      <c r="U2765">
        <v>2009</v>
      </c>
      <c r="V2765" t="s">
        <v>17</v>
      </c>
      <c r="W2765" t="s">
        <v>19</v>
      </c>
      <c r="X2765">
        <v>25</v>
      </c>
      <c r="Y2765" t="s">
        <v>49</v>
      </c>
      <c r="Z2765">
        <v>1</v>
      </c>
      <c r="AA2765">
        <v>53</v>
      </c>
      <c r="AB2765">
        <v>1.9</v>
      </c>
    </row>
    <row r="2766" spans="10:28">
      <c r="J2766" s="340" t="str">
        <f t="shared" si="135"/>
        <v>2010AllSexAllEth243</v>
      </c>
      <c r="K2766">
        <v>2010</v>
      </c>
      <c r="L2766" t="s">
        <v>17</v>
      </c>
      <c r="M2766" t="s">
        <v>27</v>
      </c>
      <c r="N2766">
        <v>24</v>
      </c>
      <c r="O2766">
        <v>3</v>
      </c>
      <c r="P2766">
        <v>27</v>
      </c>
      <c r="Q2766">
        <v>12.4815703580578</v>
      </c>
      <c r="R2766">
        <v>4.7</v>
      </c>
      <c r="T2766" s="340" t="str">
        <f t="shared" si="136"/>
        <v>2009FemaleAllEth21Hanging, strangulation and suffocation</v>
      </c>
      <c r="U2766">
        <v>2009</v>
      </c>
      <c r="V2766" t="s">
        <v>8</v>
      </c>
      <c r="W2766" t="s">
        <v>27</v>
      </c>
      <c r="X2766">
        <v>21</v>
      </c>
      <c r="Y2766" t="s">
        <v>43</v>
      </c>
      <c r="Z2766">
        <v>2</v>
      </c>
      <c r="AA2766">
        <v>4</v>
      </c>
      <c r="AB2766">
        <v>50</v>
      </c>
    </row>
    <row r="2767" spans="10:28">
      <c r="J2767" s="340" t="str">
        <f t="shared" si="135"/>
        <v>2010AllSexAllEth244</v>
      </c>
      <c r="K2767">
        <v>2010</v>
      </c>
      <c r="L2767" t="s">
        <v>17</v>
      </c>
      <c r="M2767" t="s">
        <v>27</v>
      </c>
      <c r="N2767">
        <v>24</v>
      </c>
      <c r="O2767">
        <v>4</v>
      </c>
      <c r="P2767">
        <v>33</v>
      </c>
      <c r="Q2767">
        <v>16.7969263326627</v>
      </c>
      <c r="R2767">
        <v>5.7</v>
      </c>
      <c r="T2767" s="340" t="str">
        <f t="shared" si="136"/>
        <v>2009FemaleAllEth22Hanging, strangulation and suffocation</v>
      </c>
      <c r="U2767">
        <v>2009</v>
      </c>
      <c r="V2767" t="s">
        <v>8</v>
      </c>
      <c r="W2767" t="s">
        <v>27</v>
      </c>
      <c r="X2767">
        <v>22</v>
      </c>
      <c r="Y2767" t="s">
        <v>43</v>
      </c>
      <c r="Z2767">
        <v>20</v>
      </c>
      <c r="AA2767">
        <v>21</v>
      </c>
      <c r="AB2767">
        <v>95.2</v>
      </c>
    </row>
    <row r="2768" spans="10:28">
      <c r="J2768" s="340" t="str">
        <f t="shared" si="135"/>
        <v>2010AllSexAllEth245</v>
      </c>
      <c r="K2768">
        <v>2010</v>
      </c>
      <c r="L2768" t="s">
        <v>17</v>
      </c>
      <c r="M2768" t="s">
        <v>27</v>
      </c>
      <c r="N2768">
        <v>24</v>
      </c>
      <c r="O2768">
        <v>5</v>
      </c>
      <c r="P2768">
        <v>31</v>
      </c>
      <c r="Q2768">
        <v>17.1580379944476</v>
      </c>
      <c r="R2768">
        <v>6</v>
      </c>
      <c r="T2768" s="340" t="str">
        <f t="shared" si="136"/>
        <v>2009FemaleAllEth23Hanging, strangulation and suffocation</v>
      </c>
      <c r="U2768">
        <v>2009</v>
      </c>
      <c r="V2768" t="s">
        <v>8</v>
      </c>
      <c r="W2768" t="s">
        <v>27</v>
      </c>
      <c r="X2768">
        <v>23</v>
      </c>
      <c r="Y2768" t="s">
        <v>43</v>
      </c>
      <c r="Z2768">
        <v>18</v>
      </c>
      <c r="AA2768">
        <v>41</v>
      </c>
      <c r="AB2768">
        <v>43.9</v>
      </c>
    </row>
    <row r="2769" spans="10:28">
      <c r="J2769" s="340" t="str">
        <f t="shared" si="135"/>
        <v>2010AllSexAllEth251</v>
      </c>
      <c r="K2769">
        <v>2010</v>
      </c>
      <c r="L2769" t="s">
        <v>17</v>
      </c>
      <c r="M2769" t="s">
        <v>27</v>
      </c>
      <c r="N2769">
        <v>25</v>
      </c>
      <c r="O2769">
        <v>1</v>
      </c>
      <c r="P2769">
        <v>11</v>
      </c>
      <c r="Q2769">
        <v>9.4553636332856392</v>
      </c>
      <c r="R2769">
        <v>5.6</v>
      </c>
      <c r="T2769" s="340" t="str">
        <f t="shared" si="136"/>
        <v>2009FemaleAllEth24Hanging, strangulation and suffocation</v>
      </c>
      <c r="U2769">
        <v>2009</v>
      </c>
      <c r="V2769" t="s">
        <v>8</v>
      </c>
      <c r="W2769" t="s">
        <v>27</v>
      </c>
      <c r="X2769">
        <v>24</v>
      </c>
      <c r="Y2769" t="s">
        <v>43</v>
      </c>
      <c r="Z2769">
        <v>20</v>
      </c>
      <c r="AA2769">
        <v>39</v>
      </c>
      <c r="AB2769">
        <v>51.3</v>
      </c>
    </row>
    <row r="2770" spans="10:28">
      <c r="J2770" s="340" t="str">
        <f t="shared" si="135"/>
        <v>2010AllSexAllEth252</v>
      </c>
      <c r="K2770">
        <v>2010</v>
      </c>
      <c r="L2770" t="s">
        <v>17</v>
      </c>
      <c r="M2770" t="s">
        <v>27</v>
      </c>
      <c r="N2770">
        <v>25</v>
      </c>
      <c r="O2770">
        <v>2</v>
      </c>
      <c r="P2770">
        <v>11</v>
      </c>
      <c r="Q2770">
        <v>9.3563239638140008</v>
      </c>
      <c r="R2770">
        <v>5.5</v>
      </c>
      <c r="T2770" s="340" t="str">
        <f t="shared" si="136"/>
        <v>2009FemaleAllEth25Hanging, strangulation and suffocation</v>
      </c>
      <c r="U2770">
        <v>2009</v>
      </c>
      <c r="V2770" t="s">
        <v>8</v>
      </c>
      <c r="W2770" t="s">
        <v>27</v>
      </c>
      <c r="X2770">
        <v>25</v>
      </c>
      <c r="Y2770" t="s">
        <v>43</v>
      </c>
      <c r="Z2770">
        <v>4</v>
      </c>
      <c r="AA2770">
        <v>13</v>
      </c>
      <c r="AB2770">
        <v>30.8</v>
      </c>
    </row>
    <row r="2771" spans="10:28">
      <c r="J2771" s="340" t="str">
        <f t="shared" si="135"/>
        <v>2010AllSexAllEth253</v>
      </c>
      <c r="K2771">
        <v>2010</v>
      </c>
      <c r="L2771" t="s">
        <v>17</v>
      </c>
      <c r="M2771" t="s">
        <v>27</v>
      </c>
      <c r="N2771">
        <v>25</v>
      </c>
      <c r="O2771">
        <v>3</v>
      </c>
      <c r="P2771">
        <v>14</v>
      </c>
      <c r="Q2771">
        <v>12.031282125541701</v>
      </c>
      <c r="R2771">
        <v>6.3</v>
      </c>
      <c r="T2771" s="340" t="str">
        <f t="shared" si="136"/>
        <v>2009FemaleAllEth22Jumping from a high place</v>
      </c>
      <c r="U2771">
        <v>2009</v>
      </c>
      <c r="V2771" t="s">
        <v>8</v>
      </c>
      <c r="W2771" t="s">
        <v>27</v>
      </c>
      <c r="X2771">
        <v>22</v>
      </c>
      <c r="Y2771" t="s">
        <v>44</v>
      </c>
      <c r="Z2771">
        <v>1</v>
      </c>
      <c r="AA2771">
        <v>21</v>
      </c>
      <c r="AB2771">
        <v>4.8</v>
      </c>
    </row>
    <row r="2772" spans="10:28">
      <c r="J2772" s="340" t="str">
        <f t="shared" si="135"/>
        <v>2010AllSexAllEth254</v>
      </c>
      <c r="K2772">
        <v>2010</v>
      </c>
      <c r="L2772" t="s">
        <v>17</v>
      </c>
      <c r="M2772" t="s">
        <v>27</v>
      </c>
      <c r="N2772">
        <v>25</v>
      </c>
      <c r="O2772">
        <v>4</v>
      </c>
      <c r="P2772">
        <v>15</v>
      </c>
      <c r="Q2772">
        <v>12.741884980701499</v>
      </c>
      <c r="R2772">
        <v>6.4</v>
      </c>
      <c r="T2772" s="340" t="str">
        <f t="shared" si="136"/>
        <v>2009FemaleAllEth23Jumping from a high place</v>
      </c>
      <c r="U2772">
        <v>2009</v>
      </c>
      <c r="V2772" t="s">
        <v>8</v>
      </c>
      <c r="W2772" t="s">
        <v>27</v>
      </c>
      <c r="X2772">
        <v>23</v>
      </c>
      <c r="Y2772" t="s">
        <v>44</v>
      </c>
      <c r="Z2772">
        <v>2</v>
      </c>
      <c r="AA2772">
        <v>41</v>
      </c>
      <c r="AB2772">
        <v>4.9000000000000004</v>
      </c>
    </row>
    <row r="2773" spans="10:28">
      <c r="J2773" s="340" t="str">
        <f t="shared" si="135"/>
        <v>2010AllSexAllEth255</v>
      </c>
      <c r="K2773">
        <v>2010</v>
      </c>
      <c r="L2773" t="s">
        <v>17</v>
      </c>
      <c r="M2773" t="s">
        <v>27</v>
      </c>
      <c r="N2773">
        <v>25</v>
      </c>
      <c r="O2773">
        <v>5</v>
      </c>
      <c r="P2773">
        <v>4</v>
      </c>
      <c r="Q2773">
        <v>4.1868427552038199</v>
      </c>
      <c r="R2773">
        <v>4.0999999999999996</v>
      </c>
      <c r="T2773" s="340" t="str">
        <f t="shared" si="136"/>
        <v>2009FemaleAllEth24Jumping from a high place</v>
      </c>
      <c r="U2773">
        <v>2009</v>
      </c>
      <c r="V2773" t="s">
        <v>8</v>
      </c>
      <c r="W2773" t="s">
        <v>27</v>
      </c>
      <c r="X2773">
        <v>24</v>
      </c>
      <c r="Y2773" t="s">
        <v>44</v>
      </c>
      <c r="Z2773">
        <v>2</v>
      </c>
      <c r="AA2773">
        <v>39</v>
      </c>
      <c r="AB2773">
        <v>5.0999999999999996</v>
      </c>
    </row>
    <row r="2774" spans="10:28">
      <c r="J2774" s="340" t="str">
        <f t="shared" si="135"/>
        <v>2010AllSexMaori211</v>
      </c>
      <c r="K2774">
        <v>2010</v>
      </c>
      <c r="L2774" t="s">
        <v>17</v>
      </c>
      <c r="M2774" t="s">
        <v>18</v>
      </c>
      <c r="N2774">
        <v>21</v>
      </c>
      <c r="O2774">
        <v>1</v>
      </c>
      <c r="P2774">
        <v>0</v>
      </c>
      <c r="Q2774">
        <v>0</v>
      </c>
      <c r="T2774" s="340" t="str">
        <f t="shared" si="136"/>
        <v>2009FemaleAllEth21Other</v>
      </c>
      <c r="U2774">
        <v>2009</v>
      </c>
      <c r="V2774" t="s">
        <v>8</v>
      </c>
      <c r="W2774" t="s">
        <v>27</v>
      </c>
      <c r="X2774">
        <v>21</v>
      </c>
      <c r="Y2774" t="s">
        <v>45</v>
      </c>
      <c r="Z2774">
        <v>1</v>
      </c>
      <c r="AA2774">
        <v>4</v>
      </c>
      <c r="AB2774">
        <v>25</v>
      </c>
    </row>
    <row r="2775" spans="10:28">
      <c r="J2775" s="340" t="str">
        <f t="shared" si="135"/>
        <v>2010AllSexMaori212</v>
      </c>
      <c r="K2775">
        <v>2010</v>
      </c>
      <c r="L2775" t="s">
        <v>17</v>
      </c>
      <c r="M2775" t="s">
        <v>18</v>
      </c>
      <c r="N2775">
        <v>21</v>
      </c>
      <c r="O2775">
        <v>2</v>
      </c>
      <c r="P2775">
        <v>0</v>
      </c>
      <c r="Q2775">
        <v>0</v>
      </c>
      <c r="T2775" s="340" t="str">
        <f t="shared" si="136"/>
        <v>2009FemaleAllEth23Other</v>
      </c>
      <c r="U2775">
        <v>2009</v>
      </c>
      <c r="V2775" t="s">
        <v>8</v>
      </c>
      <c r="W2775" t="s">
        <v>27</v>
      </c>
      <c r="X2775">
        <v>23</v>
      </c>
      <c r="Y2775" t="s">
        <v>45</v>
      </c>
      <c r="Z2775">
        <v>4</v>
      </c>
      <c r="AA2775">
        <v>41</v>
      </c>
      <c r="AB2775">
        <v>9.8000000000000007</v>
      </c>
    </row>
    <row r="2776" spans="10:28">
      <c r="J2776" s="340" t="str">
        <f t="shared" si="135"/>
        <v>2010AllSexMaori213</v>
      </c>
      <c r="K2776">
        <v>2010</v>
      </c>
      <c r="L2776" t="s">
        <v>17</v>
      </c>
      <c r="M2776" t="s">
        <v>18</v>
      </c>
      <c r="N2776">
        <v>21</v>
      </c>
      <c r="O2776">
        <v>3</v>
      </c>
      <c r="P2776">
        <v>1</v>
      </c>
      <c r="Q2776">
        <v>2.7260153074812301</v>
      </c>
      <c r="R2776">
        <v>5.3</v>
      </c>
      <c r="T2776" s="340" t="str">
        <f t="shared" si="136"/>
        <v>2009FemaleAllEth25Other</v>
      </c>
      <c r="U2776">
        <v>2009</v>
      </c>
      <c r="V2776" t="s">
        <v>8</v>
      </c>
      <c r="W2776" t="s">
        <v>27</v>
      </c>
      <c r="X2776">
        <v>25</v>
      </c>
      <c r="Y2776" t="s">
        <v>45</v>
      </c>
      <c r="Z2776">
        <v>1</v>
      </c>
      <c r="AA2776">
        <v>13</v>
      </c>
      <c r="AB2776">
        <v>7.7</v>
      </c>
    </row>
    <row r="2777" spans="10:28">
      <c r="J2777" s="340" t="str">
        <f t="shared" si="135"/>
        <v>2010AllSexMaori214</v>
      </c>
      <c r="K2777">
        <v>2010</v>
      </c>
      <c r="L2777" t="s">
        <v>17</v>
      </c>
      <c r="M2777" t="s">
        <v>18</v>
      </c>
      <c r="N2777">
        <v>21</v>
      </c>
      <c r="O2777">
        <v>4</v>
      </c>
      <c r="P2777">
        <v>1</v>
      </c>
      <c r="Q2777">
        <v>1.9541875623695699</v>
      </c>
      <c r="R2777">
        <v>3.8</v>
      </c>
      <c r="T2777" s="340" t="str">
        <f t="shared" si="136"/>
        <v>2009FemaleAllEth23Poisoning by gases and vapours</v>
      </c>
      <c r="U2777">
        <v>2009</v>
      </c>
      <c r="V2777" t="s">
        <v>8</v>
      </c>
      <c r="W2777" t="s">
        <v>27</v>
      </c>
      <c r="X2777">
        <v>23</v>
      </c>
      <c r="Y2777" t="s">
        <v>46</v>
      </c>
      <c r="Z2777">
        <v>6</v>
      </c>
      <c r="AA2777">
        <v>41</v>
      </c>
      <c r="AB2777">
        <v>14.6</v>
      </c>
    </row>
    <row r="2778" spans="10:28">
      <c r="J2778" s="340" t="str">
        <f t="shared" si="135"/>
        <v>2010AllSexMaori215</v>
      </c>
      <c r="K2778">
        <v>2010</v>
      </c>
      <c r="L2778" t="s">
        <v>17</v>
      </c>
      <c r="M2778" t="s">
        <v>18</v>
      </c>
      <c r="N2778">
        <v>21</v>
      </c>
      <c r="O2778">
        <v>5</v>
      </c>
      <c r="P2778">
        <v>2</v>
      </c>
      <c r="Q2778">
        <v>2.0935605185496602</v>
      </c>
      <c r="R2778">
        <v>2.9</v>
      </c>
      <c r="T2778" s="340" t="str">
        <f t="shared" si="136"/>
        <v>2009FemaleAllEth24Poisoning by gases and vapours</v>
      </c>
      <c r="U2778">
        <v>2009</v>
      </c>
      <c r="V2778" t="s">
        <v>8</v>
      </c>
      <c r="W2778" t="s">
        <v>27</v>
      </c>
      <c r="X2778">
        <v>24</v>
      </c>
      <c r="Y2778" t="s">
        <v>46</v>
      </c>
      <c r="Z2778">
        <v>1</v>
      </c>
      <c r="AA2778">
        <v>39</v>
      </c>
      <c r="AB2778">
        <v>2.6</v>
      </c>
    </row>
    <row r="2779" spans="10:28">
      <c r="J2779" s="340" t="str">
        <f t="shared" si="135"/>
        <v>2010AllSexMaori221</v>
      </c>
      <c r="K2779">
        <v>2010</v>
      </c>
      <c r="L2779" t="s">
        <v>17</v>
      </c>
      <c r="M2779" t="s">
        <v>18</v>
      </c>
      <c r="N2779">
        <v>22</v>
      </c>
      <c r="O2779">
        <v>1</v>
      </c>
      <c r="P2779">
        <v>1</v>
      </c>
      <c r="Q2779">
        <v>9.6410576938184605</v>
      </c>
      <c r="R2779">
        <v>18.899999999999999</v>
      </c>
      <c r="T2779" s="340" t="str">
        <f t="shared" si="136"/>
        <v>2009FemaleAllEth25Poisoning by gases and vapours</v>
      </c>
      <c r="U2779">
        <v>2009</v>
      </c>
      <c r="V2779" t="s">
        <v>8</v>
      </c>
      <c r="W2779" t="s">
        <v>27</v>
      </c>
      <c r="X2779">
        <v>25</v>
      </c>
      <c r="Y2779" t="s">
        <v>46</v>
      </c>
      <c r="Z2779">
        <v>4</v>
      </c>
      <c r="AA2779">
        <v>13</v>
      </c>
      <c r="AB2779">
        <v>30.8</v>
      </c>
    </row>
    <row r="2780" spans="10:28">
      <c r="J2780" s="340" t="str">
        <f t="shared" si="135"/>
        <v>2010AllSexMaori222</v>
      </c>
      <c r="K2780">
        <v>2010</v>
      </c>
      <c r="L2780" t="s">
        <v>17</v>
      </c>
      <c r="M2780" t="s">
        <v>18</v>
      </c>
      <c r="N2780">
        <v>22</v>
      </c>
      <c r="O2780">
        <v>2</v>
      </c>
      <c r="P2780">
        <v>1</v>
      </c>
      <c r="Q2780">
        <v>7.2430251179448097</v>
      </c>
      <c r="R2780">
        <v>14.2</v>
      </c>
      <c r="T2780" s="340" t="str">
        <f t="shared" si="136"/>
        <v>2009FemaleAllEth21Poisoning by solids and liquids</v>
      </c>
      <c r="U2780">
        <v>2009</v>
      </c>
      <c r="V2780" t="s">
        <v>8</v>
      </c>
      <c r="W2780" t="s">
        <v>27</v>
      </c>
      <c r="X2780">
        <v>21</v>
      </c>
      <c r="Y2780" t="s">
        <v>47</v>
      </c>
      <c r="Z2780">
        <v>1</v>
      </c>
      <c r="AA2780">
        <v>4</v>
      </c>
      <c r="AB2780">
        <v>25</v>
      </c>
    </row>
    <row r="2781" spans="10:28">
      <c r="J2781" s="340" t="str">
        <f t="shared" si="135"/>
        <v>2010AllSexMaori223</v>
      </c>
      <c r="K2781">
        <v>2010</v>
      </c>
      <c r="L2781" t="s">
        <v>17</v>
      </c>
      <c r="M2781" t="s">
        <v>18</v>
      </c>
      <c r="N2781">
        <v>22</v>
      </c>
      <c r="O2781">
        <v>3</v>
      </c>
      <c r="P2781">
        <v>2</v>
      </c>
      <c r="Q2781">
        <v>9.9754738364058007</v>
      </c>
      <c r="R2781">
        <v>13.8</v>
      </c>
      <c r="T2781" s="340" t="str">
        <f t="shared" si="136"/>
        <v>2009FemaleAllEth23Poisoning by solids and liquids</v>
      </c>
      <c r="U2781">
        <v>2009</v>
      </c>
      <c r="V2781" t="s">
        <v>8</v>
      </c>
      <c r="W2781" t="s">
        <v>27</v>
      </c>
      <c r="X2781">
        <v>23</v>
      </c>
      <c r="Y2781" t="s">
        <v>47</v>
      </c>
      <c r="Z2781">
        <v>10</v>
      </c>
      <c r="AA2781">
        <v>41</v>
      </c>
      <c r="AB2781">
        <v>24.4</v>
      </c>
    </row>
    <row r="2782" spans="10:28">
      <c r="J2782" s="340" t="str">
        <f t="shared" si="135"/>
        <v>2010AllSexMaori224</v>
      </c>
      <c r="K2782">
        <v>2010</v>
      </c>
      <c r="L2782" t="s">
        <v>17</v>
      </c>
      <c r="M2782" t="s">
        <v>18</v>
      </c>
      <c r="N2782">
        <v>22</v>
      </c>
      <c r="O2782">
        <v>4</v>
      </c>
      <c r="P2782">
        <v>10</v>
      </c>
      <c r="Q2782">
        <v>34.533945857877498</v>
      </c>
      <c r="R2782">
        <v>21.4</v>
      </c>
      <c r="T2782" s="340" t="str">
        <f t="shared" si="136"/>
        <v>2009FemaleAllEth24Poisoning by solids and liquids</v>
      </c>
      <c r="U2782">
        <v>2009</v>
      </c>
      <c r="V2782" t="s">
        <v>8</v>
      </c>
      <c r="W2782" t="s">
        <v>27</v>
      </c>
      <c r="X2782">
        <v>24</v>
      </c>
      <c r="Y2782" t="s">
        <v>47</v>
      </c>
      <c r="Z2782">
        <v>12</v>
      </c>
      <c r="AA2782">
        <v>39</v>
      </c>
      <c r="AB2782">
        <v>30.8</v>
      </c>
    </row>
    <row r="2783" spans="10:28">
      <c r="J2783" s="340" t="str">
        <f t="shared" si="135"/>
        <v>2010AllSexMaori225</v>
      </c>
      <c r="K2783">
        <v>2010</v>
      </c>
      <c r="L2783" t="s">
        <v>17</v>
      </c>
      <c r="M2783" t="s">
        <v>18</v>
      </c>
      <c r="N2783">
        <v>22</v>
      </c>
      <c r="O2783">
        <v>5</v>
      </c>
      <c r="P2783">
        <v>28</v>
      </c>
      <c r="Q2783">
        <v>56.2019128346804</v>
      </c>
      <c r="R2783">
        <v>20.8</v>
      </c>
      <c r="T2783" s="340" t="str">
        <f t="shared" si="136"/>
        <v>2009FemaleAllEth25Poisoning by solids and liquids</v>
      </c>
      <c r="U2783">
        <v>2009</v>
      </c>
      <c r="V2783" t="s">
        <v>8</v>
      </c>
      <c r="W2783" t="s">
        <v>27</v>
      </c>
      <c r="X2783">
        <v>25</v>
      </c>
      <c r="Y2783" t="s">
        <v>47</v>
      </c>
      <c r="Z2783">
        <v>4</v>
      </c>
      <c r="AA2783">
        <v>13</v>
      </c>
      <c r="AB2783">
        <v>30.8</v>
      </c>
    </row>
    <row r="2784" spans="10:28">
      <c r="J2784" s="340" t="str">
        <f t="shared" si="135"/>
        <v>2010AllSexMaori231</v>
      </c>
      <c r="K2784">
        <v>2010</v>
      </c>
      <c r="L2784" t="s">
        <v>17</v>
      </c>
      <c r="M2784" t="s">
        <v>18</v>
      </c>
      <c r="N2784">
        <v>23</v>
      </c>
      <c r="O2784">
        <v>1</v>
      </c>
      <c r="P2784">
        <v>0</v>
      </c>
      <c r="Q2784">
        <v>0</v>
      </c>
      <c r="T2784" s="340" t="str">
        <f t="shared" si="136"/>
        <v>2009FemaleAllEth24Sharp object</v>
      </c>
      <c r="U2784">
        <v>2009</v>
      </c>
      <c r="V2784" t="s">
        <v>8</v>
      </c>
      <c r="W2784" t="s">
        <v>27</v>
      </c>
      <c r="X2784">
        <v>24</v>
      </c>
      <c r="Y2784" t="s">
        <v>48</v>
      </c>
      <c r="Z2784">
        <v>2</v>
      </c>
      <c r="AA2784">
        <v>39</v>
      </c>
      <c r="AB2784">
        <v>5.0999999999999996</v>
      </c>
    </row>
    <row r="2785" spans="10:28">
      <c r="J2785" s="340" t="str">
        <f t="shared" si="135"/>
        <v>2010AllSexMaori232</v>
      </c>
      <c r="K2785">
        <v>2010</v>
      </c>
      <c r="L2785" t="s">
        <v>17</v>
      </c>
      <c r="M2785" t="s">
        <v>18</v>
      </c>
      <c r="N2785">
        <v>23</v>
      </c>
      <c r="O2785">
        <v>2</v>
      </c>
      <c r="P2785">
        <v>7</v>
      </c>
      <c r="Q2785">
        <v>34.018497463439601</v>
      </c>
      <c r="R2785">
        <v>25.2</v>
      </c>
      <c r="T2785" s="340" t="str">
        <f t="shared" si="136"/>
        <v>2009FemaleAllEth23Submersion (drowning)</v>
      </c>
      <c r="U2785">
        <v>2009</v>
      </c>
      <c r="V2785" t="s">
        <v>8</v>
      </c>
      <c r="W2785" t="s">
        <v>27</v>
      </c>
      <c r="X2785">
        <v>23</v>
      </c>
      <c r="Y2785" t="s">
        <v>49</v>
      </c>
      <c r="Z2785">
        <v>1</v>
      </c>
      <c r="AA2785">
        <v>41</v>
      </c>
      <c r="AB2785">
        <v>2.4</v>
      </c>
    </row>
    <row r="2786" spans="10:28">
      <c r="J2786" s="340" t="str">
        <f t="shared" si="135"/>
        <v>2010AllSexMaori233</v>
      </c>
      <c r="K2786">
        <v>2010</v>
      </c>
      <c r="L2786" t="s">
        <v>17</v>
      </c>
      <c r="M2786" t="s">
        <v>18</v>
      </c>
      <c r="N2786">
        <v>23</v>
      </c>
      <c r="O2786">
        <v>3</v>
      </c>
      <c r="P2786">
        <v>9</v>
      </c>
      <c r="Q2786">
        <v>31.4489337601545</v>
      </c>
      <c r="R2786">
        <v>20.5</v>
      </c>
      <c r="T2786" s="340" t="str">
        <f t="shared" si="136"/>
        <v>2009FemaleAllEth24Submersion (drowning)</v>
      </c>
      <c r="U2786">
        <v>2009</v>
      </c>
      <c r="V2786" t="s">
        <v>8</v>
      </c>
      <c r="W2786" t="s">
        <v>27</v>
      </c>
      <c r="X2786">
        <v>24</v>
      </c>
      <c r="Y2786" t="s">
        <v>49</v>
      </c>
      <c r="Z2786">
        <v>2</v>
      </c>
      <c r="AA2786">
        <v>39</v>
      </c>
      <c r="AB2786">
        <v>5.0999999999999996</v>
      </c>
    </row>
    <row r="2787" spans="10:28">
      <c r="J2787" s="340" t="str">
        <f t="shared" si="135"/>
        <v>2010AllSexMaori234</v>
      </c>
      <c r="K2787">
        <v>2010</v>
      </c>
      <c r="L2787" t="s">
        <v>17</v>
      </c>
      <c r="M2787" t="s">
        <v>18</v>
      </c>
      <c r="N2787">
        <v>23</v>
      </c>
      <c r="O2787">
        <v>4</v>
      </c>
      <c r="P2787">
        <v>7</v>
      </c>
      <c r="Q2787">
        <v>17.731611791875199</v>
      </c>
      <c r="R2787">
        <v>13.1</v>
      </c>
      <c r="T2787" s="340" t="str">
        <f t="shared" si="136"/>
        <v>2009FemaleMaori21Hanging, strangulation and suffocation</v>
      </c>
      <c r="U2787">
        <v>2009</v>
      </c>
      <c r="V2787" t="s">
        <v>8</v>
      </c>
      <c r="W2787" t="s">
        <v>18</v>
      </c>
      <c r="X2787">
        <v>21</v>
      </c>
      <c r="Y2787" t="s">
        <v>43</v>
      </c>
      <c r="Z2787">
        <v>2</v>
      </c>
      <c r="AA2787">
        <v>2</v>
      </c>
      <c r="AB2787">
        <v>100</v>
      </c>
    </row>
    <row r="2788" spans="10:28">
      <c r="J2788" s="340" t="str">
        <f t="shared" si="135"/>
        <v>2010AllSexMaori235</v>
      </c>
      <c r="K2788">
        <v>2010</v>
      </c>
      <c r="L2788" t="s">
        <v>17</v>
      </c>
      <c r="M2788" t="s">
        <v>18</v>
      </c>
      <c r="N2788">
        <v>23</v>
      </c>
      <c r="O2788">
        <v>5</v>
      </c>
      <c r="P2788">
        <v>16</v>
      </c>
      <c r="Q2788">
        <v>25.061355586077202</v>
      </c>
      <c r="R2788">
        <v>12.3</v>
      </c>
      <c r="T2788" s="340" t="str">
        <f t="shared" si="136"/>
        <v>2009FemaleMaori22Hanging, strangulation and suffocation</v>
      </c>
      <c r="U2788">
        <v>2009</v>
      </c>
      <c r="V2788" t="s">
        <v>8</v>
      </c>
      <c r="W2788" t="s">
        <v>18</v>
      </c>
      <c r="X2788">
        <v>22</v>
      </c>
      <c r="Y2788" t="s">
        <v>43</v>
      </c>
      <c r="Z2788">
        <v>11</v>
      </c>
      <c r="AA2788">
        <v>11</v>
      </c>
      <c r="AB2788">
        <v>100</v>
      </c>
    </row>
    <row r="2789" spans="10:28">
      <c r="J2789" s="340" t="str">
        <f t="shared" si="135"/>
        <v>2010AllSexMaori241</v>
      </c>
      <c r="K2789">
        <v>2010</v>
      </c>
      <c r="L2789" t="s">
        <v>17</v>
      </c>
      <c r="M2789" t="s">
        <v>18</v>
      </c>
      <c r="N2789">
        <v>24</v>
      </c>
      <c r="O2789">
        <v>1</v>
      </c>
      <c r="P2789">
        <v>1</v>
      </c>
      <c r="Q2789">
        <v>8.7991641418899693</v>
      </c>
      <c r="R2789">
        <v>17.2</v>
      </c>
      <c r="T2789" s="340" t="str">
        <f t="shared" si="136"/>
        <v>2009FemaleMaori23Hanging, strangulation and suffocation</v>
      </c>
      <c r="U2789">
        <v>2009</v>
      </c>
      <c r="V2789" t="s">
        <v>8</v>
      </c>
      <c r="W2789" t="s">
        <v>18</v>
      </c>
      <c r="X2789">
        <v>23</v>
      </c>
      <c r="Y2789" t="s">
        <v>43</v>
      </c>
      <c r="Z2789">
        <v>5</v>
      </c>
      <c r="AA2789">
        <v>8</v>
      </c>
      <c r="AB2789">
        <v>62.5</v>
      </c>
    </row>
    <row r="2790" spans="10:28">
      <c r="J2790" s="340" t="str">
        <f t="shared" si="135"/>
        <v>2010AllSexMaori242</v>
      </c>
      <c r="K2790">
        <v>2010</v>
      </c>
      <c r="L2790" t="s">
        <v>17</v>
      </c>
      <c r="M2790" t="s">
        <v>18</v>
      </c>
      <c r="N2790">
        <v>24</v>
      </c>
      <c r="O2790">
        <v>2</v>
      </c>
      <c r="P2790">
        <v>2</v>
      </c>
      <c r="Q2790">
        <v>14.0637579434337</v>
      </c>
      <c r="R2790">
        <v>19.5</v>
      </c>
      <c r="T2790" s="340" t="str">
        <f t="shared" si="136"/>
        <v>2009FemaleMaori24Hanging, strangulation and suffocation</v>
      </c>
      <c r="U2790">
        <v>2009</v>
      </c>
      <c r="V2790" t="s">
        <v>8</v>
      </c>
      <c r="W2790" t="s">
        <v>18</v>
      </c>
      <c r="X2790">
        <v>24</v>
      </c>
      <c r="Y2790" t="s">
        <v>43</v>
      </c>
      <c r="Z2790">
        <v>4</v>
      </c>
      <c r="AA2790">
        <v>4</v>
      </c>
      <c r="AB2790">
        <v>100</v>
      </c>
    </row>
    <row r="2791" spans="10:28">
      <c r="J2791" s="340" t="str">
        <f t="shared" si="135"/>
        <v>2010AllSexMaori243</v>
      </c>
      <c r="K2791">
        <v>2010</v>
      </c>
      <c r="L2791" t="s">
        <v>17</v>
      </c>
      <c r="M2791" t="s">
        <v>18</v>
      </c>
      <c r="N2791">
        <v>24</v>
      </c>
      <c r="O2791">
        <v>3</v>
      </c>
      <c r="P2791">
        <v>0</v>
      </c>
      <c r="Q2791">
        <v>0</v>
      </c>
      <c r="T2791" s="340" t="str">
        <f t="shared" si="136"/>
        <v>2009FemaleMaori23Poisoning by gases and vapours</v>
      </c>
      <c r="U2791">
        <v>2009</v>
      </c>
      <c r="V2791" t="s">
        <v>8</v>
      </c>
      <c r="W2791" t="s">
        <v>18</v>
      </c>
      <c r="X2791">
        <v>23</v>
      </c>
      <c r="Y2791" t="s">
        <v>46</v>
      </c>
      <c r="Z2791">
        <v>1</v>
      </c>
      <c r="AA2791">
        <v>8</v>
      </c>
      <c r="AB2791">
        <v>12.5</v>
      </c>
    </row>
    <row r="2792" spans="10:28">
      <c r="J2792" s="340" t="str">
        <f t="shared" si="135"/>
        <v>2010AllSexMaori244</v>
      </c>
      <c r="K2792">
        <v>2010</v>
      </c>
      <c r="L2792" t="s">
        <v>17</v>
      </c>
      <c r="M2792" t="s">
        <v>18</v>
      </c>
      <c r="N2792">
        <v>24</v>
      </c>
      <c r="O2792">
        <v>4</v>
      </c>
      <c r="P2792">
        <v>2</v>
      </c>
      <c r="Q2792">
        <v>7.7016165282605398</v>
      </c>
      <c r="R2792">
        <v>10.7</v>
      </c>
      <c r="T2792" s="340" t="str">
        <f t="shared" si="136"/>
        <v>2009FemaleMaori23Poisoning by solids and liquids</v>
      </c>
      <c r="U2792">
        <v>2009</v>
      </c>
      <c r="V2792" t="s">
        <v>8</v>
      </c>
      <c r="W2792" t="s">
        <v>18</v>
      </c>
      <c r="X2792">
        <v>23</v>
      </c>
      <c r="Y2792" t="s">
        <v>47</v>
      </c>
      <c r="Z2792">
        <v>2</v>
      </c>
      <c r="AA2792">
        <v>8</v>
      </c>
      <c r="AB2792">
        <v>25</v>
      </c>
    </row>
    <row r="2793" spans="10:28">
      <c r="J2793" s="340" t="str">
        <f t="shared" si="135"/>
        <v>2010AllSexMaori245</v>
      </c>
      <c r="K2793">
        <v>2010</v>
      </c>
      <c r="L2793" t="s">
        <v>17</v>
      </c>
      <c r="M2793" t="s">
        <v>18</v>
      </c>
      <c r="N2793">
        <v>24</v>
      </c>
      <c r="O2793">
        <v>5</v>
      </c>
      <c r="P2793">
        <v>10</v>
      </c>
      <c r="Q2793">
        <v>22.058770857299599</v>
      </c>
      <c r="R2793">
        <v>13.7</v>
      </c>
      <c r="T2793" s="340" t="str">
        <f t="shared" si="136"/>
        <v>2009FemaleNon-Maori22Hanging, strangulation and suffocation</v>
      </c>
      <c r="U2793">
        <v>2009</v>
      </c>
      <c r="V2793" t="s">
        <v>8</v>
      </c>
      <c r="W2793" t="s">
        <v>19</v>
      </c>
      <c r="X2793">
        <v>22</v>
      </c>
      <c r="Y2793" t="s">
        <v>43</v>
      </c>
      <c r="Z2793">
        <v>9</v>
      </c>
      <c r="AA2793">
        <v>10</v>
      </c>
      <c r="AB2793">
        <v>90</v>
      </c>
    </row>
    <row r="2794" spans="10:28">
      <c r="J2794" s="340" t="str">
        <f t="shared" si="135"/>
        <v>2010AllSexMaori251</v>
      </c>
      <c r="K2794">
        <v>2010</v>
      </c>
      <c r="L2794" t="s">
        <v>17</v>
      </c>
      <c r="M2794" t="s">
        <v>18</v>
      </c>
      <c r="N2794">
        <v>25</v>
      </c>
      <c r="O2794">
        <v>1</v>
      </c>
      <c r="P2794">
        <v>0</v>
      </c>
      <c r="Q2794">
        <v>0</v>
      </c>
      <c r="T2794" s="340" t="str">
        <f t="shared" si="136"/>
        <v>2009FemaleNon-Maori23Hanging, strangulation and suffocation</v>
      </c>
      <c r="U2794">
        <v>2009</v>
      </c>
      <c r="V2794" t="s">
        <v>8</v>
      </c>
      <c r="W2794" t="s">
        <v>19</v>
      </c>
      <c r="X2794">
        <v>23</v>
      </c>
      <c r="Y2794" t="s">
        <v>43</v>
      </c>
      <c r="Z2794">
        <v>13</v>
      </c>
      <c r="AA2794">
        <v>33</v>
      </c>
      <c r="AB2794">
        <v>39.4</v>
      </c>
    </row>
    <row r="2795" spans="10:28">
      <c r="J2795" s="340" t="str">
        <f t="shared" si="135"/>
        <v>2010AllSexMaori252</v>
      </c>
      <c r="K2795">
        <v>2010</v>
      </c>
      <c r="L2795" t="s">
        <v>17</v>
      </c>
      <c r="M2795" t="s">
        <v>18</v>
      </c>
      <c r="N2795">
        <v>25</v>
      </c>
      <c r="O2795">
        <v>2</v>
      </c>
      <c r="P2795">
        <v>0</v>
      </c>
      <c r="Q2795">
        <v>0</v>
      </c>
      <c r="T2795" s="340" t="str">
        <f t="shared" si="136"/>
        <v>2009FemaleNon-Maori24Hanging, strangulation and suffocation</v>
      </c>
      <c r="U2795">
        <v>2009</v>
      </c>
      <c r="V2795" t="s">
        <v>8</v>
      </c>
      <c r="W2795" t="s">
        <v>19</v>
      </c>
      <c r="X2795">
        <v>24</v>
      </c>
      <c r="Y2795" t="s">
        <v>43</v>
      </c>
      <c r="Z2795">
        <v>16</v>
      </c>
      <c r="AA2795">
        <v>35</v>
      </c>
      <c r="AB2795">
        <v>45.7</v>
      </c>
    </row>
    <row r="2796" spans="10:28">
      <c r="J2796" s="340" t="str">
        <f t="shared" si="135"/>
        <v>2010AllSexMaori253</v>
      </c>
      <c r="K2796">
        <v>2010</v>
      </c>
      <c r="L2796" t="s">
        <v>17</v>
      </c>
      <c r="M2796" t="s">
        <v>18</v>
      </c>
      <c r="N2796">
        <v>25</v>
      </c>
      <c r="O2796">
        <v>3</v>
      </c>
      <c r="P2796">
        <v>0</v>
      </c>
      <c r="Q2796">
        <v>0</v>
      </c>
      <c r="T2796" s="340" t="str">
        <f t="shared" si="136"/>
        <v>2009FemaleNon-Maori25Hanging, strangulation and suffocation</v>
      </c>
      <c r="U2796">
        <v>2009</v>
      </c>
      <c r="V2796" t="s">
        <v>8</v>
      </c>
      <c r="W2796" t="s">
        <v>19</v>
      </c>
      <c r="X2796">
        <v>25</v>
      </c>
      <c r="Y2796" t="s">
        <v>43</v>
      </c>
      <c r="Z2796">
        <v>4</v>
      </c>
      <c r="AA2796">
        <v>13</v>
      </c>
      <c r="AB2796">
        <v>30.8</v>
      </c>
    </row>
    <row r="2797" spans="10:28">
      <c r="J2797" s="340" t="str">
        <f t="shared" si="135"/>
        <v>2010AllSexMaori254</v>
      </c>
      <c r="K2797">
        <v>2010</v>
      </c>
      <c r="L2797" t="s">
        <v>17</v>
      </c>
      <c r="M2797" t="s">
        <v>18</v>
      </c>
      <c r="N2797">
        <v>25</v>
      </c>
      <c r="O2797">
        <v>4</v>
      </c>
      <c r="P2797">
        <v>0</v>
      </c>
      <c r="Q2797">
        <v>0</v>
      </c>
      <c r="T2797" s="340" t="str">
        <f t="shared" si="136"/>
        <v>2009FemaleNon-Maori22Jumping from a high place</v>
      </c>
      <c r="U2797">
        <v>2009</v>
      </c>
      <c r="V2797" t="s">
        <v>8</v>
      </c>
      <c r="W2797" t="s">
        <v>19</v>
      </c>
      <c r="X2797">
        <v>22</v>
      </c>
      <c r="Y2797" t="s">
        <v>44</v>
      </c>
      <c r="Z2797">
        <v>1</v>
      </c>
      <c r="AA2797">
        <v>10</v>
      </c>
      <c r="AB2797">
        <v>10</v>
      </c>
    </row>
    <row r="2798" spans="10:28">
      <c r="J2798" s="340" t="str">
        <f t="shared" si="135"/>
        <v>2010AllSexMaori255</v>
      </c>
      <c r="K2798">
        <v>2010</v>
      </c>
      <c r="L2798" t="s">
        <v>17</v>
      </c>
      <c r="M2798" t="s">
        <v>18</v>
      </c>
      <c r="N2798">
        <v>25</v>
      </c>
      <c r="O2798">
        <v>5</v>
      </c>
      <c r="P2798">
        <v>0</v>
      </c>
      <c r="Q2798">
        <v>0</v>
      </c>
      <c r="T2798" s="340" t="str">
        <f t="shared" si="136"/>
        <v>2009FemaleNon-Maori23Jumping from a high place</v>
      </c>
      <c r="U2798">
        <v>2009</v>
      </c>
      <c r="V2798" t="s">
        <v>8</v>
      </c>
      <c r="W2798" t="s">
        <v>19</v>
      </c>
      <c r="X2798">
        <v>23</v>
      </c>
      <c r="Y2798" t="s">
        <v>44</v>
      </c>
      <c r="Z2798">
        <v>2</v>
      </c>
      <c r="AA2798">
        <v>33</v>
      </c>
      <c r="AB2798">
        <v>6.1</v>
      </c>
    </row>
    <row r="2799" spans="10:28">
      <c r="J2799" s="340" t="str">
        <f t="shared" si="135"/>
        <v>2010AllSexNon-Maori211</v>
      </c>
      <c r="K2799">
        <v>2010</v>
      </c>
      <c r="L2799" t="s">
        <v>17</v>
      </c>
      <c r="M2799" t="s">
        <v>19</v>
      </c>
      <c r="N2799">
        <v>21</v>
      </c>
      <c r="O2799">
        <v>1</v>
      </c>
      <c r="P2799">
        <v>0</v>
      </c>
      <c r="Q2799">
        <v>0</v>
      </c>
      <c r="T2799" s="340" t="str">
        <f t="shared" si="136"/>
        <v>2009FemaleNon-Maori24Jumping from a high place</v>
      </c>
      <c r="U2799">
        <v>2009</v>
      </c>
      <c r="V2799" t="s">
        <v>8</v>
      </c>
      <c r="W2799" t="s">
        <v>19</v>
      </c>
      <c r="X2799">
        <v>24</v>
      </c>
      <c r="Y2799" t="s">
        <v>44</v>
      </c>
      <c r="Z2799">
        <v>2</v>
      </c>
      <c r="AA2799">
        <v>35</v>
      </c>
      <c r="AB2799">
        <v>5.7</v>
      </c>
    </row>
    <row r="2800" spans="10:28">
      <c r="J2800" s="340" t="str">
        <f t="shared" si="135"/>
        <v>2010AllSexNon-Maori212</v>
      </c>
      <c r="K2800">
        <v>2010</v>
      </c>
      <c r="L2800" t="s">
        <v>17</v>
      </c>
      <c r="M2800" t="s">
        <v>19</v>
      </c>
      <c r="N2800">
        <v>21</v>
      </c>
      <c r="O2800">
        <v>2</v>
      </c>
      <c r="P2800">
        <v>0</v>
      </c>
      <c r="Q2800">
        <v>0</v>
      </c>
      <c r="T2800" s="340" t="str">
        <f t="shared" si="136"/>
        <v>2009FemaleNon-Maori21Other</v>
      </c>
      <c r="U2800">
        <v>2009</v>
      </c>
      <c r="V2800" t="s">
        <v>8</v>
      </c>
      <c r="W2800" t="s">
        <v>19</v>
      </c>
      <c r="X2800">
        <v>21</v>
      </c>
      <c r="Y2800" t="s">
        <v>45</v>
      </c>
      <c r="Z2800">
        <v>1</v>
      </c>
      <c r="AA2800">
        <v>2</v>
      </c>
      <c r="AB2800">
        <v>50</v>
      </c>
    </row>
    <row r="2801" spans="10:28">
      <c r="J2801" s="340" t="str">
        <f t="shared" si="135"/>
        <v>2010AllSexNon-Maori213</v>
      </c>
      <c r="K2801">
        <v>2010</v>
      </c>
      <c r="L2801" t="s">
        <v>17</v>
      </c>
      <c r="M2801" t="s">
        <v>19</v>
      </c>
      <c r="N2801">
        <v>21</v>
      </c>
      <c r="O2801">
        <v>3</v>
      </c>
      <c r="P2801">
        <v>0</v>
      </c>
      <c r="Q2801">
        <v>0</v>
      </c>
      <c r="T2801" s="340" t="str">
        <f t="shared" si="136"/>
        <v>2009FemaleNon-Maori23Other</v>
      </c>
      <c r="U2801">
        <v>2009</v>
      </c>
      <c r="V2801" t="s">
        <v>8</v>
      </c>
      <c r="W2801" t="s">
        <v>19</v>
      </c>
      <c r="X2801">
        <v>23</v>
      </c>
      <c r="Y2801" t="s">
        <v>45</v>
      </c>
      <c r="Z2801">
        <v>4</v>
      </c>
      <c r="AA2801">
        <v>33</v>
      </c>
      <c r="AB2801">
        <v>12.1</v>
      </c>
    </row>
    <row r="2802" spans="10:28">
      <c r="J2802" s="340" t="str">
        <f t="shared" si="135"/>
        <v>2010AllSexNon-Maori214</v>
      </c>
      <c r="K2802">
        <v>2010</v>
      </c>
      <c r="L2802" t="s">
        <v>17</v>
      </c>
      <c r="M2802" t="s">
        <v>19</v>
      </c>
      <c r="N2802">
        <v>21</v>
      </c>
      <c r="O2802">
        <v>4</v>
      </c>
      <c r="P2802">
        <v>0</v>
      </c>
      <c r="Q2802">
        <v>0</v>
      </c>
      <c r="T2802" s="340" t="str">
        <f t="shared" si="136"/>
        <v>2009FemaleNon-Maori25Other</v>
      </c>
      <c r="U2802">
        <v>2009</v>
      </c>
      <c r="V2802" t="s">
        <v>8</v>
      </c>
      <c r="W2802" t="s">
        <v>19</v>
      </c>
      <c r="X2802">
        <v>25</v>
      </c>
      <c r="Y2802" t="s">
        <v>45</v>
      </c>
      <c r="Z2802">
        <v>1</v>
      </c>
      <c r="AA2802">
        <v>13</v>
      </c>
      <c r="AB2802">
        <v>7.7</v>
      </c>
    </row>
    <row r="2803" spans="10:28">
      <c r="J2803" s="340" t="str">
        <f t="shared" si="135"/>
        <v>2010AllSexNon-Maori215</v>
      </c>
      <c r="K2803">
        <v>2010</v>
      </c>
      <c r="L2803" t="s">
        <v>17</v>
      </c>
      <c r="M2803" t="s">
        <v>19</v>
      </c>
      <c r="N2803">
        <v>21</v>
      </c>
      <c r="O2803">
        <v>5</v>
      </c>
      <c r="P2803">
        <v>1</v>
      </c>
      <c r="Q2803">
        <v>0.85561233841180895</v>
      </c>
      <c r="R2803">
        <v>1.7</v>
      </c>
      <c r="T2803" s="340" t="str">
        <f t="shared" si="136"/>
        <v>2009FemaleNon-Maori23Poisoning by gases and vapours</v>
      </c>
      <c r="U2803">
        <v>2009</v>
      </c>
      <c r="V2803" t="s">
        <v>8</v>
      </c>
      <c r="W2803" t="s">
        <v>19</v>
      </c>
      <c r="X2803">
        <v>23</v>
      </c>
      <c r="Y2803" t="s">
        <v>46</v>
      </c>
      <c r="Z2803">
        <v>5</v>
      </c>
      <c r="AA2803">
        <v>33</v>
      </c>
      <c r="AB2803">
        <v>15.2</v>
      </c>
    </row>
    <row r="2804" spans="10:28">
      <c r="J2804" s="340" t="str">
        <f t="shared" si="135"/>
        <v>2010AllSexNon-Maori221</v>
      </c>
      <c r="K2804">
        <v>2010</v>
      </c>
      <c r="L2804" t="s">
        <v>17</v>
      </c>
      <c r="M2804" t="s">
        <v>19</v>
      </c>
      <c r="N2804">
        <v>22</v>
      </c>
      <c r="O2804">
        <v>1</v>
      </c>
      <c r="P2804">
        <v>10</v>
      </c>
      <c r="Q2804">
        <v>9.9698377891381291</v>
      </c>
      <c r="R2804">
        <v>6.2</v>
      </c>
      <c r="T2804" s="340" t="str">
        <f t="shared" si="136"/>
        <v>2009FemaleNon-Maori24Poisoning by gases and vapours</v>
      </c>
      <c r="U2804">
        <v>2009</v>
      </c>
      <c r="V2804" t="s">
        <v>8</v>
      </c>
      <c r="W2804" t="s">
        <v>19</v>
      </c>
      <c r="X2804">
        <v>24</v>
      </c>
      <c r="Y2804" t="s">
        <v>46</v>
      </c>
      <c r="Z2804">
        <v>1</v>
      </c>
      <c r="AA2804">
        <v>35</v>
      </c>
      <c r="AB2804">
        <v>2.9</v>
      </c>
    </row>
    <row r="2805" spans="10:28">
      <c r="J2805" s="340" t="str">
        <f t="shared" si="135"/>
        <v>2010AllSexNon-Maori222</v>
      </c>
      <c r="K2805">
        <v>2010</v>
      </c>
      <c r="L2805" t="s">
        <v>17</v>
      </c>
      <c r="M2805" t="s">
        <v>19</v>
      </c>
      <c r="N2805">
        <v>22</v>
      </c>
      <c r="O2805">
        <v>2</v>
      </c>
      <c r="P2805">
        <v>12</v>
      </c>
      <c r="Q2805">
        <v>12.340181982136199</v>
      </c>
      <c r="R2805">
        <v>7</v>
      </c>
      <c r="T2805" s="340" t="str">
        <f t="shared" si="136"/>
        <v>2009FemaleNon-Maori25Poisoning by gases and vapours</v>
      </c>
      <c r="U2805">
        <v>2009</v>
      </c>
      <c r="V2805" t="s">
        <v>8</v>
      </c>
      <c r="W2805" t="s">
        <v>19</v>
      </c>
      <c r="X2805">
        <v>25</v>
      </c>
      <c r="Y2805" t="s">
        <v>46</v>
      </c>
      <c r="Z2805">
        <v>4</v>
      </c>
      <c r="AA2805">
        <v>13</v>
      </c>
      <c r="AB2805">
        <v>30.8</v>
      </c>
    </row>
    <row r="2806" spans="10:28">
      <c r="J2806" s="340" t="str">
        <f t="shared" si="135"/>
        <v>2010AllSexNon-Maori223</v>
      </c>
      <c r="K2806">
        <v>2010</v>
      </c>
      <c r="L2806" t="s">
        <v>17</v>
      </c>
      <c r="M2806" t="s">
        <v>19</v>
      </c>
      <c r="N2806">
        <v>22</v>
      </c>
      <c r="O2806">
        <v>3</v>
      </c>
      <c r="P2806">
        <v>17</v>
      </c>
      <c r="Q2806">
        <v>17.545547733276099</v>
      </c>
      <c r="R2806">
        <v>8.3000000000000007</v>
      </c>
      <c r="T2806" s="340" t="str">
        <f t="shared" si="136"/>
        <v>2009FemaleNon-Maori21Poisoning by solids and liquids</v>
      </c>
      <c r="U2806">
        <v>2009</v>
      </c>
      <c r="V2806" t="s">
        <v>8</v>
      </c>
      <c r="W2806" t="s">
        <v>19</v>
      </c>
      <c r="X2806">
        <v>21</v>
      </c>
      <c r="Y2806" t="s">
        <v>47</v>
      </c>
      <c r="Z2806">
        <v>1</v>
      </c>
      <c r="AA2806">
        <v>2</v>
      </c>
      <c r="AB2806">
        <v>50</v>
      </c>
    </row>
    <row r="2807" spans="10:28">
      <c r="J2807" s="340" t="str">
        <f t="shared" si="135"/>
        <v>2010AllSexNon-Maori224</v>
      </c>
      <c r="K2807">
        <v>2010</v>
      </c>
      <c r="L2807" t="s">
        <v>17</v>
      </c>
      <c r="M2807" t="s">
        <v>19</v>
      </c>
      <c r="N2807">
        <v>22</v>
      </c>
      <c r="O2807">
        <v>4</v>
      </c>
      <c r="P2807">
        <v>15</v>
      </c>
      <c r="Q2807">
        <v>14.7113239483051</v>
      </c>
      <c r="R2807">
        <v>7.4</v>
      </c>
      <c r="T2807" s="340" t="str">
        <f t="shared" si="136"/>
        <v>2009FemaleNon-Maori23Poisoning by solids and liquids</v>
      </c>
      <c r="U2807">
        <v>2009</v>
      </c>
      <c r="V2807" t="s">
        <v>8</v>
      </c>
      <c r="W2807" t="s">
        <v>19</v>
      </c>
      <c r="X2807">
        <v>23</v>
      </c>
      <c r="Y2807" t="s">
        <v>47</v>
      </c>
      <c r="Z2807">
        <v>8</v>
      </c>
      <c r="AA2807">
        <v>33</v>
      </c>
      <c r="AB2807">
        <v>24.2</v>
      </c>
    </row>
    <row r="2808" spans="10:28">
      <c r="J2808" s="340" t="str">
        <f t="shared" si="135"/>
        <v>2010AllSexNon-Maori225</v>
      </c>
      <c r="K2808">
        <v>2010</v>
      </c>
      <c r="L2808" t="s">
        <v>17</v>
      </c>
      <c r="M2808" t="s">
        <v>19</v>
      </c>
      <c r="N2808">
        <v>22</v>
      </c>
      <c r="O2808">
        <v>5</v>
      </c>
      <c r="P2808">
        <v>13</v>
      </c>
      <c r="Q2808">
        <v>13.343221704969499</v>
      </c>
      <c r="R2808">
        <v>7.3</v>
      </c>
      <c r="T2808" s="340" t="str">
        <f t="shared" si="136"/>
        <v>2009FemaleNon-Maori24Poisoning by solids and liquids</v>
      </c>
      <c r="U2808">
        <v>2009</v>
      </c>
      <c r="V2808" t="s">
        <v>8</v>
      </c>
      <c r="W2808" t="s">
        <v>19</v>
      </c>
      <c r="X2808">
        <v>24</v>
      </c>
      <c r="Y2808" t="s">
        <v>47</v>
      </c>
      <c r="Z2808">
        <v>12</v>
      </c>
      <c r="AA2808">
        <v>35</v>
      </c>
      <c r="AB2808">
        <v>34.299999999999997</v>
      </c>
    </row>
    <row r="2809" spans="10:28">
      <c r="J2809" s="340" t="str">
        <f t="shared" si="135"/>
        <v>2010AllSexNon-Maori231</v>
      </c>
      <c r="K2809">
        <v>2010</v>
      </c>
      <c r="L2809" t="s">
        <v>17</v>
      </c>
      <c r="M2809" t="s">
        <v>19</v>
      </c>
      <c r="N2809">
        <v>23</v>
      </c>
      <c r="O2809">
        <v>1</v>
      </c>
      <c r="P2809">
        <v>35</v>
      </c>
      <c r="Q2809">
        <v>16.739334881790899</v>
      </c>
      <c r="R2809">
        <v>5.5</v>
      </c>
      <c r="T2809" s="340" t="str">
        <f t="shared" si="136"/>
        <v>2009FemaleNon-Maori25Poisoning by solids and liquids</v>
      </c>
      <c r="U2809">
        <v>2009</v>
      </c>
      <c r="V2809" t="s">
        <v>8</v>
      </c>
      <c r="W2809" t="s">
        <v>19</v>
      </c>
      <c r="X2809">
        <v>25</v>
      </c>
      <c r="Y2809" t="s">
        <v>47</v>
      </c>
      <c r="Z2809">
        <v>4</v>
      </c>
      <c r="AA2809">
        <v>13</v>
      </c>
      <c r="AB2809">
        <v>30.8</v>
      </c>
    </row>
    <row r="2810" spans="10:28">
      <c r="J2810" s="340" t="str">
        <f t="shared" si="135"/>
        <v>2010AllSexNon-Maori232</v>
      </c>
      <c r="K2810">
        <v>2010</v>
      </c>
      <c r="L2810" t="s">
        <v>17</v>
      </c>
      <c r="M2810" t="s">
        <v>19</v>
      </c>
      <c r="N2810">
        <v>23</v>
      </c>
      <c r="O2810">
        <v>2</v>
      </c>
      <c r="P2810">
        <v>26</v>
      </c>
      <c r="Q2810">
        <v>11.873059086474001</v>
      </c>
      <c r="R2810">
        <v>4.5999999999999996</v>
      </c>
      <c r="T2810" s="340" t="str">
        <f t="shared" si="136"/>
        <v>2009FemaleNon-Maori24Sharp object</v>
      </c>
      <c r="U2810">
        <v>2009</v>
      </c>
      <c r="V2810" t="s">
        <v>8</v>
      </c>
      <c r="W2810" t="s">
        <v>19</v>
      </c>
      <c r="X2810">
        <v>24</v>
      </c>
      <c r="Y2810" t="s">
        <v>48</v>
      </c>
      <c r="Z2810">
        <v>2</v>
      </c>
      <c r="AA2810">
        <v>35</v>
      </c>
      <c r="AB2810">
        <v>5.7</v>
      </c>
    </row>
    <row r="2811" spans="10:28">
      <c r="J2811" s="340" t="str">
        <f t="shared" si="135"/>
        <v>2010AllSexNon-Maori233</v>
      </c>
      <c r="K2811">
        <v>2010</v>
      </c>
      <c r="L2811" t="s">
        <v>17</v>
      </c>
      <c r="M2811" t="s">
        <v>19</v>
      </c>
      <c r="N2811">
        <v>23</v>
      </c>
      <c r="O2811">
        <v>3</v>
      </c>
      <c r="P2811">
        <v>28</v>
      </c>
      <c r="Q2811">
        <v>13.086131105932701</v>
      </c>
      <c r="R2811">
        <v>4.8</v>
      </c>
      <c r="T2811" s="340" t="str">
        <f t="shared" si="136"/>
        <v>2009FemaleNon-Maori23Submersion (drowning)</v>
      </c>
      <c r="U2811">
        <v>2009</v>
      </c>
      <c r="V2811" t="s">
        <v>8</v>
      </c>
      <c r="W2811" t="s">
        <v>19</v>
      </c>
      <c r="X2811">
        <v>23</v>
      </c>
      <c r="Y2811" t="s">
        <v>49</v>
      </c>
      <c r="Z2811">
        <v>1</v>
      </c>
      <c r="AA2811">
        <v>33</v>
      </c>
      <c r="AB2811">
        <v>3</v>
      </c>
    </row>
    <row r="2812" spans="10:28">
      <c r="J2812" s="340" t="str">
        <f t="shared" si="135"/>
        <v>2010AllSexNon-Maori234</v>
      </c>
      <c r="K2812">
        <v>2010</v>
      </c>
      <c r="L2812" t="s">
        <v>17</v>
      </c>
      <c r="M2812" t="s">
        <v>19</v>
      </c>
      <c r="N2812">
        <v>23</v>
      </c>
      <c r="O2812">
        <v>4</v>
      </c>
      <c r="P2812">
        <v>34</v>
      </c>
      <c r="Q2812">
        <v>17.332969804579999</v>
      </c>
      <c r="R2812">
        <v>5.8</v>
      </c>
      <c r="T2812" s="340" t="str">
        <f t="shared" si="136"/>
        <v>2009FemaleNon-Maori24Submersion (drowning)</v>
      </c>
      <c r="U2812">
        <v>2009</v>
      </c>
      <c r="V2812" t="s">
        <v>8</v>
      </c>
      <c r="W2812" t="s">
        <v>19</v>
      </c>
      <c r="X2812">
        <v>24</v>
      </c>
      <c r="Y2812" t="s">
        <v>49</v>
      </c>
      <c r="Z2812">
        <v>2</v>
      </c>
      <c r="AA2812">
        <v>35</v>
      </c>
      <c r="AB2812">
        <v>5.7</v>
      </c>
    </row>
    <row r="2813" spans="10:28">
      <c r="J2813" s="340" t="str">
        <f t="shared" si="135"/>
        <v>2010AllSexNon-Maori235</v>
      </c>
      <c r="K2813">
        <v>2010</v>
      </c>
      <c r="L2813" t="s">
        <v>17</v>
      </c>
      <c r="M2813" t="s">
        <v>19</v>
      </c>
      <c r="N2813">
        <v>23</v>
      </c>
      <c r="O2813">
        <v>5</v>
      </c>
      <c r="P2813">
        <v>30</v>
      </c>
      <c r="Q2813">
        <v>19.169276893524099</v>
      </c>
      <c r="R2813">
        <v>6.9</v>
      </c>
      <c r="T2813" s="340" t="str">
        <f t="shared" si="136"/>
        <v>2009MaleAllEth21Firearms and explosives</v>
      </c>
      <c r="U2813">
        <v>2009</v>
      </c>
      <c r="V2813" t="s">
        <v>20</v>
      </c>
      <c r="W2813" t="s">
        <v>27</v>
      </c>
      <c r="X2813">
        <v>21</v>
      </c>
      <c r="Y2813" t="s">
        <v>42</v>
      </c>
      <c r="Z2813">
        <v>1</v>
      </c>
      <c r="AA2813">
        <v>6</v>
      </c>
      <c r="AB2813">
        <v>16.7</v>
      </c>
    </row>
    <row r="2814" spans="10:28">
      <c r="J2814" s="340" t="str">
        <f t="shared" si="135"/>
        <v>2010AllSexNon-Maori241</v>
      </c>
      <c r="K2814">
        <v>2010</v>
      </c>
      <c r="L2814" t="s">
        <v>17</v>
      </c>
      <c r="M2814" t="s">
        <v>19</v>
      </c>
      <c r="N2814">
        <v>24</v>
      </c>
      <c r="O2814">
        <v>1</v>
      </c>
      <c r="P2814">
        <v>32</v>
      </c>
      <c r="Q2814">
        <v>12.3357291753883</v>
      </c>
      <c r="R2814">
        <v>4.3</v>
      </c>
      <c r="T2814" s="340" t="str">
        <f t="shared" si="136"/>
        <v>2009MaleAllEth22Firearms and explosives</v>
      </c>
      <c r="U2814">
        <v>2009</v>
      </c>
      <c r="V2814" t="s">
        <v>20</v>
      </c>
      <c r="W2814" t="s">
        <v>27</v>
      </c>
      <c r="X2814">
        <v>22</v>
      </c>
      <c r="Y2814" t="s">
        <v>42</v>
      </c>
      <c r="Z2814">
        <v>9</v>
      </c>
      <c r="AA2814">
        <v>95</v>
      </c>
      <c r="AB2814">
        <v>9.5</v>
      </c>
    </row>
    <row r="2815" spans="10:28">
      <c r="J2815" s="340" t="str">
        <f t="shared" si="135"/>
        <v>2010AllSexNon-Maori242</v>
      </c>
      <c r="K2815">
        <v>2010</v>
      </c>
      <c r="L2815" t="s">
        <v>17</v>
      </c>
      <c r="M2815" t="s">
        <v>19</v>
      </c>
      <c r="N2815">
        <v>24</v>
      </c>
      <c r="O2815">
        <v>2</v>
      </c>
      <c r="P2815">
        <v>29</v>
      </c>
      <c r="Q2815">
        <v>12.8130699002089</v>
      </c>
      <c r="R2815">
        <v>4.7</v>
      </c>
      <c r="T2815" s="340" t="str">
        <f t="shared" si="136"/>
        <v>2009MaleAllEth23Firearms and explosives</v>
      </c>
      <c r="U2815">
        <v>2009</v>
      </c>
      <c r="V2815" t="s">
        <v>20</v>
      </c>
      <c r="W2815" t="s">
        <v>27</v>
      </c>
      <c r="X2815">
        <v>23</v>
      </c>
      <c r="Y2815" t="s">
        <v>42</v>
      </c>
      <c r="Z2815">
        <v>13</v>
      </c>
      <c r="AA2815">
        <v>132</v>
      </c>
      <c r="AB2815">
        <v>9.8000000000000007</v>
      </c>
    </row>
    <row r="2816" spans="10:28">
      <c r="J2816" s="340" t="str">
        <f t="shared" si="135"/>
        <v>2010AllSexNon-Maori243</v>
      </c>
      <c r="K2816">
        <v>2010</v>
      </c>
      <c r="L2816" t="s">
        <v>17</v>
      </c>
      <c r="M2816" t="s">
        <v>19</v>
      </c>
      <c r="N2816">
        <v>24</v>
      </c>
      <c r="O2816">
        <v>3</v>
      </c>
      <c r="P2816">
        <v>27</v>
      </c>
      <c r="Q2816">
        <v>13.620481158993799</v>
      </c>
      <c r="R2816">
        <v>5.0999999999999996</v>
      </c>
      <c r="T2816" s="340" t="str">
        <f t="shared" si="136"/>
        <v>2009MaleAllEth24Firearms and explosives</v>
      </c>
      <c r="U2816">
        <v>2009</v>
      </c>
      <c r="V2816" t="s">
        <v>20</v>
      </c>
      <c r="W2816" t="s">
        <v>27</v>
      </c>
      <c r="X2816">
        <v>24</v>
      </c>
      <c r="Y2816" t="s">
        <v>42</v>
      </c>
      <c r="Z2816">
        <v>23</v>
      </c>
      <c r="AA2816">
        <v>120</v>
      </c>
      <c r="AB2816">
        <v>19.2</v>
      </c>
    </row>
    <row r="2817" spans="10:28">
      <c r="J2817" s="340" t="str">
        <f t="shared" si="135"/>
        <v>2010AllSexNon-Maori244</v>
      </c>
      <c r="K2817">
        <v>2010</v>
      </c>
      <c r="L2817" t="s">
        <v>17</v>
      </c>
      <c r="M2817" t="s">
        <v>19</v>
      </c>
      <c r="N2817">
        <v>24</v>
      </c>
      <c r="O2817">
        <v>4</v>
      </c>
      <c r="P2817">
        <v>31</v>
      </c>
      <c r="Q2817">
        <v>18.2786695921865</v>
      </c>
      <c r="R2817">
        <v>6.4</v>
      </c>
      <c r="T2817" s="340" t="str">
        <f t="shared" si="136"/>
        <v>2009MaleAllEth25Firearms and explosives</v>
      </c>
      <c r="U2817">
        <v>2009</v>
      </c>
      <c r="V2817" t="s">
        <v>20</v>
      </c>
      <c r="W2817" t="s">
        <v>27</v>
      </c>
      <c r="X2817">
        <v>25</v>
      </c>
      <c r="Y2817" t="s">
        <v>42</v>
      </c>
      <c r="Z2817">
        <v>7</v>
      </c>
      <c r="AA2817">
        <v>41</v>
      </c>
      <c r="AB2817">
        <v>17.100000000000001</v>
      </c>
    </row>
    <row r="2818" spans="10:28">
      <c r="J2818" s="340" t="str">
        <f t="shared" si="135"/>
        <v>2010AllSexNon-Maori245</v>
      </c>
      <c r="K2818">
        <v>2010</v>
      </c>
      <c r="L2818" t="s">
        <v>17</v>
      </c>
      <c r="M2818" t="s">
        <v>19</v>
      </c>
      <c r="N2818">
        <v>24</v>
      </c>
      <c r="O2818">
        <v>5</v>
      </c>
      <c r="P2818">
        <v>21</v>
      </c>
      <c r="Q2818">
        <v>16.042899020836899</v>
      </c>
      <c r="R2818">
        <v>6.9</v>
      </c>
      <c r="T2818" s="340" t="str">
        <f t="shared" si="136"/>
        <v>2009MaleAllEth21Hanging, strangulation and suffocation</v>
      </c>
      <c r="U2818">
        <v>2009</v>
      </c>
      <c r="V2818" t="s">
        <v>20</v>
      </c>
      <c r="W2818" t="s">
        <v>27</v>
      </c>
      <c r="X2818">
        <v>21</v>
      </c>
      <c r="Y2818" t="s">
        <v>43</v>
      </c>
      <c r="Z2818">
        <v>5</v>
      </c>
      <c r="AA2818">
        <v>6</v>
      </c>
      <c r="AB2818">
        <v>83.3</v>
      </c>
    </row>
    <row r="2819" spans="10:28">
      <c r="J2819" s="340" t="str">
        <f t="shared" si="135"/>
        <v>2010AllSexNon-Maori251</v>
      </c>
      <c r="K2819">
        <v>2010</v>
      </c>
      <c r="L2819" t="s">
        <v>17</v>
      </c>
      <c r="M2819" t="s">
        <v>19</v>
      </c>
      <c r="N2819">
        <v>25</v>
      </c>
      <c r="O2819">
        <v>1</v>
      </c>
      <c r="P2819">
        <v>11</v>
      </c>
      <c r="Q2819">
        <v>9.6161849240118595</v>
      </c>
      <c r="R2819">
        <v>5.7</v>
      </c>
      <c r="T2819" s="340" t="str">
        <f t="shared" si="136"/>
        <v>2009MaleAllEth22Hanging, strangulation and suffocation</v>
      </c>
      <c r="U2819">
        <v>2009</v>
      </c>
      <c r="V2819" t="s">
        <v>20</v>
      </c>
      <c r="W2819" t="s">
        <v>27</v>
      </c>
      <c r="X2819">
        <v>22</v>
      </c>
      <c r="Y2819" t="s">
        <v>43</v>
      </c>
      <c r="Z2819">
        <v>75</v>
      </c>
      <c r="AA2819">
        <v>95</v>
      </c>
      <c r="AB2819">
        <v>78.900000000000006</v>
      </c>
    </row>
    <row r="2820" spans="10:28">
      <c r="J2820" s="340" t="str">
        <f t="shared" ref="J2820:J2883" si="137">K2820&amp;L2820&amp;M2820&amp;N2820&amp;O2820</f>
        <v>2010AllSexNon-Maori252</v>
      </c>
      <c r="K2820">
        <v>2010</v>
      </c>
      <c r="L2820" t="s">
        <v>17</v>
      </c>
      <c r="M2820" t="s">
        <v>19</v>
      </c>
      <c r="N2820">
        <v>25</v>
      </c>
      <c r="O2820">
        <v>2</v>
      </c>
      <c r="P2820">
        <v>11</v>
      </c>
      <c r="Q2820">
        <v>9.6006017019435106</v>
      </c>
      <c r="R2820">
        <v>5.7</v>
      </c>
      <c r="T2820" s="340" t="str">
        <f t="shared" si="136"/>
        <v>2009MaleAllEth23Hanging, strangulation and suffocation</v>
      </c>
      <c r="U2820">
        <v>2009</v>
      </c>
      <c r="V2820" t="s">
        <v>20</v>
      </c>
      <c r="W2820" t="s">
        <v>27</v>
      </c>
      <c r="X2820">
        <v>23</v>
      </c>
      <c r="Y2820" t="s">
        <v>43</v>
      </c>
      <c r="Z2820">
        <v>82</v>
      </c>
      <c r="AA2820">
        <v>132</v>
      </c>
      <c r="AB2820">
        <v>62.1</v>
      </c>
    </row>
    <row r="2821" spans="10:28">
      <c r="J2821" s="340" t="str">
        <f t="shared" si="137"/>
        <v>2010AllSexNon-Maori253</v>
      </c>
      <c r="K2821">
        <v>2010</v>
      </c>
      <c r="L2821" t="s">
        <v>17</v>
      </c>
      <c r="M2821" t="s">
        <v>19</v>
      </c>
      <c r="N2821">
        <v>25</v>
      </c>
      <c r="O2821">
        <v>3</v>
      </c>
      <c r="P2821">
        <v>14</v>
      </c>
      <c r="Q2821">
        <v>12.5210057839746</v>
      </c>
      <c r="R2821">
        <v>6.6</v>
      </c>
      <c r="T2821" s="340" t="str">
        <f t="shared" ref="T2821:T2884" si="138">U2821&amp;V2821&amp;W2821&amp;X2821&amp;Y2821</f>
        <v>2009MaleAllEth24Hanging, strangulation and suffocation</v>
      </c>
      <c r="U2821">
        <v>2009</v>
      </c>
      <c r="V2821" t="s">
        <v>20</v>
      </c>
      <c r="W2821" t="s">
        <v>27</v>
      </c>
      <c r="X2821">
        <v>24</v>
      </c>
      <c r="Y2821" t="s">
        <v>43</v>
      </c>
      <c r="Z2821">
        <v>61</v>
      </c>
      <c r="AA2821">
        <v>120</v>
      </c>
      <c r="AB2821">
        <v>50.8</v>
      </c>
    </row>
    <row r="2822" spans="10:28">
      <c r="J2822" s="340" t="str">
        <f t="shared" si="137"/>
        <v>2010AllSexNon-Maori254</v>
      </c>
      <c r="K2822">
        <v>2010</v>
      </c>
      <c r="L2822" t="s">
        <v>17</v>
      </c>
      <c r="M2822" t="s">
        <v>19</v>
      </c>
      <c r="N2822">
        <v>25</v>
      </c>
      <c r="O2822">
        <v>4</v>
      </c>
      <c r="P2822">
        <v>15</v>
      </c>
      <c r="Q2822">
        <v>13.561640049177299</v>
      </c>
      <c r="R2822">
        <v>6.9</v>
      </c>
      <c r="T2822" s="340" t="str">
        <f t="shared" si="138"/>
        <v>2009MaleAllEth25Hanging, strangulation and suffocation</v>
      </c>
      <c r="U2822">
        <v>2009</v>
      </c>
      <c r="V2822" t="s">
        <v>20</v>
      </c>
      <c r="W2822" t="s">
        <v>27</v>
      </c>
      <c r="X2822">
        <v>25</v>
      </c>
      <c r="Y2822" t="s">
        <v>43</v>
      </c>
      <c r="Z2822">
        <v>15</v>
      </c>
      <c r="AA2822">
        <v>41</v>
      </c>
      <c r="AB2822">
        <v>36.6</v>
      </c>
    </row>
    <row r="2823" spans="10:28">
      <c r="J2823" s="340" t="str">
        <f t="shared" si="137"/>
        <v>2010AllSexNon-Maori255</v>
      </c>
      <c r="K2823">
        <v>2010</v>
      </c>
      <c r="L2823" t="s">
        <v>17</v>
      </c>
      <c r="M2823" t="s">
        <v>19</v>
      </c>
      <c r="N2823">
        <v>25</v>
      </c>
      <c r="O2823">
        <v>5</v>
      </c>
      <c r="P2823">
        <v>4</v>
      </c>
      <c r="Q2823">
        <v>4.9220605782510898</v>
      </c>
      <c r="R2823">
        <v>4.8</v>
      </c>
      <c r="T2823" s="340" t="str">
        <f t="shared" si="138"/>
        <v>2009MaleAllEth22Jumping from a high place</v>
      </c>
      <c r="U2823">
        <v>2009</v>
      </c>
      <c r="V2823" t="s">
        <v>20</v>
      </c>
      <c r="W2823" t="s">
        <v>27</v>
      </c>
      <c r="X2823">
        <v>22</v>
      </c>
      <c r="Y2823" t="s">
        <v>44</v>
      </c>
      <c r="Z2823">
        <v>4</v>
      </c>
      <c r="AA2823">
        <v>95</v>
      </c>
      <c r="AB2823">
        <v>4.2</v>
      </c>
    </row>
    <row r="2824" spans="10:28">
      <c r="J2824" s="340" t="str">
        <f t="shared" si="137"/>
        <v>2010FemaleAllEth211</v>
      </c>
      <c r="K2824">
        <v>2010</v>
      </c>
      <c r="L2824" t="s">
        <v>8</v>
      </c>
      <c r="M2824" t="s">
        <v>27</v>
      </c>
      <c r="N2824">
        <v>21</v>
      </c>
      <c r="O2824">
        <v>1</v>
      </c>
      <c r="P2824">
        <v>0</v>
      </c>
      <c r="Q2824">
        <v>0</v>
      </c>
      <c r="T2824" s="340" t="str">
        <f t="shared" si="138"/>
        <v>2009MaleAllEth23Jumping from a high place</v>
      </c>
      <c r="U2824">
        <v>2009</v>
      </c>
      <c r="V2824" t="s">
        <v>20</v>
      </c>
      <c r="W2824" t="s">
        <v>27</v>
      </c>
      <c r="X2824">
        <v>23</v>
      </c>
      <c r="Y2824" t="s">
        <v>44</v>
      </c>
      <c r="Z2824">
        <v>4</v>
      </c>
      <c r="AA2824">
        <v>132</v>
      </c>
      <c r="AB2824">
        <v>3</v>
      </c>
    </row>
    <row r="2825" spans="10:28">
      <c r="J2825" s="340" t="str">
        <f t="shared" si="137"/>
        <v>2010FemaleAllEth212</v>
      </c>
      <c r="K2825">
        <v>2010</v>
      </c>
      <c r="L2825" t="s">
        <v>8</v>
      </c>
      <c r="M2825" t="s">
        <v>27</v>
      </c>
      <c r="N2825">
        <v>21</v>
      </c>
      <c r="O2825">
        <v>2</v>
      </c>
      <c r="P2825">
        <v>0</v>
      </c>
      <c r="Q2825">
        <v>0</v>
      </c>
      <c r="T2825" s="340" t="str">
        <f t="shared" si="138"/>
        <v>2009MaleAllEth24Jumping from a high place</v>
      </c>
      <c r="U2825">
        <v>2009</v>
      </c>
      <c r="V2825" t="s">
        <v>20</v>
      </c>
      <c r="W2825" t="s">
        <v>27</v>
      </c>
      <c r="X2825">
        <v>24</v>
      </c>
      <c r="Y2825" t="s">
        <v>44</v>
      </c>
      <c r="Z2825">
        <v>4</v>
      </c>
      <c r="AA2825">
        <v>120</v>
      </c>
      <c r="AB2825">
        <v>3.3</v>
      </c>
    </row>
    <row r="2826" spans="10:28">
      <c r="J2826" s="340" t="str">
        <f t="shared" si="137"/>
        <v>2010FemaleAllEth213</v>
      </c>
      <c r="K2826">
        <v>2010</v>
      </c>
      <c r="L2826" t="s">
        <v>8</v>
      </c>
      <c r="M2826" t="s">
        <v>27</v>
      </c>
      <c r="N2826">
        <v>21</v>
      </c>
      <c r="O2826">
        <v>3</v>
      </c>
      <c r="P2826">
        <v>0</v>
      </c>
      <c r="Q2826">
        <v>0</v>
      </c>
      <c r="T2826" s="340" t="str">
        <f t="shared" si="138"/>
        <v>2009MaleAllEth23Other</v>
      </c>
      <c r="U2826">
        <v>2009</v>
      </c>
      <c r="V2826" t="s">
        <v>20</v>
      </c>
      <c r="W2826" t="s">
        <v>27</v>
      </c>
      <c r="X2826">
        <v>23</v>
      </c>
      <c r="Y2826" t="s">
        <v>45</v>
      </c>
      <c r="Z2826">
        <v>4</v>
      </c>
      <c r="AA2826">
        <v>132</v>
      </c>
      <c r="AB2826">
        <v>3</v>
      </c>
    </row>
    <row r="2827" spans="10:28">
      <c r="J2827" s="340" t="str">
        <f t="shared" si="137"/>
        <v>2010FemaleAllEth214</v>
      </c>
      <c r="K2827">
        <v>2010</v>
      </c>
      <c r="L2827" t="s">
        <v>8</v>
      </c>
      <c r="M2827" t="s">
        <v>27</v>
      </c>
      <c r="N2827">
        <v>21</v>
      </c>
      <c r="O2827">
        <v>4</v>
      </c>
      <c r="P2827">
        <v>1</v>
      </c>
      <c r="Q2827">
        <v>1.20692122555216</v>
      </c>
      <c r="R2827">
        <v>2.4</v>
      </c>
      <c r="T2827" s="340" t="str">
        <f t="shared" si="138"/>
        <v>2009MaleAllEth24Other</v>
      </c>
      <c r="U2827">
        <v>2009</v>
      </c>
      <c r="V2827" t="s">
        <v>20</v>
      </c>
      <c r="W2827" t="s">
        <v>27</v>
      </c>
      <c r="X2827">
        <v>24</v>
      </c>
      <c r="Y2827" t="s">
        <v>45</v>
      </c>
      <c r="Z2827">
        <v>2</v>
      </c>
      <c r="AA2827">
        <v>120</v>
      </c>
      <c r="AB2827">
        <v>1.7</v>
      </c>
    </row>
    <row r="2828" spans="10:28">
      <c r="J2828" s="340" t="str">
        <f t="shared" si="137"/>
        <v>2010FemaleAllEth215</v>
      </c>
      <c r="K2828">
        <v>2010</v>
      </c>
      <c r="L2828" t="s">
        <v>8</v>
      </c>
      <c r="M2828" t="s">
        <v>27</v>
      </c>
      <c r="N2828">
        <v>21</v>
      </c>
      <c r="O2828">
        <v>5</v>
      </c>
      <c r="P2828">
        <v>1</v>
      </c>
      <c r="Q2828">
        <v>0.95940110194780603</v>
      </c>
      <c r="R2828">
        <v>1.9</v>
      </c>
      <c r="T2828" s="340" t="str">
        <f t="shared" si="138"/>
        <v>2009MaleAllEth25Other</v>
      </c>
      <c r="U2828">
        <v>2009</v>
      </c>
      <c r="V2828" t="s">
        <v>20</v>
      </c>
      <c r="W2828" t="s">
        <v>27</v>
      </c>
      <c r="X2828">
        <v>25</v>
      </c>
      <c r="Y2828" t="s">
        <v>45</v>
      </c>
      <c r="Z2828">
        <v>3</v>
      </c>
      <c r="AA2828">
        <v>41</v>
      </c>
      <c r="AB2828">
        <v>7.3</v>
      </c>
    </row>
    <row r="2829" spans="10:28">
      <c r="J2829" s="340" t="str">
        <f t="shared" si="137"/>
        <v>2010FemaleAllEth221</v>
      </c>
      <c r="K2829">
        <v>2010</v>
      </c>
      <c r="L2829" t="s">
        <v>8</v>
      </c>
      <c r="M2829" t="s">
        <v>27</v>
      </c>
      <c r="N2829">
        <v>22</v>
      </c>
      <c r="O2829">
        <v>1</v>
      </c>
      <c r="P2829">
        <v>2</v>
      </c>
      <c r="Q2829">
        <v>3.76178804971509</v>
      </c>
      <c r="R2829">
        <v>5.2</v>
      </c>
      <c r="T2829" s="340" t="str">
        <f t="shared" si="138"/>
        <v>2009MaleAllEth22Poisoning by gases and vapours</v>
      </c>
      <c r="U2829">
        <v>2009</v>
      </c>
      <c r="V2829" t="s">
        <v>20</v>
      </c>
      <c r="W2829" t="s">
        <v>27</v>
      </c>
      <c r="X2829">
        <v>22</v>
      </c>
      <c r="Y2829" t="s">
        <v>46</v>
      </c>
      <c r="Z2829">
        <v>4</v>
      </c>
      <c r="AA2829">
        <v>95</v>
      </c>
      <c r="AB2829">
        <v>4.2</v>
      </c>
    </row>
    <row r="2830" spans="10:28">
      <c r="J2830" s="340" t="str">
        <f t="shared" si="137"/>
        <v>2010FemaleAllEth222</v>
      </c>
      <c r="K2830">
        <v>2010</v>
      </c>
      <c r="L2830" t="s">
        <v>8</v>
      </c>
      <c r="M2830" t="s">
        <v>27</v>
      </c>
      <c r="N2830">
        <v>22</v>
      </c>
      <c r="O2830">
        <v>2</v>
      </c>
      <c r="P2830">
        <v>7</v>
      </c>
      <c r="Q2830">
        <v>13.0354518250511</v>
      </c>
      <c r="R2830">
        <v>9.6999999999999993</v>
      </c>
      <c r="T2830" s="340" t="str">
        <f t="shared" si="138"/>
        <v>2009MaleAllEth23Poisoning by gases and vapours</v>
      </c>
      <c r="U2830">
        <v>2009</v>
      </c>
      <c r="V2830" t="s">
        <v>20</v>
      </c>
      <c r="W2830" t="s">
        <v>27</v>
      </c>
      <c r="X2830">
        <v>23</v>
      </c>
      <c r="Y2830" t="s">
        <v>46</v>
      </c>
      <c r="Z2830">
        <v>16</v>
      </c>
      <c r="AA2830">
        <v>132</v>
      </c>
      <c r="AB2830">
        <v>12.1</v>
      </c>
    </row>
    <row r="2831" spans="10:28">
      <c r="J2831" s="340" t="str">
        <f t="shared" si="137"/>
        <v>2010FemaleAllEth223</v>
      </c>
      <c r="K2831">
        <v>2010</v>
      </c>
      <c r="L2831" t="s">
        <v>8</v>
      </c>
      <c r="M2831" t="s">
        <v>27</v>
      </c>
      <c r="N2831">
        <v>22</v>
      </c>
      <c r="O2831">
        <v>3</v>
      </c>
      <c r="P2831">
        <v>5</v>
      </c>
      <c r="Q2831">
        <v>8.7582621578577307</v>
      </c>
      <c r="R2831">
        <v>7.7</v>
      </c>
      <c r="T2831" s="340" t="str">
        <f t="shared" si="138"/>
        <v>2009MaleAllEth24Poisoning by gases and vapours</v>
      </c>
      <c r="U2831">
        <v>2009</v>
      </c>
      <c r="V2831" t="s">
        <v>20</v>
      </c>
      <c r="W2831" t="s">
        <v>27</v>
      </c>
      <c r="X2831">
        <v>24</v>
      </c>
      <c r="Y2831" t="s">
        <v>46</v>
      </c>
      <c r="Z2831">
        <v>15</v>
      </c>
      <c r="AA2831">
        <v>120</v>
      </c>
      <c r="AB2831">
        <v>12.5</v>
      </c>
    </row>
    <row r="2832" spans="10:28">
      <c r="J2832" s="340" t="str">
        <f t="shared" si="137"/>
        <v>2010FemaleAllEth224</v>
      </c>
      <c r="K2832">
        <v>2010</v>
      </c>
      <c r="L2832" t="s">
        <v>8</v>
      </c>
      <c r="M2832" t="s">
        <v>27</v>
      </c>
      <c r="N2832">
        <v>22</v>
      </c>
      <c r="O2832">
        <v>4</v>
      </c>
      <c r="P2832">
        <v>4</v>
      </c>
      <c r="Q2832">
        <v>6.0977831883385196</v>
      </c>
      <c r="R2832">
        <v>6</v>
      </c>
      <c r="T2832" s="340" t="str">
        <f t="shared" si="138"/>
        <v>2009MaleAllEth25Poisoning by gases and vapours</v>
      </c>
      <c r="U2832">
        <v>2009</v>
      </c>
      <c r="V2832" t="s">
        <v>20</v>
      </c>
      <c r="W2832" t="s">
        <v>27</v>
      </c>
      <c r="X2832">
        <v>25</v>
      </c>
      <c r="Y2832" t="s">
        <v>46</v>
      </c>
      <c r="Z2832">
        <v>4</v>
      </c>
      <c r="AA2832">
        <v>41</v>
      </c>
      <c r="AB2832">
        <v>9.8000000000000007</v>
      </c>
    </row>
    <row r="2833" spans="10:28">
      <c r="J2833" s="340" t="str">
        <f t="shared" si="137"/>
        <v>2010FemaleAllEth225</v>
      </c>
      <c r="K2833">
        <v>2010</v>
      </c>
      <c r="L2833" t="s">
        <v>8</v>
      </c>
      <c r="M2833" t="s">
        <v>27</v>
      </c>
      <c r="N2833">
        <v>22</v>
      </c>
      <c r="O2833">
        <v>5</v>
      </c>
      <c r="P2833">
        <v>16</v>
      </c>
      <c r="Q2833">
        <v>21.044897681444201</v>
      </c>
      <c r="R2833">
        <v>10.3</v>
      </c>
      <c r="T2833" s="340" t="str">
        <f t="shared" si="138"/>
        <v>2009MaleAllEth22Poisoning by solids and liquids</v>
      </c>
      <c r="U2833">
        <v>2009</v>
      </c>
      <c r="V2833" t="s">
        <v>20</v>
      </c>
      <c r="W2833" t="s">
        <v>27</v>
      </c>
      <c r="X2833">
        <v>22</v>
      </c>
      <c r="Y2833" t="s">
        <v>47</v>
      </c>
      <c r="Z2833">
        <v>2</v>
      </c>
      <c r="AA2833">
        <v>95</v>
      </c>
      <c r="AB2833">
        <v>2.1</v>
      </c>
    </row>
    <row r="2834" spans="10:28">
      <c r="J2834" s="340" t="str">
        <f t="shared" si="137"/>
        <v>2010FemaleAllEth231</v>
      </c>
      <c r="K2834">
        <v>2010</v>
      </c>
      <c r="L2834" t="s">
        <v>8</v>
      </c>
      <c r="M2834" t="s">
        <v>27</v>
      </c>
      <c r="N2834">
        <v>23</v>
      </c>
      <c r="O2834">
        <v>1</v>
      </c>
      <c r="P2834">
        <v>11</v>
      </c>
      <c r="Q2834">
        <v>9.4367145346295391</v>
      </c>
      <c r="R2834">
        <v>5.6</v>
      </c>
      <c r="T2834" s="340" t="str">
        <f t="shared" si="138"/>
        <v>2009MaleAllEth23Poisoning by solids and liquids</v>
      </c>
      <c r="U2834">
        <v>2009</v>
      </c>
      <c r="V2834" t="s">
        <v>20</v>
      </c>
      <c r="W2834" t="s">
        <v>27</v>
      </c>
      <c r="X2834">
        <v>23</v>
      </c>
      <c r="Y2834" t="s">
        <v>47</v>
      </c>
      <c r="Z2834">
        <v>11</v>
      </c>
      <c r="AA2834">
        <v>132</v>
      </c>
      <c r="AB2834">
        <v>8.3000000000000007</v>
      </c>
    </row>
    <row r="2835" spans="10:28">
      <c r="J2835" s="340" t="str">
        <f t="shared" si="137"/>
        <v>2010FemaleAllEth232</v>
      </c>
      <c r="K2835">
        <v>2010</v>
      </c>
      <c r="L2835" t="s">
        <v>8</v>
      </c>
      <c r="M2835" t="s">
        <v>27</v>
      </c>
      <c r="N2835">
        <v>23</v>
      </c>
      <c r="O2835">
        <v>2</v>
      </c>
      <c r="P2835">
        <v>12</v>
      </c>
      <c r="Q2835">
        <v>9.6754778604457297</v>
      </c>
      <c r="R2835">
        <v>5.5</v>
      </c>
      <c r="T2835" s="340" t="str">
        <f t="shared" si="138"/>
        <v>2009MaleAllEth24Poisoning by solids and liquids</v>
      </c>
      <c r="U2835">
        <v>2009</v>
      </c>
      <c r="V2835" t="s">
        <v>20</v>
      </c>
      <c r="W2835" t="s">
        <v>27</v>
      </c>
      <c r="X2835">
        <v>24</v>
      </c>
      <c r="Y2835" t="s">
        <v>47</v>
      </c>
      <c r="Z2835">
        <v>11</v>
      </c>
      <c r="AA2835">
        <v>120</v>
      </c>
      <c r="AB2835">
        <v>9.1999999999999993</v>
      </c>
    </row>
    <row r="2836" spans="10:28">
      <c r="J2836" s="340" t="str">
        <f t="shared" si="137"/>
        <v>2010FemaleAllEth233</v>
      </c>
      <c r="K2836">
        <v>2010</v>
      </c>
      <c r="L2836" t="s">
        <v>8</v>
      </c>
      <c r="M2836" t="s">
        <v>27</v>
      </c>
      <c r="N2836">
        <v>23</v>
      </c>
      <c r="O2836">
        <v>3</v>
      </c>
      <c r="P2836">
        <v>9</v>
      </c>
      <c r="Q2836">
        <v>7.2162320313927104</v>
      </c>
      <c r="R2836">
        <v>4.7</v>
      </c>
      <c r="T2836" s="340" t="str">
        <f t="shared" si="138"/>
        <v>2009MaleAllEth25Poisoning by solids and liquids</v>
      </c>
      <c r="U2836">
        <v>2009</v>
      </c>
      <c r="V2836" t="s">
        <v>20</v>
      </c>
      <c r="W2836" t="s">
        <v>27</v>
      </c>
      <c r="X2836">
        <v>25</v>
      </c>
      <c r="Y2836" t="s">
        <v>47</v>
      </c>
      <c r="Z2836">
        <v>8</v>
      </c>
      <c r="AA2836">
        <v>41</v>
      </c>
      <c r="AB2836">
        <v>19.5</v>
      </c>
    </row>
    <row r="2837" spans="10:28">
      <c r="J2837" s="340" t="str">
        <f t="shared" si="137"/>
        <v>2010FemaleAllEth234</v>
      </c>
      <c r="K2837">
        <v>2010</v>
      </c>
      <c r="L2837" t="s">
        <v>8</v>
      </c>
      <c r="M2837" t="s">
        <v>27</v>
      </c>
      <c r="N2837">
        <v>23</v>
      </c>
      <c r="O2837">
        <v>4</v>
      </c>
      <c r="P2837">
        <v>11</v>
      </c>
      <c r="Q2837">
        <v>9.0370763437490602</v>
      </c>
      <c r="R2837">
        <v>5.3</v>
      </c>
      <c r="T2837" s="340" t="str">
        <f t="shared" si="138"/>
        <v>2009MaleAllEth23Sharp object</v>
      </c>
      <c r="U2837">
        <v>2009</v>
      </c>
      <c r="V2837" t="s">
        <v>20</v>
      </c>
      <c r="W2837" t="s">
        <v>27</v>
      </c>
      <c r="X2837">
        <v>23</v>
      </c>
      <c r="Y2837" t="s">
        <v>48</v>
      </c>
      <c r="Z2837">
        <v>1</v>
      </c>
      <c r="AA2837">
        <v>132</v>
      </c>
      <c r="AB2837">
        <v>0.8</v>
      </c>
    </row>
    <row r="2838" spans="10:28">
      <c r="J2838" s="340" t="str">
        <f t="shared" si="137"/>
        <v>2010FemaleAllEth235</v>
      </c>
      <c r="K2838">
        <v>2010</v>
      </c>
      <c r="L2838" t="s">
        <v>8</v>
      </c>
      <c r="M2838" t="s">
        <v>27</v>
      </c>
      <c r="N2838">
        <v>23</v>
      </c>
      <c r="O2838">
        <v>5</v>
      </c>
      <c r="P2838">
        <v>9</v>
      </c>
      <c r="Q2838">
        <v>7.6393734719439399</v>
      </c>
      <c r="R2838">
        <v>5</v>
      </c>
      <c r="T2838" s="340" t="str">
        <f t="shared" si="138"/>
        <v>2009MaleAllEth24Sharp object</v>
      </c>
      <c r="U2838">
        <v>2009</v>
      </c>
      <c r="V2838" t="s">
        <v>20</v>
      </c>
      <c r="W2838" t="s">
        <v>27</v>
      </c>
      <c r="X2838">
        <v>24</v>
      </c>
      <c r="Y2838" t="s">
        <v>48</v>
      </c>
      <c r="Z2838">
        <v>4</v>
      </c>
      <c r="AA2838">
        <v>120</v>
      </c>
      <c r="AB2838">
        <v>3.3</v>
      </c>
    </row>
    <row r="2839" spans="10:28">
      <c r="J2839" s="340" t="str">
        <f t="shared" si="137"/>
        <v>2010FemaleAllEth241</v>
      </c>
      <c r="K2839">
        <v>2010</v>
      </c>
      <c r="L2839" t="s">
        <v>8</v>
      </c>
      <c r="M2839" t="s">
        <v>27</v>
      </c>
      <c r="N2839">
        <v>24</v>
      </c>
      <c r="O2839">
        <v>1</v>
      </c>
      <c r="P2839">
        <v>14</v>
      </c>
      <c r="Q2839">
        <v>10.305662743608901</v>
      </c>
      <c r="R2839">
        <v>5.4</v>
      </c>
      <c r="T2839" s="340" t="str">
        <f t="shared" si="138"/>
        <v>2009MaleAllEth25Sharp object</v>
      </c>
      <c r="U2839">
        <v>2009</v>
      </c>
      <c r="V2839" t="s">
        <v>20</v>
      </c>
      <c r="W2839" t="s">
        <v>27</v>
      </c>
      <c r="X2839">
        <v>25</v>
      </c>
      <c r="Y2839" t="s">
        <v>48</v>
      </c>
      <c r="Z2839">
        <v>3</v>
      </c>
      <c r="AA2839">
        <v>41</v>
      </c>
      <c r="AB2839">
        <v>7.3</v>
      </c>
    </row>
    <row r="2840" spans="10:28">
      <c r="J2840" s="340" t="str">
        <f t="shared" si="137"/>
        <v>2010FemaleAllEth242</v>
      </c>
      <c r="K2840">
        <v>2010</v>
      </c>
      <c r="L2840" t="s">
        <v>8</v>
      </c>
      <c r="M2840" t="s">
        <v>27</v>
      </c>
      <c r="N2840">
        <v>24</v>
      </c>
      <c r="O2840">
        <v>2</v>
      </c>
      <c r="P2840">
        <v>7</v>
      </c>
      <c r="Q2840">
        <v>5.7345525266151904</v>
      </c>
      <c r="R2840">
        <v>4.2</v>
      </c>
      <c r="T2840" s="340" t="str">
        <f t="shared" si="138"/>
        <v>2009MaleAllEth22Submersion (drowning)</v>
      </c>
      <c r="U2840">
        <v>2009</v>
      </c>
      <c r="V2840" t="s">
        <v>20</v>
      </c>
      <c r="W2840" t="s">
        <v>27</v>
      </c>
      <c r="X2840">
        <v>22</v>
      </c>
      <c r="Y2840" t="s">
        <v>49</v>
      </c>
      <c r="Z2840">
        <v>1</v>
      </c>
      <c r="AA2840">
        <v>95</v>
      </c>
      <c r="AB2840">
        <v>1.1000000000000001</v>
      </c>
    </row>
    <row r="2841" spans="10:28">
      <c r="J2841" s="340" t="str">
        <f t="shared" si="137"/>
        <v>2010FemaleAllEth243</v>
      </c>
      <c r="K2841">
        <v>2010</v>
      </c>
      <c r="L2841" t="s">
        <v>8</v>
      </c>
      <c r="M2841" t="s">
        <v>27</v>
      </c>
      <c r="N2841">
        <v>24</v>
      </c>
      <c r="O2841">
        <v>3</v>
      </c>
      <c r="P2841">
        <v>6</v>
      </c>
      <c r="Q2841">
        <v>5.4043280546561903</v>
      </c>
      <c r="R2841">
        <v>4.3</v>
      </c>
      <c r="T2841" s="340" t="str">
        <f t="shared" si="138"/>
        <v>2009MaleAllEth23Submersion (drowning)</v>
      </c>
      <c r="U2841">
        <v>2009</v>
      </c>
      <c r="V2841" t="s">
        <v>20</v>
      </c>
      <c r="W2841" t="s">
        <v>27</v>
      </c>
      <c r="X2841">
        <v>23</v>
      </c>
      <c r="Y2841" t="s">
        <v>49</v>
      </c>
      <c r="Z2841">
        <v>1</v>
      </c>
      <c r="AA2841">
        <v>132</v>
      </c>
      <c r="AB2841">
        <v>0.8</v>
      </c>
    </row>
    <row r="2842" spans="10:28">
      <c r="J2842" s="340" t="str">
        <f t="shared" si="137"/>
        <v>2010FemaleAllEth244</v>
      </c>
      <c r="K2842">
        <v>2010</v>
      </c>
      <c r="L2842" t="s">
        <v>8</v>
      </c>
      <c r="M2842" t="s">
        <v>27</v>
      </c>
      <c r="N2842">
        <v>24</v>
      </c>
      <c r="O2842">
        <v>4</v>
      </c>
      <c r="P2842">
        <v>6</v>
      </c>
      <c r="Q2842">
        <v>5.9494839039338903</v>
      </c>
      <c r="R2842">
        <v>4.8</v>
      </c>
      <c r="T2842" s="340" t="str">
        <f t="shared" si="138"/>
        <v>2009MaleAllEth25Submersion (drowning)</v>
      </c>
      <c r="U2842">
        <v>2009</v>
      </c>
      <c r="V2842" t="s">
        <v>20</v>
      </c>
      <c r="W2842" t="s">
        <v>27</v>
      </c>
      <c r="X2842">
        <v>25</v>
      </c>
      <c r="Y2842" t="s">
        <v>49</v>
      </c>
      <c r="Z2842">
        <v>1</v>
      </c>
      <c r="AA2842">
        <v>41</v>
      </c>
      <c r="AB2842">
        <v>2.4</v>
      </c>
    </row>
    <row r="2843" spans="10:28">
      <c r="J2843" s="340" t="str">
        <f t="shared" si="137"/>
        <v>2010FemaleAllEth245</v>
      </c>
      <c r="K2843">
        <v>2010</v>
      </c>
      <c r="L2843" t="s">
        <v>8</v>
      </c>
      <c r="M2843" t="s">
        <v>27</v>
      </c>
      <c r="N2843">
        <v>24</v>
      </c>
      <c r="O2843">
        <v>5</v>
      </c>
      <c r="P2843">
        <v>10</v>
      </c>
      <c r="Q2843">
        <v>10.713178162736099</v>
      </c>
      <c r="R2843">
        <v>6.6</v>
      </c>
      <c r="T2843" s="340" t="str">
        <f t="shared" si="138"/>
        <v>2009MaleMaori23Firearms and explosives</v>
      </c>
      <c r="U2843">
        <v>2009</v>
      </c>
      <c r="V2843" t="s">
        <v>20</v>
      </c>
      <c r="W2843" t="s">
        <v>18</v>
      </c>
      <c r="X2843">
        <v>23</v>
      </c>
      <c r="Y2843" t="s">
        <v>42</v>
      </c>
      <c r="Z2843">
        <v>2</v>
      </c>
      <c r="AA2843">
        <v>23</v>
      </c>
      <c r="AB2843">
        <v>8.6999999999999993</v>
      </c>
    </row>
    <row r="2844" spans="10:28">
      <c r="J2844" s="340" t="str">
        <f t="shared" si="137"/>
        <v>2010FemaleAllEth251</v>
      </c>
      <c r="K2844">
        <v>2010</v>
      </c>
      <c r="L2844" t="s">
        <v>8</v>
      </c>
      <c r="M2844" t="s">
        <v>27</v>
      </c>
      <c r="N2844">
        <v>25</v>
      </c>
      <c r="O2844">
        <v>1</v>
      </c>
      <c r="P2844">
        <v>3</v>
      </c>
      <c r="Q2844">
        <v>4.9343210353944604</v>
      </c>
      <c r="R2844">
        <v>5.6</v>
      </c>
      <c r="T2844" s="340" t="str">
        <f t="shared" si="138"/>
        <v>2009MaleMaori24Firearms and explosives</v>
      </c>
      <c r="U2844">
        <v>2009</v>
      </c>
      <c r="V2844" t="s">
        <v>20</v>
      </c>
      <c r="W2844" t="s">
        <v>18</v>
      </c>
      <c r="X2844">
        <v>24</v>
      </c>
      <c r="Y2844" t="s">
        <v>42</v>
      </c>
      <c r="Z2844">
        <v>1</v>
      </c>
      <c r="AA2844">
        <v>7</v>
      </c>
      <c r="AB2844">
        <v>14.3</v>
      </c>
    </row>
    <row r="2845" spans="10:28">
      <c r="J2845" s="340" t="str">
        <f t="shared" si="137"/>
        <v>2010FemaleAllEth252</v>
      </c>
      <c r="K2845">
        <v>2010</v>
      </c>
      <c r="L2845" t="s">
        <v>8</v>
      </c>
      <c r="M2845" t="s">
        <v>27</v>
      </c>
      <c r="N2845">
        <v>25</v>
      </c>
      <c r="O2845">
        <v>2</v>
      </c>
      <c r="P2845">
        <v>1</v>
      </c>
      <c r="Q2845">
        <v>1.5934353273533199</v>
      </c>
      <c r="R2845">
        <v>3.1</v>
      </c>
      <c r="T2845" s="340" t="str">
        <f t="shared" si="138"/>
        <v>2009MaleMaori21Hanging, strangulation and suffocation</v>
      </c>
      <c r="U2845">
        <v>2009</v>
      </c>
      <c r="V2845" t="s">
        <v>20</v>
      </c>
      <c r="W2845" t="s">
        <v>18</v>
      </c>
      <c r="X2845">
        <v>21</v>
      </c>
      <c r="Y2845" t="s">
        <v>43</v>
      </c>
      <c r="Z2845">
        <v>3</v>
      </c>
      <c r="AA2845">
        <v>3</v>
      </c>
      <c r="AB2845">
        <v>100</v>
      </c>
    </row>
    <row r="2846" spans="10:28">
      <c r="J2846" s="340" t="str">
        <f t="shared" si="137"/>
        <v>2010FemaleAllEth253</v>
      </c>
      <c r="K2846">
        <v>2010</v>
      </c>
      <c r="L2846" t="s">
        <v>8</v>
      </c>
      <c r="M2846" t="s">
        <v>27</v>
      </c>
      <c r="N2846">
        <v>25</v>
      </c>
      <c r="O2846">
        <v>3</v>
      </c>
      <c r="P2846">
        <v>4</v>
      </c>
      <c r="Q2846">
        <v>6.2898653312167196</v>
      </c>
      <c r="R2846">
        <v>6.2</v>
      </c>
      <c r="T2846" s="340" t="str">
        <f t="shared" si="138"/>
        <v>2009MaleMaori22Hanging, strangulation and suffocation</v>
      </c>
      <c r="U2846">
        <v>2009</v>
      </c>
      <c r="V2846" t="s">
        <v>20</v>
      </c>
      <c r="W2846" t="s">
        <v>18</v>
      </c>
      <c r="X2846">
        <v>22</v>
      </c>
      <c r="Y2846" t="s">
        <v>43</v>
      </c>
      <c r="Z2846">
        <v>23</v>
      </c>
      <c r="AA2846">
        <v>24</v>
      </c>
      <c r="AB2846">
        <v>95.8</v>
      </c>
    </row>
    <row r="2847" spans="10:28">
      <c r="J2847" s="340" t="str">
        <f t="shared" si="137"/>
        <v>2010FemaleAllEth254</v>
      </c>
      <c r="K2847">
        <v>2010</v>
      </c>
      <c r="L2847" t="s">
        <v>8</v>
      </c>
      <c r="M2847" t="s">
        <v>27</v>
      </c>
      <c r="N2847">
        <v>25</v>
      </c>
      <c r="O2847">
        <v>4</v>
      </c>
      <c r="P2847">
        <v>5</v>
      </c>
      <c r="Q2847">
        <v>7.5091435459808604</v>
      </c>
      <c r="R2847">
        <v>6.6</v>
      </c>
      <c r="T2847" s="340" t="str">
        <f t="shared" si="138"/>
        <v>2009MaleMaori23Hanging, strangulation and suffocation</v>
      </c>
      <c r="U2847">
        <v>2009</v>
      </c>
      <c r="V2847" t="s">
        <v>20</v>
      </c>
      <c r="W2847" t="s">
        <v>18</v>
      </c>
      <c r="X2847">
        <v>23</v>
      </c>
      <c r="Y2847" t="s">
        <v>43</v>
      </c>
      <c r="Z2847">
        <v>16</v>
      </c>
      <c r="AA2847">
        <v>23</v>
      </c>
      <c r="AB2847">
        <v>69.599999999999994</v>
      </c>
    </row>
    <row r="2848" spans="10:28">
      <c r="J2848" s="340" t="str">
        <f t="shared" si="137"/>
        <v>2010FemaleAllEth255</v>
      </c>
      <c r="K2848">
        <v>2010</v>
      </c>
      <c r="L2848" t="s">
        <v>8</v>
      </c>
      <c r="M2848" t="s">
        <v>27</v>
      </c>
      <c r="N2848">
        <v>25</v>
      </c>
      <c r="O2848">
        <v>5</v>
      </c>
      <c r="P2848">
        <v>1</v>
      </c>
      <c r="Q2848">
        <v>1.8771101760709701</v>
      </c>
      <c r="R2848">
        <v>3.7</v>
      </c>
      <c r="T2848" s="340" t="str">
        <f t="shared" si="138"/>
        <v>2009MaleMaori24Hanging, strangulation and suffocation</v>
      </c>
      <c r="U2848">
        <v>2009</v>
      </c>
      <c r="V2848" t="s">
        <v>20</v>
      </c>
      <c r="W2848" t="s">
        <v>18</v>
      </c>
      <c r="X2848">
        <v>24</v>
      </c>
      <c r="Y2848" t="s">
        <v>43</v>
      </c>
      <c r="Z2848">
        <v>5</v>
      </c>
      <c r="AA2848">
        <v>7</v>
      </c>
      <c r="AB2848">
        <v>71.400000000000006</v>
      </c>
    </row>
    <row r="2849" spans="10:28">
      <c r="J2849" s="340" t="str">
        <f t="shared" si="137"/>
        <v>2010FemaleMaori211</v>
      </c>
      <c r="K2849">
        <v>2010</v>
      </c>
      <c r="L2849" t="s">
        <v>8</v>
      </c>
      <c r="M2849" t="s">
        <v>18</v>
      </c>
      <c r="N2849">
        <v>21</v>
      </c>
      <c r="O2849">
        <v>1</v>
      </c>
      <c r="P2849">
        <v>0</v>
      </c>
      <c r="Q2849">
        <v>0</v>
      </c>
      <c r="T2849" s="340" t="str">
        <f t="shared" si="138"/>
        <v>2009MaleMaori25Hanging, strangulation and suffocation</v>
      </c>
      <c r="U2849">
        <v>2009</v>
      </c>
      <c r="V2849" t="s">
        <v>20</v>
      </c>
      <c r="W2849" t="s">
        <v>18</v>
      </c>
      <c r="X2849">
        <v>25</v>
      </c>
      <c r="Y2849" t="s">
        <v>43</v>
      </c>
      <c r="Z2849">
        <v>1</v>
      </c>
      <c r="AA2849">
        <v>1</v>
      </c>
      <c r="AB2849">
        <v>100</v>
      </c>
    </row>
    <row r="2850" spans="10:28">
      <c r="J2850" s="340" t="str">
        <f t="shared" si="137"/>
        <v>2010FemaleMaori212</v>
      </c>
      <c r="K2850">
        <v>2010</v>
      </c>
      <c r="L2850" t="s">
        <v>8</v>
      </c>
      <c r="M2850" t="s">
        <v>18</v>
      </c>
      <c r="N2850">
        <v>21</v>
      </c>
      <c r="O2850">
        <v>2</v>
      </c>
      <c r="P2850">
        <v>0</v>
      </c>
      <c r="Q2850">
        <v>0</v>
      </c>
      <c r="T2850" s="340" t="str">
        <f t="shared" si="138"/>
        <v>2009MaleMaori22Jumping from a high place</v>
      </c>
      <c r="U2850">
        <v>2009</v>
      </c>
      <c r="V2850" t="s">
        <v>20</v>
      </c>
      <c r="W2850" t="s">
        <v>18</v>
      </c>
      <c r="X2850">
        <v>22</v>
      </c>
      <c r="Y2850" t="s">
        <v>44</v>
      </c>
      <c r="Z2850">
        <v>1</v>
      </c>
      <c r="AA2850">
        <v>24</v>
      </c>
      <c r="AB2850">
        <v>4.2</v>
      </c>
    </row>
    <row r="2851" spans="10:28">
      <c r="J2851" s="340" t="str">
        <f t="shared" si="137"/>
        <v>2010FemaleMaori213</v>
      </c>
      <c r="K2851">
        <v>2010</v>
      </c>
      <c r="L2851" t="s">
        <v>8</v>
      </c>
      <c r="M2851" t="s">
        <v>18</v>
      </c>
      <c r="N2851">
        <v>21</v>
      </c>
      <c r="O2851">
        <v>3</v>
      </c>
      <c r="P2851">
        <v>0</v>
      </c>
      <c r="Q2851">
        <v>0</v>
      </c>
      <c r="T2851" s="340" t="str">
        <f t="shared" si="138"/>
        <v>2009MaleMaori23Jumping from a high place</v>
      </c>
      <c r="U2851">
        <v>2009</v>
      </c>
      <c r="V2851" t="s">
        <v>20</v>
      </c>
      <c r="W2851" t="s">
        <v>18</v>
      </c>
      <c r="X2851">
        <v>23</v>
      </c>
      <c r="Y2851" t="s">
        <v>44</v>
      </c>
      <c r="Z2851">
        <v>2</v>
      </c>
      <c r="AA2851">
        <v>23</v>
      </c>
      <c r="AB2851">
        <v>8.6999999999999993</v>
      </c>
    </row>
    <row r="2852" spans="10:28">
      <c r="J2852" s="340" t="str">
        <f t="shared" si="137"/>
        <v>2010FemaleMaori214</v>
      </c>
      <c r="K2852">
        <v>2010</v>
      </c>
      <c r="L2852" t="s">
        <v>8</v>
      </c>
      <c r="M2852" t="s">
        <v>18</v>
      </c>
      <c r="N2852">
        <v>21</v>
      </c>
      <c r="O2852">
        <v>4</v>
      </c>
      <c r="P2852">
        <v>1</v>
      </c>
      <c r="Q2852">
        <v>4.0390063302371901</v>
      </c>
      <c r="R2852">
        <v>7.9</v>
      </c>
      <c r="T2852" s="340" t="str">
        <f t="shared" si="138"/>
        <v>2009MaleMaori23Poisoning by gases and vapours</v>
      </c>
      <c r="U2852">
        <v>2009</v>
      </c>
      <c r="V2852" t="s">
        <v>20</v>
      </c>
      <c r="W2852" t="s">
        <v>18</v>
      </c>
      <c r="X2852">
        <v>23</v>
      </c>
      <c r="Y2852" t="s">
        <v>46</v>
      </c>
      <c r="Z2852">
        <v>2</v>
      </c>
      <c r="AA2852">
        <v>23</v>
      </c>
      <c r="AB2852">
        <v>8.6999999999999993</v>
      </c>
    </row>
    <row r="2853" spans="10:28">
      <c r="J2853" s="340" t="str">
        <f t="shared" si="137"/>
        <v>2010FemaleMaori215</v>
      </c>
      <c r="K2853">
        <v>2010</v>
      </c>
      <c r="L2853" t="s">
        <v>8</v>
      </c>
      <c r="M2853" t="s">
        <v>18</v>
      </c>
      <c r="N2853">
        <v>21</v>
      </c>
      <c r="O2853">
        <v>5</v>
      </c>
      <c r="P2853">
        <v>1</v>
      </c>
      <c r="Q2853">
        <v>2.1545560049888599</v>
      </c>
      <c r="R2853">
        <v>4.2</v>
      </c>
      <c r="T2853" s="340" t="str">
        <f t="shared" si="138"/>
        <v>2009MaleMaori23Poisoning by solids and liquids</v>
      </c>
      <c r="U2853">
        <v>2009</v>
      </c>
      <c r="V2853" t="s">
        <v>20</v>
      </c>
      <c r="W2853" t="s">
        <v>18</v>
      </c>
      <c r="X2853">
        <v>23</v>
      </c>
      <c r="Y2853" t="s">
        <v>47</v>
      </c>
      <c r="Z2853">
        <v>1</v>
      </c>
      <c r="AA2853">
        <v>23</v>
      </c>
      <c r="AB2853">
        <v>4.3</v>
      </c>
    </row>
    <row r="2854" spans="10:28">
      <c r="J2854" s="340" t="str">
        <f t="shared" si="137"/>
        <v>2010FemaleMaori221</v>
      </c>
      <c r="K2854">
        <v>2010</v>
      </c>
      <c r="L2854" t="s">
        <v>8</v>
      </c>
      <c r="M2854" t="s">
        <v>18</v>
      </c>
      <c r="N2854">
        <v>22</v>
      </c>
      <c r="O2854">
        <v>1</v>
      </c>
      <c r="P2854">
        <v>0</v>
      </c>
      <c r="Q2854">
        <v>0</v>
      </c>
      <c r="T2854" s="340" t="str">
        <f t="shared" si="138"/>
        <v>2009MaleMaori24Poisoning by solids and liquids</v>
      </c>
      <c r="U2854">
        <v>2009</v>
      </c>
      <c r="V2854" t="s">
        <v>20</v>
      </c>
      <c r="W2854" t="s">
        <v>18</v>
      </c>
      <c r="X2854">
        <v>24</v>
      </c>
      <c r="Y2854" t="s">
        <v>47</v>
      </c>
      <c r="Z2854">
        <v>1</v>
      </c>
      <c r="AA2854">
        <v>7</v>
      </c>
      <c r="AB2854">
        <v>14.3</v>
      </c>
    </row>
    <row r="2855" spans="10:28">
      <c r="J2855" s="340" t="str">
        <f t="shared" si="137"/>
        <v>2010FemaleMaori222</v>
      </c>
      <c r="K2855">
        <v>2010</v>
      </c>
      <c r="L2855" t="s">
        <v>8</v>
      </c>
      <c r="M2855" t="s">
        <v>18</v>
      </c>
      <c r="N2855">
        <v>22</v>
      </c>
      <c r="O2855">
        <v>2</v>
      </c>
      <c r="P2855">
        <v>1</v>
      </c>
      <c r="Q2855">
        <v>14.883056782479301</v>
      </c>
      <c r="R2855">
        <v>29.2</v>
      </c>
      <c r="T2855" s="340" t="str">
        <f t="shared" si="138"/>
        <v>2009MaleNon-Maori21Firearms and explosives</v>
      </c>
      <c r="U2855">
        <v>2009</v>
      </c>
      <c r="V2855" t="s">
        <v>20</v>
      </c>
      <c r="W2855" t="s">
        <v>19</v>
      </c>
      <c r="X2855">
        <v>21</v>
      </c>
      <c r="Y2855" t="s">
        <v>42</v>
      </c>
      <c r="Z2855">
        <v>1</v>
      </c>
      <c r="AA2855">
        <v>3</v>
      </c>
      <c r="AB2855">
        <v>33.299999999999997</v>
      </c>
    </row>
    <row r="2856" spans="10:28">
      <c r="J2856" s="340" t="str">
        <f t="shared" si="137"/>
        <v>2010FemaleMaori223</v>
      </c>
      <c r="K2856">
        <v>2010</v>
      </c>
      <c r="L2856" t="s">
        <v>8</v>
      </c>
      <c r="M2856" t="s">
        <v>18</v>
      </c>
      <c r="N2856">
        <v>22</v>
      </c>
      <c r="O2856">
        <v>3</v>
      </c>
      <c r="P2856">
        <v>1</v>
      </c>
      <c r="Q2856">
        <v>10.1134846151516</v>
      </c>
      <c r="R2856">
        <v>19.8</v>
      </c>
      <c r="T2856" s="340" t="str">
        <f t="shared" si="138"/>
        <v>2009MaleNon-Maori22Firearms and explosives</v>
      </c>
      <c r="U2856">
        <v>2009</v>
      </c>
      <c r="V2856" t="s">
        <v>20</v>
      </c>
      <c r="W2856" t="s">
        <v>19</v>
      </c>
      <c r="X2856">
        <v>22</v>
      </c>
      <c r="Y2856" t="s">
        <v>42</v>
      </c>
      <c r="Z2856">
        <v>9</v>
      </c>
      <c r="AA2856">
        <v>71</v>
      </c>
      <c r="AB2856">
        <v>12.7</v>
      </c>
    </row>
    <row r="2857" spans="10:28">
      <c r="J2857" s="340" t="str">
        <f t="shared" si="137"/>
        <v>2010FemaleMaori224</v>
      </c>
      <c r="K2857">
        <v>2010</v>
      </c>
      <c r="L2857" t="s">
        <v>8</v>
      </c>
      <c r="M2857" t="s">
        <v>18</v>
      </c>
      <c r="N2857">
        <v>22</v>
      </c>
      <c r="O2857">
        <v>4</v>
      </c>
      <c r="P2857">
        <v>3</v>
      </c>
      <c r="Q2857">
        <v>20.504361302187299</v>
      </c>
      <c r="R2857">
        <v>23.2</v>
      </c>
      <c r="T2857" s="340" t="str">
        <f t="shared" si="138"/>
        <v>2009MaleNon-Maori23Firearms and explosives</v>
      </c>
      <c r="U2857">
        <v>2009</v>
      </c>
      <c r="V2857" t="s">
        <v>20</v>
      </c>
      <c r="W2857" t="s">
        <v>19</v>
      </c>
      <c r="X2857">
        <v>23</v>
      </c>
      <c r="Y2857" t="s">
        <v>42</v>
      </c>
      <c r="Z2857">
        <v>11</v>
      </c>
      <c r="AA2857">
        <v>109</v>
      </c>
      <c r="AB2857">
        <v>10.1</v>
      </c>
    </row>
    <row r="2858" spans="10:28">
      <c r="J2858" s="340" t="str">
        <f t="shared" si="137"/>
        <v>2010FemaleMaori225</v>
      </c>
      <c r="K2858">
        <v>2010</v>
      </c>
      <c r="L2858" t="s">
        <v>8</v>
      </c>
      <c r="M2858" t="s">
        <v>18</v>
      </c>
      <c r="N2858">
        <v>22</v>
      </c>
      <c r="O2858">
        <v>5</v>
      </c>
      <c r="P2858">
        <v>10</v>
      </c>
      <c r="Q2858">
        <v>38.485905601669103</v>
      </c>
      <c r="R2858">
        <v>23.9</v>
      </c>
      <c r="T2858" s="340" t="str">
        <f t="shared" si="138"/>
        <v>2009MaleNon-Maori24Firearms and explosives</v>
      </c>
      <c r="U2858">
        <v>2009</v>
      </c>
      <c r="V2858" t="s">
        <v>20</v>
      </c>
      <c r="W2858" t="s">
        <v>19</v>
      </c>
      <c r="X2858">
        <v>24</v>
      </c>
      <c r="Y2858" t="s">
        <v>42</v>
      </c>
      <c r="Z2858">
        <v>22</v>
      </c>
      <c r="AA2858">
        <v>113</v>
      </c>
      <c r="AB2858">
        <v>19.5</v>
      </c>
    </row>
    <row r="2859" spans="10:28">
      <c r="J2859" s="340" t="str">
        <f t="shared" si="137"/>
        <v>2010FemaleMaori231</v>
      </c>
      <c r="K2859">
        <v>2010</v>
      </c>
      <c r="L2859" t="s">
        <v>8</v>
      </c>
      <c r="M2859" t="s">
        <v>18</v>
      </c>
      <c r="N2859">
        <v>23</v>
      </c>
      <c r="O2859">
        <v>1</v>
      </c>
      <c r="P2859">
        <v>0</v>
      </c>
      <c r="Q2859">
        <v>0</v>
      </c>
      <c r="T2859" s="340" t="str">
        <f t="shared" si="138"/>
        <v>2009MaleNon-Maori25Firearms and explosives</v>
      </c>
      <c r="U2859">
        <v>2009</v>
      </c>
      <c r="V2859" t="s">
        <v>20</v>
      </c>
      <c r="W2859" t="s">
        <v>19</v>
      </c>
      <c r="X2859">
        <v>25</v>
      </c>
      <c r="Y2859" t="s">
        <v>42</v>
      </c>
      <c r="Z2859">
        <v>7</v>
      </c>
      <c r="AA2859">
        <v>40</v>
      </c>
      <c r="AB2859">
        <v>17.5</v>
      </c>
    </row>
    <row r="2860" spans="10:28">
      <c r="J2860" s="340" t="str">
        <f t="shared" si="137"/>
        <v>2010FemaleMaori232</v>
      </c>
      <c r="K2860">
        <v>2010</v>
      </c>
      <c r="L2860" t="s">
        <v>8</v>
      </c>
      <c r="M2860" t="s">
        <v>18</v>
      </c>
      <c r="N2860">
        <v>23</v>
      </c>
      <c r="O2860">
        <v>2</v>
      </c>
      <c r="P2860">
        <v>1</v>
      </c>
      <c r="Q2860">
        <v>9.4364782782083303</v>
      </c>
      <c r="R2860">
        <v>18.5</v>
      </c>
      <c r="T2860" s="340" t="str">
        <f t="shared" si="138"/>
        <v>2009MaleNon-Maori21Hanging, strangulation and suffocation</v>
      </c>
      <c r="U2860">
        <v>2009</v>
      </c>
      <c r="V2860" t="s">
        <v>20</v>
      </c>
      <c r="W2860" t="s">
        <v>19</v>
      </c>
      <c r="X2860">
        <v>21</v>
      </c>
      <c r="Y2860" t="s">
        <v>43</v>
      </c>
      <c r="Z2860">
        <v>2</v>
      </c>
      <c r="AA2860">
        <v>3</v>
      </c>
      <c r="AB2860">
        <v>66.7</v>
      </c>
    </row>
    <row r="2861" spans="10:28">
      <c r="J2861" s="340" t="str">
        <f t="shared" si="137"/>
        <v>2010FemaleMaori233</v>
      </c>
      <c r="K2861">
        <v>2010</v>
      </c>
      <c r="L2861" t="s">
        <v>8</v>
      </c>
      <c r="M2861" t="s">
        <v>18</v>
      </c>
      <c r="N2861">
        <v>23</v>
      </c>
      <c r="O2861">
        <v>3</v>
      </c>
      <c r="P2861">
        <v>2</v>
      </c>
      <c r="Q2861">
        <v>13.5281025801049</v>
      </c>
      <c r="R2861">
        <v>18.7</v>
      </c>
      <c r="T2861" s="340" t="str">
        <f t="shared" si="138"/>
        <v>2009MaleNon-Maori22Hanging, strangulation and suffocation</v>
      </c>
      <c r="U2861">
        <v>2009</v>
      </c>
      <c r="V2861" t="s">
        <v>20</v>
      </c>
      <c r="W2861" t="s">
        <v>19</v>
      </c>
      <c r="X2861">
        <v>22</v>
      </c>
      <c r="Y2861" t="s">
        <v>43</v>
      </c>
      <c r="Z2861">
        <v>52</v>
      </c>
      <c r="AA2861">
        <v>71</v>
      </c>
      <c r="AB2861">
        <v>73.2</v>
      </c>
    </row>
    <row r="2862" spans="10:28">
      <c r="J2862" s="340" t="str">
        <f t="shared" si="137"/>
        <v>2010FemaleMaori234</v>
      </c>
      <c r="K2862">
        <v>2010</v>
      </c>
      <c r="L2862" t="s">
        <v>8</v>
      </c>
      <c r="M2862" t="s">
        <v>18</v>
      </c>
      <c r="N2862">
        <v>23</v>
      </c>
      <c r="O2862">
        <v>4</v>
      </c>
      <c r="P2862">
        <v>2</v>
      </c>
      <c r="Q2862">
        <v>9.6593764094611103</v>
      </c>
      <c r="R2862">
        <v>13.4</v>
      </c>
      <c r="T2862" s="340" t="str">
        <f t="shared" si="138"/>
        <v>2009MaleNon-Maori23Hanging, strangulation and suffocation</v>
      </c>
      <c r="U2862">
        <v>2009</v>
      </c>
      <c r="V2862" t="s">
        <v>20</v>
      </c>
      <c r="W2862" t="s">
        <v>19</v>
      </c>
      <c r="X2862">
        <v>23</v>
      </c>
      <c r="Y2862" t="s">
        <v>43</v>
      </c>
      <c r="Z2862">
        <v>66</v>
      </c>
      <c r="AA2862">
        <v>109</v>
      </c>
      <c r="AB2862">
        <v>60.6</v>
      </c>
    </row>
    <row r="2863" spans="10:28">
      <c r="J2863" s="340" t="str">
        <f t="shared" si="137"/>
        <v>2010FemaleMaori235</v>
      </c>
      <c r="K2863">
        <v>2010</v>
      </c>
      <c r="L2863" t="s">
        <v>8</v>
      </c>
      <c r="M2863" t="s">
        <v>18</v>
      </c>
      <c r="N2863">
        <v>23</v>
      </c>
      <c r="O2863">
        <v>5</v>
      </c>
      <c r="P2863">
        <v>4</v>
      </c>
      <c r="Q2863">
        <v>11.178905667495499</v>
      </c>
      <c r="R2863">
        <v>11</v>
      </c>
      <c r="T2863" s="340" t="str">
        <f t="shared" si="138"/>
        <v>2009MaleNon-Maori24Hanging, strangulation and suffocation</v>
      </c>
      <c r="U2863">
        <v>2009</v>
      </c>
      <c r="V2863" t="s">
        <v>20</v>
      </c>
      <c r="W2863" t="s">
        <v>19</v>
      </c>
      <c r="X2863">
        <v>24</v>
      </c>
      <c r="Y2863" t="s">
        <v>43</v>
      </c>
      <c r="Z2863">
        <v>56</v>
      </c>
      <c r="AA2863">
        <v>113</v>
      </c>
      <c r="AB2863">
        <v>49.6</v>
      </c>
    </row>
    <row r="2864" spans="10:28">
      <c r="J2864" s="340" t="str">
        <f t="shared" si="137"/>
        <v>2010FemaleMaori241</v>
      </c>
      <c r="K2864">
        <v>2010</v>
      </c>
      <c r="L2864" t="s">
        <v>8</v>
      </c>
      <c r="M2864" t="s">
        <v>18</v>
      </c>
      <c r="N2864">
        <v>24</v>
      </c>
      <c r="O2864">
        <v>1</v>
      </c>
      <c r="P2864">
        <v>1</v>
      </c>
      <c r="Q2864">
        <v>17.596264291434501</v>
      </c>
      <c r="R2864">
        <v>34.5</v>
      </c>
      <c r="T2864" s="340" t="str">
        <f t="shared" si="138"/>
        <v>2009MaleNon-Maori25Hanging, strangulation and suffocation</v>
      </c>
      <c r="U2864">
        <v>2009</v>
      </c>
      <c r="V2864" t="s">
        <v>20</v>
      </c>
      <c r="W2864" t="s">
        <v>19</v>
      </c>
      <c r="X2864">
        <v>25</v>
      </c>
      <c r="Y2864" t="s">
        <v>43</v>
      </c>
      <c r="Z2864">
        <v>14</v>
      </c>
      <c r="AA2864">
        <v>40</v>
      </c>
      <c r="AB2864">
        <v>35</v>
      </c>
    </row>
    <row r="2865" spans="10:28">
      <c r="J2865" s="340" t="str">
        <f t="shared" si="137"/>
        <v>2010FemaleMaori242</v>
      </c>
      <c r="K2865">
        <v>2010</v>
      </c>
      <c r="L2865" t="s">
        <v>8</v>
      </c>
      <c r="M2865" t="s">
        <v>18</v>
      </c>
      <c r="N2865">
        <v>24</v>
      </c>
      <c r="O2865">
        <v>2</v>
      </c>
      <c r="P2865">
        <v>0</v>
      </c>
      <c r="Q2865">
        <v>0</v>
      </c>
      <c r="T2865" s="340" t="str">
        <f t="shared" si="138"/>
        <v>2009MaleNon-Maori22Jumping from a high place</v>
      </c>
      <c r="U2865">
        <v>2009</v>
      </c>
      <c r="V2865" t="s">
        <v>20</v>
      </c>
      <c r="W2865" t="s">
        <v>19</v>
      </c>
      <c r="X2865">
        <v>22</v>
      </c>
      <c r="Y2865" t="s">
        <v>44</v>
      </c>
      <c r="Z2865">
        <v>3</v>
      </c>
      <c r="AA2865">
        <v>71</v>
      </c>
      <c r="AB2865">
        <v>4.2</v>
      </c>
    </row>
    <row r="2866" spans="10:28">
      <c r="J2866" s="340" t="str">
        <f t="shared" si="137"/>
        <v>2010FemaleMaori243</v>
      </c>
      <c r="K2866">
        <v>2010</v>
      </c>
      <c r="L2866" t="s">
        <v>8</v>
      </c>
      <c r="M2866" t="s">
        <v>18</v>
      </c>
      <c r="N2866">
        <v>24</v>
      </c>
      <c r="O2866">
        <v>3</v>
      </c>
      <c r="P2866">
        <v>0</v>
      </c>
      <c r="Q2866">
        <v>0</v>
      </c>
      <c r="T2866" s="340" t="str">
        <f t="shared" si="138"/>
        <v>2009MaleNon-Maori23Jumping from a high place</v>
      </c>
      <c r="U2866">
        <v>2009</v>
      </c>
      <c r="V2866" t="s">
        <v>20</v>
      </c>
      <c r="W2866" t="s">
        <v>19</v>
      </c>
      <c r="X2866">
        <v>23</v>
      </c>
      <c r="Y2866" t="s">
        <v>44</v>
      </c>
      <c r="Z2866">
        <v>2</v>
      </c>
      <c r="AA2866">
        <v>109</v>
      </c>
      <c r="AB2866">
        <v>1.8</v>
      </c>
    </row>
    <row r="2867" spans="10:28">
      <c r="J2867" s="340" t="str">
        <f t="shared" si="137"/>
        <v>2010FemaleMaori244</v>
      </c>
      <c r="K2867">
        <v>2010</v>
      </c>
      <c r="L2867" t="s">
        <v>8</v>
      </c>
      <c r="M2867" t="s">
        <v>18</v>
      </c>
      <c r="N2867">
        <v>24</v>
      </c>
      <c r="O2867">
        <v>4</v>
      </c>
      <c r="P2867">
        <v>0</v>
      </c>
      <c r="Q2867">
        <v>0</v>
      </c>
      <c r="T2867" s="340" t="str">
        <f t="shared" si="138"/>
        <v>2009MaleNon-Maori24Jumping from a high place</v>
      </c>
      <c r="U2867">
        <v>2009</v>
      </c>
      <c r="V2867" t="s">
        <v>20</v>
      </c>
      <c r="W2867" t="s">
        <v>19</v>
      </c>
      <c r="X2867">
        <v>24</v>
      </c>
      <c r="Y2867" t="s">
        <v>44</v>
      </c>
      <c r="Z2867">
        <v>4</v>
      </c>
      <c r="AA2867">
        <v>113</v>
      </c>
      <c r="AB2867">
        <v>3.5</v>
      </c>
    </row>
    <row r="2868" spans="10:28">
      <c r="J2868" s="340" t="str">
        <f t="shared" si="137"/>
        <v>2010FemaleMaori245</v>
      </c>
      <c r="K2868">
        <v>2010</v>
      </c>
      <c r="L2868" t="s">
        <v>8</v>
      </c>
      <c r="M2868" t="s">
        <v>18</v>
      </c>
      <c r="N2868">
        <v>24</v>
      </c>
      <c r="O2868">
        <v>5</v>
      </c>
      <c r="P2868">
        <v>3</v>
      </c>
      <c r="Q2868">
        <v>12.0804420713282</v>
      </c>
      <c r="R2868">
        <v>13.7</v>
      </c>
      <c r="T2868" s="340" t="str">
        <f t="shared" si="138"/>
        <v>2009MaleNon-Maori23Other</v>
      </c>
      <c r="U2868">
        <v>2009</v>
      </c>
      <c r="V2868" t="s">
        <v>20</v>
      </c>
      <c r="W2868" t="s">
        <v>19</v>
      </c>
      <c r="X2868">
        <v>23</v>
      </c>
      <c r="Y2868" t="s">
        <v>45</v>
      </c>
      <c r="Z2868">
        <v>4</v>
      </c>
      <c r="AA2868">
        <v>109</v>
      </c>
      <c r="AB2868">
        <v>3.7</v>
      </c>
    </row>
    <row r="2869" spans="10:28">
      <c r="J2869" s="340" t="str">
        <f t="shared" si="137"/>
        <v>2010FemaleMaori251</v>
      </c>
      <c r="K2869">
        <v>2010</v>
      </c>
      <c r="L2869" t="s">
        <v>8</v>
      </c>
      <c r="M2869" t="s">
        <v>18</v>
      </c>
      <c r="N2869">
        <v>25</v>
      </c>
      <c r="O2869">
        <v>1</v>
      </c>
      <c r="P2869">
        <v>0</v>
      </c>
      <c r="Q2869">
        <v>0</v>
      </c>
      <c r="T2869" s="340" t="str">
        <f t="shared" si="138"/>
        <v>2009MaleNon-Maori24Other</v>
      </c>
      <c r="U2869">
        <v>2009</v>
      </c>
      <c r="V2869" t="s">
        <v>20</v>
      </c>
      <c r="W2869" t="s">
        <v>19</v>
      </c>
      <c r="X2869">
        <v>24</v>
      </c>
      <c r="Y2869" t="s">
        <v>45</v>
      </c>
      <c r="Z2869">
        <v>2</v>
      </c>
      <c r="AA2869">
        <v>113</v>
      </c>
      <c r="AB2869">
        <v>1.8</v>
      </c>
    </row>
    <row r="2870" spans="10:28">
      <c r="J2870" s="340" t="str">
        <f t="shared" si="137"/>
        <v>2010FemaleMaori252</v>
      </c>
      <c r="K2870">
        <v>2010</v>
      </c>
      <c r="L2870" t="s">
        <v>8</v>
      </c>
      <c r="M2870" t="s">
        <v>18</v>
      </c>
      <c r="N2870">
        <v>25</v>
      </c>
      <c r="O2870">
        <v>2</v>
      </c>
      <c r="P2870">
        <v>0</v>
      </c>
      <c r="Q2870">
        <v>0</v>
      </c>
      <c r="T2870" s="340" t="str">
        <f t="shared" si="138"/>
        <v>2009MaleNon-Maori25Other</v>
      </c>
      <c r="U2870">
        <v>2009</v>
      </c>
      <c r="V2870" t="s">
        <v>20</v>
      </c>
      <c r="W2870" t="s">
        <v>19</v>
      </c>
      <c r="X2870">
        <v>25</v>
      </c>
      <c r="Y2870" t="s">
        <v>45</v>
      </c>
      <c r="Z2870">
        <v>3</v>
      </c>
      <c r="AA2870">
        <v>40</v>
      </c>
      <c r="AB2870">
        <v>7.5</v>
      </c>
    </row>
    <row r="2871" spans="10:28">
      <c r="J2871" s="340" t="str">
        <f t="shared" si="137"/>
        <v>2010FemaleMaori253</v>
      </c>
      <c r="K2871">
        <v>2010</v>
      </c>
      <c r="L2871" t="s">
        <v>8</v>
      </c>
      <c r="M2871" t="s">
        <v>18</v>
      </c>
      <c r="N2871">
        <v>25</v>
      </c>
      <c r="O2871">
        <v>3</v>
      </c>
      <c r="P2871">
        <v>0</v>
      </c>
      <c r="Q2871">
        <v>0</v>
      </c>
      <c r="T2871" s="340" t="str">
        <f t="shared" si="138"/>
        <v>2009MaleNon-Maori22Poisoning by gases and vapours</v>
      </c>
      <c r="U2871">
        <v>2009</v>
      </c>
      <c r="V2871" t="s">
        <v>20</v>
      </c>
      <c r="W2871" t="s">
        <v>19</v>
      </c>
      <c r="X2871">
        <v>22</v>
      </c>
      <c r="Y2871" t="s">
        <v>46</v>
      </c>
      <c r="Z2871">
        <v>4</v>
      </c>
      <c r="AA2871">
        <v>71</v>
      </c>
      <c r="AB2871">
        <v>5.6</v>
      </c>
    </row>
    <row r="2872" spans="10:28">
      <c r="J2872" s="340" t="str">
        <f t="shared" si="137"/>
        <v>2010FemaleMaori254</v>
      </c>
      <c r="K2872">
        <v>2010</v>
      </c>
      <c r="L2872" t="s">
        <v>8</v>
      </c>
      <c r="M2872" t="s">
        <v>18</v>
      </c>
      <c r="N2872">
        <v>25</v>
      </c>
      <c r="O2872">
        <v>4</v>
      </c>
      <c r="P2872">
        <v>0</v>
      </c>
      <c r="Q2872">
        <v>0</v>
      </c>
      <c r="T2872" s="340" t="str">
        <f t="shared" si="138"/>
        <v>2009MaleNon-Maori23Poisoning by gases and vapours</v>
      </c>
      <c r="U2872">
        <v>2009</v>
      </c>
      <c r="V2872" t="s">
        <v>20</v>
      </c>
      <c r="W2872" t="s">
        <v>19</v>
      </c>
      <c r="X2872">
        <v>23</v>
      </c>
      <c r="Y2872" t="s">
        <v>46</v>
      </c>
      <c r="Z2872">
        <v>14</v>
      </c>
      <c r="AA2872">
        <v>109</v>
      </c>
      <c r="AB2872">
        <v>12.8</v>
      </c>
    </row>
    <row r="2873" spans="10:28">
      <c r="J2873" s="340" t="str">
        <f t="shared" si="137"/>
        <v>2010FemaleMaori255</v>
      </c>
      <c r="K2873">
        <v>2010</v>
      </c>
      <c r="L2873" t="s">
        <v>8</v>
      </c>
      <c r="M2873" t="s">
        <v>18</v>
      </c>
      <c r="N2873">
        <v>25</v>
      </c>
      <c r="O2873">
        <v>5</v>
      </c>
      <c r="P2873">
        <v>0</v>
      </c>
      <c r="Q2873">
        <v>0</v>
      </c>
      <c r="T2873" s="340" t="str">
        <f t="shared" si="138"/>
        <v>2009MaleNon-Maori24Poisoning by gases and vapours</v>
      </c>
      <c r="U2873">
        <v>2009</v>
      </c>
      <c r="V2873" t="s">
        <v>20</v>
      </c>
      <c r="W2873" t="s">
        <v>19</v>
      </c>
      <c r="X2873">
        <v>24</v>
      </c>
      <c r="Y2873" t="s">
        <v>46</v>
      </c>
      <c r="Z2873">
        <v>15</v>
      </c>
      <c r="AA2873">
        <v>113</v>
      </c>
      <c r="AB2873">
        <v>13.3</v>
      </c>
    </row>
    <row r="2874" spans="10:28">
      <c r="J2874" s="340" t="str">
        <f t="shared" si="137"/>
        <v>2010FemaleNon-Maori211</v>
      </c>
      <c r="K2874">
        <v>2010</v>
      </c>
      <c r="L2874" t="s">
        <v>8</v>
      </c>
      <c r="M2874" t="s">
        <v>19</v>
      </c>
      <c r="N2874">
        <v>21</v>
      </c>
      <c r="O2874">
        <v>1</v>
      </c>
      <c r="P2874">
        <v>0</v>
      </c>
      <c r="Q2874">
        <v>0</v>
      </c>
      <c r="T2874" s="340" t="str">
        <f t="shared" si="138"/>
        <v>2009MaleNon-Maori25Poisoning by gases and vapours</v>
      </c>
      <c r="U2874">
        <v>2009</v>
      </c>
      <c r="V2874" t="s">
        <v>20</v>
      </c>
      <c r="W2874" t="s">
        <v>19</v>
      </c>
      <c r="X2874">
        <v>25</v>
      </c>
      <c r="Y2874" t="s">
        <v>46</v>
      </c>
      <c r="Z2874">
        <v>4</v>
      </c>
      <c r="AA2874">
        <v>40</v>
      </c>
      <c r="AB2874">
        <v>10</v>
      </c>
    </row>
    <row r="2875" spans="10:28">
      <c r="J2875" s="340" t="str">
        <f t="shared" si="137"/>
        <v>2010FemaleNon-Maori212</v>
      </c>
      <c r="K2875">
        <v>2010</v>
      </c>
      <c r="L2875" t="s">
        <v>8</v>
      </c>
      <c r="M2875" t="s">
        <v>19</v>
      </c>
      <c r="N2875">
        <v>21</v>
      </c>
      <c r="O2875">
        <v>2</v>
      </c>
      <c r="P2875">
        <v>0</v>
      </c>
      <c r="Q2875">
        <v>0</v>
      </c>
      <c r="T2875" s="340" t="str">
        <f t="shared" si="138"/>
        <v>2009MaleNon-Maori22Poisoning by solids and liquids</v>
      </c>
      <c r="U2875">
        <v>2009</v>
      </c>
      <c r="V2875" t="s">
        <v>20</v>
      </c>
      <c r="W2875" t="s">
        <v>19</v>
      </c>
      <c r="X2875">
        <v>22</v>
      </c>
      <c r="Y2875" t="s">
        <v>47</v>
      </c>
      <c r="Z2875">
        <v>2</v>
      </c>
      <c r="AA2875">
        <v>71</v>
      </c>
      <c r="AB2875">
        <v>2.8</v>
      </c>
    </row>
    <row r="2876" spans="10:28">
      <c r="J2876" s="340" t="str">
        <f t="shared" si="137"/>
        <v>2010FemaleNon-Maori213</v>
      </c>
      <c r="K2876">
        <v>2010</v>
      </c>
      <c r="L2876" t="s">
        <v>8</v>
      </c>
      <c r="M2876" t="s">
        <v>19</v>
      </c>
      <c r="N2876">
        <v>21</v>
      </c>
      <c r="O2876">
        <v>3</v>
      </c>
      <c r="P2876">
        <v>0</v>
      </c>
      <c r="Q2876">
        <v>0</v>
      </c>
      <c r="T2876" s="340" t="str">
        <f t="shared" si="138"/>
        <v>2009MaleNon-Maori23Poisoning by solids and liquids</v>
      </c>
      <c r="U2876">
        <v>2009</v>
      </c>
      <c r="V2876" t="s">
        <v>20</v>
      </c>
      <c r="W2876" t="s">
        <v>19</v>
      </c>
      <c r="X2876">
        <v>23</v>
      </c>
      <c r="Y2876" t="s">
        <v>47</v>
      </c>
      <c r="Z2876">
        <v>10</v>
      </c>
      <c r="AA2876">
        <v>109</v>
      </c>
      <c r="AB2876">
        <v>9.1999999999999993</v>
      </c>
    </row>
    <row r="2877" spans="10:28">
      <c r="J2877" s="340" t="str">
        <f t="shared" si="137"/>
        <v>2010FemaleNon-Maori214</v>
      </c>
      <c r="K2877">
        <v>2010</v>
      </c>
      <c r="L2877" t="s">
        <v>8</v>
      </c>
      <c r="M2877" t="s">
        <v>19</v>
      </c>
      <c r="N2877">
        <v>21</v>
      </c>
      <c r="O2877">
        <v>4</v>
      </c>
      <c r="P2877">
        <v>0</v>
      </c>
      <c r="Q2877">
        <v>0</v>
      </c>
      <c r="T2877" s="340" t="str">
        <f t="shared" si="138"/>
        <v>2009MaleNon-Maori24Poisoning by solids and liquids</v>
      </c>
      <c r="U2877">
        <v>2009</v>
      </c>
      <c r="V2877" t="s">
        <v>20</v>
      </c>
      <c r="W2877" t="s">
        <v>19</v>
      </c>
      <c r="X2877">
        <v>24</v>
      </c>
      <c r="Y2877" t="s">
        <v>47</v>
      </c>
      <c r="Z2877">
        <v>10</v>
      </c>
      <c r="AA2877">
        <v>113</v>
      </c>
      <c r="AB2877">
        <v>8.8000000000000007</v>
      </c>
    </row>
    <row r="2878" spans="10:28">
      <c r="J2878" s="340" t="str">
        <f t="shared" si="137"/>
        <v>2010FemaleNon-Maori215</v>
      </c>
      <c r="K2878">
        <v>2010</v>
      </c>
      <c r="L2878" t="s">
        <v>8</v>
      </c>
      <c r="M2878" t="s">
        <v>19</v>
      </c>
      <c r="N2878">
        <v>21</v>
      </c>
      <c r="O2878">
        <v>5</v>
      </c>
      <c r="P2878">
        <v>0</v>
      </c>
      <c r="Q2878">
        <v>0</v>
      </c>
      <c r="T2878" s="340" t="str">
        <f t="shared" si="138"/>
        <v>2009MaleNon-Maori25Poisoning by solids and liquids</v>
      </c>
      <c r="U2878">
        <v>2009</v>
      </c>
      <c r="V2878" t="s">
        <v>20</v>
      </c>
      <c r="W2878" t="s">
        <v>19</v>
      </c>
      <c r="X2878">
        <v>25</v>
      </c>
      <c r="Y2878" t="s">
        <v>47</v>
      </c>
      <c r="Z2878">
        <v>8</v>
      </c>
      <c r="AA2878">
        <v>40</v>
      </c>
      <c r="AB2878">
        <v>20</v>
      </c>
    </row>
    <row r="2879" spans="10:28">
      <c r="J2879" s="340" t="str">
        <f t="shared" si="137"/>
        <v>2010FemaleNon-Maori221</v>
      </c>
      <c r="K2879">
        <v>2010</v>
      </c>
      <c r="L2879" t="s">
        <v>8</v>
      </c>
      <c r="M2879" t="s">
        <v>19</v>
      </c>
      <c r="N2879">
        <v>22</v>
      </c>
      <c r="O2879">
        <v>1</v>
      </c>
      <c r="P2879">
        <v>2</v>
      </c>
      <c r="Q2879">
        <v>4.0986871053997902</v>
      </c>
      <c r="R2879">
        <v>5.7</v>
      </c>
      <c r="T2879" s="340" t="str">
        <f t="shared" si="138"/>
        <v>2009MaleNon-Maori23Sharp object</v>
      </c>
      <c r="U2879">
        <v>2009</v>
      </c>
      <c r="V2879" t="s">
        <v>20</v>
      </c>
      <c r="W2879" t="s">
        <v>19</v>
      </c>
      <c r="X2879">
        <v>23</v>
      </c>
      <c r="Y2879" t="s">
        <v>48</v>
      </c>
      <c r="Z2879">
        <v>1</v>
      </c>
      <c r="AA2879">
        <v>109</v>
      </c>
      <c r="AB2879">
        <v>0.9</v>
      </c>
    </row>
    <row r="2880" spans="10:28">
      <c r="J2880" s="340" t="str">
        <f t="shared" si="137"/>
        <v>2010FemaleNon-Maori222</v>
      </c>
      <c r="K2880">
        <v>2010</v>
      </c>
      <c r="L2880" t="s">
        <v>8</v>
      </c>
      <c r="M2880" t="s">
        <v>19</v>
      </c>
      <c r="N2880">
        <v>22</v>
      </c>
      <c r="O2880">
        <v>2</v>
      </c>
      <c r="P2880">
        <v>6</v>
      </c>
      <c r="Q2880">
        <v>12.6606142695953</v>
      </c>
      <c r="R2880">
        <v>10.1</v>
      </c>
      <c r="T2880" s="340" t="str">
        <f t="shared" si="138"/>
        <v>2009MaleNon-Maori24Sharp object</v>
      </c>
      <c r="U2880">
        <v>2009</v>
      </c>
      <c r="V2880" t="s">
        <v>20</v>
      </c>
      <c r="W2880" t="s">
        <v>19</v>
      </c>
      <c r="X2880">
        <v>24</v>
      </c>
      <c r="Y2880" t="s">
        <v>48</v>
      </c>
      <c r="Z2880">
        <v>4</v>
      </c>
      <c r="AA2880">
        <v>113</v>
      </c>
      <c r="AB2880">
        <v>3.5</v>
      </c>
    </row>
    <row r="2881" spans="10:28">
      <c r="J2881" s="340" t="str">
        <f t="shared" si="137"/>
        <v>2010FemaleNon-Maori223</v>
      </c>
      <c r="K2881">
        <v>2010</v>
      </c>
      <c r="L2881" t="s">
        <v>8</v>
      </c>
      <c r="M2881" t="s">
        <v>19</v>
      </c>
      <c r="N2881">
        <v>22</v>
      </c>
      <c r="O2881">
        <v>3</v>
      </c>
      <c r="P2881">
        <v>4</v>
      </c>
      <c r="Q2881">
        <v>8.4489225080320001</v>
      </c>
      <c r="R2881">
        <v>8.3000000000000007</v>
      </c>
      <c r="T2881" s="340" t="str">
        <f t="shared" si="138"/>
        <v>2009MaleNon-Maori25Sharp object</v>
      </c>
      <c r="U2881">
        <v>2009</v>
      </c>
      <c r="V2881" t="s">
        <v>20</v>
      </c>
      <c r="W2881" t="s">
        <v>19</v>
      </c>
      <c r="X2881">
        <v>25</v>
      </c>
      <c r="Y2881" t="s">
        <v>48</v>
      </c>
      <c r="Z2881">
        <v>3</v>
      </c>
      <c r="AA2881">
        <v>40</v>
      </c>
      <c r="AB2881">
        <v>7.5</v>
      </c>
    </row>
    <row r="2882" spans="10:28">
      <c r="J2882" s="340" t="str">
        <f t="shared" si="137"/>
        <v>2010FemaleNon-Maori224</v>
      </c>
      <c r="K2882">
        <v>2010</v>
      </c>
      <c r="L2882" t="s">
        <v>8</v>
      </c>
      <c r="M2882" t="s">
        <v>19</v>
      </c>
      <c r="N2882">
        <v>22</v>
      </c>
      <c r="O2882">
        <v>4</v>
      </c>
      <c r="P2882">
        <v>1</v>
      </c>
      <c r="Q2882">
        <v>1.96546738319804</v>
      </c>
      <c r="R2882">
        <v>3.9</v>
      </c>
      <c r="T2882" s="340" t="str">
        <f t="shared" si="138"/>
        <v>2009MaleNon-Maori22Submersion (drowning)</v>
      </c>
      <c r="U2882">
        <v>2009</v>
      </c>
      <c r="V2882" t="s">
        <v>20</v>
      </c>
      <c r="W2882" t="s">
        <v>19</v>
      </c>
      <c r="X2882">
        <v>22</v>
      </c>
      <c r="Y2882" t="s">
        <v>49</v>
      </c>
      <c r="Z2882">
        <v>1</v>
      </c>
      <c r="AA2882">
        <v>71</v>
      </c>
      <c r="AB2882">
        <v>1.4</v>
      </c>
    </row>
    <row r="2883" spans="10:28">
      <c r="J2883" s="340" t="str">
        <f t="shared" si="137"/>
        <v>2010FemaleNon-Maori225</v>
      </c>
      <c r="K2883">
        <v>2010</v>
      </c>
      <c r="L2883" t="s">
        <v>8</v>
      </c>
      <c r="M2883" t="s">
        <v>19</v>
      </c>
      <c r="N2883">
        <v>22</v>
      </c>
      <c r="O2883">
        <v>5</v>
      </c>
      <c r="P2883">
        <v>6</v>
      </c>
      <c r="Q2883">
        <v>12.2595268177647</v>
      </c>
      <c r="R2883">
        <v>9.8000000000000007</v>
      </c>
      <c r="T2883" s="340" t="str">
        <f t="shared" si="138"/>
        <v>2009MaleNon-Maori23Submersion (drowning)</v>
      </c>
      <c r="U2883">
        <v>2009</v>
      </c>
      <c r="V2883" t="s">
        <v>20</v>
      </c>
      <c r="W2883" t="s">
        <v>19</v>
      </c>
      <c r="X2883">
        <v>23</v>
      </c>
      <c r="Y2883" t="s">
        <v>49</v>
      </c>
      <c r="Z2883">
        <v>1</v>
      </c>
      <c r="AA2883">
        <v>109</v>
      </c>
      <c r="AB2883">
        <v>0.9</v>
      </c>
    </row>
    <row r="2884" spans="10:28">
      <c r="J2884" s="340" t="str">
        <f t="shared" ref="J2884:J2947" si="139">K2884&amp;L2884&amp;M2884&amp;N2884&amp;O2884</f>
        <v>2010FemaleNon-Maori231</v>
      </c>
      <c r="K2884">
        <v>2010</v>
      </c>
      <c r="L2884" t="s">
        <v>8</v>
      </c>
      <c r="M2884" t="s">
        <v>19</v>
      </c>
      <c r="N2884">
        <v>23</v>
      </c>
      <c r="O2884">
        <v>1</v>
      </c>
      <c r="P2884">
        <v>11</v>
      </c>
      <c r="Q2884">
        <v>9.9480191234153299</v>
      </c>
      <c r="R2884">
        <v>5.9</v>
      </c>
      <c r="T2884" s="340" t="str">
        <f t="shared" si="138"/>
        <v>2009MaleNon-Maori25Submersion (drowning)</v>
      </c>
      <c r="U2884">
        <v>2009</v>
      </c>
      <c r="V2884" t="s">
        <v>20</v>
      </c>
      <c r="W2884" t="s">
        <v>19</v>
      </c>
      <c r="X2884">
        <v>25</v>
      </c>
      <c r="Y2884" t="s">
        <v>49</v>
      </c>
      <c r="Z2884">
        <v>1</v>
      </c>
      <c r="AA2884">
        <v>40</v>
      </c>
      <c r="AB2884">
        <v>2.5</v>
      </c>
    </row>
    <row r="2885" spans="10:28">
      <c r="J2885" s="340" t="str">
        <f t="shared" si="139"/>
        <v>2010FemaleNon-Maori232</v>
      </c>
      <c r="K2885">
        <v>2010</v>
      </c>
      <c r="L2885" t="s">
        <v>8</v>
      </c>
      <c r="M2885" t="s">
        <v>19</v>
      </c>
      <c r="N2885">
        <v>23</v>
      </c>
      <c r="O2885">
        <v>2</v>
      </c>
      <c r="P2885">
        <v>11</v>
      </c>
      <c r="Q2885">
        <v>9.6265974477123297</v>
      </c>
      <c r="R2885">
        <v>5.7</v>
      </c>
      <c r="T2885" s="340" t="str">
        <f t="shared" ref="T2885:T2948" si="140">U2885&amp;V2885&amp;W2885&amp;X2885&amp;Y2885</f>
        <v>2010AllSexAllEth22Firearms and explosives</v>
      </c>
      <c r="U2885">
        <v>2010</v>
      </c>
      <c r="V2885" t="s">
        <v>17</v>
      </c>
      <c r="W2885" t="s">
        <v>27</v>
      </c>
      <c r="X2885">
        <v>22</v>
      </c>
      <c r="Y2885" t="s">
        <v>42</v>
      </c>
      <c r="Z2885">
        <v>5</v>
      </c>
      <c r="AA2885">
        <v>111</v>
      </c>
      <c r="AB2885">
        <v>4.5</v>
      </c>
    </row>
    <row r="2886" spans="10:28">
      <c r="J2886" s="340" t="str">
        <f t="shared" si="139"/>
        <v>2010FemaleNon-Maori233</v>
      </c>
      <c r="K2886">
        <v>2010</v>
      </c>
      <c r="L2886" t="s">
        <v>8</v>
      </c>
      <c r="M2886" t="s">
        <v>19</v>
      </c>
      <c r="N2886">
        <v>23</v>
      </c>
      <c r="O2886">
        <v>3</v>
      </c>
      <c r="P2886">
        <v>7</v>
      </c>
      <c r="Q2886">
        <v>6.3548621386624298</v>
      </c>
      <c r="R2886">
        <v>4.7</v>
      </c>
      <c r="T2886" s="340" t="str">
        <f t="shared" si="140"/>
        <v>2010AllSexAllEth23Firearms and explosives</v>
      </c>
      <c r="U2886">
        <v>2010</v>
      </c>
      <c r="V2886" t="s">
        <v>17</v>
      </c>
      <c r="W2886" t="s">
        <v>27</v>
      </c>
      <c r="X2886">
        <v>23</v>
      </c>
      <c r="Y2886" t="s">
        <v>42</v>
      </c>
      <c r="Z2886">
        <v>14</v>
      </c>
      <c r="AA2886">
        <v>199</v>
      </c>
      <c r="AB2886">
        <v>7</v>
      </c>
    </row>
    <row r="2887" spans="10:28">
      <c r="J2887" s="340" t="str">
        <f t="shared" si="139"/>
        <v>2010FemaleNon-Maori234</v>
      </c>
      <c r="K2887">
        <v>2010</v>
      </c>
      <c r="L2887" t="s">
        <v>8</v>
      </c>
      <c r="M2887" t="s">
        <v>19</v>
      </c>
      <c r="N2887">
        <v>23</v>
      </c>
      <c r="O2887">
        <v>4</v>
      </c>
      <c r="P2887">
        <v>9</v>
      </c>
      <c r="Q2887">
        <v>8.9688329617685696</v>
      </c>
      <c r="R2887">
        <v>5.9</v>
      </c>
      <c r="T2887" s="340" t="str">
        <f t="shared" si="140"/>
        <v>2010AllSexAllEth24Firearms and explosives</v>
      </c>
      <c r="U2887">
        <v>2010</v>
      </c>
      <c r="V2887" t="s">
        <v>17</v>
      </c>
      <c r="W2887" t="s">
        <v>27</v>
      </c>
      <c r="X2887">
        <v>24</v>
      </c>
      <c r="Y2887" t="s">
        <v>42</v>
      </c>
      <c r="Z2887">
        <v>13</v>
      </c>
      <c r="AA2887">
        <v>161</v>
      </c>
      <c r="AB2887">
        <v>8.1</v>
      </c>
    </row>
    <row r="2888" spans="10:28">
      <c r="J2888" s="340" t="str">
        <f t="shared" si="139"/>
        <v>2010FemaleNon-Maori235</v>
      </c>
      <c r="K2888">
        <v>2010</v>
      </c>
      <c r="L2888" t="s">
        <v>8</v>
      </c>
      <c r="M2888" t="s">
        <v>19</v>
      </c>
      <c r="N2888">
        <v>23</v>
      </c>
      <c r="O2888">
        <v>5</v>
      </c>
      <c r="P2888">
        <v>5</v>
      </c>
      <c r="Q2888">
        <v>6.2359683331722504</v>
      </c>
      <c r="R2888">
        <v>5.5</v>
      </c>
      <c r="T2888" s="340" t="str">
        <f t="shared" si="140"/>
        <v>2010AllSexAllEth25Firearms and explosives</v>
      </c>
      <c r="U2888">
        <v>2010</v>
      </c>
      <c r="V2888" t="s">
        <v>17</v>
      </c>
      <c r="W2888" t="s">
        <v>27</v>
      </c>
      <c r="X2888">
        <v>25</v>
      </c>
      <c r="Y2888" t="s">
        <v>42</v>
      </c>
      <c r="Z2888">
        <v>10</v>
      </c>
      <c r="AA2888">
        <v>57</v>
      </c>
      <c r="AB2888">
        <v>17.5</v>
      </c>
    </row>
    <row r="2889" spans="10:28">
      <c r="J2889" s="340" t="str">
        <f t="shared" si="139"/>
        <v>2010FemaleNon-Maori241</v>
      </c>
      <c r="K2889">
        <v>2010</v>
      </c>
      <c r="L2889" t="s">
        <v>8</v>
      </c>
      <c r="M2889" t="s">
        <v>19</v>
      </c>
      <c r="N2889">
        <v>24</v>
      </c>
      <c r="O2889">
        <v>1</v>
      </c>
      <c r="P2889">
        <v>13</v>
      </c>
      <c r="Q2889">
        <v>9.86273147179487</v>
      </c>
      <c r="R2889">
        <v>5.4</v>
      </c>
      <c r="T2889" s="340" t="str">
        <f t="shared" si="140"/>
        <v>2010AllSexAllEth21Hanging, strangulation and suffocation</v>
      </c>
      <c r="U2889">
        <v>2010</v>
      </c>
      <c r="V2889" t="s">
        <v>17</v>
      </c>
      <c r="W2889" t="s">
        <v>27</v>
      </c>
      <c r="X2889">
        <v>21</v>
      </c>
      <c r="Y2889" t="s">
        <v>43</v>
      </c>
      <c r="Z2889">
        <v>6</v>
      </c>
      <c r="AA2889">
        <v>6</v>
      </c>
      <c r="AB2889">
        <v>100</v>
      </c>
    </row>
    <row r="2890" spans="10:28">
      <c r="J2890" s="340" t="str">
        <f t="shared" si="139"/>
        <v>2010FemaleNon-Maori242</v>
      </c>
      <c r="K2890">
        <v>2010</v>
      </c>
      <c r="L2890" t="s">
        <v>8</v>
      </c>
      <c r="M2890" t="s">
        <v>19</v>
      </c>
      <c r="N2890">
        <v>24</v>
      </c>
      <c r="O2890">
        <v>2</v>
      </c>
      <c r="P2890">
        <v>7</v>
      </c>
      <c r="Q2890">
        <v>6.04833479056561</v>
      </c>
      <c r="R2890">
        <v>4.5</v>
      </c>
      <c r="T2890" s="340" t="str">
        <f t="shared" si="140"/>
        <v>2010AllSexAllEth22Hanging, strangulation and suffocation</v>
      </c>
      <c r="U2890">
        <v>2010</v>
      </c>
      <c r="V2890" t="s">
        <v>17</v>
      </c>
      <c r="W2890" t="s">
        <v>27</v>
      </c>
      <c r="X2890">
        <v>22</v>
      </c>
      <c r="Y2890" t="s">
        <v>43</v>
      </c>
      <c r="Z2890">
        <v>87</v>
      </c>
      <c r="AA2890">
        <v>111</v>
      </c>
      <c r="AB2890">
        <v>78.400000000000006</v>
      </c>
    </row>
    <row r="2891" spans="10:28">
      <c r="J2891" s="340" t="str">
        <f t="shared" si="139"/>
        <v>2010FemaleNon-Maori243</v>
      </c>
      <c r="K2891">
        <v>2010</v>
      </c>
      <c r="L2891" t="s">
        <v>8</v>
      </c>
      <c r="M2891" t="s">
        <v>19</v>
      </c>
      <c r="N2891">
        <v>24</v>
      </c>
      <c r="O2891">
        <v>3</v>
      </c>
      <c r="P2891">
        <v>6</v>
      </c>
      <c r="Q2891">
        <v>5.8961117406685499</v>
      </c>
      <c r="R2891">
        <v>4.7</v>
      </c>
      <c r="T2891" s="340" t="str">
        <f t="shared" si="140"/>
        <v>2010AllSexAllEth23Hanging, strangulation and suffocation</v>
      </c>
      <c r="U2891">
        <v>2010</v>
      </c>
      <c r="V2891" t="s">
        <v>17</v>
      </c>
      <c r="W2891" t="s">
        <v>27</v>
      </c>
      <c r="X2891">
        <v>23</v>
      </c>
      <c r="Y2891" t="s">
        <v>43</v>
      </c>
      <c r="Z2891">
        <v>122</v>
      </c>
      <c r="AA2891">
        <v>199</v>
      </c>
      <c r="AB2891">
        <v>61.3</v>
      </c>
    </row>
    <row r="2892" spans="10:28">
      <c r="J2892" s="340" t="str">
        <f t="shared" si="139"/>
        <v>2010FemaleNon-Maori244</v>
      </c>
      <c r="K2892">
        <v>2010</v>
      </c>
      <c r="L2892" t="s">
        <v>8</v>
      </c>
      <c r="M2892" t="s">
        <v>19</v>
      </c>
      <c r="N2892">
        <v>24</v>
      </c>
      <c r="O2892">
        <v>4</v>
      </c>
      <c r="P2892">
        <v>6</v>
      </c>
      <c r="Q2892">
        <v>6.9139723331563303</v>
      </c>
      <c r="R2892">
        <v>5.5</v>
      </c>
      <c r="T2892" s="340" t="str">
        <f t="shared" si="140"/>
        <v>2010AllSexAllEth24Hanging, strangulation and suffocation</v>
      </c>
      <c r="U2892">
        <v>2010</v>
      </c>
      <c r="V2892" t="s">
        <v>17</v>
      </c>
      <c r="W2892" t="s">
        <v>27</v>
      </c>
      <c r="X2892">
        <v>24</v>
      </c>
      <c r="Y2892" t="s">
        <v>43</v>
      </c>
      <c r="Z2892">
        <v>76</v>
      </c>
      <c r="AA2892">
        <v>161</v>
      </c>
      <c r="AB2892">
        <v>47.2</v>
      </c>
    </row>
    <row r="2893" spans="10:28">
      <c r="J2893" s="340" t="str">
        <f t="shared" si="139"/>
        <v>2010FemaleNon-Maori245</v>
      </c>
      <c r="K2893">
        <v>2010</v>
      </c>
      <c r="L2893" t="s">
        <v>8</v>
      </c>
      <c r="M2893" t="s">
        <v>19</v>
      </c>
      <c r="N2893">
        <v>24</v>
      </c>
      <c r="O2893">
        <v>5</v>
      </c>
      <c r="P2893">
        <v>7</v>
      </c>
      <c r="Q2893">
        <v>10.5832991578798</v>
      </c>
      <c r="R2893">
        <v>7.8</v>
      </c>
      <c r="T2893" s="340" t="str">
        <f t="shared" si="140"/>
        <v>2010AllSexAllEth25Hanging, strangulation and suffocation</v>
      </c>
      <c r="U2893">
        <v>2010</v>
      </c>
      <c r="V2893" t="s">
        <v>17</v>
      </c>
      <c r="W2893" t="s">
        <v>27</v>
      </c>
      <c r="X2893">
        <v>25</v>
      </c>
      <c r="Y2893" t="s">
        <v>43</v>
      </c>
      <c r="Z2893">
        <v>22</v>
      </c>
      <c r="AA2893">
        <v>57</v>
      </c>
      <c r="AB2893">
        <v>38.6</v>
      </c>
    </row>
    <row r="2894" spans="10:28">
      <c r="J2894" s="340" t="str">
        <f t="shared" si="139"/>
        <v>2010FemaleNon-Maori251</v>
      </c>
      <c r="K2894">
        <v>2010</v>
      </c>
      <c r="L2894" t="s">
        <v>8</v>
      </c>
      <c r="M2894" t="s">
        <v>19</v>
      </c>
      <c r="N2894">
        <v>25</v>
      </c>
      <c r="O2894">
        <v>1</v>
      </c>
      <c r="P2894">
        <v>3</v>
      </c>
      <c r="Q2894">
        <v>5.0161735062109498</v>
      </c>
      <c r="R2894">
        <v>5.7</v>
      </c>
      <c r="T2894" s="340" t="str">
        <f t="shared" si="140"/>
        <v>2010AllSexAllEth22Jumping from a high place</v>
      </c>
      <c r="U2894">
        <v>2010</v>
      </c>
      <c r="V2894" t="s">
        <v>17</v>
      </c>
      <c r="W2894" t="s">
        <v>27</v>
      </c>
      <c r="X2894">
        <v>22</v>
      </c>
      <c r="Y2894" t="s">
        <v>44</v>
      </c>
      <c r="Z2894">
        <v>2</v>
      </c>
      <c r="AA2894">
        <v>111</v>
      </c>
      <c r="AB2894">
        <v>1.8</v>
      </c>
    </row>
    <row r="2895" spans="10:28">
      <c r="J2895" s="340" t="str">
        <f t="shared" si="139"/>
        <v>2010FemaleNon-Maori252</v>
      </c>
      <c r="K2895">
        <v>2010</v>
      </c>
      <c r="L2895" t="s">
        <v>8</v>
      </c>
      <c r="M2895" t="s">
        <v>19</v>
      </c>
      <c r="N2895">
        <v>25</v>
      </c>
      <c r="O2895">
        <v>2</v>
      </c>
      <c r="P2895">
        <v>1</v>
      </c>
      <c r="Q2895">
        <v>1.63250413706389</v>
      </c>
      <c r="R2895">
        <v>3.2</v>
      </c>
      <c r="T2895" s="340" t="str">
        <f t="shared" si="140"/>
        <v>2010AllSexAllEth23Jumping from a high place</v>
      </c>
      <c r="U2895">
        <v>2010</v>
      </c>
      <c r="V2895" t="s">
        <v>17</v>
      </c>
      <c r="W2895" t="s">
        <v>27</v>
      </c>
      <c r="X2895">
        <v>23</v>
      </c>
      <c r="Y2895" t="s">
        <v>44</v>
      </c>
      <c r="Z2895">
        <v>4</v>
      </c>
      <c r="AA2895">
        <v>199</v>
      </c>
      <c r="AB2895">
        <v>2</v>
      </c>
    </row>
    <row r="2896" spans="10:28">
      <c r="J2896" s="340" t="str">
        <f t="shared" si="139"/>
        <v>2010FemaleNon-Maori253</v>
      </c>
      <c r="K2896">
        <v>2010</v>
      </c>
      <c r="L2896" t="s">
        <v>8</v>
      </c>
      <c r="M2896" t="s">
        <v>19</v>
      </c>
      <c r="N2896">
        <v>25</v>
      </c>
      <c r="O2896">
        <v>3</v>
      </c>
      <c r="P2896">
        <v>4</v>
      </c>
      <c r="Q2896">
        <v>6.5363819008561403</v>
      </c>
      <c r="R2896">
        <v>6.4</v>
      </c>
      <c r="T2896" s="340" t="str">
        <f t="shared" si="140"/>
        <v>2010AllSexAllEth24Jumping from a high place</v>
      </c>
      <c r="U2896">
        <v>2010</v>
      </c>
      <c r="V2896" t="s">
        <v>17</v>
      </c>
      <c r="W2896" t="s">
        <v>27</v>
      </c>
      <c r="X2896">
        <v>24</v>
      </c>
      <c r="Y2896" t="s">
        <v>44</v>
      </c>
      <c r="Z2896">
        <v>6</v>
      </c>
      <c r="AA2896">
        <v>161</v>
      </c>
      <c r="AB2896">
        <v>3.7</v>
      </c>
    </row>
    <row r="2897" spans="10:28">
      <c r="J2897" s="340" t="str">
        <f t="shared" si="139"/>
        <v>2010FemaleNon-Maori254</v>
      </c>
      <c r="K2897">
        <v>2010</v>
      </c>
      <c r="L2897" t="s">
        <v>8</v>
      </c>
      <c r="M2897" t="s">
        <v>19</v>
      </c>
      <c r="N2897">
        <v>25</v>
      </c>
      <c r="O2897">
        <v>4</v>
      </c>
      <c r="P2897">
        <v>5</v>
      </c>
      <c r="Q2897">
        <v>7.9786906579008203</v>
      </c>
      <c r="R2897">
        <v>7</v>
      </c>
      <c r="T2897" s="340" t="str">
        <f t="shared" si="140"/>
        <v>2010AllSexAllEth25Jumping from a high place</v>
      </c>
      <c r="U2897">
        <v>2010</v>
      </c>
      <c r="V2897" t="s">
        <v>17</v>
      </c>
      <c r="W2897" t="s">
        <v>27</v>
      </c>
      <c r="X2897">
        <v>25</v>
      </c>
      <c r="Y2897" t="s">
        <v>44</v>
      </c>
      <c r="Z2897">
        <v>1</v>
      </c>
      <c r="AA2897">
        <v>57</v>
      </c>
      <c r="AB2897">
        <v>1.8</v>
      </c>
    </row>
    <row r="2898" spans="10:28">
      <c r="J2898" s="340" t="str">
        <f t="shared" si="139"/>
        <v>2010FemaleNon-Maori255</v>
      </c>
      <c r="K2898">
        <v>2010</v>
      </c>
      <c r="L2898" t="s">
        <v>8</v>
      </c>
      <c r="M2898" t="s">
        <v>19</v>
      </c>
      <c r="N2898">
        <v>25</v>
      </c>
      <c r="O2898">
        <v>5</v>
      </c>
      <c r="P2898">
        <v>1</v>
      </c>
      <c r="Q2898">
        <v>2.2126598192782301</v>
      </c>
      <c r="R2898">
        <v>4.3</v>
      </c>
      <c r="T2898" s="340" t="str">
        <f t="shared" si="140"/>
        <v>2010AllSexAllEth22Other</v>
      </c>
      <c r="U2898">
        <v>2010</v>
      </c>
      <c r="V2898" t="s">
        <v>17</v>
      </c>
      <c r="W2898" t="s">
        <v>27</v>
      </c>
      <c r="X2898">
        <v>22</v>
      </c>
      <c r="Y2898" t="s">
        <v>45</v>
      </c>
      <c r="Z2898">
        <v>4</v>
      </c>
      <c r="AA2898">
        <v>111</v>
      </c>
      <c r="AB2898">
        <v>3.6</v>
      </c>
    </row>
    <row r="2899" spans="10:28">
      <c r="J2899" s="340" t="str">
        <f t="shared" si="139"/>
        <v>2010MaleAllEth211</v>
      </c>
      <c r="K2899">
        <v>2010</v>
      </c>
      <c r="L2899" t="s">
        <v>20</v>
      </c>
      <c r="M2899" t="s">
        <v>27</v>
      </c>
      <c r="N2899">
        <v>21</v>
      </c>
      <c r="O2899">
        <v>1</v>
      </c>
      <c r="P2899">
        <v>0</v>
      </c>
      <c r="Q2899">
        <v>0</v>
      </c>
      <c r="T2899" s="340" t="str">
        <f t="shared" si="140"/>
        <v>2010AllSexAllEth23Other</v>
      </c>
      <c r="U2899">
        <v>2010</v>
      </c>
      <c r="V2899" t="s">
        <v>17</v>
      </c>
      <c r="W2899" t="s">
        <v>27</v>
      </c>
      <c r="X2899">
        <v>23</v>
      </c>
      <c r="Y2899" t="s">
        <v>45</v>
      </c>
      <c r="Z2899">
        <v>4</v>
      </c>
      <c r="AA2899">
        <v>199</v>
      </c>
      <c r="AB2899">
        <v>2</v>
      </c>
    </row>
    <row r="2900" spans="10:28">
      <c r="J2900" s="340" t="str">
        <f t="shared" si="139"/>
        <v>2010MaleAllEth212</v>
      </c>
      <c r="K2900">
        <v>2010</v>
      </c>
      <c r="L2900" t="s">
        <v>20</v>
      </c>
      <c r="M2900" t="s">
        <v>27</v>
      </c>
      <c r="N2900">
        <v>21</v>
      </c>
      <c r="O2900">
        <v>2</v>
      </c>
      <c r="P2900">
        <v>0</v>
      </c>
      <c r="Q2900">
        <v>0</v>
      </c>
      <c r="T2900" s="340" t="str">
        <f t="shared" si="140"/>
        <v>2010AllSexAllEth24Other</v>
      </c>
      <c r="U2900">
        <v>2010</v>
      </c>
      <c r="V2900" t="s">
        <v>17</v>
      </c>
      <c r="W2900" t="s">
        <v>27</v>
      </c>
      <c r="X2900">
        <v>24</v>
      </c>
      <c r="Y2900" t="s">
        <v>45</v>
      </c>
      <c r="Z2900">
        <v>10</v>
      </c>
      <c r="AA2900">
        <v>161</v>
      </c>
      <c r="AB2900">
        <v>6.2</v>
      </c>
    </row>
    <row r="2901" spans="10:28">
      <c r="J2901" s="340" t="str">
        <f t="shared" si="139"/>
        <v>2010MaleAllEth213</v>
      </c>
      <c r="K2901">
        <v>2010</v>
      </c>
      <c r="L2901" t="s">
        <v>20</v>
      </c>
      <c r="M2901" t="s">
        <v>27</v>
      </c>
      <c r="N2901">
        <v>21</v>
      </c>
      <c r="O2901">
        <v>3</v>
      </c>
      <c r="P2901">
        <v>1</v>
      </c>
      <c r="Q2901">
        <v>1.1582052214830201</v>
      </c>
      <c r="R2901">
        <v>2.2999999999999998</v>
      </c>
      <c r="T2901" s="340" t="str">
        <f t="shared" si="140"/>
        <v>2010AllSexAllEth25Other</v>
      </c>
      <c r="U2901">
        <v>2010</v>
      </c>
      <c r="V2901" t="s">
        <v>17</v>
      </c>
      <c r="W2901" t="s">
        <v>27</v>
      </c>
      <c r="X2901">
        <v>25</v>
      </c>
      <c r="Y2901" t="s">
        <v>45</v>
      </c>
      <c r="Z2901">
        <v>2</v>
      </c>
      <c r="AA2901">
        <v>57</v>
      </c>
      <c r="AB2901">
        <v>3.5</v>
      </c>
    </row>
    <row r="2902" spans="10:28">
      <c r="J2902" s="340" t="str">
        <f t="shared" si="139"/>
        <v>2010MaleAllEth214</v>
      </c>
      <c r="K2902">
        <v>2010</v>
      </c>
      <c r="L2902" t="s">
        <v>20</v>
      </c>
      <c r="M2902" t="s">
        <v>27</v>
      </c>
      <c r="N2902">
        <v>21</v>
      </c>
      <c r="O2902">
        <v>4</v>
      </c>
      <c r="P2902">
        <v>0</v>
      </c>
      <c r="Q2902">
        <v>0</v>
      </c>
      <c r="T2902" s="340" t="str">
        <f t="shared" si="140"/>
        <v>2010AllSexAllEth22Poisoning by gases and vapours</v>
      </c>
      <c r="U2902">
        <v>2010</v>
      </c>
      <c r="V2902" t="s">
        <v>17</v>
      </c>
      <c r="W2902" t="s">
        <v>27</v>
      </c>
      <c r="X2902">
        <v>22</v>
      </c>
      <c r="Y2902" t="s">
        <v>46</v>
      </c>
      <c r="Z2902">
        <v>4</v>
      </c>
      <c r="AA2902">
        <v>111</v>
      </c>
      <c r="AB2902">
        <v>3.6</v>
      </c>
    </row>
    <row r="2903" spans="10:28">
      <c r="J2903" s="340" t="str">
        <f t="shared" si="139"/>
        <v>2010MaleAllEth215</v>
      </c>
      <c r="K2903">
        <v>2010</v>
      </c>
      <c r="L2903" t="s">
        <v>20</v>
      </c>
      <c r="M2903" t="s">
        <v>27</v>
      </c>
      <c r="N2903">
        <v>21</v>
      </c>
      <c r="O2903">
        <v>5</v>
      </c>
      <c r="P2903">
        <v>2</v>
      </c>
      <c r="Q2903">
        <v>1.8150849297676399</v>
      </c>
      <c r="R2903">
        <v>2.5</v>
      </c>
      <c r="T2903" s="340" t="str">
        <f t="shared" si="140"/>
        <v>2010AllSexAllEth23Poisoning by gases and vapours</v>
      </c>
      <c r="U2903">
        <v>2010</v>
      </c>
      <c r="V2903" t="s">
        <v>17</v>
      </c>
      <c r="W2903" t="s">
        <v>27</v>
      </c>
      <c r="X2903">
        <v>23</v>
      </c>
      <c r="Y2903" t="s">
        <v>46</v>
      </c>
      <c r="Z2903">
        <v>26</v>
      </c>
      <c r="AA2903">
        <v>199</v>
      </c>
      <c r="AB2903">
        <v>13.1</v>
      </c>
    </row>
    <row r="2904" spans="10:28">
      <c r="J2904" s="340" t="str">
        <f t="shared" si="139"/>
        <v>2010MaleAllEth221</v>
      </c>
      <c r="K2904">
        <v>2010</v>
      </c>
      <c r="L2904" t="s">
        <v>20</v>
      </c>
      <c r="M2904" t="s">
        <v>27</v>
      </c>
      <c r="N2904">
        <v>22</v>
      </c>
      <c r="O2904">
        <v>1</v>
      </c>
      <c r="P2904">
        <v>9</v>
      </c>
      <c r="Q2904">
        <v>16.013724186356001</v>
      </c>
      <c r="R2904">
        <v>10.5</v>
      </c>
      <c r="T2904" s="340" t="str">
        <f t="shared" si="140"/>
        <v>2010AllSexAllEth24Poisoning by gases and vapours</v>
      </c>
      <c r="U2904">
        <v>2010</v>
      </c>
      <c r="V2904" t="s">
        <v>17</v>
      </c>
      <c r="W2904" t="s">
        <v>27</v>
      </c>
      <c r="X2904">
        <v>24</v>
      </c>
      <c r="Y2904" t="s">
        <v>46</v>
      </c>
      <c r="Z2904">
        <v>21</v>
      </c>
      <c r="AA2904">
        <v>161</v>
      </c>
      <c r="AB2904">
        <v>13</v>
      </c>
    </row>
    <row r="2905" spans="10:28">
      <c r="J2905" s="340" t="str">
        <f t="shared" si="139"/>
        <v>2010MaleAllEth222</v>
      </c>
      <c r="K2905">
        <v>2010</v>
      </c>
      <c r="L2905" t="s">
        <v>20</v>
      </c>
      <c r="M2905" t="s">
        <v>27</v>
      </c>
      <c r="N2905">
        <v>22</v>
      </c>
      <c r="O2905">
        <v>2</v>
      </c>
      <c r="P2905">
        <v>6</v>
      </c>
      <c r="Q2905">
        <v>10.5868064325127</v>
      </c>
      <c r="R2905">
        <v>8.5</v>
      </c>
      <c r="T2905" s="340" t="str">
        <f t="shared" si="140"/>
        <v>2010AllSexAllEth25Poisoning by gases and vapours</v>
      </c>
      <c r="U2905">
        <v>2010</v>
      </c>
      <c r="V2905" t="s">
        <v>17</v>
      </c>
      <c r="W2905" t="s">
        <v>27</v>
      </c>
      <c r="X2905">
        <v>25</v>
      </c>
      <c r="Y2905" t="s">
        <v>46</v>
      </c>
      <c r="Z2905">
        <v>10</v>
      </c>
      <c r="AA2905">
        <v>57</v>
      </c>
      <c r="AB2905">
        <v>17.5</v>
      </c>
    </row>
    <row r="2906" spans="10:28">
      <c r="J2906" s="340" t="str">
        <f t="shared" si="139"/>
        <v>2010MaleAllEth223</v>
      </c>
      <c r="K2906">
        <v>2010</v>
      </c>
      <c r="L2906" t="s">
        <v>20</v>
      </c>
      <c r="M2906" t="s">
        <v>27</v>
      </c>
      <c r="N2906">
        <v>22</v>
      </c>
      <c r="O2906">
        <v>3</v>
      </c>
      <c r="P2906">
        <v>14</v>
      </c>
      <c r="Q2906">
        <v>23.496802160947901</v>
      </c>
      <c r="R2906">
        <v>12.3</v>
      </c>
      <c r="T2906" s="340" t="str">
        <f t="shared" si="140"/>
        <v>2010AllSexAllEth22Poisoning by solids and liquids</v>
      </c>
      <c r="U2906">
        <v>2010</v>
      </c>
      <c r="V2906" t="s">
        <v>17</v>
      </c>
      <c r="W2906" t="s">
        <v>27</v>
      </c>
      <c r="X2906">
        <v>22</v>
      </c>
      <c r="Y2906" t="s">
        <v>47</v>
      </c>
      <c r="Z2906">
        <v>5</v>
      </c>
      <c r="AA2906">
        <v>111</v>
      </c>
      <c r="AB2906">
        <v>4.5</v>
      </c>
    </row>
    <row r="2907" spans="10:28">
      <c r="J2907" s="340" t="str">
        <f t="shared" si="139"/>
        <v>2010MaleAllEth224</v>
      </c>
      <c r="K2907">
        <v>2010</v>
      </c>
      <c r="L2907" t="s">
        <v>20</v>
      </c>
      <c r="M2907" t="s">
        <v>27</v>
      </c>
      <c r="N2907">
        <v>22</v>
      </c>
      <c r="O2907">
        <v>4</v>
      </c>
      <c r="P2907">
        <v>21</v>
      </c>
      <c r="Q2907">
        <v>32.027255128734303</v>
      </c>
      <c r="R2907">
        <v>13.7</v>
      </c>
      <c r="T2907" s="340" t="str">
        <f t="shared" si="140"/>
        <v>2010AllSexAllEth23Poisoning by solids and liquids</v>
      </c>
      <c r="U2907">
        <v>2010</v>
      </c>
      <c r="V2907" t="s">
        <v>17</v>
      </c>
      <c r="W2907" t="s">
        <v>27</v>
      </c>
      <c r="X2907">
        <v>23</v>
      </c>
      <c r="Y2907" t="s">
        <v>47</v>
      </c>
      <c r="Z2907">
        <v>24</v>
      </c>
      <c r="AA2907">
        <v>199</v>
      </c>
      <c r="AB2907">
        <v>12.1</v>
      </c>
    </row>
    <row r="2908" spans="10:28">
      <c r="J2908" s="340" t="str">
        <f t="shared" si="139"/>
        <v>2010MaleAllEth225</v>
      </c>
      <c r="K2908">
        <v>2010</v>
      </c>
      <c r="L2908" t="s">
        <v>20</v>
      </c>
      <c r="M2908" t="s">
        <v>27</v>
      </c>
      <c r="N2908">
        <v>22</v>
      </c>
      <c r="O2908">
        <v>5</v>
      </c>
      <c r="P2908">
        <v>25</v>
      </c>
      <c r="Q2908">
        <v>34.123772183326302</v>
      </c>
      <c r="R2908">
        <v>13.4</v>
      </c>
      <c r="T2908" s="340" t="str">
        <f t="shared" si="140"/>
        <v>2010AllSexAllEth24Poisoning by solids and liquids</v>
      </c>
      <c r="U2908">
        <v>2010</v>
      </c>
      <c r="V2908" t="s">
        <v>17</v>
      </c>
      <c r="W2908" t="s">
        <v>27</v>
      </c>
      <c r="X2908">
        <v>24</v>
      </c>
      <c r="Y2908" t="s">
        <v>47</v>
      </c>
      <c r="Z2908">
        <v>28</v>
      </c>
      <c r="AA2908">
        <v>161</v>
      </c>
      <c r="AB2908">
        <v>17.399999999999999</v>
      </c>
    </row>
    <row r="2909" spans="10:28">
      <c r="J2909" s="340" t="str">
        <f t="shared" si="139"/>
        <v>2010MaleAllEth231</v>
      </c>
      <c r="K2909">
        <v>2010</v>
      </c>
      <c r="L2909" t="s">
        <v>20</v>
      </c>
      <c r="M2909" t="s">
        <v>27</v>
      </c>
      <c r="N2909">
        <v>23</v>
      </c>
      <c r="O2909">
        <v>1</v>
      </c>
      <c r="P2909">
        <v>24</v>
      </c>
      <c r="Q2909">
        <v>22.941583647222998</v>
      </c>
      <c r="R2909">
        <v>9.1999999999999993</v>
      </c>
      <c r="T2909" s="340" t="str">
        <f t="shared" si="140"/>
        <v>2010AllSexAllEth25Poisoning by solids and liquids</v>
      </c>
      <c r="U2909">
        <v>2010</v>
      </c>
      <c r="V2909" t="s">
        <v>17</v>
      </c>
      <c r="W2909" t="s">
        <v>27</v>
      </c>
      <c r="X2909">
        <v>25</v>
      </c>
      <c r="Y2909" t="s">
        <v>47</v>
      </c>
      <c r="Z2909">
        <v>10</v>
      </c>
      <c r="AA2909">
        <v>57</v>
      </c>
      <c r="AB2909">
        <v>17.5</v>
      </c>
    </row>
    <row r="2910" spans="10:28">
      <c r="J2910" s="340" t="str">
        <f t="shared" si="139"/>
        <v>2010MaleAllEth232</v>
      </c>
      <c r="K2910">
        <v>2010</v>
      </c>
      <c r="L2910" t="s">
        <v>20</v>
      </c>
      <c r="M2910" t="s">
        <v>27</v>
      </c>
      <c r="N2910">
        <v>23</v>
      </c>
      <c r="O2910">
        <v>2</v>
      </c>
      <c r="P2910">
        <v>21</v>
      </c>
      <c r="Q2910">
        <v>18.422314877843199</v>
      </c>
      <c r="R2910">
        <v>7.9</v>
      </c>
      <c r="T2910" s="340" t="str">
        <f t="shared" si="140"/>
        <v>2010AllSexAllEth22Sharp object</v>
      </c>
      <c r="U2910">
        <v>2010</v>
      </c>
      <c r="V2910" t="s">
        <v>17</v>
      </c>
      <c r="W2910" t="s">
        <v>27</v>
      </c>
      <c r="X2910">
        <v>22</v>
      </c>
      <c r="Y2910" t="s">
        <v>48</v>
      </c>
      <c r="Z2910">
        <v>2</v>
      </c>
      <c r="AA2910">
        <v>111</v>
      </c>
      <c r="AB2910">
        <v>1.8</v>
      </c>
    </row>
    <row r="2911" spans="10:28">
      <c r="J2911" s="340" t="str">
        <f t="shared" si="139"/>
        <v>2010MaleAllEth233</v>
      </c>
      <c r="K2911">
        <v>2010</v>
      </c>
      <c r="L2911" t="s">
        <v>20</v>
      </c>
      <c r="M2911" t="s">
        <v>27</v>
      </c>
      <c r="N2911">
        <v>23</v>
      </c>
      <c r="O2911">
        <v>3</v>
      </c>
      <c r="P2911">
        <v>28</v>
      </c>
      <c r="Q2911">
        <v>23.831227769452902</v>
      </c>
      <c r="R2911">
        <v>8.8000000000000007</v>
      </c>
      <c r="T2911" s="340" t="str">
        <f t="shared" si="140"/>
        <v>2010AllSexAllEth23Sharp object</v>
      </c>
      <c r="U2911">
        <v>2010</v>
      </c>
      <c r="V2911" t="s">
        <v>17</v>
      </c>
      <c r="W2911" t="s">
        <v>27</v>
      </c>
      <c r="X2911">
        <v>23</v>
      </c>
      <c r="Y2911" t="s">
        <v>48</v>
      </c>
      <c r="Z2911">
        <v>3</v>
      </c>
      <c r="AA2911">
        <v>199</v>
      </c>
      <c r="AB2911">
        <v>1.5</v>
      </c>
    </row>
    <row r="2912" spans="10:28">
      <c r="J2912" s="340" t="str">
        <f t="shared" si="139"/>
        <v>2010MaleAllEth234</v>
      </c>
      <c r="K2912">
        <v>2010</v>
      </c>
      <c r="L2912" t="s">
        <v>20</v>
      </c>
      <c r="M2912" t="s">
        <v>27</v>
      </c>
      <c r="N2912">
        <v>23</v>
      </c>
      <c r="O2912">
        <v>4</v>
      </c>
      <c r="P2912">
        <v>30</v>
      </c>
      <c r="Q2912">
        <v>26.0087488163797</v>
      </c>
      <c r="R2912">
        <v>9.3000000000000007</v>
      </c>
      <c r="T2912" s="340" t="str">
        <f t="shared" si="140"/>
        <v>2010AllSexAllEth24Sharp object</v>
      </c>
      <c r="U2912">
        <v>2010</v>
      </c>
      <c r="V2912" t="s">
        <v>17</v>
      </c>
      <c r="W2912" t="s">
        <v>27</v>
      </c>
      <c r="X2912">
        <v>24</v>
      </c>
      <c r="Y2912" t="s">
        <v>48</v>
      </c>
      <c r="Z2912">
        <v>3</v>
      </c>
      <c r="AA2912">
        <v>161</v>
      </c>
      <c r="AB2912">
        <v>1.9</v>
      </c>
    </row>
    <row r="2913" spans="10:28">
      <c r="J2913" s="340" t="str">
        <f t="shared" si="139"/>
        <v>2010MaleAllEth235</v>
      </c>
      <c r="K2913">
        <v>2010</v>
      </c>
      <c r="L2913" t="s">
        <v>20</v>
      </c>
      <c r="M2913" t="s">
        <v>27</v>
      </c>
      <c r="N2913">
        <v>23</v>
      </c>
      <c r="O2913">
        <v>5</v>
      </c>
      <c r="P2913">
        <v>37</v>
      </c>
      <c r="Q2913">
        <v>34.973169451709097</v>
      </c>
      <c r="R2913">
        <v>11.3</v>
      </c>
      <c r="T2913" s="340" t="str">
        <f t="shared" si="140"/>
        <v>2010AllSexAllEth25Sharp object</v>
      </c>
      <c r="U2913">
        <v>2010</v>
      </c>
      <c r="V2913" t="s">
        <v>17</v>
      </c>
      <c r="W2913" t="s">
        <v>27</v>
      </c>
      <c r="X2913">
        <v>25</v>
      </c>
      <c r="Y2913" t="s">
        <v>48</v>
      </c>
      <c r="Z2913">
        <v>1</v>
      </c>
      <c r="AA2913">
        <v>57</v>
      </c>
      <c r="AB2913">
        <v>1.8</v>
      </c>
    </row>
    <row r="2914" spans="10:28">
      <c r="J2914" s="340" t="str">
        <f t="shared" si="139"/>
        <v>2010MaleAllEth241</v>
      </c>
      <c r="K2914">
        <v>2010</v>
      </c>
      <c r="L2914" t="s">
        <v>20</v>
      </c>
      <c r="M2914" t="s">
        <v>27</v>
      </c>
      <c r="N2914">
        <v>24</v>
      </c>
      <c r="O2914">
        <v>1</v>
      </c>
      <c r="P2914">
        <v>19</v>
      </c>
      <c r="Q2914">
        <v>14.4122992159208</v>
      </c>
      <c r="R2914">
        <v>6.5</v>
      </c>
      <c r="T2914" s="340" t="str">
        <f t="shared" si="140"/>
        <v>2010AllSexAllEth22Submersion (drowning)</v>
      </c>
      <c r="U2914">
        <v>2010</v>
      </c>
      <c r="V2914" t="s">
        <v>17</v>
      </c>
      <c r="W2914" t="s">
        <v>27</v>
      </c>
      <c r="X2914">
        <v>22</v>
      </c>
      <c r="Y2914" t="s">
        <v>49</v>
      </c>
      <c r="Z2914">
        <v>2</v>
      </c>
      <c r="AA2914">
        <v>111</v>
      </c>
      <c r="AB2914">
        <v>1.8</v>
      </c>
    </row>
    <row r="2915" spans="10:28">
      <c r="J2915" s="340" t="str">
        <f t="shared" si="139"/>
        <v>2010MaleAllEth242</v>
      </c>
      <c r="K2915">
        <v>2010</v>
      </c>
      <c r="L2915" t="s">
        <v>20</v>
      </c>
      <c r="M2915" t="s">
        <v>27</v>
      </c>
      <c r="N2915">
        <v>24</v>
      </c>
      <c r="O2915">
        <v>2</v>
      </c>
      <c r="P2915">
        <v>24</v>
      </c>
      <c r="Q2915">
        <v>20.525742317349099</v>
      </c>
      <c r="R2915">
        <v>8.1999999999999993</v>
      </c>
      <c r="T2915" s="340" t="str">
        <f t="shared" si="140"/>
        <v>2010AllSexAllEth23Submersion (drowning)</v>
      </c>
      <c r="U2915">
        <v>2010</v>
      </c>
      <c r="V2915" t="s">
        <v>17</v>
      </c>
      <c r="W2915" t="s">
        <v>27</v>
      </c>
      <c r="X2915">
        <v>23</v>
      </c>
      <c r="Y2915" t="s">
        <v>49</v>
      </c>
      <c r="Z2915">
        <v>2</v>
      </c>
      <c r="AA2915">
        <v>199</v>
      </c>
      <c r="AB2915">
        <v>1</v>
      </c>
    </row>
    <row r="2916" spans="10:28">
      <c r="J2916" s="340" t="str">
        <f t="shared" si="139"/>
        <v>2010MaleAllEth243</v>
      </c>
      <c r="K2916">
        <v>2010</v>
      </c>
      <c r="L2916" t="s">
        <v>20</v>
      </c>
      <c r="M2916" t="s">
        <v>27</v>
      </c>
      <c r="N2916">
        <v>24</v>
      </c>
      <c r="O2916">
        <v>3</v>
      </c>
      <c r="P2916">
        <v>21</v>
      </c>
      <c r="Q2916">
        <v>19.943991372031899</v>
      </c>
      <c r="R2916">
        <v>8.5</v>
      </c>
      <c r="T2916" s="340" t="str">
        <f t="shared" si="140"/>
        <v>2010AllSexAllEth24Submersion (drowning)</v>
      </c>
      <c r="U2916">
        <v>2010</v>
      </c>
      <c r="V2916" t="s">
        <v>17</v>
      </c>
      <c r="W2916" t="s">
        <v>27</v>
      </c>
      <c r="X2916">
        <v>24</v>
      </c>
      <c r="Y2916" t="s">
        <v>49</v>
      </c>
      <c r="Z2916">
        <v>4</v>
      </c>
      <c r="AA2916">
        <v>161</v>
      </c>
      <c r="AB2916">
        <v>2.5</v>
      </c>
    </row>
    <row r="2917" spans="10:28">
      <c r="J2917" s="340" t="str">
        <f t="shared" si="139"/>
        <v>2010MaleAllEth244</v>
      </c>
      <c r="K2917">
        <v>2010</v>
      </c>
      <c r="L2917" t="s">
        <v>20</v>
      </c>
      <c r="M2917" t="s">
        <v>27</v>
      </c>
      <c r="N2917">
        <v>24</v>
      </c>
      <c r="O2917">
        <v>4</v>
      </c>
      <c r="P2917">
        <v>27</v>
      </c>
      <c r="Q2917">
        <v>28.236977616080399</v>
      </c>
      <c r="R2917">
        <v>10.7</v>
      </c>
      <c r="T2917" s="340" t="str">
        <f t="shared" si="140"/>
        <v>2010AllSexAllEth25Submersion (drowning)</v>
      </c>
      <c r="U2917">
        <v>2010</v>
      </c>
      <c r="V2917" t="s">
        <v>17</v>
      </c>
      <c r="W2917" t="s">
        <v>27</v>
      </c>
      <c r="X2917">
        <v>25</v>
      </c>
      <c r="Y2917" t="s">
        <v>49</v>
      </c>
      <c r="Z2917">
        <v>1</v>
      </c>
      <c r="AA2917">
        <v>57</v>
      </c>
      <c r="AB2917">
        <v>1.8</v>
      </c>
    </row>
    <row r="2918" spans="10:28">
      <c r="J2918" s="340" t="str">
        <f t="shared" si="139"/>
        <v>2010MaleAllEth245</v>
      </c>
      <c r="K2918">
        <v>2010</v>
      </c>
      <c r="L2918" t="s">
        <v>20</v>
      </c>
      <c r="M2918" t="s">
        <v>27</v>
      </c>
      <c r="N2918">
        <v>24</v>
      </c>
      <c r="O2918">
        <v>5</v>
      </c>
      <c r="P2918">
        <v>21</v>
      </c>
      <c r="Q2918">
        <v>24.049855534281001</v>
      </c>
      <c r="R2918">
        <v>10.3</v>
      </c>
      <c r="T2918" s="340" t="str">
        <f t="shared" si="140"/>
        <v>2010AllSexMaori22Firearms and explosives</v>
      </c>
      <c r="U2918">
        <v>2010</v>
      </c>
      <c r="V2918" t="s">
        <v>17</v>
      </c>
      <c r="W2918" t="s">
        <v>18</v>
      </c>
      <c r="X2918">
        <v>22</v>
      </c>
      <c r="Y2918" t="s">
        <v>42</v>
      </c>
      <c r="Z2918">
        <v>1</v>
      </c>
      <c r="AA2918">
        <v>42</v>
      </c>
      <c r="AB2918">
        <v>2.4</v>
      </c>
    </row>
    <row r="2919" spans="10:28">
      <c r="J2919" s="340" t="str">
        <f t="shared" si="139"/>
        <v>2010MaleAllEth251</v>
      </c>
      <c r="K2919">
        <v>2010</v>
      </c>
      <c r="L2919" t="s">
        <v>20</v>
      </c>
      <c r="M2919" t="s">
        <v>27</v>
      </c>
      <c r="N2919">
        <v>25</v>
      </c>
      <c r="O2919">
        <v>1</v>
      </c>
      <c r="P2919">
        <v>8</v>
      </c>
      <c r="Q2919">
        <v>14.420700270642801</v>
      </c>
      <c r="R2919">
        <v>10</v>
      </c>
      <c r="T2919" s="340" t="str">
        <f t="shared" si="140"/>
        <v>2010AllSexMaori23Firearms and explosives</v>
      </c>
      <c r="U2919">
        <v>2010</v>
      </c>
      <c r="V2919" t="s">
        <v>17</v>
      </c>
      <c r="W2919" t="s">
        <v>18</v>
      </c>
      <c r="X2919">
        <v>23</v>
      </c>
      <c r="Y2919" t="s">
        <v>42</v>
      </c>
      <c r="Z2919">
        <v>3</v>
      </c>
      <c r="AA2919">
        <v>41</v>
      </c>
      <c r="AB2919">
        <v>7.3</v>
      </c>
    </row>
    <row r="2920" spans="10:28">
      <c r="J2920" s="340" t="str">
        <f t="shared" si="139"/>
        <v>2010MaleAllEth252</v>
      </c>
      <c r="K2920">
        <v>2010</v>
      </c>
      <c r="L2920" t="s">
        <v>20</v>
      </c>
      <c r="M2920" t="s">
        <v>27</v>
      </c>
      <c r="N2920">
        <v>25</v>
      </c>
      <c r="O2920">
        <v>2</v>
      </c>
      <c r="P2920">
        <v>10</v>
      </c>
      <c r="Q2920">
        <v>18.2658745491152</v>
      </c>
      <c r="R2920">
        <v>11.3</v>
      </c>
      <c r="T2920" s="340" t="str">
        <f t="shared" si="140"/>
        <v>2010AllSexMaori21Hanging, strangulation and suffocation</v>
      </c>
      <c r="U2920">
        <v>2010</v>
      </c>
      <c r="V2920" t="s">
        <v>17</v>
      </c>
      <c r="W2920" t="s">
        <v>18</v>
      </c>
      <c r="X2920">
        <v>21</v>
      </c>
      <c r="Y2920" t="s">
        <v>43</v>
      </c>
      <c r="Z2920">
        <v>4</v>
      </c>
      <c r="AA2920">
        <v>4</v>
      </c>
      <c r="AB2920">
        <v>100</v>
      </c>
    </row>
    <row r="2921" spans="10:28">
      <c r="J2921" s="340" t="str">
        <f t="shared" si="139"/>
        <v>2010MaleAllEth253</v>
      </c>
      <c r="K2921">
        <v>2010</v>
      </c>
      <c r="L2921" t="s">
        <v>20</v>
      </c>
      <c r="M2921" t="s">
        <v>27</v>
      </c>
      <c r="N2921">
        <v>25</v>
      </c>
      <c r="O2921">
        <v>3</v>
      </c>
      <c r="P2921">
        <v>10</v>
      </c>
      <c r="Q2921">
        <v>18.9540158694094</v>
      </c>
      <c r="R2921">
        <v>11.7</v>
      </c>
      <c r="T2921" s="340" t="str">
        <f t="shared" si="140"/>
        <v>2010AllSexMaori22Hanging, strangulation and suffocation</v>
      </c>
      <c r="U2921">
        <v>2010</v>
      </c>
      <c r="V2921" t="s">
        <v>17</v>
      </c>
      <c r="W2921" t="s">
        <v>18</v>
      </c>
      <c r="X2921">
        <v>22</v>
      </c>
      <c r="Y2921" t="s">
        <v>43</v>
      </c>
      <c r="Z2921">
        <v>37</v>
      </c>
      <c r="AA2921">
        <v>42</v>
      </c>
      <c r="AB2921">
        <v>88.1</v>
      </c>
    </row>
    <row r="2922" spans="10:28">
      <c r="J2922" s="340" t="str">
        <f t="shared" si="139"/>
        <v>2010MaleAllEth254</v>
      </c>
      <c r="K2922">
        <v>2010</v>
      </c>
      <c r="L2922" t="s">
        <v>20</v>
      </c>
      <c r="M2922" t="s">
        <v>27</v>
      </c>
      <c r="N2922">
        <v>25</v>
      </c>
      <c r="O2922">
        <v>4</v>
      </c>
      <c r="P2922">
        <v>10</v>
      </c>
      <c r="Q2922">
        <v>19.526049490442201</v>
      </c>
      <c r="R2922">
        <v>12.1</v>
      </c>
      <c r="T2922" s="340" t="str">
        <f t="shared" si="140"/>
        <v>2010AllSexMaori23Hanging, strangulation and suffocation</v>
      </c>
      <c r="U2922">
        <v>2010</v>
      </c>
      <c r="V2922" t="s">
        <v>17</v>
      </c>
      <c r="W2922" t="s">
        <v>18</v>
      </c>
      <c r="X2922">
        <v>23</v>
      </c>
      <c r="Y2922" t="s">
        <v>43</v>
      </c>
      <c r="Z2922">
        <v>30</v>
      </c>
      <c r="AA2922">
        <v>41</v>
      </c>
      <c r="AB2922">
        <v>73.2</v>
      </c>
    </row>
    <row r="2923" spans="10:28">
      <c r="J2923" s="340" t="str">
        <f t="shared" si="139"/>
        <v>2010MaleAllEth255</v>
      </c>
      <c r="K2923">
        <v>2010</v>
      </c>
      <c r="L2923" t="s">
        <v>20</v>
      </c>
      <c r="M2923" t="s">
        <v>27</v>
      </c>
      <c r="N2923">
        <v>25</v>
      </c>
      <c r="O2923">
        <v>5</v>
      </c>
      <c r="P2923">
        <v>3</v>
      </c>
      <c r="Q2923">
        <v>7.0932870479273999</v>
      </c>
      <c r="R2923">
        <v>8</v>
      </c>
      <c r="T2923" s="340" t="str">
        <f t="shared" si="140"/>
        <v>2010AllSexMaori24Hanging, strangulation and suffocation</v>
      </c>
      <c r="U2923">
        <v>2010</v>
      </c>
      <c r="V2923" t="s">
        <v>17</v>
      </c>
      <c r="W2923" t="s">
        <v>18</v>
      </c>
      <c r="X2923">
        <v>24</v>
      </c>
      <c r="Y2923" t="s">
        <v>43</v>
      </c>
      <c r="Z2923">
        <v>7</v>
      </c>
      <c r="AA2923">
        <v>15</v>
      </c>
      <c r="AB2923">
        <v>46.7</v>
      </c>
    </row>
    <row r="2924" spans="10:28">
      <c r="J2924" s="340" t="str">
        <f t="shared" si="139"/>
        <v>2010MaleMaori211</v>
      </c>
      <c r="K2924">
        <v>2010</v>
      </c>
      <c r="L2924" t="s">
        <v>20</v>
      </c>
      <c r="M2924" t="s">
        <v>18</v>
      </c>
      <c r="N2924">
        <v>21</v>
      </c>
      <c r="O2924">
        <v>1</v>
      </c>
      <c r="P2924">
        <v>0</v>
      </c>
      <c r="Q2924">
        <v>0</v>
      </c>
      <c r="T2924" s="340" t="str">
        <f t="shared" si="140"/>
        <v>2010AllSexMaori23Jumping from a high place</v>
      </c>
      <c r="U2924">
        <v>2010</v>
      </c>
      <c r="V2924" t="s">
        <v>17</v>
      </c>
      <c r="W2924" t="s">
        <v>18</v>
      </c>
      <c r="X2924">
        <v>23</v>
      </c>
      <c r="Y2924" t="s">
        <v>44</v>
      </c>
      <c r="Z2924">
        <v>1</v>
      </c>
      <c r="AA2924">
        <v>41</v>
      </c>
      <c r="AB2924">
        <v>2.4</v>
      </c>
    </row>
    <row r="2925" spans="10:28">
      <c r="J2925" s="340" t="str">
        <f t="shared" si="139"/>
        <v>2010MaleMaori212</v>
      </c>
      <c r="K2925">
        <v>2010</v>
      </c>
      <c r="L2925" t="s">
        <v>20</v>
      </c>
      <c r="M2925" t="s">
        <v>18</v>
      </c>
      <c r="N2925">
        <v>21</v>
      </c>
      <c r="O2925">
        <v>2</v>
      </c>
      <c r="P2925">
        <v>0</v>
      </c>
      <c r="Q2925">
        <v>0</v>
      </c>
      <c r="T2925" s="340" t="str">
        <f t="shared" si="140"/>
        <v>2010AllSexMaori22Other</v>
      </c>
      <c r="U2925">
        <v>2010</v>
      </c>
      <c r="V2925" t="s">
        <v>17</v>
      </c>
      <c r="W2925" t="s">
        <v>18</v>
      </c>
      <c r="X2925">
        <v>22</v>
      </c>
      <c r="Y2925" t="s">
        <v>45</v>
      </c>
      <c r="Z2925">
        <v>3</v>
      </c>
      <c r="AA2925">
        <v>42</v>
      </c>
      <c r="AB2925">
        <v>7.1</v>
      </c>
    </row>
    <row r="2926" spans="10:28">
      <c r="J2926" s="340" t="str">
        <f t="shared" si="139"/>
        <v>2010MaleMaori213</v>
      </c>
      <c r="K2926">
        <v>2010</v>
      </c>
      <c r="L2926" t="s">
        <v>20</v>
      </c>
      <c r="M2926" t="s">
        <v>18</v>
      </c>
      <c r="N2926">
        <v>21</v>
      </c>
      <c r="O2926">
        <v>3</v>
      </c>
      <c r="P2926">
        <v>1</v>
      </c>
      <c r="Q2926">
        <v>5.3454677723169297</v>
      </c>
      <c r="R2926">
        <v>10.5</v>
      </c>
      <c r="T2926" s="340" t="str">
        <f t="shared" si="140"/>
        <v>2010AllSexMaori23Poisoning by gases and vapours</v>
      </c>
      <c r="U2926">
        <v>2010</v>
      </c>
      <c r="V2926" t="s">
        <v>17</v>
      </c>
      <c r="W2926" t="s">
        <v>18</v>
      </c>
      <c r="X2926">
        <v>23</v>
      </c>
      <c r="Y2926" t="s">
        <v>46</v>
      </c>
      <c r="Z2926">
        <v>2</v>
      </c>
      <c r="AA2926">
        <v>41</v>
      </c>
      <c r="AB2926">
        <v>4.9000000000000004</v>
      </c>
    </row>
    <row r="2927" spans="10:28">
      <c r="J2927" s="340" t="str">
        <f t="shared" si="139"/>
        <v>2010MaleMaori214</v>
      </c>
      <c r="K2927">
        <v>2010</v>
      </c>
      <c r="L2927" t="s">
        <v>20</v>
      </c>
      <c r="M2927" t="s">
        <v>18</v>
      </c>
      <c r="N2927">
        <v>21</v>
      </c>
      <c r="O2927">
        <v>4</v>
      </c>
      <c r="P2927">
        <v>0</v>
      </c>
      <c r="Q2927">
        <v>0</v>
      </c>
      <c r="T2927" s="340" t="str">
        <f t="shared" si="140"/>
        <v>2010AllSexMaori24Poisoning by gases and vapours</v>
      </c>
      <c r="U2927">
        <v>2010</v>
      </c>
      <c r="V2927" t="s">
        <v>17</v>
      </c>
      <c r="W2927" t="s">
        <v>18</v>
      </c>
      <c r="X2927">
        <v>24</v>
      </c>
      <c r="Y2927" t="s">
        <v>46</v>
      </c>
      <c r="Z2927">
        <v>2</v>
      </c>
      <c r="AA2927">
        <v>15</v>
      </c>
      <c r="AB2927">
        <v>13.3</v>
      </c>
    </row>
    <row r="2928" spans="10:28">
      <c r="J2928" s="340" t="str">
        <f t="shared" si="139"/>
        <v>2010MaleMaori215</v>
      </c>
      <c r="K2928">
        <v>2010</v>
      </c>
      <c r="L2928" t="s">
        <v>20</v>
      </c>
      <c r="M2928" t="s">
        <v>18</v>
      </c>
      <c r="N2928">
        <v>21</v>
      </c>
      <c r="O2928">
        <v>5</v>
      </c>
      <c r="P2928">
        <v>1</v>
      </c>
      <c r="Q2928">
        <v>2.0360531050636901</v>
      </c>
      <c r="R2928">
        <v>4</v>
      </c>
      <c r="T2928" s="340" t="str">
        <f t="shared" si="140"/>
        <v>2010AllSexMaori22Poisoning by solids and liquids</v>
      </c>
      <c r="U2928">
        <v>2010</v>
      </c>
      <c r="V2928" t="s">
        <v>17</v>
      </c>
      <c r="W2928" t="s">
        <v>18</v>
      </c>
      <c r="X2928">
        <v>22</v>
      </c>
      <c r="Y2928" t="s">
        <v>47</v>
      </c>
      <c r="Z2928">
        <v>1</v>
      </c>
      <c r="AA2928">
        <v>42</v>
      </c>
      <c r="AB2928">
        <v>2.4</v>
      </c>
    </row>
    <row r="2929" spans="10:28">
      <c r="J2929" s="340" t="str">
        <f t="shared" si="139"/>
        <v>2010MaleMaori221</v>
      </c>
      <c r="K2929">
        <v>2010</v>
      </c>
      <c r="L2929" t="s">
        <v>20</v>
      </c>
      <c r="M2929" t="s">
        <v>18</v>
      </c>
      <c r="N2929">
        <v>22</v>
      </c>
      <c r="O2929">
        <v>1</v>
      </c>
      <c r="P2929">
        <v>1</v>
      </c>
      <c r="Q2929">
        <v>18.844867226030999</v>
      </c>
      <c r="R2929">
        <v>36.9</v>
      </c>
      <c r="T2929" s="340" t="str">
        <f t="shared" si="140"/>
        <v>2010AllSexMaori23Poisoning by solids and liquids</v>
      </c>
      <c r="U2929">
        <v>2010</v>
      </c>
      <c r="V2929" t="s">
        <v>17</v>
      </c>
      <c r="W2929" t="s">
        <v>18</v>
      </c>
      <c r="X2929">
        <v>23</v>
      </c>
      <c r="Y2929" t="s">
        <v>47</v>
      </c>
      <c r="Z2929">
        <v>5</v>
      </c>
      <c r="AA2929">
        <v>41</v>
      </c>
      <c r="AB2929">
        <v>12.2</v>
      </c>
    </row>
    <row r="2930" spans="10:28">
      <c r="J2930" s="340" t="str">
        <f t="shared" si="139"/>
        <v>2010MaleMaori222</v>
      </c>
      <c r="K2930">
        <v>2010</v>
      </c>
      <c r="L2930" t="s">
        <v>20</v>
      </c>
      <c r="M2930" t="s">
        <v>18</v>
      </c>
      <c r="N2930">
        <v>22</v>
      </c>
      <c r="O2930">
        <v>2</v>
      </c>
      <c r="P2930">
        <v>0</v>
      </c>
      <c r="Q2930">
        <v>0</v>
      </c>
      <c r="T2930" s="340" t="str">
        <f t="shared" si="140"/>
        <v>2010AllSexMaori24Poisoning by solids and liquids</v>
      </c>
      <c r="U2930">
        <v>2010</v>
      </c>
      <c r="V2930" t="s">
        <v>17</v>
      </c>
      <c r="W2930" t="s">
        <v>18</v>
      </c>
      <c r="X2930">
        <v>24</v>
      </c>
      <c r="Y2930" t="s">
        <v>47</v>
      </c>
      <c r="Z2930">
        <v>5</v>
      </c>
      <c r="AA2930">
        <v>15</v>
      </c>
      <c r="AB2930">
        <v>33.299999999999997</v>
      </c>
    </row>
    <row r="2931" spans="10:28">
      <c r="J2931" s="340" t="str">
        <f t="shared" si="139"/>
        <v>2010MaleMaori223</v>
      </c>
      <c r="K2931">
        <v>2010</v>
      </c>
      <c r="L2931" t="s">
        <v>20</v>
      </c>
      <c r="M2931" t="s">
        <v>18</v>
      </c>
      <c r="N2931">
        <v>22</v>
      </c>
      <c r="O2931">
        <v>3</v>
      </c>
      <c r="P2931">
        <v>1</v>
      </c>
      <c r="Q2931">
        <v>9.8547765484389807</v>
      </c>
      <c r="R2931">
        <v>19.3</v>
      </c>
      <c r="T2931" s="340" t="str">
        <f t="shared" si="140"/>
        <v>2010AllSexMaori24Sharp object</v>
      </c>
      <c r="U2931">
        <v>2010</v>
      </c>
      <c r="V2931" t="s">
        <v>17</v>
      </c>
      <c r="W2931" t="s">
        <v>18</v>
      </c>
      <c r="X2931">
        <v>24</v>
      </c>
      <c r="Y2931" t="s">
        <v>48</v>
      </c>
      <c r="Z2931">
        <v>1</v>
      </c>
      <c r="AA2931">
        <v>15</v>
      </c>
      <c r="AB2931">
        <v>6.7</v>
      </c>
    </row>
    <row r="2932" spans="10:28">
      <c r="J2932" s="340" t="str">
        <f t="shared" si="139"/>
        <v>2010MaleMaori224</v>
      </c>
      <c r="K2932">
        <v>2010</v>
      </c>
      <c r="L2932" t="s">
        <v>20</v>
      </c>
      <c r="M2932" t="s">
        <v>18</v>
      </c>
      <c r="N2932">
        <v>22</v>
      </c>
      <c r="O2932">
        <v>4</v>
      </c>
      <c r="P2932">
        <v>7</v>
      </c>
      <c r="Q2932">
        <v>48.835213948171003</v>
      </c>
      <c r="R2932">
        <v>36.200000000000003</v>
      </c>
      <c r="T2932" s="340" t="str">
        <f t="shared" si="140"/>
        <v>2010AllSexNon-Maori22Firearms and explosives</v>
      </c>
      <c r="U2932">
        <v>2010</v>
      </c>
      <c r="V2932" t="s">
        <v>17</v>
      </c>
      <c r="W2932" t="s">
        <v>19</v>
      </c>
      <c r="X2932">
        <v>22</v>
      </c>
      <c r="Y2932" t="s">
        <v>42</v>
      </c>
      <c r="Z2932">
        <v>4</v>
      </c>
      <c r="AA2932">
        <v>69</v>
      </c>
      <c r="AB2932">
        <v>5.8</v>
      </c>
    </row>
    <row r="2933" spans="10:28">
      <c r="J2933" s="340" t="str">
        <f t="shared" si="139"/>
        <v>2010MaleMaori225</v>
      </c>
      <c r="K2933">
        <v>2010</v>
      </c>
      <c r="L2933" t="s">
        <v>20</v>
      </c>
      <c r="M2933" t="s">
        <v>18</v>
      </c>
      <c r="N2933">
        <v>22</v>
      </c>
      <c r="O2933">
        <v>5</v>
      </c>
      <c r="P2933">
        <v>18</v>
      </c>
      <c r="Q2933">
        <v>75.489816443106207</v>
      </c>
      <c r="R2933">
        <v>34.9</v>
      </c>
      <c r="T2933" s="340" t="str">
        <f t="shared" si="140"/>
        <v>2010AllSexNon-Maori23Firearms and explosives</v>
      </c>
      <c r="U2933">
        <v>2010</v>
      </c>
      <c r="V2933" t="s">
        <v>17</v>
      </c>
      <c r="W2933" t="s">
        <v>19</v>
      </c>
      <c r="X2933">
        <v>23</v>
      </c>
      <c r="Y2933" t="s">
        <v>42</v>
      </c>
      <c r="Z2933">
        <v>11</v>
      </c>
      <c r="AA2933">
        <v>158</v>
      </c>
      <c r="AB2933">
        <v>7</v>
      </c>
    </row>
    <row r="2934" spans="10:28">
      <c r="J2934" s="340" t="str">
        <f t="shared" si="139"/>
        <v>2010MaleMaori231</v>
      </c>
      <c r="K2934">
        <v>2010</v>
      </c>
      <c r="L2934" t="s">
        <v>20</v>
      </c>
      <c r="M2934" t="s">
        <v>18</v>
      </c>
      <c r="N2934">
        <v>23</v>
      </c>
      <c r="O2934">
        <v>1</v>
      </c>
      <c r="P2934">
        <v>0</v>
      </c>
      <c r="Q2934">
        <v>0</v>
      </c>
      <c r="T2934" s="340" t="str">
        <f t="shared" si="140"/>
        <v>2010AllSexNon-Maori24Firearms and explosives</v>
      </c>
      <c r="U2934">
        <v>2010</v>
      </c>
      <c r="V2934" t="s">
        <v>17</v>
      </c>
      <c r="W2934" t="s">
        <v>19</v>
      </c>
      <c r="X2934">
        <v>24</v>
      </c>
      <c r="Y2934" t="s">
        <v>42</v>
      </c>
      <c r="Z2934">
        <v>13</v>
      </c>
      <c r="AA2934">
        <v>146</v>
      </c>
      <c r="AB2934">
        <v>8.9</v>
      </c>
    </row>
    <row r="2935" spans="10:28">
      <c r="J2935" s="340" t="str">
        <f t="shared" si="139"/>
        <v>2010MaleMaori232</v>
      </c>
      <c r="K2935">
        <v>2010</v>
      </c>
      <c r="L2935" t="s">
        <v>20</v>
      </c>
      <c r="M2935" t="s">
        <v>18</v>
      </c>
      <c r="N2935">
        <v>23</v>
      </c>
      <c r="O2935">
        <v>2</v>
      </c>
      <c r="P2935">
        <v>6</v>
      </c>
      <c r="Q2935">
        <v>60.1266454928641</v>
      </c>
      <c r="R2935">
        <v>48.1</v>
      </c>
      <c r="T2935" s="340" t="str">
        <f t="shared" si="140"/>
        <v>2010AllSexNon-Maori25Firearms and explosives</v>
      </c>
      <c r="U2935">
        <v>2010</v>
      </c>
      <c r="V2935" t="s">
        <v>17</v>
      </c>
      <c r="W2935" t="s">
        <v>19</v>
      </c>
      <c r="X2935">
        <v>25</v>
      </c>
      <c r="Y2935" t="s">
        <v>42</v>
      </c>
      <c r="Z2935">
        <v>10</v>
      </c>
      <c r="AA2935">
        <v>57</v>
      </c>
      <c r="AB2935">
        <v>17.5</v>
      </c>
    </row>
    <row r="2936" spans="10:28">
      <c r="J2936" s="340" t="str">
        <f t="shared" si="139"/>
        <v>2010MaleMaori233</v>
      </c>
      <c r="K2936">
        <v>2010</v>
      </c>
      <c r="L2936" t="s">
        <v>20</v>
      </c>
      <c r="M2936" t="s">
        <v>18</v>
      </c>
      <c r="N2936">
        <v>23</v>
      </c>
      <c r="O2936">
        <v>3</v>
      </c>
      <c r="P2936">
        <v>7</v>
      </c>
      <c r="Q2936">
        <v>50.518594853468898</v>
      </c>
      <c r="R2936">
        <v>37.4</v>
      </c>
      <c r="T2936" s="340" t="str">
        <f t="shared" si="140"/>
        <v>2010AllSexNon-Maori21Hanging, strangulation and suffocation</v>
      </c>
      <c r="U2936">
        <v>2010</v>
      </c>
      <c r="V2936" t="s">
        <v>17</v>
      </c>
      <c r="W2936" t="s">
        <v>19</v>
      </c>
      <c r="X2936">
        <v>21</v>
      </c>
      <c r="Y2936" t="s">
        <v>43</v>
      </c>
      <c r="Z2936">
        <v>2</v>
      </c>
      <c r="AA2936">
        <v>2</v>
      </c>
      <c r="AB2936">
        <v>100</v>
      </c>
    </row>
    <row r="2937" spans="10:28">
      <c r="J2937" s="340" t="str">
        <f t="shared" si="139"/>
        <v>2010MaleMaori234</v>
      </c>
      <c r="K2937">
        <v>2010</v>
      </c>
      <c r="L2937" t="s">
        <v>20</v>
      </c>
      <c r="M2937" t="s">
        <v>18</v>
      </c>
      <c r="N2937">
        <v>23</v>
      </c>
      <c r="O2937">
        <v>4</v>
      </c>
      <c r="P2937">
        <v>5</v>
      </c>
      <c r="Q2937">
        <v>26.635636134718599</v>
      </c>
      <c r="R2937">
        <v>23.3</v>
      </c>
      <c r="T2937" s="340" t="str">
        <f t="shared" si="140"/>
        <v>2010AllSexNon-Maori22Hanging, strangulation and suffocation</v>
      </c>
      <c r="U2937">
        <v>2010</v>
      </c>
      <c r="V2937" t="s">
        <v>17</v>
      </c>
      <c r="W2937" t="s">
        <v>19</v>
      </c>
      <c r="X2937">
        <v>22</v>
      </c>
      <c r="Y2937" t="s">
        <v>43</v>
      </c>
      <c r="Z2937">
        <v>50</v>
      </c>
      <c r="AA2937">
        <v>69</v>
      </c>
      <c r="AB2937">
        <v>72.5</v>
      </c>
    </row>
    <row r="2938" spans="10:28">
      <c r="J2938" s="340" t="str">
        <f t="shared" si="139"/>
        <v>2010MaleMaori235</v>
      </c>
      <c r="K2938">
        <v>2010</v>
      </c>
      <c r="L2938" t="s">
        <v>20</v>
      </c>
      <c r="M2938" t="s">
        <v>18</v>
      </c>
      <c r="N2938">
        <v>23</v>
      </c>
      <c r="O2938">
        <v>5</v>
      </c>
      <c r="P2938">
        <v>12</v>
      </c>
      <c r="Q2938">
        <v>42.825423349741101</v>
      </c>
      <c r="R2938">
        <v>24.2</v>
      </c>
      <c r="T2938" s="340" t="str">
        <f t="shared" si="140"/>
        <v>2010AllSexNon-Maori23Hanging, strangulation and suffocation</v>
      </c>
      <c r="U2938">
        <v>2010</v>
      </c>
      <c r="V2938" t="s">
        <v>17</v>
      </c>
      <c r="W2938" t="s">
        <v>19</v>
      </c>
      <c r="X2938">
        <v>23</v>
      </c>
      <c r="Y2938" t="s">
        <v>43</v>
      </c>
      <c r="Z2938">
        <v>92</v>
      </c>
      <c r="AA2938">
        <v>158</v>
      </c>
      <c r="AB2938">
        <v>58.2</v>
      </c>
    </row>
    <row r="2939" spans="10:28">
      <c r="J2939" s="340" t="str">
        <f t="shared" si="139"/>
        <v>2010MaleMaori241</v>
      </c>
      <c r="K2939">
        <v>2010</v>
      </c>
      <c r="L2939" t="s">
        <v>20</v>
      </c>
      <c r="M2939" t="s">
        <v>18</v>
      </c>
      <c r="N2939">
        <v>24</v>
      </c>
      <c r="O2939">
        <v>1</v>
      </c>
      <c r="P2939">
        <v>0</v>
      </c>
      <c r="Q2939">
        <v>0</v>
      </c>
      <c r="T2939" s="340" t="str">
        <f t="shared" si="140"/>
        <v>2010AllSexNon-Maori24Hanging, strangulation and suffocation</v>
      </c>
      <c r="U2939">
        <v>2010</v>
      </c>
      <c r="V2939" t="s">
        <v>17</v>
      </c>
      <c r="W2939" t="s">
        <v>19</v>
      </c>
      <c r="X2939">
        <v>24</v>
      </c>
      <c r="Y2939" t="s">
        <v>43</v>
      </c>
      <c r="Z2939">
        <v>69</v>
      </c>
      <c r="AA2939">
        <v>146</v>
      </c>
      <c r="AB2939">
        <v>47.3</v>
      </c>
    </row>
    <row r="2940" spans="10:28">
      <c r="J2940" s="340" t="str">
        <f t="shared" si="139"/>
        <v>2010MaleMaori242</v>
      </c>
      <c r="K2940">
        <v>2010</v>
      </c>
      <c r="L2940" t="s">
        <v>20</v>
      </c>
      <c r="M2940" t="s">
        <v>18</v>
      </c>
      <c r="N2940">
        <v>24</v>
      </c>
      <c r="O2940">
        <v>2</v>
      </c>
      <c r="P2940">
        <v>2</v>
      </c>
      <c r="Q2940">
        <v>28.337802707091299</v>
      </c>
      <c r="R2940">
        <v>39.299999999999997</v>
      </c>
      <c r="T2940" s="340" t="str">
        <f t="shared" si="140"/>
        <v>2010AllSexNon-Maori25Hanging, strangulation and suffocation</v>
      </c>
      <c r="U2940">
        <v>2010</v>
      </c>
      <c r="V2940" t="s">
        <v>17</v>
      </c>
      <c r="W2940" t="s">
        <v>19</v>
      </c>
      <c r="X2940">
        <v>25</v>
      </c>
      <c r="Y2940" t="s">
        <v>43</v>
      </c>
      <c r="Z2940">
        <v>22</v>
      </c>
      <c r="AA2940">
        <v>57</v>
      </c>
      <c r="AB2940">
        <v>38.6</v>
      </c>
    </row>
    <row r="2941" spans="10:28">
      <c r="J2941" s="340" t="str">
        <f t="shared" si="139"/>
        <v>2010MaleMaori243</v>
      </c>
      <c r="K2941">
        <v>2010</v>
      </c>
      <c r="L2941" t="s">
        <v>20</v>
      </c>
      <c r="M2941" t="s">
        <v>18</v>
      </c>
      <c r="N2941">
        <v>24</v>
      </c>
      <c r="O2941">
        <v>3</v>
      </c>
      <c r="P2941">
        <v>0</v>
      </c>
      <c r="Q2941">
        <v>0</v>
      </c>
      <c r="T2941" s="340" t="str">
        <f t="shared" si="140"/>
        <v>2010AllSexNon-Maori22Jumping from a high place</v>
      </c>
      <c r="U2941">
        <v>2010</v>
      </c>
      <c r="V2941" t="s">
        <v>17</v>
      </c>
      <c r="W2941" t="s">
        <v>19</v>
      </c>
      <c r="X2941">
        <v>22</v>
      </c>
      <c r="Y2941" t="s">
        <v>44</v>
      </c>
      <c r="Z2941">
        <v>2</v>
      </c>
      <c r="AA2941">
        <v>69</v>
      </c>
      <c r="AB2941">
        <v>2.9</v>
      </c>
    </row>
    <row r="2942" spans="10:28">
      <c r="J2942" s="340" t="str">
        <f t="shared" si="139"/>
        <v>2010MaleMaori244</v>
      </c>
      <c r="K2942">
        <v>2010</v>
      </c>
      <c r="L2942" t="s">
        <v>20</v>
      </c>
      <c r="M2942" t="s">
        <v>18</v>
      </c>
      <c r="N2942">
        <v>24</v>
      </c>
      <c r="O2942">
        <v>4</v>
      </c>
      <c r="P2942">
        <v>2</v>
      </c>
      <c r="Q2942">
        <v>16.203914576512499</v>
      </c>
      <c r="R2942">
        <v>22.5</v>
      </c>
      <c r="T2942" s="340" t="str">
        <f t="shared" si="140"/>
        <v>2010AllSexNon-Maori23Jumping from a high place</v>
      </c>
      <c r="U2942">
        <v>2010</v>
      </c>
      <c r="V2942" t="s">
        <v>17</v>
      </c>
      <c r="W2942" t="s">
        <v>19</v>
      </c>
      <c r="X2942">
        <v>23</v>
      </c>
      <c r="Y2942" t="s">
        <v>44</v>
      </c>
      <c r="Z2942">
        <v>3</v>
      </c>
      <c r="AA2942">
        <v>158</v>
      </c>
      <c r="AB2942">
        <v>1.9</v>
      </c>
    </row>
    <row r="2943" spans="10:28">
      <c r="J2943" s="340" t="str">
        <f t="shared" si="139"/>
        <v>2010MaleMaori245</v>
      </c>
      <c r="K2943">
        <v>2010</v>
      </c>
      <c r="L2943" t="s">
        <v>20</v>
      </c>
      <c r="M2943" t="s">
        <v>18</v>
      </c>
      <c r="N2943">
        <v>24</v>
      </c>
      <c r="O2943">
        <v>5</v>
      </c>
      <c r="P2943">
        <v>7</v>
      </c>
      <c r="Q2943">
        <v>34.176087836630003</v>
      </c>
      <c r="R2943">
        <v>25.3</v>
      </c>
      <c r="T2943" s="340" t="str">
        <f t="shared" si="140"/>
        <v>2010AllSexNon-Maori24Jumping from a high place</v>
      </c>
      <c r="U2943">
        <v>2010</v>
      </c>
      <c r="V2943" t="s">
        <v>17</v>
      </c>
      <c r="W2943" t="s">
        <v>19</v>
      </c>
      <c r="X2943">
        <v>24</v>
      </c>
      <c r="Y2943" t="s">
        <v>44</v>
      </c>
      <c r="Z2943">
        <v>6</v>
      </c>
      <c r="AA2943">
        <v>146</v>
      </c>
      <c r="AB2943">
        <v>4.0999999999999996</v>
      </c>
    </row>
    <row r="2944" spans="10:28">
      <c r="J2944" s="340" t="str">
        <f t="shared" si="139"/>
        <v>2010MaleMaori251</v>
      </c>
      <c r="K2944">
        <v>2010</v>
      </c>
      <c r="L2944" t="s">
        <v>20</v>
      </c>
      <c r="M2944" t="s">
        <v>18</v>
      </c>
      <c r="N2944">
        <v>25</v>
      </c>
      <c r="O2944">
        <v>1</v>
      </c>
      <c r="P2944">
        <v>0</v>
      </c>
      <c r="Q2944">
        <v>0</v>
      </c>
      <c r="T2944" s="340" t="str">
        <f t="shared" si="140"/>
        <v>2010AllSexNon-Maori25Jumping from a high place</v>
      </c>
      <c r="U2944">
        <v>2010</v>
      </c>
      <c r="V2944" t="s">
        <v>17</v>
      </c>
      <c r="W2944" t="s">
        <v>19</v>
      </c>
      <c r="X2944">
        <v>25</v>
      </c>
      <c r="Y2944" t="s">
        <v>44</v>
      </c>
      <c r="Z2944">
        <v>1</v>
      </c>
      <c r="AA2944">
        <v>57</v>
      </c>
      <c r="AB2944">
        <v>1.8</v>
      </c>
    </row>
    <row r="2945" spans="10:28">
      <c r="J2945" s="340" t="str">
        <f t="shared" si="139"/>
        <v>2010MaleMaori252</v>
      </c>
      <c r="K2945">
        <v>2010</v>
      </c>
      <c r="L2945" t="s">
        <v>20</v>
      </c>
      <c r="M2945" t="s">
        <v>18</v>
      </c>
      <c r="N2945">
        <v>25</v>
      </c>
      <c r="O2945">
        <v>2</v>
      </c>
      <c r="P2945">
        <v>0</v>
      </c>
      <c r="Q2945">
        <v>0</v>
      </c>
      <c r="T2945" s="340" t="str">
        <f t="shared" si="140"/>
        <v>2010AllSexNon-Maori22Other</v>
      </c>
      <c r="U2945">
        <v>2010</v>
      </c>
      <c r="V2945" t="s">
        <v>17</v>
      </c>
      <c r="W2945" t="s">
        <v>19</v>
      </c>
      <c r="X2945">
        <v>22</v>
      </c>
      <c r="Y2945" t="s">
        <v>45</v>
      </c>
      <c r="Z2945">
        <v>1</v>
      </c>
      <c r="AA2945">
        <v>69</v>
      </c>
      <c r="AB2945">
        <v>1.4</v>
      </c>
    </row>
    <row r="2946" spans="10:28">
      <c r="J2946" s="340" t="str">
        <f t="shared" si="139"/>
        <v>2010MaleMaori253</v>
      </c>
      <c r="K2946">
        <v>2010</v>
      </c>
      <c r="L2946" t="s">
        <v>20</v>
      </c>
      <c r="M2946" t="s">
        <v>18</v>
      </c>
      <c r="N2946">
        <v>25</v>
      </c>
      <c r="O2946">
        <v>3</v>
      </c>
      <c r="P2946">
        <v>0</v>
      </c>
      <c r="Q2946">
        <v>0</v>
      </c>
      <c r="T2946" s="340" t="str">
        <f t="shared" si="140"/>
        <v>2010AllSexNon-Maori23Other</v>
      </c>
      <c r="U2946">
        <v>2010</v>
      </c>
      <c r="V2946" t="s">
        <v>17</v>
      </c>
      <c r="W2946" t="s">
        <v>19</v>
      </c>
      <c r="X2946">
        <v>23</v>
      </c>
      <c r="Y2946" t="s">
        <v>45</v>
      </c>
      <c r="Z2946">
        <v>4</v>
      </c>
      <c r="AA2946">
        <v>158</v>
      </c>
      <c r="AB2946">
        <v>2.5</v>
      </c>
    </row>
    <row r="2947" spans="10:28">
      <c r="J2947" s="340" t="str">
        <f t="shared" si="139"/>
        <v>2010MaleMaori254</v>
      </c>
      <c r="K2947">
        <v>2010</v>
      </c>
      <c r="L2947" t="s">
        <v>20</v>
      </c>
      <c r="M2947" t="s">
        <v>18</v>
      </c>
      <c r="N2947">
        <v>25</v>
      </c>
      <c r="O2947">
        <v>4</v>
      </c>
      <c r="P2947">
        <v>0</v>
      </c>
      <c r="Q2947">
        <v>0</v>
      </c>
      <c r="T2947" s="340" t="str">
        <f t="shared" si="140"/>
        <v>2010AllSexNon-Maori24Other</v>
      </c>
      <c r="U2947">
        <v>2010</v>
      </c>
      <c r="V2947" t="s">
        <v>17</v>
      </c>
      <c r="W2947" t="s">
        <v>19</v>
      </c>
      <c r="X2947">
        <v>24</v>
      </c>
      <c r="Y2947" t="s">
        <v>45</v>
      </c>
      <c r="Z2947">
        <v>10</v>
      </c>
      <c r="AA2947">
        <v>146</v>
      </c>
      <c r="AB2947">
        <v>6.8</v>
      </c>
    </row>
    <row r="2948" spans="10:28">
      <c r="J2948" s="340" t="str">
        <f t="shared" ref="J2948:J3011" si="141">K2948&amp;L2948&amp;M2948&amp;N2948&amp;O2948</f>
        <v>2010MaleMaori255</v>
      </c>
      <c r="K2948">
        <v>2010</v>
      </c>
      <c r="L2948" t="s">
        <v>20</v>
      </c>
      <c r="M2948" t="s">
        <v>18</v>
      </c>
      <c r="N2948">
        <v>25</v>
      </c>
      <c r="O2948">
        <v>5</v>
      </c>
      <c r="P2948">
        <v>0</v>
      </c>
      <c r="Q2948">
        <v>0</v>
      </c>
      <c r="T2948" s="340" t="str">
        <f t="shared" si="140"/>
        <v>2010AllSexNon-Maori25Other</v>
      </c>
      <c r="U2948">
        <v>2010</v>
      </c>
      <c r="V2948" t="s">
        <v>17</v>
      </c>
      <c r="W2948" t="s">
        <v>19</v>
      </c>
      <c r="X2948">
        <v>25</v>
      </c>
      <c r="Y2948" t="s">
        <v>45</v>
      </c>
      <c r="Z2948">
        <v>2</v>
      </c>
      <c r="AA2948">
        <v>57</v>
      </c>
      <c r="AB2948">
        <v>3.5</v>
      </c>
    </row>
    <row r="2949" spans="10:28">
      <c r="J2949" s="340" t="str">
        <f t="shared" si="141"/>
        <v>2010MaleNon-Maori211</v>
      </c>
      <c r="K2949">
        <v>2010</v>
      </c>
      <c r="L2949" t="s">
        <v>20</v>
      </c>
      <c r="M2949" t="s">
        <v>19</v>
      </c>
      <c r="N2949">
        <v>21</v>
      </c>
      <c r="O2949">
        <v>1</v>
      </c>
      <c r="P2949">
        <v>0</v>
      </c>
      <c r="Q2949">
        <v>0</v>
      </c>
      <c r="T2949" s="340" t="str">
        <f t="shared" ref="T2949:T3012" si="142">U2949&amp;V2949&amp;W2949&amp;X2949&amp;Y2949</f>
        <v>2010AllSexNon-Maori22Poisoning by gases and vapours</v>
      </c>
      <c r="U2949">
        <v>2010</v>
      </c>
      <c r="V2949" t="s">
        <v>17</v>
      </c>
      <c r="W2949" t="s">
        <v>19</v>
      </c>
      <c r="X2949">
        <v>22</v>
      </c>
      <c r="Y2949" t="s">
        <v>46</v>
      </c>
      <c r="Z2949">
        <v>4</v>
      </c>
      <c r="AA2949">
        <v>69</v>
      </c>
      <c r="AB2949">
        <v>5.8</v>
      </c>
    </row>
    <row r="2950" spans="10:28">
      <c r="J2950" s="340" t="str">
        <f t="shared" si="141"/>
        <v>2010MaleNon-Maori212</v>
      </c>
      <c r="K2950">
        <v>2010</v>
      </c>
      <c r="L2950" t="s">
        <v>20</v>
      </c>
      <c r="M2950" t="s">
        <v>19</v>
      </c>
      <c r="N2950">
        <v>21</v>
      </c>
      <c r="O2950">
        <v>2</v>
      </c>
      <c r="P2950">
        <v>0</v>
      </c>
      <c r="Q2950">
        <v>0</v>
      </c>
      <c r="T2950" s="340" t="str">
        <f t="shared" si="142"/>
        <v>2010AllSexNon-Maori23Poisoning by gases and vapours</v>
      </c>
      <c r="U2950">
        <v>2010</v>
      </c>
      <c r="V2950" t="s">
        <v>17</v>
      </c>
      <c r="W2950" t="s">
        <v>19</v>
      </c>
      <c r="X2950">
        <v>23</v>
      </c>
      <c r="Y2950" t="s">
        <v>46</v>
      </c>
      <c r="Z2950">
        <v>24</v>
      </c>
      <c r="AA2950">
        <v>158</v>
      </c>
      <c r="AB2950">
        <v>15.2</v>
      </c>
    </row>
    <row r="2951" spans="10:28">
      <c r="J2951" s="340" t="str">
        <f t="shared" si="141"/>
        <v>2010MaleNon-Maori213</v>
      </c>
      <c r="K2951">
        <v>2010</v>
      </c>
      <c r="L2951" t="s">
        <v>20</v>
      </c>
      <c r="M2951" t="s">
        <v>19</v>
      </c>
      <c r="N2951">
        <v>21</v>
      </c>
      <c r="O2951">
        <v>3</v>
      </c>
      <c r="P2951">
        <v>0</v>
      </c>
      <c r="Q2951">
        <v>0</v>
      </c>
      <c r="T2951" s="340" t="str">
        <f t="shared" si="142"/>
        <v>2010AllSexNon-Maori24Poisoning by gases and vapours</v>
      </c>
      <c r="U2951">
        <v>2010</v>
      </c>
      <c r="V2951" t="s">
        <v>17</v>
      </c>
      <c r="W2951" t="s">
        <v>19</v>
      </c>
      <c r="X2951">
        <v>24</v>
      </c>
      <c r="Y2951" t="s">
        <v>46</v>
      </c>
      <c r="Z2951">
        <v>19</v>
      </c>
      <c r="AA2951">
        <v>146</v>
      </c>
      <c r="AB2951">
        <v>13</v>
      </c>
    </row>
    <row r="2952" spans="10:28">
      <c r="J2952" s="340" t="str">
        <f t="shared" si="141"/>
        <v>2010MaleNon-Maori214</v>
      </c>
      <c r="K2952">
        <v>2010</v>
      </c>
      <c r="L2952" t="s">
        <v>20</v>
      </c>
      <c r="M2952" t="s">
        <v>19</v>
      </c>
      <c r="N2952">
        <v>21</v>
      </c>
      <c r="O2952">
        <v>4</v>
      </c>
      <c r="P2952">
        <v>0</v>
      </c>
      <c r="Q2952">
        <v>0</v>
      </c>
      <c r="T2952" s="340" t="str">
        <f t="shared" si="142"/>
        <v>2010AllSexNon-Maori25Poisoning by gases and vapours</v>
      </c>
      <c r="U2952">
        <v>2010</v>
      </c>
      <c r="V2952" t="s">
        <v>17</v>
      </c>
      <c r="W2952" t="s">
        <v>19</v>
      </c>
      <c r="X2952">
        <v>25</v>
      </c>
      <c r="Y2952" t="s">
        <v>46</v>
      </c>
      <c r="Z2952">
        <v>10</v>
      </c>
      <c r="AA2952">
        <v>57</v>
      </c>
      <c r="AB2952">
        <v>17.5</v>
      </c>
    </row>
    <row r="2953" spans="10:28">
      <c r="J2953" s="340" t="str">
        <f t="shared" si="141"/>
        <v>2010MaleNon-Maori215</v>
      </c>
      <c r="K2953">
        <v>2010</v>
      </c>
      <c r="L2953" t="s">
        <v>20</v>
      </c>
      <c r="M2953" t="s">
        <v>19</v>
      </c>
      <c r="N2953">
        <v>21</v>
      </c>
      <c r="O2953">
        <v>5</v>
      </c>
      <c r="P2953">
        <v>1</v>
      </c>
      <c r="Q2953">
        <v>1.6679649636995799</v>
      </c>
      <c r="R2953">
        <v>3.3</v>
      </c>
      <c r="T2953" s="340" t="str">
        <f t="shared" si="142"/>
        <v>2010AllSexNon-Maori22Poisoning by solids and liquids</v>
      </c>
      <c r="U2953">
        <v>2010</v>
      </c>
      <c r="V2953" t="s">
        <v>17</v>
      </c>
      <c r="W2953" t="s">
        <v>19</v>
      </c>
      <c r="X2953">
        <v>22</v>
      </c>
      <c r="Y2953" t="s">
        <v>47</v>
      </c>
      <c r="Z2953">
        <v>4</v>
      </c>
      <c r="AA2953">
        <v>69</v>
      </c>
      <c r="AB2953">
        <v>5.8</v>
      </c>
    </row>
    <row r="2954" spans="10:28">
      <c r="J2954" s="340" t="str">
        <f t="shared" si="141"/>
        <v>2010MaleNon-Maori221</v>
      </c>
      <c r="K2954">
        <v>2010</v>
      </c>
      <c r="L2954" t="s">
        <v>20</v>
      </c>
      <c r="M2954" t="s">
        <v>19</v>
      </c>
      <c r="N2954">
        <v>22</v>
      </c>
      <c r="O2954">
        <v>1</v>
      </c>
      <c r="P2954">
        <v>8</v>
      </c>
      <c r="Q2954">
        <v>15.5268074175449</v>
      </c>
      <c r="R2954">
        <v>10.8</v>
      </c>
      <c r="T2954" s="340" t="str">
        <f t="shared" si="142"/>
        <v>2010AllSexNon-Maori23Poisoning by solids and liquids</v>
      </c>
      <c r="U2954">
        <v>2010</v>
      </c>
      <c r="V2954" t="s">
        <v>17</v>
      </c>
      <c r="W2954" t="s">
        <v>19</v>
      </c>
      <c r="X2954">
        <v>23</v>
      </c>
      <c r="Y2954" t="s">
        <v>47</v>
      </c>
      <c r="Z2954">
        <v>19</v>
      </c>
      <c r="AA2954">
        <v>158</v>
      </c>
      <c r="AB2954">
        <v>12</v>
      </c>
    </row>
    <row r="2955" spans="10:28">
      <c r="J2955" s="340" t="str">
        <f t="shared" si="141"/>
        <v>2010MaleNon-Maori222</v>
      </c>
      <c r="K2955">
        <v>2010</v>
      </c>
      <c r="L2955" t="s">
        <v>20</v>
      </c>
      <c r="M2955" t="s">
        <v>19</v>
      </c>
      <c r="N2955">
        <v>22</v>
      </c>
      <c r="O2955">
        <v>2</v>
      </c>
      <c r="P2955">
        <v>6</v>
      </c>
      <c r="Q2955">
        <v>12.031210540361901</v>
      </c>
      <c r="R2955">
        <v>9.6</v>
      </c>
      <c r="T2955" s="340" t="str">
        <f t="shared" si="142"/>
        <v>2010AllSexNon-Maori24Poisoning by solids and liquids</v>
      </c>
      <c r="U2955">
        <v>2010</v>
      </c>
      <c r="V2955" t="s">
        <v>17</v>
      </c>
      <c r="W2955" t="s">
        <v>19</v>
      </c>
      <c r="X2955">
        <v>24</v>
      </c>
      <c r="Y2955" t="s">
        <v>47</v>
      </c>
      <c r="Z2955">
        <v>23</v>
      </c>
      <c r="AA2955">
        <v>146</v>
      </c>
      <c r="AB2955">
        <v>15.8</v>
      </c>
    </row>
    <row r="2956" spans="10:28">
      <c r="J2956" s="340" t="str">
        <f t="shared" si="141"/>
        <v>2010MaleNon-Maori223</v>
      </c>
      <c r="K2956">
        <v>2010</v>
      </c>
      <c r="L2956" t="s">
        <v>20</v>
      </c>
      <c r="M2956" t="s">
        <v>19</v>
      </c>
      <c r="N2956">
        <v>22</v>
      </c>
      <c r="O2956">
        <v>3</v>
      </c>
      <c r="P2956">
        <v>13</v>
      </c>
      <c r="Q2956">
        <v>26.236727632449799</v>
      </c>
      <c r="R2956">
        <v>14.3</v>
      </c>
      <c r="T2956" s="340" t="str">
        <f t="shared" si="142"/>
        <v>2010AllSexNon-Maori25Poisoning by solids and liquids</v>
      </c>
      <c r="U2956">
        <v>2010</v>
      </c>
      <c r="V2956" t="s">
        <v>17</v>
      </c>
      <c r="W2956" t="s">
        <v>19</v>
      </c>
      <c r="X2956">
        <v>25</v>
      </c>
      <c r="Y2956" t="s">
        <v>47</v>
      </c>
      <c r="Z2956">
        <v>10</v>
      </c>
      <c r="AA2956">
        <v>57</v>
      </c>
      <c r="AB2956">
        <v>17.5</v>
      </c>
    </row>
    <row r="2957" spans="10:28">
      <c r="J2957" s="340" t="str">
        <f t="shared" si="141"/>
        <v>2010MaleNon-Maori224</v>
      </c>
      <c r="K2957">
        <v>2010</v>
      </c>
      <c r="L2957" t="s">
        <v>20</v>
      </c>
      <c r="M2957" t="s">
        <v>19</v>
      </c>
      <c r="N2957">
        <v>22</v>
      </c>
      <c r="O2957">
        <v>4</v>
      </c>
      <c r="P2957">
        <v>14</v>
      </c>
      <c r="Q2957">
        <v>27.403312421335801</v>
      </c>
      <c r="R2957">
        <v>14.4</v>
      </c>
      <c r="T2957" s="340" t="str">
        <f t="shared" si="142"/>
        <v>2010AllSexNon-Maori22Sharp object</v>
      </c>
      <c r="U2957">
        <v>2010</v>
      </c>
      <c r="V2957" t="s">
        <v>17</v>
      </c>
      <c r="W2957" t="s">
        <v>19</v>
      </c>
      <c r="X2957">
        <v>22</v>
      </c>
      <c r="Y2957" t="s">
        <v>48</v>
      </c>
      <c r="Z2957">
        <v>2</v>
      </c>
      <c r="AA2957">
        <v>69</v>
      </c>
      <c r="AB2957">
        <v>2.9</v>
      </c>
    </row>
    <row r="2958" spans="10:28">
      <c r="J2958" s="340" t="str">
        <f t="shared" si="141"/>
        <v>2010MaleNon-Maori225</v>
      </c>
      <c r="K2958">
        <v>2010</v>
      </c>
      <c r="L2958" t="s">
        <v>20</v>
      </c>
      <c r="M2958" t="s">
        <v>19</v>
      </c>
      <c r="N2958">
        <v>22</v>
      </c>
      <c r="O2958">
        <v>5</v>
      </c>
      <c r="P2958">
        <v>7</v>
      </c>
      <c r="Q2958">
        <v>14.428540179273799</v>
      </c>
      <c r="R2958">
        <v>10.7</v>
      </c>
      <c r="T2958" s="340" t="str">
        <f t="shared" si="142"/>
        <v>2010AllSexNon-Maori23Sharp object</v>
      </c>
      <c r="U2958">
        <v>2010</v>
      </c>
      <c r="V2958" t="s">
        <v>17</v>
      </c>
      <c r="W2958" t="s">
        <v>19</v>
      </c>
      <c r="X2958">
        <v>23</v>
      </c>
      <c r="Y2958" t="s">
        <v>48</v>
      </c>
      <c r="Z2958">
        <v>3</v>
      </c>
      <c r="AA2958">
        <v>158</v>
      </c>
      <c r="AB2958">
        <v>1.9</v>
      </c>
    </row>
    <row r="2959" spans="10:28">
      <c r="J2959" s="340" t="str">
        <f t="shared" si="141"/>
        <v>2010MaleNon-Maori231</v>
      </c>
      <c r="K2959">
        <v>2010</v>
      </c>
      <c r="L2959" t="s">
        <v>20</v>
      </c>
      <c r="M2959" t="s">
        <v>19</v>
      </c>
      <c r="N2959">
        <v>23</v>
      </c>
      <c r="O2959">
        <v>1</v>
      </c>
      <c r="P2959">
        <v>24</v>
      </c>
      <c r="Q2959">
        <v>24.3526495809107</v>
      </c>
      <c r="R2959">
        <v>9.6999999999999993</v>
      </c>
      <c r="T2959" s="340" t="str">
        <f t="shared" si="142"/>
        <v>2010AllSexNon-Maori24Sharp object</v>
      </c>
      <c r="U2959">
        <v>2010</v>
      </c>
      <c r="V2959" t="s">
        <v>17</v>
      </c>
      <c r="W2959" t="s">
        <v>19</v>
      </c>
      <c r="X2959">
        <v>24</v>
      </c>
      <c r="Y2959" t="s">
        <v>48</v>
      </c>
      <c r="Z2959">
        <v>2</v>
      </c>
      <c r="AA2959">
        <v>146</v>
      </c>
      <c r="AB2959">
        <v>1.4</v>
      </c>
    </row>
    <row r="2960" spans="10:28">
      <c r="J2960" s="340" t="str">
        <f t="shared" si="141"/>
        <v>2010MaleNon-Maori232</v>
      </c>
      <c r="K2960">
        <v>2010</v>
      </c>
      <c r="L2960" t="s">
        <v>20</v>
      </c>
      <c r="M2960" t="s">
        <v>19</v>
      </c>
      <c r="N2960">
        <v>23</v>
      </c>
      <c r="O2960">
        <v>2</v>
      </c>
      <c r="P2960">
        <v>15</v>
      </c>
      <c r="Q2960">
        <v>14.324963958568301</v>
      </c>
      <c r="R2960">
        <v>7.2</v>
      </c>
      <c r="T2960" s="340" t="str">
        <f t="shared" si="142"/>
        <v>2010AllSexNon-Maori25Sharp object</v>
      </c>
      <c r="U2960">
        <v>2010</v>
      </c>
      <c r="V2960" t="s">
        <v>17</v>
      </c>
      <c r="W2960" t="s">
        <v>19</v>
      </c>
      <c r="X2960">
        <v>25</v>
      </c>
      <c r="Y2960" t="s">
        <v>48</v>
      </c>
      <c r="Z2960">
        <v>1</v>
      </c>
      <c r="AA2960">
        <v>57</v>
      </c>
      <c r="AB2960">
        <v>1.8</v>
      </c>
    </row>
    <row r="2961" spans="10:28">
      <c r="J2961" s="340" t="str">
        <f t="shared" si="141"/>
        <v>2010MaleNon-Maori233</v>
      </c>
      <c r="K2961">
        <v>2010</v>
      </c>
      <c r="L2961" t="s">
        <v>20</v>
      </c>
      <c r="M2961" t="s">
        <v>19</v>
      </c>
      <c r="N2961">
        <v>23</v>
      </c>
      <c r="O2961">
        <v>3</v>
      </c>
      <c r="P2961">
        <v>21</v>
      </c>
      <c r="Q2961">
        <v>20.2298265051047</v>
      </c>
      <c r="R2961">
        <v>8.6999999999999993</v>
      </c>
      <c r="T2961" s="340" t="str">
        <f t="shared" si="142"/>
        <v>2010AllSexNon-Maori22Submersion (drowning)</v>
      </c>
      <c r="U2961">
        <v>2010</v>
      </c>
      <c r="V2961" t="s">
        <v>17</v>
      </c>
      <c r="W2961" t="s">
        <v>19</v>
      </c>
      <c r="X2961">
        <v>22</v>
      </c>
      <c r="Y2961" t="s">
        <v>49</v>
      </c>
      <c r="Z2961">
        <v>2</v>
      </c>
      <c r="AA2961">
        <v>69</v>
      </c>
      <c r="AB2961">
        <v>2.9</v>
      </c>
    </row>
    <row r="2962" spans="10:28">
      <c r="J2962" s="340" t="str">
        <f t="shared" si="141"/>
        <v>2010MaleNon-Maori234</v>
      </c>
      <c r="K2962">
        <v>2010</v>
      </c>
      <c r="L2962" t="s">
        <v>20</v>
      </c>
      <c r="M2962" t="s">
        <v>19</v>
      </c>
      <c r="N2962">
        <v>23</v>
      </c>
      <c r="O2962">
        <v>4</v>
      </c>
      <c r="P2962">
        <v>25</v>
      </c>
      <c r="Q2962">
        <v>26.092122222381398</v>
      </c>
      <c r="R2962">
        <v>10.199999999999999</v>
      </c>
      <c r="T2962" s="340" t="str">
        <f t="shared" si="142"/>
        <v>2010AllSexNon-Maori23Submersion (drowning)</v>
      </c>
      <c r="U2962">
        <v>2010</v>
      </c>
      <c r="V2962" t="s">
        <v>17</v>
      </c>
      <c r="W2962" t="s">
        <v>19</v>
      </c>
      <c r="X2962">
        <v>23</v>
      </c>
      <c r="Y2962" t="s">
        <v>49</v>
      </c>
      <c r="Z2962">
        <v>2</v>
      </c>
      <c r="AA2962">
        <v>158</v>
      </c>
      <c r="AB2962">
        <v>1.3</v>
      </c>
    </row>
    <row r="2963" spans="10:28">
      <c r="J2963" s="340" t="str">
        <f t="shared" si="141"/>
        <v>2010MaleNon-Maori235</v>
      </c>
      <c r="K2963">
        <v>2010</v>
      </c>
      <c r="L2963" t="s">
        <v>20</v>
      </c>
      <c r="M2963" t="s">
        <v>19</v>
      </c>
      <c r="N2963">
        <v>23</v>
      </c>
      <c r="O2963">
        <v>5</v>
      </c>
      <c r="P2963">
        <v>25</v>
      </c>
      <c r="Q2963">
        <v>32.764995269998103</v>
      </c>
      <c r="R2963">
        <v>12.8</v>
      </c>
      <c r="T2963" s="340" t="str">
        <f t="shared" si="142"/>
        <v>2010AllSexNon-Maori24Submersion (drowning)</v>
      </c>
      <c r="U2963">
        <v>2010</v>
      </c>
      <c r="V2963" t="s">
        <v>17</v>
      </c>
      <c r="W2963" t="s">
        <v>19</v>
      </c>
      <c r="X2963">
        <v>24</v>
      </c>
      <c r="Y2963" t="s">
        <v>49</v>
      </c>
      <c r="Z2963">
        <v>4</v>
      </c>
      <c r="AA2963">
        <v>146</v>
      </c>
      <c r="AB2963">
        <v>2.7</v>
      </c>
    </row>
    <row r="2964" spans="10:28">
      <c r="J2964" s="340" t="str">
        <f t="shared" si="141"/>
        <v>2010MaleNon-Maori241</v>
      </c>
      <c r="K2964">
        <v>2010</v>
      </c>
      <c r="L2964" t="s">
        <v>20</v>
      </c>
      <c r="M2964" t="s">
        <v>19</v>
      </c>
      <c r="N2964">
        <v>24</v>
      </c>
      <c r="O2964">
        <v>1</v>
      </c>
      <c r="P2964">
        <v>19</v>
      </c>
      <c r="Q2964">
        <v>14.8881877347994</v>
      </c>
      <c r="R2964">
        <v>6.7</v>
      </c>
      <c r="T2964" s="340" t="str">
        <f t="shared" si="142"/>
        <v>2010AllSexNon-Maori25Submersion (drowning)</v>
      </c>
      <c r="U2964">
        <v>2010</v>
      </c>
      <c r="V2964" t="s">
        <v>17</v>
      </c>
      <c r="W2964" t="s">
        <v>19</v>
      </c>
      <c r="X2964">
        <v>25</v>
      </c>
      <c r="Y2964" t="s">
        <v>49</v>
      </c>
      <c r="Z2964">
        <v>1</v>
      </c>
      <c r="AA2964">
        <v>57</v>
      </c>
      <c r="AB2964">
        <v>1.8</v>
      </c>
    </row>
    <row r="2965" spans="10:28">
      <c r="J2965" s="340" t="str">
        <f t="shared" si="141"/>
        <v>2010MaleNon-Maori242</v>
      </c>
      <c r="K2965">
        <v>2010</v>
      </c>
      <c r="L2965" t="s">
        <v>20</v>
      </c>
      <c r="M2965" t="s">
        <v>19</v>
      </c>
      <c r="N2965">
        <v>24</v>
      </c>
      <c r="O2965">
        <v>2</v>
      </c>
      <c r="P2965">
        <v>22</v>
      </c>
      <c r="Q2965">
        <v>19.897143391366399</v>
      </c>
      <c r="R2965">
        <v>8.3000000000000007</v>
      </c>
      <c r="T2965" s="340" t="str">
        <f t="shared" si="142"/>
        <v>2010FemaleAllEth22Firearms and explosives</v>
      </c>
      <c r="U2965">
        <v>2010</v>
      </c>
      <c r="V2965" t="s">
        <v>8</v>
      </c>
      <c r="W2965" t="s">
        <v>27</v>
      </c>
      <c r="X2965">
        <v>22</v>
      </c>
      <c r="Y2965" t="s">
        <v>42</v>
      </c>
      <c r="Z2965">
        <v>1</v>
      </c>
      <c r="AA2965">
        <v>34</v>
      </c>
      <c r="AB2965">
        <v>2.9</v>
      </c>
    </row>
    <row r="2966" spans="10:28">
      <c r="J2966" s="340" t="str">
        <f t="shared" si="141"/>
        <v>2010MaleNon-Maori243</v>
      </c>
      <c r="K2966">
        <v>2010</v>
      </c>
      <c r="L2966" t="s">
        <v>20</v>
      </c>
      <c r="M2966" t="s">
        <v>19</v>
      </c>
      <c r="N2966">
        <v>24</v>
      </c>
      <c r="O2966">
        <v>3</v>
      </c>
      <c r="P2966">
        <v>21</v>
      </c>
      <c r="Q2966">
        <v>21.764673918730999</v>
      </c>
      <c r="R2966">
        <v>9.3000000000000007</v>
      </c>
      <c r="T2966" s="340" t="str">
        <f t="shared" si="142"/>
        <v>2010FemaleAllEth23Firearms and explosives</v>
      </c>
      <c r="U2966">
        <v>2010</v>
      </c>
      <c r="V2966" t="s">
        <v>8</v>
      </c>
      <c r="W2966" t="s">
        <v>27</v>
      </c>
      <c r="X2966">
        <v>23</v>
      </c>
      <c r="Y2966" t="s">
        <v>42</v>
      </c>
      <c r="Z2966">
        <v>1</v>
      </c>
      <c r="AA2966">
        <v>53</v>
      </c>
      <c r="AB2966">
        <v>1.9</v>
      </c>
    </row>
    <row r="2967" spans="10:28">
      <c r="J2967" s="340" t="str">
        <f t="shared" si="141"/>
        <v>2010MaleNon-Maori244</v>
      </c>
      <c r="K2967">
        <v>2010</v>
      </c>
      <c r="L2967" t="s">
        <v>20</v>
      </c>
      <c r="M2967" t="s">
        <v>19</v>
      </c>
      <c r="N2967">
        <v>24</v>
      </c>
      <c r="O2967">
        <v>4</v>
      </c>
      <c r="P2967">
        <v>25</v>
      </c>
      <c r="Q2967">
        <v>30.176323938807599</v>
      </c>
      <c r="R2967">
        <v>11.8</v>
      </c>
      <c r="T2967" s="340" t="str">
        <f t="shared" si="142"/>
        <v>2010FemaleAllEth21Hanging, strangulation and suffocation</v>
      </c>
      <c r="U2967">
        <v>2010</v>
      </c>
      <c r="V2967" t="s">
        <v>8</v>
      </c>
      <c r="W2967" t="s">
        <v>27</v>
      </c>
      <c r="X2967">
        <v>21</v>
      </c>
      <c r="Y2967" t="s">
        <v>43</v>
      </c>
      <c r="Z2967">
        <v>3</v>
      </c>
      <c r="AA2967">
        <v>3</v>
      </c>
      <c r="AB2967">
        <v>100</v>
      </c>
    </row>
    <row r="2968" spans="10:28">
      <c r="J2968" s="340" t="str">
        <f t="shared" si="141"/>
        <v>2010MaleNon-Maori245</v>
      </c>
      <c r="K2968">
        <v>2010</v>
      </c>
      <c r="L2968" t="s">
        <v>20</v>
      </c>
      <c r="M2968" t="s">
        <v>19</v>
      </c>
      <c r="N2968">
        <v>24</v>
      </c>
      <c r="O2968">
        <v>5</v>
      </c>
      <c r="P2968">
        <v>14</v>
      </c>
      <c r="Q2968">
        <v>21.6015336629453</v>
      </c>
      <c r="R2968">
        <v>11.3</v>
      </c>
      <c r="T2968" s="340" t="str">
        <f t="shared" si="142"/>
        <v>2010FemaleAllEth22Hanging, strangulation and suffocation</v>
      </c>
      <c r="U2968">
        <v>2010</v>
      </c>
      <c r="V2968" t="s">
        <v>8</v>
      </c>
      <c r="W2968" t="s">
        <v>27</v>
      </c>
      <c r="X2968">
        <v>22</v>
      </c>
      <c r="Y2968" t="s">
        <v>43</v>
      </c>
      <c r="Z2968">
        <v>26</v>
      </c>
      <c r="AA2968">
        <v>34</v>
      </c>
      <c r="AB2968">
        <v>76.5</v>
      </c>
    </row>
    <row r="2969" spans="10:28">
      <c r="J2969" s="340" t="str">
        <f t="shared" si="141"/>
        <v>2010MaleNon-Maori251</v>
      </c>
      <c r="K2969">
        <v>2010</v>
      </c>
      <c r="L2969" t="s">
        <v>20</v>
      </c>
      <c r="M2969" t="s">
        <v>19</v>
      </c>
      <c r="N2969">
        <v>25</v>
      </c>
      <c r="O2969">
        <v>1</v>
      </c>
      <c r="P2969">
        <v>8</v>
      </c>
      <c r="Q2969">
        <v>14.674603844150001</v>
      </c>
      <c r="R2969">
        <v>10.199999999999999</v>
      </c>
      <c r="T2969" s="340" t="str">
        <f t="shared" si="142"/>
        <v>2010FemaleAllEth23Hanging, strangulation and suffocation</v>
      </c>
      <c r="U2969">
        <v>2010</v>
      </c>
      <c r="V2969" t="s">
        <v>8</v>
      </c>
      <c r="W2969" t="s">
        <v>27</v>
      </c>
      <c r="X2969">
        <v>23</v>
      </c>
      <c r="Y2969" t="s">
        <v>43</v>
      </c>
      <c r="Z2969">
        <v>28</v>
      </c>
      <c r="AA2969">
        <v>53</v>
      </c>
      <c r="AB2969">
        <v>52.8</v>
      </c>
    </row>
    <row r="2970" spans="10:28">
      <c r="J2970" s="340" t="str">
        <f t="shared" si="141"/>
        <v>2010MaleNon-Maori252</v>
      </c>
      <c r="K2970">
        <v>2010</v>
      </c>
      <c r="L2970" t="s">
        <v>20</v>
      </c>
      <c r="M2970" t="s">
        <v>19</v>
      </c>
      <c r="N2970">
        <v>25</v>
      </c>
      <c r="O2970">
        <v>2</v>
      </c>
      <c r="P2970">
        <v>10</v>
      </c>
      <c r="Q2970">
        <v>18.761573567017798</v>
      </c>
      <c r="R2970">
        <v>11.6</v>
      </c>
      <c r="T2970" s="340" t="str">
        <f t="shared" si="142"/>
        <v>2010FemaleAllEth24Hanging, strangulation and suffocation</v>
      </c>
      <c r="U2970">
        <v>2010</v>
      </c>
      <c r="V2970" t="s">
        <v>8</v>
      </c>
      <c r="W2970" t="s">
        <v>27</v>
      </c>
      <c r="X2970">
        <v>24</v>
      </c>
      <c r="Y2970" t="s">
        <v>43</v>
      </c>
      <c r="Z2970">
        <v>17</v>
      </c>
      <c r="AA2970">
        <v>43</v>
      </c>
      <c r="AB2970">
        <v>39.5</v>
      </c>
    </row>
    <row r="2971" spans="10:28">
      <c r="J2971" s="340" t="str">
        <f t="shared" si="141"/>
        <v>2010MaleNon-Maori253</v>
      </c>
      <c r="K2971">
        <v>2010</v>
      </c>
      <c r="L2971" t="s">
        <v>20</v>
      </c>
      <c r="M2971" t="s">
        <v>19</v>
      </c>
      <c r="N2971">
        <v>25</v>
      </c>
      <c r="O2971">
        <v>3</v>
      </c>
      <c r="P2971">
        <v>10</v>
      </c>
      <c r="Q2971">
        <v>19.7453127650349</v>
      </c>
      <c r="R2971">
        <v>12.2</v>
      </c>
      <c r="T2971" s="340" t="str">
        <f t="shared" si="142"/>
        <v>2010FemaleAllEth25Hanging, strangulation and suffocation</v>
      </c>
      <c r="U2971">
        <v>2010</v>
      </c>
      <c r="V2971" t="s">
        <v>8</v>
      </c>
      <c r="W2971" t="s">
        <v>27</v>
      </c>
      <c r="X2971">
        <v>25</v>
      </c>
      <c r="Y2971" t="s">
        <v>43</v>
      </c>
      <c r="Z2971">
        <v>6</v>
      </c>
      <c r="AA2971">
        <v>14</v>
      </c>
      <c r="AB2971">
        <v>42.9</v>
      </c>
    </row>
    <row r="2972" spans="10:28">
      <c r="J2972" s="340" t="str">
        <f t="shared" si="141"/>
        <v>2010MaleNon-Maori254</v>
      </c>
      <c r="K2972">
        <v>2010</v>
      </c>
      <c r="L2972" t="s">
        <v>20</v>
      </c>
      <c r="M2972" t="s">
        <v>19</v>
      </c>
      <c r="N2972">
        <v>25</v>
      </c>
      <c r="O2972">
        <v>4</v>
      </c>
      <c r="P2972">
        <v>10</v>
      </c>
      <c r="Q2972">
        <v>20.836205494909901</v>
      </c>
      <c r="R2972">
        <v>12.9</v>
      </c>
      <c r="T2972" s="340" t="str">
        <f t="shared" si="142"/>
        <v>2010FemaleAllEth23Jumping from a high place</v>
      </c>
      <c r="U2972">
        <v>2010</v>
      </c>
      <c r="V2972" t="s">
        <v>8</v>
      </c>
      <c r="W2972" t="s">
        <v>27</v>
      </c>
      <c r="X2972">
        <v>23</v>
      </c>
      <c r="Y2972" t="s">
        <v>44</v>
      </c>
      <c r="Z2972">
        <v>2</v>
      </c>
      <c r="AA2972">
        <v>53</v>
      </c>
      <c r="AB2972">
        <v>3.8</v>
      </c>
    </row>
    <row r="2973" spans="10:28">
      <c r="J2973" s="340" t="str">
        <f t="shared" si="141"/>
        <v>2010MaleNon-Maori255</v>
      </c>
      <c r="K2973">
        <v>2010</v>
      </c>
      <c r="L2973" t="s">
        <v>20</v>
      </c>
      <c r="M2973" t="s">
        <v>19</v>
      </c>
      <c r="N2973">
        <v>25</v>
      </c>
      <c r="O2973">
        <v>5</v>
      </c>
      <c r="P2973">
        <v>3</v>
      </c>
      <c r="Q2973">
        <v>8.3203600649719203</v>
      </c>
      <c r="R2973">
        <v>9.4</v>
      </c>
      <c r="T2973" s="340" t="str">
        <f t="shared" si="142"/>
        <v>2010FemaleAllEth24Jumping from a high place</v>
      </c>
      <c r="U2973">
        <v>2010</v>
      </c>
      <c r="V2973" t="s">
        <v>8</v>
      </c>
      <c r="W2973" t="s">
        <v>27</v>
      </c>
      <c r="X2973">
        <v>24</v>
      </c>
      <c r="Y2973" t="s">
        <v>44</v>
      </c>
      <c r="Z2973">
        <v>1</v>
      </c>
      <c r="AA2973">
        <v>43</v>
      </c>
      <c r="AB2973">
        <v>2.2999999999999998</v>
      </c>
    </row>
    <row r="2974" spans="10:28">
      <c r="J2974" s="340" t="str">
        <f t="shared" si="141"/>
        <v>2011AllSexAllEth211</v>
      </c>
      <c r="K2974">
        <v>2011</v>
      </c>
      <c r="L2974" t="s">
        <v>17</v>
      </c>
      <c r="M2974" t="s">
        <v>27</v>
      </c>
      <c r="N2974">
        <v>21</v>
      </c>
      <c r="O2974">
        <v>1</v>
      </c>
      <c r="P2974">
        <v>0</v>
      </c>
      <c r="Q2974">
        <v>0</v>
      </c>
      <c r="T2974" s="340" t="str">
        <f t="shared" si="142"/>
        <v>2010FemaleAllEth22Other</v>
      </c>
      <c r="U2974">
        <v>2010</v>
      </c>
      <c r="V2974" t="s">
        <v>8</v>
      </c>
      <c r="W2974" t="s">
        <v>27</v>
      </c>
      <c r="X2974">
        <v>22</v>
      </c>
      <c r="Y2974" t="s">
        <v>45</v>
      </c>
      <c r="Z2974">
        <v>1</v>
      </c>
      <c r="AA2974">
        <v>34</v>
      </c>
      <c r="AB2974">
        <v>2.9</v>
      </c>
    </row>
    <row r="2975" spans="10:28">
      <c r="J2975" s="340" t="str">
        <f t="shared" si="141"/>
        <v>2011AllSexAllEth212</v>
      </c>
      <c r="K2975">
        <v>2011</v>
      </c>
      <c r="L2975" t="s">
        <v>17</v>
      </c>
      <c r="M2975" t="s">
        <v>27</v>
      </c>
      <c r="N2975">
        <v>21</v>
      </c>
      <c r="O2975">
        <v>2</v>
      </c>
      <c r="P2975">
        <v>1</v>
      </c>
      <c r="Q2975">
        <v>0.58105706580667005</v>
      </c>
      <c r="R2975">
        <v>1.1000000000000001</v>
      </c>
      <c r="T2975" s="340" t="str">
        <f t="shared" si="142"/>
        <v>2010FemaleAllEth23Other</v>
      </c>
      <c r="U2975">
        <v>2010</v>
      </c>
      <c r="V2975" t="s">
        <v>8</v>
      </c>
      <c r="W2975" t="s">
        <v>27</v>
      </c>
      <c r="X2975">
        <v>23</v>
      </c>
      <c r="Y2975" t="s">
        <v>45</v>
      </c>
      <c r="Z2975">
        <v>2</v>
      </c>
      <c r="AA2975">
        <v>53</v>
      </c>
      <c r="AB2975">
        <v>3.8</v>
      </c>
    </row>
    <row r="2976" spans="10:28">
      <c r="J2976" s="340" t="str">
        <f t="shared" si="141"/>
        <v>2011AllSexAllEth213</v>
      </c>
      <c r="K2976">
        <v>2011</v>
      </c>
      <c r="L2976" t="s">
        <v>17</v>
      </c>
      <c r="M2976" t="s">
        <v>27</v>
      </c>
      <c r="N2976">
        <v>21</v>
      </c>
      <c r="O2976">
        <v>3</v>
      </c>
      <c r="P2976">
        <v>2</v>
      </c>
      <c r="Q2976">
        <v>1.18009352841559</v>
      </c>
      <c r="R2976">
        <v>1.6</v>
      </c>
      <c r="T2976" s="340" t="str">
        <f t="shared" si="142"/>
        <v>2010FemaleAllEth24Other</v>
      </c>
      <c r="U2976">
        <v>2010</v>
      </c>
      <c r="V2976" t="s">
        <v>8</v>
      </c>
      <c r="W2976" t="s">
        <v>27</v>
      </c>
      <c r="X2976">
        <v>24</v>
      </c>
      <c r="Y2976" t="s">
        <v>45</v>
      </c>
      <c r="Z2976">
        <v>2</v>
      </c>
      <c r="AA2976">
        <v>43</v>
      </c>
      <c r="AB2976">
        <v>4.7</v>
      </c>
    </row>
    <row r="2977" spans="10:28">
      <c r="J2977" s="340" t="str">
        <f t="shared" si="141"/>
        <v>2011AllSexAllEth214</v>
      </c>
      <c r="K2977">
        <v>2011</v>
      </c>
      <c r="L2977" t="s">
        <v>17</v>
      </c>
      <c r="M2977" t="s">
        <v>27</v>
      </c>
      <c r="N2977">
        <v>21</v>
      </c>
      <c r="O2977">
        <v>4</v>
      </c>
      <c r="P2977">
        <v>0</v>
      </c>
      <c r="Q2977">
        <v>0</v>
      </c>
      <c r="T2977" s="340" t="str">
        <f t="shared" si="142"/>
        <v>2010FemaleAllEth25Other</v>
      </c>
      <c r="U2977">
        <v>2010</v>
      </c>
      <c r="V2977" t="s">
        <v>8</v>
      </c>
      <c r="W2977" t="s">
        <v>27</v>
      </c>
      <c r="X2977">
        <v>25</v>
      </c>
      <c r="Y2977" t="s">
        <v>45</v>
      </c>
      <c r="Z2977">
        <v>1</v>
      </c>
      <c r="AA2977">
        <v>14</v>
      </c>
      <c r="AB2977">
        <v>7.1</v>
      </c>
    </row>
    <row r="2978" spans="10:28">
      <c r="J2978" s="340" t="str">
        <f t="shared" si="141"/>
        <v>2011AllSexAllEth215</v>
      </c>
      <c r="K2978">
        <v>2011</v>
      </c>
      <c r="L2978" t="s">
        <v>17</v>
      </c>
      <c r="M2978" t="s">
        <v>27</v>
      </c>
      <c r="N2978">
        <v>21</v>
      </c>
      <c r="O2978">
        <v>5</v>
      </c>
      <c r="P2978">
        <v>3</v>
      </c>
      <c r="Q2978">
        <v>1.39508899406662</v>
      </c>
      <c r="R2978">
        <v>1.6</v>
      </c>
      <c r="T2978" s="340" t="str">
        <f t="shared" si="142"/>
        <v>2010FemaleAllEth22Poisoning by gases and vapours</v>
      </c>
      <c r="U2978">
        <v>2010</v>
      </c>
      <c r="V2978" t="s">
        <v>8</v>
      </c>
      <c r="W2978" t="s">
        <v>27</v>
      </c>
      <c r="X2978">
        <v>22</v>
      </c>
      <c r="Y2978" t="s">
        <v>46</v>
      </c>
      <c r="Z2978">
        <v>2</v>
      </c>
      <c r="AA2978">
        <v>34</v>
      </c>
      <c r="AB2978">
        <v>5.9</v>
      </c>
    </row>
    <row r="2979" spans="10:28">
      <c r="J2979" s="340" t="str">
        <f t="shared" si="141"/>
        <v>2011AllSexAllEth221</v>
      </c>
      <c r="K2979">
        <v>2011</v>
      </c>
      <c r="L2979" t="s">
        <v>17</v>
      </c>
      <c r="M2979" t="s">
        <v>27</v>
      </c>
      <c r="N2979">
        <v>22</v>
      </c>
      <c r="O2979">
        <v>1</v>
      </c>
      <c r="P2979">
        <v>11</v>
      </c>
      <c r="Q2979">
        <v>9.9989165622484499</v>
      </c>
      <c r="R2979">
        <v>5.9</v>
      </c>
      <c r="T2979" s="340" t="str">
        <f t="shared" si="142"/>
        <v>2010FemaleAllEth23Poisoning by gases and vapours</v>
      </c>
      <c r="U2979">
        <v>2010</v>
      </c>
      <c r="V2979" t="s">
        <v>8</v>
      </c>
      <c r="W2979" t="s">
        <v>27</v>
      </c>
      <c r="X2979">
        <v>23</v>
      </c>
      <c r="Y2979" t="s">
        <v>46</v>
      </c>
      <c r="Z2979">
        <v>5</v>
      </c>
      <c r="AA2979">
        <v>53</v>
      </c>
      <c r="AB2979">
        <v>9.4</v>
      </c>
    </row>
    <row r="2980" spans="10:28">
      <c r="J2980" s="340" t="str">
        <f t="shared" si="141"/>
        <v>2011AllSexAllEth222</v>
      </c>
      <c r="K2980">
        <v>2011</v>
      </c>
      <c r="L2980" t="s">
        <v>17</v>
      </c>
      <c r="M2980" t="s">
        <v>27</v>
      </c>
      <c r="N2980">
        <v>22</v>
      </c>
      <c r="O2980">
        <v>2</v>
      </c>
      <c r="P2980">
        <v>19</v>
      </c>
      <c r="Q2980">
        <v>17.0852915043818</v>
      </c>
      <c r="R2980">
        <v>7.7</v>
      </c>
      <c r="T2980" s="340" t="str">
        <f t="shared" si="142"/>
        <v>2010FemaleAllEth24Poisoning by gases and vapours</v>
      </c>
      <c r="U2980">
        <v>2010</v>
      </c>
      <c r="V2980" t="s">
        <v>8</v>
      </c>
      <c r="W2980" t="s">
        <v>27</v>
      </c>
      <c r="X2980">
        <v>24</v>
      </c>
      <c r="Y2980" t="s">
        <v>46</v>
      </c>
      <c r="Z2980">
        <v>2</v>
      </c>
      <c r="AA2980">
        <v>43</v>
      </c>
      <c r="AB2980">
        <v>4.7</v>
      </c>
    </row>
    <row r="2981" spans="10:28">
      <c r="J2981" s="340" t="str">
        <f t="shared" si="141"/>
        <v>2011AllSexAllEth223</v>
      </c>
      <c r="K2981">
        <v>2011</v>
      </c>
      <c r="L2981" t="s">
        <v>17</v>
      </c>
      <c r="M2981" t="s">
        <v>27</v>
      </c>
      <c r="N2981">
        <v>22</v>
      </c>
      <c r="O2981">
        <v>3</v>
      </c>
      <c r="P2981">
        <v>25</v>
      </c>
      <c r="Q2981">
        <v>21.241494334554901</v>
      </c>
      <c r="R2981">
        <v>8.3000000000000007</v>
      </c>
      <c r="T2981" s="340" t="str">
        <f t="shared" si="142"/>
        <v>2010FemaleAllEth25Poisoning by gases and vapours</v>
      </c>
      <c r="U2981">
        <v>2010</v>
      </c>
      <c r="V2981" t="s">
        <v>8</v>
      </c>
      <c r="W2981" t="s">
        <v>27</v>
      </c>
      <c r="X2981">
        <v>25</v>
      </c>
      <c r="Y2981" t="s">
        <v>46</v>
      </c>
      <c r="Z2981">
        <v>1</v>
      </c>
      <c r="AA2981">
        <v>14</v>
      </c>
      <c r="AB2981">
        <v>7.1</v>
      </c>
    </row>
    <row r="2982" spans="10:28">
      <c r="J2982" s="340" t="str">
        <f t="shared" si="141"/>
        <v>2011AllSexAllEth224</v>
      </c>
      <c r="K2982">
        <v>2011</v>
      </c>
      <c r="L2982" t="s">
        <v>17</v>
      </c>
      <c r="M2982" t="s">
        <v>27</v>
      </c>
      <c r="N2982">
        <v>22</v>
      </c>
      <c r="O2982">
        <v>4</v>
      </c>
      <c r="P2982">
        <v>22</v>
      </c>
      <c r="Q2982">
        <v>16.622611796462301</v>
      </c>
      <c r="R2982">
        <v>6.9</v>
      </c>
      <c r="T2982" s="340" t="str">
        <f t="shared" si="142"/>
        <v>2010FemaleAllEth22Poisoning by solids and liquids</v>
      </c>
      <c r="U2982">
        <v>2010</v>
      </c>
      <c r="V2982" t="s">
        <v>8</v>
      </c>
      <c r="W2982" t="s">
        <v>27</v>
      </c>
      <c r="X2982">
        <v>22</v>
      </c>
      <c r="Y2982" t="s">
        <v>47</v>
      </c>
      <c r="Z2982">
        <v>3</v>
      </c>
      <c r="AA2982">
        <v>34</v>
      </c>
      <c r="AB2982">
        <v>8.8000000000000007</v>
      </c>
    </row>
    <row r="2983" spans="10:28">
      <c r="J2983" s="340" t="str">
        <f t="shared" si="141"/>
        <v>2011AllSexAllEth225</v>
      </c>
      <c r="K2983">
        <v>2011</v>
      </c>
      <c r="L2983" t="s">
        <v>17</v>
      </c>
      <c r="M2983" t="s">
        <v>27</v>
      </c>
      <c r="N2983">
        <v>22</v>
      </c>
      <c r="O2983">
        <v>5</v>
      </c>
      <c r="P2983">
        <v>50</v>
      </c>
      <c r="Q2983">
        <v>33.218839515595199</v>
      </c>
      <c r="R2983">
        <v>9.1999999999999993</v>
      </c>
      <c r="T2983" s="340" t="str">
        <f t="shared" si="142"/>
        <v>2010FemaleAllEth23Poisoning by solids and liquids</v>
      </c>
      <c r="U2983">
        <v>2010</v>
      </c>
      <c r="V2983" t="s">
        <v>8</v>
      </c>
      <c r="W2983" t="s">
        <v>27</v>
      </c>
      <c r="X2983">
        <v>23</v>
      </c>
      <c r="Y2983" t="s">
        <v>47</v>
      </c>
      <c r="Z2983">
        <v>14</v>
      </c>
      <c r="AA2983">
        <v>53</v>
      </c>
      <c r="AB2983">
        <v>26.4</v>
      </c>
    </row>
    <row r="2984" spans="10:28">
      <c r="J2984" s="340" t="str">
        <f t="shared" si="141"/>
        <v>2011AllSexAllEth231</v>
      </c>
      <c r="K2984">
        <v>2011</v>
      </c>
      <c r="L2984" t="s">
        <v>17</v>
      </c>
      <c r="M2984" t="s">
        <v>27</v>
      </c>
      <c r="N2984">
        <v>23</v>
      </c>
      <c r="O2984">
        <v>1</v>
      </c>
      <c r="P2984">
        <v>25</v>
      </c>
      <c r="Q2984">
        <v>11.3851673282244</v>
      </c>
      <c r="R2984">
        <v>4.5</v>
      </c>
      <c r="T2984" s="340" t="str">
        <f t="shared" si="142"/>
        <v>2010FemaleAllEth24Poisoning by solids and liquids</v>
      </c>
      <c r="U2984">
        <v>2010</v>
      </c>
      <c r="V2984" t="s">
        <v>8</v>
      </c>
      <c r="W2984" t="s">
        <v>27</v>
      </c>
      <c r="X2984">
        <v>24</v>
      </c>
      <c r="Y2984" t="s">
        <v>47</v>
      </c>
      <c r="Z2984">
        <v>16</v>
      </c>
      <c r="AA2984">
        <v>43</v>
      </c>
      <c r="AB2984">
        <v>37.200000000000003</v>
      </c>
    </row>
    <row r="2985" spans="10:28">
      <c r="J2985" s="340" t="str">
        <f t="shared" si="141"/>
        <v>2011AllSexAllEth232</v>
      </c>
      <c r="K2985">
        <v>2011</v>
      </c>
      <c r="L2985" t="s">
        <v>17</v>
      </c>
      <c r="M2985" t="s">
        <v>27</v>
      </c>
      <c r="N2985">
        <v>23</v>
      </c>
      <c r="O2985">
        <v>2</v>
      </c>
      <c r="P2985">
        <v>24</v>
      </c>
      <c r="Q2985">
        <v>10.153947571105199</v>
      </c>
      <c r="R2985">
        <v>4.0999999999999996</v>
      </c>
      <c r="T2985" s="340" t="str">
        <f t="shared" si="142"/>
        <v>2010FemaleAllEth25Poisoning by solids and liquids</v>
      </c>
      <c r="U2985">
        <v>2010</v>
      </c>
      <c r="V2985" t="s">
        <v>8</v>
      </c>
      <c r="W2985" t="s">
        <v>27</v>
      </c>
      <c r="X2985">
        <v>25</v>
      </c>
      <c r="Y2985" t="s">
        <v>47</v>
      </c>
      <c r="Z2985">
        <v>6</v>
      </c>
      <c r="AA2985">
        <v>14</v>
      </c>
      <c r="AB2985">
        <v>42.9</v>
      </c>
    </row>
    <row r="2986" spans="10:28">
      <c r="J2986" s="340" t="str">
        <f t="shared" si="141"/>
        <v>2011AllSexAllEth233</v>
      </c>
      <c r="K2986">
        <v>2011</v>
      </c>
      <c r="L2986" t="s">
        <v>17</v>
      </c>
      <c r="M2986" t="s">
        <v>27</v>
      </c>
      <c r="N2986">
        <v>23</v>
      </c>
      <c r="O2986">
        <v>3</v>
      </c>
      <c r="P2986">
        <v>27</v>
      </c>
      <c r="Q2986">
        <v>11.2250458390719</v>
      </c>
      <c r="R2986">
        <v>4.2</v>
      </c>
      <c r="T2986" s="340" t="str">
        <f t="shared" si="142"/>
        <v>2010FemaleAllEth24Sharp object</v>
      </c>
      <c r="U2986">
        <v>2010</v>
      </c>
      <c r="V2986" t="s">
        <v>8</v>
      </c>
      <c r="W2986" t="s">
        <v>27</v>
      </c>
      <c r="X2986">
        <v>24</v>
      </c>
      <c r="Y2986" t="s">
        <v>48</v>
      </c>
      <c r="Z2986">
        <v>2</v>
      </c>
      <c r="AA2986">
        <v>43</v>
      </c>
      <c r="AB2986">
        <v>4.7</v>
      </c>
    </row>
    <row r="2987" spans="10:28">
      <c r="J2987" s="340" t="str">
        <f t="shared" si="141"/>
        <v>2011AllSexAllEth234</v>
      </c>
      <c r="K2987">
        <v>2011</v>
      </c>
      <c r="L2987" t="s">
        <v>17</v>
      </c>
      <c r="M2987" t="s">
        <v>27</v>
      </c>
      <c r="N2987">
        <v>23</v>
      </c>
      <c r="O2987">
        <v>4</v>
      </c>
      <c r="P2987">
        <v>33</v>
      </c>
      <c r="Q2987">
        <v>14.017735082138</v>
      </c>
      <c r="R2987">
        <v>4.8</v>
      </c>
      <c r="T2987" s="340" t="str">
        <f t="shared" si="142"/>
        <v>2010FemaleAllEth22Submersion (drowning)</v>
      </c>
      <c r="U2987">
        <v>2010</v>
      </c>
      <c r="V2987" t="s">
        <v>8</v>
      </c>
      <c r="W2987" t="s">
        <v>27</v>
      </c>
      <c r="X2987">
        <v>22</v>
      </c>
      <c r="Y2987" t="s">
        <v>49</v>
      </c>
      <c r="Z2987">
        <v>1</v>
      </c>
      <c r="AA2987">
        <v>34</v>
      </c>
      <c r="AB2987">
        <v>2.9</v>
      </c>
    </row>
    <row r="2988" spans="10:28">
      <c r="J2988" s="340" t="str">
        <f t="shared" si="141"/>
        <v>2011AllSexAllEth235</v>
      </c>
      <c r="K2988">
        <v>2011</v>
      </c>
      <c r="L2988" t="s">
        <v>17</v>
      </c>
      <c r="M2988" t="s">
        <v>27</v>
      </c>
      <c r="N2988">
        <v>23</v>
      </c>
      <c r="O2988">
        <v>5</v>
      </c>
      <c r="P2988">
        <v>52</v>
      </c>
      <c r="Q2988">
        <v>23.413397538986899</v>
      </c>
      <c r="R2988">
        <v>6.4</v>
      </c>
      <c r="T2988" s="340" t="str">
        <f t="shared" si="142"/>
        <v>2010FemaleAllEth23Submersion (drowning)</v>
      </c>
      <c r="U2988">
        <v>2010</v>
      </c>
      <c r="V2988" t="s">
        <v>8</v>
      </c>
      <c r="W2988" t="s">
        <v>27</v>
      </c>
      <c r="X2988">
        <v>23</v>
      </c>
      <c r="Y2988" t="s">
        <v>49</v>
      </c>
      <c r="Z2988">
        <v>1</v>
      </c>
      <c r="AA2988">
        <v>53</v>
      </c>
      <c r="AB2988">
        <v>1.9</v>
      </c>
    </row>
    <row r="2989" spans="10:28">
      <c r="J2989" s="340" t="str">
        <f t="shared" si="141"/>
        <v>2011AllSexAllEth241</v>
      </c>
      <c r="K2989">
        <v>2011</v>
      </c>
      <c r="L2989" t="s">
        <v>17</v>
      </c>
      <c r="M2989" t="s">
        <v>27</v>
      </c>
      <c r="N2989">
        <v>24</v>
      </c>
      <c r="O2989">
        <v>1</v>
      </c>
      <c r="P2989">
        <v>32</v>
      </c>
      <c r="Q2989">
        <v>11.771349410784699</v>
      </c>
      <c r="R2989">
        <v>4.0999999999999996</v>
      </c>
      <c r="T2989" s="340" t="str">
        <f t="shared" si="142"/>
        <v>2010FemaleAllEth24Submersion (drowning)</v>
      </c>
      <c r="U2989">
        <v>2010</v>
      </c>
      <c r="V2989" t="s">
        <v>8</v>
      </c>
      <c r="W2989" t="s">
        <v>27</v>
      </c>
      <c r="X2989">
        <v>24</v>
      </c>
      <c r="Y2989" t="s">
        <v>49</v>
      </c>
      <c r="Z2989">
        <v>3</v>
      </c>
      <c r="AA2989">
        <v>43</v>
      </c>
      <c r="AB2989">
        <v>7</v>
      </c>
    </row>
    <row r="2990" spans="10:28">
      <c r="J2990" s="340" t="str">
        <f t="shared" si="141"/>
        <v>2011AllSexAllEth242</v>
      </c>
      <c r="K2990">
        <v>2011</v>
      </c>
      <c r="L2990" t="s">
        <v>17</v>
      </c>
      <c r="M2990" t="s">
        <v>27</v>
      </c>
      <c r="N2990">
        <v>24</v>
      </c>
      <c r="O2990">
        <v>2</v>
      </c>
      <c r="P2990">
        <v>24</v>
      </c>
      <c r="Q2990">
        <v>9.8864789617812594</v>
      </c>
      <c r="R2990">
        <v>4</v>
      </c>
      <c r="T2990" s="340" t="str">
        <f t="shared" si="142"/>
        <v>2010FemaleMaori22Firearms and explosives</v>
      </c>
      <c r="U2990">
        <v>2010</v>
      </c>
      <c r="V2990" t="s">
        <v>8</v>
      </c>
      <c r="W2990" t="s">
        <v>18</v>
      </c>
      <c r="X2990">
        <v>22</v>
      </c>
      <c r="Y2990" t="s">
        <v>42</v>
      </c>
      <c r="Z2990">
        <v>1</v>
      </c>
      <c r="AA2990">
        <v>15</v>
      </c>
      <c r="AB2990">
        <v>6.7</v>
      </c>
    </row>
    <row r="2991" spans="10:28">
      <c r="J2991" s="340" t="str">
        <f t="shared" si="141"/>
        <v>2011AllSexAllEth243</v>
      </c>
      <c r="K2991">
        <v>2011</v>
      </c>
      <c r="L2991" t="s">
        <v>17</v>
      </c>
      <c r="M2991" t="s">
        <v>27</v>
      </c>
      <c r="N2991">
        <v>24</v>
      </c>
      <c r="O2991">
        <v>3</v>
      </c>
      <c r="P2991">
        <v>37</v>
      </c>
      <c r="Q2991">
        <v>16.8368978272429</v>
      </c>
      <c r="R2991">
        <v>5.4</v>
      </c>
      <c r="T2991" s="340" t="str">
        <f t="shared" si="142"/>
        <v>2010FemaleMaori21Hanging, strangulation and suffocation</v>
      </c>
      <c r="U2991">
        <v>2010</v>
      </c>
      <c r="V2991" t="s">
        <v>8</v>
      </c>
      <c r="W2991" t="s">
        <v>18</v>
      </c>
      <c r="X2991">
        <v>21</v>
      </c>
      <c r="Y2991" t="s">
        <v>43</v>
      </c>
      <c r="Z2991">
        <v>2</v>
      </c>
      <c r="AA2991">
        <v>2</v>
      </c>
      <c r="AB2991">
        <v>100</v>
      </c>
    </row>
    <row r="2992" spans="10:28">
      <c r="J2992" s="340" t="str">
        <f t="shared" si="141"/>
        <v>2011AllSexAllEth244</v>
      </c>
      <c r="K2992">
        <v>2011</v>
      </c>
      <c r="L2992" t="s">
        <v>17</v>
      </c>
      <c r="M2992" t="s">
        <v>27</v>
      </c>
      <c r="N2992">
        <v>24</v>
      </c>
      <c r="O2992">
        <v>4</v>
      </c>
      <c r="P2992">
        <v>26</v>
      </c>
      <c r="Q2992">
        <v>13.0256196799048</v>
      </c>
      <c r="R2992">
        <v>5</v>
      </c>
      <c r="T2992" s="340" t="str">
        <f t="shared" si="142"/>
        <v>2010FemaleMaori22Hanging, strangulation and suffocation</v>
      </c>
      <c r="U2992">
        <v>2010</v>
      </c>
      <c r="V2992" t="s">
        <v>8</v>
      </c>
      <c r="W2992" t="s">
        <v>18</v>
      </c>
      <c r="X2992">
        <v>22</v>
      </c>
      <c r="Y2992" t="s">
        <v>43</v>
      </c>
      <c r="Z2992">
        <v>13</v>
      </c>
      <c r="AA2992">
        <v>15</v>
      </c>
      <c r="AB2992">
        <v>86.7</v>
      </c>
    </row>
    <row r="2993" spans="10:28">
      <c r="J2993" s="340" t="str">
        <f t="shared" si="141"/>
        <v>2011AllSexAllEth245</v>
      </c>
      <c r="K2993">
        <v>2011</v>
      </c>
      <c r="L2993" t="s">
        <v>17</v>
      </c>
      <c r="M2993" t="s">
        <v>27</v>
      </c>
      <c r="N2993">
        <v>24</v>
      </c>
      <c r="O2993">
        <v>5</v>
      </c>
      <c r="P2993">
        <v>25</v>
      </c>
      <c r="Q2993">
        <v>13.6235726323133</v>
      </c>
      <c r="R2993">
        <v>5.3</v>
      </c>
      <c r="T2993" s="340" t="str">
        <f t="shared" si="142"/>
        <v>2010FemaleMaori23Hanging, strangulation and suffocation</v>
      </c>
      <c r="U2993">
        <v>2010</v>
      </c>
      <c r="V2993" t="s">
        <v>8</v>
      </c>
      <c r="W2993" t="s">
        <v>18</v>
      </c>
      <c r="X2993">
        <v>23</v>
      </c>
      <c r="Y2993" t="s">
        <v>43</v>
      </c>
      <c r="Z2993">
        <v>6</v>
      </c>
      <c r="AA2993">
        <v>9</v>
      </c>
      <c r="AB2993">
        <v>66.7</v>
      </c>
    </row>
    <row r="2994" spans="10:28">
      <c r="J2994" s="340" t="str">
        <f t="shared" si="141"/>
        <v>2011AllSexAllEth251</v>
      </c>
      <c r="K2994">
        <v>2011</v>
      </c>
      <c r="L2994" t="s">
        <v>17</v>
      </c>
      <c r="M2994" t="s">
        <v>27</v>
      </c>
      <c r="N2994">
        <v>25</v>
      </c>
      <c r="O2994">
        <v>1</v>
      </c>
      <c r="P2994">
        <v>7</v>
      </c>
      <c r="Q2994">
        <v>5.8427897892515697</v>
      </c>
      <c r="R2994">
        <v>4.3</v>
      </c>
      <c r="T2994" s="340" t="str">
        <f t="shared" si="142"/>
        <v>2010FemaleMaori23Jumping from a high place</v>
      </c>
      <c r="U2994">
        <v>2010</v>
      </c>
      <c r="V2994" t="s">
        <v>8</v>
      </c>
      <c r="W2994" t="s">
        <v>18</v>
      </c>
      <c r="X2994">
        <v>23</v>
      </c>
      <c r="Y2994" t="s">
        <v>44</v>
      </c>
      <c r="Z2994">
        <v>1</v>
      </c>
      <c r="AA2994">
        <v>9</v>
      </c>
      <c r="AB2994">
        <v>11.1</v>
      </c>
    </row>
    <row r="2995" spans="10:28">
      <c r="J2995" s="340" t="str">
        <f t="shared" si="141"/>
        <v>2011AllSexAllEth252</v>
      </c>
      <c r="K2995">
        <v>2011</v>
      </c>
      <c r="L2995" t="s">
        <v>17</v>
      </c>
      <c r="M2995" t="s">
        <v>27</v>
      </c>
      <c r="N2995">
        <v>25</v>
      </c>
      <c r="O2995">
        <v>2</v>
      </c>
      <c r="P2995">
        <v>8</v>
      </c>
      <c r="Q2995">
        <v>6.6094495499466497</v>
      </c>
      <c r="R2995">
        <v>4.5999999999999996</v>
      </c>
      <c r="T2995" s="340" t="str">
        <f t="shared" si="142"/>
        <v>2010FemaleMaori22Poisoning by solids and liquids</v>
      </c>
      <c r="U2995">
        <v>2010</v>
      </c>
      <c r="V2995" t="s">
        <v>8</v>
      </c>
      <c r="W2995" t="s">
        <v>18</v>
      </c>
      <c r="X2995">
        <v>22</v>
      </c>
      <c r="Y2995" t="s">
        <v>47</v>
      </c>
      <c r="Z2995">
        <v>1</v>
      </c>
      <c r="AA2995">
        <v>15</v>
      </c>
      <c r="AB2995">
        <v>6.7</v>
      </c>
    </row>
    <row r="2996" spans="10:28">
      <c r="J2996" s="340" t="str">
        <f t="shared" si="141"/>
        <v>2011AllSexAllEth253</v>
      </c>
      <c r="K2996">
        <v>2011</v>
      </c>
      <c r="L2996" t="s">
        <v>17</v>
      </c>
      <c r="M2996" t="s">
        <v>27</v>
      </c>
      <c r="N2996">
        <v>25</v>
      </c>
      <c r="O2996">
        <v>3</v>
      </c>
      <c r="P2996">
        <v>13</v>
      </c>
      <c r="Q2996">
        <v>10.853505567093</v>
      </c>
      <c r="R2996">
        <v>5.9</v>
      </c>
      <c r="T2996" s="340" t="str">
        <f t="shared" si="142"/>
        <v>2010FemaleMaori23Poisoning by solids and liquids</v>
      </c>
      <c r="U2996">
        <v>2010</v>
      </c>
      <c r="V2996" t="s">
        <v>8</v>
      </c>
      <c r="W2996" t="s">
        <v>18</v>
      </c>
      <c r="X2996">
        <v>23</v>
      </c>
      <c r="Y2996" t="s">
        <v>47</v>
      </c>
      <c r="Z2996">
        <v>2</v>
      </c>
      <c r="AA2996">
        <v>9</v>
      </c>
      <c r="AB2996">
        <v>22.2</v>
      </c>
    </row>
    <row r="2997" spans="10:28">
      <c r="J2997" s="340" t="str">
        <f t="shared" si="141"/>
        <v>2011AllSexAllEth254</v>
      </c>
      <c r="K2997">
        <v>2011</v>
      </c>
      <c r="L2997" t="s">
        <v>17</v>
      </c>
      <c r="M2997" t="s">
        <v>27</v>
      </c>
      <c r="N2997">
        <v>25</v>
      </c>
      <c r="O2997">
        <v>4</v>
      </c>
      <c r="P2997">
        <v>8</v>
      </c>
      <c r="Q2997">
        <v>6.60402821934386</v>
      </c>
      <c r="R2997">
        <v>4.5999999999999996</v>
      </c>
      <c r="T2997" s="340" t="str">
        <f t="shared" si="142"/>
        <v>2010FemaleMaori24Poisoning by solids and liquids</v>
      </c>
      <c r="U2997">
        <v>2010</v>
      </c>
      <c r="V2997" t="s">
        <v>8</v>
      </c>
      <c r="W2997" t="s">
        <v>18</v>
      </c>
      <c r="X2997">
        <v>24</v>
      </c>
      <c r="Y2997" t="s">
        <v>47</v>
      </c>
      <c r="Z2997">
        <v>4</v>
      </c>
      <c r="AA2997">
        <v>4</v>
      </c>
      <c r="AB2997">
        <v>100</v>
      </c>
    </row>
    <row r="2998" spans="10:28">
      <c r="J2998" s="340" t="str">
        <f t="shared" si="141"/>
        <v>2011AllSexAllEth255</v>
      </c>
      <c r="K2998">
        <v>2011</v>
      </c>
      <c r="L2998" t="s">
        <v>17</v>
      </c>
      <c r="M2998" t="s">
        <v>27</v>
      </c>
      <c r="N2998">
        <v>25</v>
      </c>
      <c r="O2998">
        <v>5</v>
      </c>
      <c r="P2998">
        <v>7</v>
      </c>
      <c r="Q2998">
        <v>7.1182948978656002</v>
      </c>
      <c r="R2998">
        <v>5.3</v>
      </c>
      <c r="T2998" s="340" t="str">
        <f t="shared" si="142"/>
        <v>2010FemaleNon-Maori23Firearms and explosives</v>
      </c>
      <c r="U2998">
        <v>2010</v>
      </c>
      <c r="V2998" t="s">
        <v>8</v>
      </c>
      <c r="W2998" t="s">
        <v>19</v>
      </c>
      <c r="X2998">
        <v>23</v>
      </c>
      <c r="Y2998" t="s">
        <v>42</v>
      </c>
      <c r="Z2998">
        <v>1</v>
      </c>
      <c r="AA2998">
        <v>44</v>
      </c>
      <c r="AB2998">
        <v>2.2999999999999998</v>
      </c>
    </row>
    <row r="2999" spans="10:28">
      <c r="J2999" s="340" t="str">
        <f t="shared" si="141"/>
        <v>2011AllSexMaori211</v>
      </c>
      <c r="K2999">
        <v>2011</v>
      </c>
      <c r="L2999" t="s">
        <v>17</v>
      </c>
      <c r="M2999" t="s">
        <v>18</v>
      </c>
      <c r="N2999">
        <v>21</v>
      </c>
      <c r="O2999">
        <v>1</v>
      </c>
      <c r="P2999">
        <v>0</v>
      </c>
      <c r="Q2999">
        <v>0</v>
      </c>
      <c r="T2999" s="340" t="str">
        <f t="shared" si="142"/>
        <v>2010FemaleNon-Maori21Hanging, strangulation and suffocation</v>
      </c>
      <c r="U2999">
        <v>2010</v>
      </c>
      <c r="V2999" t="s">
        <v>8</v>
      </c>
      <c r="W2999" t="s">
        <v>19</v>
      </c>
      <c r="X2999">
        <v>21</v>
      </c>
      <c r="Y2999" t="s">
        <v>43</v>
      </c>
      <c r="Z2999">
        <v>1</v>
      </c>
      <c r="AA2999">
        <v>1</v>
      </c>
      <c r="AB2999">
        <v>100</v>
      </c>
    </row>
    <row r="3000" spans="10:28">
      <c r="J3000" s="340" t="str">
        <f t="shared" si="141"/>
        <v>2011AllSexMaori212</v>
      </c>
      <c r="K3000">
        <v>2011</v>
      </c>
      <c r="L3000" t="s">
        <v>17</v>
      </c>
      <c r="M3000" t="s">
        <v>18</v>
      </c>
      <c r="N3000">
        <v>21</v>
      </c>
      <c r="O3000">
        <v>2</v>
      </c>
      <c r="P3000">
        <v>1</v>
      </c>
      <c r="Q3000">
        <v>3.7960633499458201</v>
      </c>
      <c r="R3000">
        <v>7.4</v>
      </c>
      <c r="T3000" s="340" t="str">
        <f t="shared" si="142"/>
        <v>2010FemaleNon-Maori22Hanging, strangulation and suffocation</v>
      </c>
      <c r="U3000">
        <v>2010</v>
      </c>
      <c r="V3000" t="s">
        <v>8</v>
      </c>
      <c r="W3000" t="s">
        <v>19</v>
      </c>
      <c r="X3000">
        <v>22</v>
      </c>
      <c r="Y3000" t="s">
        <v>43</v>
      </c>
      <c r="Z3000">
        <v>13</v>
      </c>
      <c r="AA3000">
        <v>19</v>
      </c>
      <c r="AB3000">
        <v>68.400000000000006</v>
      </c>
    </row>
    <row r="3001" spans="10:28">
      <c r="J3001" s="340" t="str">
        <f t="shared" si="141"/>
        <v>2011AllSexMaori213</v>
      </c>
      <c r="K3001">
        <v>2011</v>
      </c>
      <c r="L3001" t="s">
        <v>17</v>
      </c>
      <c r="M3001" t="s">
        <v>18</v>
      </c>
      <c r="N3001">
        <v>21</v>
      </c>
      <c r="O3001">
        <v>3</v>
      </c>
      <c r="P3001">
        <v>1</v>
      </c>
      <c r="Q3001">
        <v>2.7007908318462501</v>
      </c>
      <c r="R3001">
        <v>5.3</v>
      </c>
      <c r="T3001" s="340" t="str">
        <f t="shared" si="142"/>
        <v>2010FemaleNon-Maori23Hanging, strangulation and suffocation</v>
      </c>
      <c r="U3001">
        <v>2010</v>
      </c>
      <c r="V3001" t="s">
        <v>8</v>
      </c>
      <c r="W3001" t="s">
        <v>19</v>
      </c>
      <c r="X3001">
        <v>23</v>
      </c>
      <c r="Y3001" t="s">
        <v>43</v>
      </c>
      <c r="Z3001">
        <v>22</v>
      </c>
      <c r="AA3001">
        <v>44</v>
      </c>
      <c r="AB3001">
        <v>50</v>
      </c>
    </row>
    <row r="3002" spans="10:28">
      <c r="J3002" s="340" t="str">
        <f t="shared" si="141"/>
        <v>2011AllSexMaori214</v>
      </c>
      <c r="K3002">
        <v>2011</v>
      </c>
      <c r="L3002" t="s">
        <v>17</v>
      </c>
      <c r="M3002" t="s">
        <v>18</v>
      </c>
      <c r="N3002">
        <v>21</v>
      </c>
      <c r="O3002">
        <v>4</v>
      </c>
      <c r="P3002">
        <v>0</v>
      </c>
      <c r="Q3002">
        <v>0</v>
      </c>
      <c r="T3002" s="340" t="str">
        <f t="shared" si="142"/>
        <v>2010FemaleNon-Maori24Hanging, strangulation and suffocation</v>
      </c>
      <c r="U3002">
        <v>2010</v>
      </c>
      <c r="V3002" t="s">
        <v>8</v>
      </c>
      <c r="W3002" t="s">
        <v>19</v>
      </c>
      <c r="X3002">
        <v>24</v>
      </c>
      <c r="Y3002" t="s">
        <v>43</v>
      </c>
      <c r="Z3002">
        <v>17</v>
      </c>
      <c r="AA3002">
        <v>39</v>
      </c>
      <c r="AB3002">
        <v>43.6</v>
      </c>
    </row>
    <row r="3003" spans="10:28">
      <c r="J3003" s="340" t="str">
        <f t="shared" si="141"/>
        <v>2011AllSexMaori215</v>
      </c>
      <c r="K3003">
        <v>2011</v>
      </c>
      <c r="L3003" t="s">
        <v>17</v>
      </c>
      <c r="M3003" t="s">
        <v>18</v>
      </c>
      <c r="N3003">
        <v>21</v>
      </c>
      <c r="O3003">
        <v>5</v>
      </c>
      <c r="P3003">
        <v>2</v>
      </c>
      <c r="Q3003">
        <v>2.0742363376843702</v>
      </c>
      <c r="R3003">
        <v>2.9</v>
      </c>
      <c r="T3003" s="340" t="str">
        <f t="shared" si="142"/>
        <v>2010FemaleNon-Maori25Hanging, strangulation and suffocation</v>
      </c>
      <c r="U3003">
        <v>2010</v>
      </c>
      <c r="V3003" t="s">
        <v>8</v>
      </c>
      <c r="W3003" t="s">
        <v>19</v>
      </c>
      <c r="X3003">
        <v>25</v>
      </c>
      <c r="Y3003" t="s">
        <v>43</v>
      </c>
      <c r="Z3003">
        <v>6</v>
      </c>
      <c r="AA3003">
        <v>14</v>
      </c>
      <c r="AB3003">
        <v>42.9</v>
      </c>
    </row>
    <row r="3004" spans="10:28">
      <c r="J3004" s="340" t="str">
        <f t="shared" si="141"/>
        <v>2011AllSexMaori221</v>
      </c>
      <c r="K3004">
        <v>2011</v>
      </c>
      <c r="L3004" t="s">
        <v>17</v>
      </c>
      <c r="M3004" t="s">
        <v>18</v>
      </c>
      <c r="N3004">
        <v>22</v>
      </c>
      <c r="O3004">
        <v>1</v>
      </c>
      <c r="P3004">
        <v>2</v>
      </c>
      <c r="Q3004">
        <v>19.052657628734401</v>
      </c>
      <c r="R3004">
        <v>26.4</v>
      </c>
      <c r="T3004" s="340" t="str">
        <f t="shared" si="142"/>
        <v>2010FemaleNon-Maori23Jumping from a high place</v>
      </c>
      <c r="U3004">
        <v>2010</v>
      </c>
      <c r="V3004" t="s">
        <v>8</v>
      </c>
      <c r="W3004" t="s">
        <v>19</v>
      </c>
      <c r="X3004">
        <v>23</v>
      </c>
      <c r="Y3004" t="s">
        <v>44</v>
      </c>
      <c r="Z3004">
        <v>1</v>
      </c>
      <c r="AA3004">
        <v>44</v>
      </c>
      <c r="AB3004">
        <v>2.2999999999999998</v>
      </c>
    </row>
    <row r="3005" spans="10:28">
      <c r="J3005" s="340" t="str">
        <f t="shared" si="141"/>
        <v>2011AllSexMaori222</v>
      </c>
      <c r="K3005">
        <v>2011</v>
      </c>
      <c r="L3005" t="s">
        <v>17</v>
      </c>
      <c r="M3005" t="s">
        <v>18</v>
      </c>
      <c r="N3005">
        <v>22</v>
      </c>
      <c r="O3005">
        <v>2</v>
      </c>
      <c r="P3005">
        <v>5</v>
      </c>
      <c r="Q3005">
        <v>35.764532337188903</v>
      </c>
      <c r="R3005">
        <v>31.3</v>
      </c>
      <c r="T3005" s="340" t="str">
        <f t="shared" si="142"/>
        <v>2010FemaleNon-Maori24Jumping from a high place</v>
      </c>
      <c r="U3005">
        <v>2010</v>
      </c>
      <c r="V3005" t="s">
        <v>8</v>
      </c>
      <c r="W3005" t="s">
        <v>19</v>
      </c>
      <c r="X3005">
        <v>24</v>
      </c>
      <c r="Y3005" t="s">
        <v>44</v>
      </c>
      <c r="Z3005">
        <v>1</v>
      </c>
      <c r="AA3005">
        <v>39</v>
      </c>
      <c r="AB3005">
        <v>2.6</v>
      </c>
    </row>
    <row r="3006" spans="10:28">
      <c r="J3006" s="340" t="str">
        <f t="shared" si="141"/>
        <v>2011AllSexMaori223</v>
      </c>
      <c r="K3006">
        <v>2011</v>
      </c>
      <c r="L3006" t="s">
        <v>17</v>
      </c>
      <c r="M3006" t="s">
        <v>18</v>
      </c>
      <c r="N3006">
        <v>22</v>
      </c>
      <c r="O3006">
        <v>3</v>
      </c>
      <c r="P3006">
        <v>8</v>
      </c>
      <c r="Q3006">
        <v>39.384863369850002</v>
      </c>
      <c r="R3006">
        <v>27.3</v>
      </c>
      <c r="T3006" s="340" t="str">
        <f t="shared" si="142"/>
        <v>2010FemaleNon-Maori22Other</v>
      </c>
      <c r="U3006">
        <v>2010</v>
      </c>
      <c r="V3006" t="s">
        <v>8</v>
      </c>
      <c r="W3006" t="s">
        <v>19</v>
      </c>
      <c r="X3006">
        <v>22</v>
      </c>
      <c r="Y3006" t="s">
        <v>45</v>
      </c>
      <c r="Z3006">
        <v>1</v>
      </c>
      <c r="AA3006">
        <v>19</v>
      </c>
      <c r="AB3006">
        <v>5.3</v>
      </c>
    </row>
    <row r="3007" spans="10:28">
      <c r="J3007" s="340" t="str">
        <f t="shared" si="141"/>
        <v>2011AllSexMaori224</v>
      </c>
      <c r="K3007">
        <v>2011</v>
      </c>
      <c r="L3007" t="s">
        <v>17</v>
      </c>
      <c r="M3007" t="s">
        <v>18</v>
      </c>
      <c r="N3007">
        <v>22</v>
      </c>
      <c r="O3007">
        <v>4</v>
      </c>
      <c r="P3007">
        <v>11</v>
      </c>
      <c r="Q3007">
        <v>37.495532198490302</v>
      </c>
      <c r="R3007">
        <v>22.2</v>
      </c>
      <c r="T3007" s="340" t="str">
        <f t="shared" si="142"/>
        <v>2010FemaleNon-Maori23Other</v>
      </c>
      <c r="U3007">
        <v>2010</v>
      </c>
      <c r="V3007" t="s">
        <v>8</v>
      </c>
      <c r="W3007" t="s">
        <v>19</v>
      </c>
      <c r="X3007">
        <v>23</v>
      </c>
      <c r="Y3007" t="s">
        <v>45</v>
      </c>
      <c r="Z3007">
        <v>2</v>
      </c>
      <c r="AA3007">
        <v>44</v>
      </c>
      <c r="AB3007">
        <v>4.5</v>
      </c>
    </row>
    <row r="3008" spans="10:28">
      <c r="J3008" s="340" t="str">
        <f t="shared" si="141"/>
        <v>2011AllSexMaori225</v>
      </c>
      <c r="K3008">
        <v>2011</v>
      </c>
      <c r="L3008" t="s">
        <v>17</v>
      </c>
      <c r="M3008" t="s">
        <v>18</v>
      </c>
      <c r="N3008">
        <v>22</v>
      </c>
      <c r="O3008">
        <v>5</v>
      </c>
      <c r="P3008">
        <v>22</v>
      </c>
      <c r="Q3008">
        <v>43.600303390714103</v>
      </c>
      <c r="R3008">
        <v>18.2</v>
      </c>
      <c r="T3008" s="340" t="str">
        <f t="shared" si="142"/>
        <v>2010FemaleNon-Maori24Other</v>
      </c>
      <c r="U3008">
        <v>2010</v>
      </c>
      <c r="V3008" t="s">
        <v>8</v>
      </c>
      <c r="W3008" t="s">
        <v>19</v>
      </c>
      <c r="X3008">
        <v>24</v>
      </c>
      <c r="Y3008" t="s">
        <v>45</v>
      </c>
      <c r="Z3008">
        <v>2</v>
      </c>
      <c r="AA3008">
        <v>39</v>
      </c>
      <c r="AB3008">
        <v>5.0999999999999996</v>
      </c>
    </row>
    <row r="3009" spans="10:28">
      <c r="J3009" s="340" t="str">
        <f t="shared" si="141"/>
        <v>2011AllSexMaori231</v>
      </c>
      <c r="K3009">
        <v>2011</v>
      </c>
      <c r="L3009" t="s">
        <v>17</v>
      </c>
      <c r="M3009" t="s">
        <v>18</v>
      </c>
      <c r="N3009">
        <v>23</v>
      </c>
      <c r="O3009">
        <v>1</v>
      </c>
      <c r="P3009">
        <v>3</v>
      </c>
      <c r="Q3009">
        <v>20.153983748218501</v>
      </c>
      <c r="R3009">
        <v>22.8</v>
      </c>
      <c r="T3009" s="340" t="str">
        <f t="shared" si="142"/>
        <v>2010FemaleNon-Maori25Other</v>
      </c>
      <c r="U3009">
        <v>2010</v>
      </c>
      <c r="V3009" t="s">
        <v>8</v>
      </c>
      <c r="W3009" t="s">
        <v>19</v>
      </c>
      <c r="X3009">
        <v>25</v>
      </c>
      <c r="Y3009" t="s">
        <v>45</v>
      </c>
      <c r="Z3009">
        <v>1</v>
      </c>
      <c r="AA3009">
        <v>14</v>
      </c>
      <c r="AB3009">
        <v>7.1</v>
      </c>
    </row>
    <row r="3010" spans="10:28">
      <c r="J3010" s="340" t="str">
        <f t="shared" si="141"/>
        <v>2011AllSexMaori232</v>
      </c>
      <c r="K3010">
        <v>2011</v>
      </c>
      <c r="L3010" t="s">
        <v>17</v>
      </c>
      <c r="M3010" t="s">
        <v>18</v>
      </c>
      <c r="N3010">
        <v>23</v>
      </c>
      <c r="O3010">
        <v>2</v>
      </c>
      <c r="P3010">
        <v>5</v>
      </c>
      <c r="Q3010">
        <v>24.266418967532701</v>
      </c>
      <c r="R3010">
        <v>21.3</v>
      </c>
      <c r="T3010" s="340" t="str">
        <f t="shared" si="142"/>
        <v>2010FemaleNon-Maori22Poisoning by gases and vapours</v>
      </c>
      <c r="U3010">
        <v>2010</v>
      </c>
      <c r="V3010" t="s">
        <v>8</v>
      </c>
      <c r="W3010" t="s">
        <v>19</v>
      </c>
      <c r="X3010">
        <v>22</v>
      </c>
      <c r="Y3010" t="s">
        <v>46</v>
      </c>
      <c r="Z3010">
        <v>2</v>
      </c>
      <c r="AA3010">
        <v>19</v>
      </c>
      <c r="AB3010">
        <v>10.5</v>
      </c>
    </row>
    <row r="3011" spans="10:28">
      <c r="J3011" s="340" t="str">
        <f t="shared" si="141"/>
        <v>2011AllSexMaori233</v>
      </c>
      <c r="K3011">
        <v>2011</v>
      </c>
      <c r="L3011" t="s">
        <v>17</v>
      </c>
      <c r="M3011" t="s">
        <v>18</v>
      </c>
      <c r="N3011">
        <v>23</v>
      </c>
      <c r="O3011">
        <v>3</v>
      </c>
      <c r="P3011">
        <v>3</v>
      </c>
      <c r="Q3011">
        <v>10.468797374829901</v>
      </c>
      <c r="R3011">
        <v>11.8</v>
      </c>
      <c r="T3011" s="340" t="str">
        <f t="shared" si="142"/>
        <v>2010FemaleNon-Maori23Poisoning by gases and vapours</v>
      </c>
      <c r="U3011">
        <v>2010</v>
      </c>
      <c r="V3011" t="s">
        <v>8</v>
      </c>
      <c r="W3011" t="s">
        <v>19</v>
      </c>
      <c r="X3011">
        <v>23</v>
      </c>
      <c r="Y3011" t="s">
        <v>46</v>
      </c>
      <c r="Z3011">
        <v>5</v>
      </c>
      <c r="AA3011">
        <v>44</v>
      </c>
      <c r="AB3011">
        <v>11.4</v>
      </c>
    </row>
    <row r="3012" spans="10:28">
      <c r="J3012" s="340" t="str">
        <f t="shared" ref="J3012:J3075" si="143">K3012&amp;L3012&amp;M3012&amp;N3012&amp;O3012</f>
        <v>2011AllSexMaori234</v>
      </c>
      <c r="K3012">
        <v>2011</v>
      </c>
      <c r="L3012" t="s">
        <v>17</v>
      </c>
      <c r="M3012" t="s">
        <v>18</v>
      </c>
      <c r="N3012">
        <v>23</v>
      </c>
      <c r="O3012">
        <v>4</v>
      </c>
      <c r="P3012">
        <v>6</v>
      </c>
      <c r="Q3012">
        <v>15.1821032051896</v>
      </c>
      <c r="R3012">
        <v>12.1</v>
      </c>
      <c r="T3012" s="340" t="str">
        <f t="shared" si="142"/>
        <v>2010FemaleNon-Maori24Poisoning by gases and vapours</v>
      </c>
      <c r="U3012">
        <v>2010</v>
      </c>
      <c r="V3012" t="s">
        <v>8</v>
      </c>
      <c r="W3012" t="s">
        <v>19</v>
      </c>
      <c r="X3012">
        <v>24</v>
      </c>
      <c r="Y3012" t="s">
        <v>46</v>
      </c>
      <c r="Z3012">
        <v>2</v>
      </c>
      <c r="AA3012">
        <v>39</v>
      </c>
      <c r="AB3012">
        <v>5.0999999999999996</v>
      </c>
    </row>
    <row r="3013" spans="10:28">
      <c r="J3013" s="340" t="str">
        <f t="shared" si="143"/>
        <v>2011AllSexMaori235</v>
      </c>
      <c r="K3013">
        <v>2011</v>
      </c>
      <c r="L3013" t="s">
        <v>17</v>
      </c>
      <c r="M3013" t="s">
        <v>18</v>
      </c>
      <c r="N3013">
        <v>23</v>
      </c>
      <c r="O3013">
        <v>5</v>
      </c>
      <c r="P3013">
        <v>27</v>
      </c>
      <c r="Q3013">
        <v>42.235387906231303</v>
      </c>
      <c r="R3013">
        <v>15.9</v>
      </c>
      <c r="T3013" s="340" t="str">
        <f t="shared" ref="T3013:T3076" si="144">U3013&amp;V3013&amp;W3013&amp;X3013&amp;Y3013</f>
        <v>2010FemaleNon-Maori25Poisoning by gases and vapours</v>
      </c>
      <c r="U3013">
        <v>2010</v>
      </c>
      <c r="V3013" t="s">
        <v>8</v>
      </c>
      <c r="W3013" t="s">
        <v>19</v>
      </c>
      <c r="X3013">
        <v>25</v>
      </c>
      <c r="Y3013" t="s">
        <v>46</v>
      </c>
      <c r="Z3013">
        <v>1</v>
      </c>
      <c r="AA3013">
        <v>14</v>
      </c>
      <c r="AB3013">
        <v>7.1</v>
      </c>
    </row>
    <row r="3014" spans="10:28">
      <c r="J3014" s="340" t="str">
        <f t="shared" si="143"/>
        <v>2011AllSexMaori241</v>
      </c>
      <c r="K3014">
        <v>2011</v>
      </c>
      <c r="L3014" t="s">
        <v>17</v>
      </c>
      <c r="M3014" t="s">
        <v>18</v>
      </c>
      <c r="N3014">
        <v>24</v>
      </c>
      <c r="O3014">
        <v>1</v>
      </c>
      <c r="P3014">
        <v>1</v>
      </c>
      <c r="Q3014">
        <v>8.5085826070445005</v>
      </c>
      <c r="R3014">
        <v>16.7</v>
      </c>
      <c r="T3014" s="340" t="str">
        <f t="shared" si="144"/>
        <v>2010FemaleNon-Maori22Poisoning by solids and liquids</v>
      </c>
      <c r="U3014">
        <v>2010</v>
      </c>
      <c r="V3014" t="s">
        <v>8</v>
      </c>
      <c r="W3014" t="s">
        <v>19</v>
      </c>
      <c r="X3014">
        <v>22</v>
      </c>
      <c r="Y3014" t="s">
        <v>47</v>
      </c>
      <c r="Z3014">
        <v>2</v>
      </c>
      <c r="AA3014">
        <v>19</v>
      </c>
      <c r="AB3014">
        <v>10.5</v>
      </c>
    </row>
    <row r="3015" spans="10:28">
      <c r="J3015" s="340" t="str">
        <f t="shared" si="143"/>
        <v>2011AllSexMaori242</v>
      </c>
      <c r="K3015">
        <v>2011</v>
      </c>
      <c r="L3015" t="s">
        <v>17</v>
      </c>
      <c r="M3015" t="s">
        <v>18</v>
      </c>
      <c r="N3015">
        <v>24</v>
      </c>
      <c r="O3015">
        <v>2</v>
      </c>
      <c r="P3015">
        <v>6</v>
      </c>
      <c r="Q3015">
        <v>40.773906242293798</v>
      </c>
      <c r="R3015">
        <v>32.6</v>
      </c>
      <c r="T3015" s="340" t="str">
        <f t="shared" si="144"/>
        <v>2010FemaleNon-Maori23Poisoning by solids and liquids</v>
      </c>
      <c r="U3015">
        <v>2010</v>
      </c>
      <c r="V3015" t="s">
        <v>8</v>
      </c>
      <c r="W3015" t="s">
        <v>19</v>
      </c>
      <c r="X3015">
        <v>23</v>
      </c>
      <c r="Y3015" t="s">
        <v>47</v>
      </c>
      <c r="Z3015">
        <v>12</v>
      </c>
      <c r="AA3015">
        <v>44</v>
      </c>
      <c r="AB3015">
        <v>27.3</v>
      </c>
    </row>
    <row r="3016" spans="10:28">
      <c r="J3016" s="340" t="str">
        <f t="shared" si="143"/>
        <v>2011AllSexMaori243</v>
      </c>
      <c r="K3016">
        <v>2011</v>
      </c>
      <c r="L3016" t="s">
        <v>17</v>
      </c>
      <c r="M3016" t="s">
        <v>18</v>
      </c>
      <c r="N3016">
        <v>24</v>
      </c>
      <c r="O3016">
        <v>3</v>
      </c>
      <c r="P3016">
        <v>2</v>
      </c>
      <c r="Q3016">
        <v>10.336237204235299</v>
      </c>
      <c r="R3016">
        <v>14.3</v>
      </c>
      <c r="T3016" s="340" t="str">
        <f t="shared" si="144"/>
        <v>2010FemaleNon-Maori24Poisoning by solids and liquids</v>
      </c>
      <c r="U3016">
        <v>2010</v>
      </c>
      <c r="V3016" t="s">
        <v>8</v>
      </c>
      <c r="W3016" t="s">
        <v>19</v>
      </c>
      <c r="X3016">
        <v>24</v>
      </c>
      <c r="Y3016" t="s">
        <v>47</v>
      </c>
      <c r="Z3016">
        <v>12</v>
      </c>
      <c r="AA3016">
        <v>39</v>
      </c>
      <c r="AB3016">
        <v>30.8</v>
      </c>
    </row>
    <row r="3017" spans="10:28">
      <c r="J3017" s="340" t="str">
        <f t="shared" si="143"/>
        <v>2011AllSexMaori244</v>
      </c>
      <c r="K3017">
        <v>2011</v>
      </c>
      <c r="L3017" t="s">
        <v>17</v>
      </c>
      <c r="M3017" t="s">
        <v>18</v>
      </c>
      <c r="N3017">
        <v>24</v>
      </c>
      <c r="O3017">
        <v>4</v>
      </c>
      <c r="P3017">
        <v>3</v>
      </c>
      <c r="Q3017">
        <v>11.152377566266701</v>
      </c>
      <c r="R3017">
        <v>12.6</v>
      </c>
      <c r="T3017" s="340" t="str">
        <f t="shared" si="144"/>
        <v>2010FemaleNon-Maori25Poisoning by solids and liquids</v>
      </c>
      <c r="U3017">
        <v>2010</v>
      </c>
      <c r="V3017" t="s">
        <v>8</v>
      </c>
      <c r="W3017" t="s">
        <v>19</v>
      </c>
      <c r="X3017">
        <v>25</v>
      </c>
      <c r="Y3017" t="s">
        <v>47</v>
      </c>
      <c r="Z3017">
        <v>6</v>
      </c>
      <c r="AA3017">
        <v>14</v>
      </c>
      <c r="AB3017">
        <v>42.9</v>
      </c>
    </row>
    <row r="3018" spans="10:28">
      <c r="J3018" s="340" t="str">
        <f t="shared" si="143"/>
        <v>2011AllSexMaori245</v>
      </c>
      <c r="K3018">
        <v>2011</v>
      </c>
      <c r="L3018" t="s">
        <v>17</v>
      </c>
      <c r="M3018" t="s">
        <v>18</v>
      </c>
      <c r="N3018">
        <v>24</v>
      </c>
      <c r="O3018">
        <v>5</v>
      </c>
      <c r="P3018">
        <v>4</v>
      </c>
      <c r="Q3018">
        <v>8.5157498767311406</v>
      </c>
      <c r="R3018">
        <v>8.3000000000000007</v>
      </c>
      <c r="T3018" s="340" t="str">
        <f t="shared" si="144"/>
        <v>2010FemaleNon-Maori24Sharp object</v>
      </c>
      <c r="U3018">
        <v>2010</v>
      </c>
      <c r="V3018" t="s">
        <v>8</v>
      </c>
      <c r="W3018" t="s">
        <v>19</v>
      </c>
      <c r="X3018">
        <v>24</v>
      </c>
      <c r="Y3018" t="s">
        <v>48</v>
      </c>
      <c r="Z3018">
        <v>2</v>
      </c>
      <c r="AA3018">
        <v>39</v>
      </c>
      <c r="AB3018">
        <v>5.0999999999999996</v>
      </c>
    </row>
    <row r="3019" spans="10:28">
      <c r="J3019" s="340" t="str">
        <f t="shared" si="143"/>
        <v>2011AllSexMaori251</v>
      </c>
      <c r="K3019">
        <v>2011</v>
      </c>
      <c r="L3019" t="s">
        <v>17</v>
      </c>
      <c r="M3019" t="s">
        <v>18</v>
      </c>
      <c r="N3019">
        <v>25</v>
      </c>
      <c r="O3019">
        <v>1</v>
      </c>
      <c r="P3019">
        <v>0</v>
      </c>
      <c r="Q3019">
        <v>0</v>
      </c>
      <c r="T3019" s="340" t="str">
        <f t="shared" si="144"/>
        <v>2010FemaleNon-Maori22Submersion (drowning)</v>
      </c>
      <c r="U3019">
        <v>2010</v>
      </c>
      <c r="V3019" t="s">
        <v>8</v>
      </c>
      <c r="W3019" t="s">
        <v>19</v>
      </c>
      <c r="X3019">
        <v>22</v>
      </c>
      <c r="Y3019" t="s">
        <v>49</v>
      </c>
      <c r="Z3019">
        <v>1</v>
      </c>
      <c r="AA3019">
        <v>19</v>
      </c>
      <c r="AB3019">
        <v>5.3</v>
      </c>
    </row>
    <row r="3020" spans="10:28">
      <c r="J3020" s="340" t="str">
        <f t="shared" si="143"/>
        <v>2011AllSexMaori252</v>
      </c>
      <c r="K3020">
        <v>2011</v>
      </c>
      <c r="L3020" t="s">
        <v>17</v>
      </c>
      <c r="M3020" t="s">
        <v>18</v>
      </c>
      <c r="N3020">
        <v>25</v>
      </c>
      <c r="O3020">
        <v>2</v>
      </c>
      <c r="P3020">
        <v>0</v>
      </c>
      <c r="Q3020">
        <v>0</v>
      </c>
      <c r="T3020" s="340" t="str">
        <f t="shared" si="144"/>
        <v>2010FemaleNon-Maori23Submersion (drowning)</v>
      </c>
      <c r="U3020">
        <v>2010</v>
      </c>
      <c r="V3020" t="s">
        <v>8</v>
      </c>
      <c r="W3020" t="s">
        <v>19</v>
      </c>
      <c r="X3020">
        <v>23</v>
      </c>
      <c r="Y3020" t="s">
        <v>49</v>
      </c>
      <c r="Z3020">
        <v>1</v>
      </c>
      <c r="AA3020">
        <v>44</v>
      </c>
      <c r="AB3020">
        <v>2.2999999999999998</v>
      </c>
    </row>
    <row r="3021" spans="10:28">
      <c r="J3021" s="340" t="str">
        <f t="shared" si="143"/>
        <v>2011AllSexMaori253</v>
      </c>
      <c r="K3021">
        <v>2011</v>
      </c>
      <c r="L3021" t="s">
        <v>17</v>
      </c>
      <c r="M3021" t="s">
        <v>18</v>
      </c>
      <c r="N3021">
        <v>25</v>
      </c>
      <c r="O3021">
        <v>3</v>
      </c>
      <c r="P3021">
        <v>0</v>
      </c>
      <c r="Q3021">
        <v>0</v>
      </c>
      <c r="T3021" s="340" t="str">
        <f t="shared" si="144"/>
        <v>2010FemaleNon-Maori24Submersion (drowning)</v>
      </c>
      <c r="U3021">
        <v>2010</v>
      </c>
      <c r="V3021" t="s">
        <v>8</v>
      </c>
      <c r="W3021" t="s">
        <v>19</v>
      </c>
      <c r="X3021">
        <v>24</v>
      </c>
      <c r="Y3021" t="s">
        <v>49</v>
      </c>
      <c r="Z3021">
        <v>3</v>
      </c>
      <c r="AA3021">
        <v>39</v>
      </c>
      <c r="AB3021">
        <v>7.7</v>
      </c>
    </row>
    <row r="3022" spans="10:28">
      <c r="J3022" s="340" t="str">
        <f t="shared" si="143"/>
        <v>2011AllSexMaori254</v>
      </c>
      <c r="K3022">
        <v>2011</v>
      </c>
      <c r="L3022" t="s">
        <v>17</v>
      </c>
      <c r="M3022" t="s">
        <v>18</v>
      </c>
      <c r="N3022">
        <v>25</v>
      </c>
      <c r="O3022">
        <v>4</v>
      </c>
      <c r="P3022">
        <v>0</v>
      </c>
      <c r="Q3022">
        <v>0</v>
      </c>
      <c r="T3022" s="340" t="str">
        <f t="shared" si="144"/>
        <v>2010MaleAllEth22Firearms and explosives</v>
      </c>
      <c r="U3022">
        <v>2010</v>
      </c>
      <c r="V3022" t="s">
        <v>20</v>
      </c>
      <c r="W3022" t="s">
        <v>27</v>
      </c>
      <c r="X3022">
        <v>22</v>
      </c>
      <c r="Y3022" t="s">
        <v>42</v>
      </c>
      <c r="Z3022">
        <v>4</v>
      </c>
      <c r="AA3022">
        <v>77</v>
      </c>
      <c r="AB3022">
        <v>5.2</v>
      </c>
    </row>
    <row r="3023" spans="10:28">
      <c r="J3023" s="340" t="str">
        <f t="shared" si="143"/>
        <v>2011AllSexMaori255</v>
      </c>
      <c r="K3023">
        <v>2011</v>
      </c>
      <c r="L3023" t="s">
        <v>17</v>
      </c>
      <c r="M3023" t="s">
        <v>18</v>
      </c>
      <c r="N3023">
        <v>25</v>
      </c>
      <c r="O3023">
        <v>5</v>
      </c>
      <c r="P3023">
        <v>0</v>
      </c>
      <c r="Q3023">
        <v>0</v>
      </c>
      <c r="T3023" s="340" t="str">
        <f t="shared" si="144"/>
        <v>2010MaleAllEth23Firearms and explosives</v>
      </c>
      <c r="U3023">
        <v>2010</v>
      </c>
      <c r="V3023" t="s">
        <v>20</v>
      </c>
      <c r="W3023" t="s">
        <v>27</v>
      </c>
      <c r="X3023">
        <v>23</v>
      </c>
      <c r="Y3023" t="s">
        <v>42</v>
      </c>
      <c r="Z3023">
        <v>13</v>
      </c>
      <c r="AA3023">
        <v>146</v>
      </c>
      <c r="AB3023">
        <v>8.9</v>
      </c>
    </row>
    <row r="3024" spans="10:28">
      <c r="J3024" s="340" t="str">
        <f t="shared" si="143"/>
        <v>2011AllSexNon-Maori211</v>
      </c>
      <c r="K3024">
        <v>2011</v>
      </c>
      <c r="L3024" t="s">
        <v>17</v>
      </c>
      <c r="M3024" t="s">
        <v>19</v>
      </c>
      <c r="N3024">
        <v>21</v>
      </c>
      <c r="O3024">
        <v>1</v>
      </c>
      <c r="P3024">
        <v>0</v>
      </c>
      <c r="Q3024">
        <v>0</v>
      </c>
      <c r="T3024" s="340" t="str">
        <f t="shared" si="144"/>
        <v>2010MaleAllEth24Firearms and explosives</v>
      </c>
      <c r="U3024">
        <v>2010</v>
      </c>
      <c r="V3024" t="s">
        <v>20</v>
      </c>
      <c r="W3024" t="s">
        <v>27</v>
      </c>
      <c r="X3024">
        <v>24</v>
      </c>
      <c r="Y3024" t="s">
        <v>42</v>
      </c>
      <c r="Z3024">
        <v>13</v>
      </c>
      <c r="AA3024">
        <v>118</v>
      </c>
      <c r="AB3024">
        <v>11</v>
      </c>
    </row>
    <row r="3025" spans="10:28">
      <c r="J3025" s="340" t="str">
        <f t="shared" si="143"/>
        <v>2011AllSexNon-Maori212</v>
      </c>
      <c r="K3025">
        <v>2011</v>
      </c>
      <c r="L3025" t="s">
        <v>17</v>
      </c>
      <c r="M3025" t="s">
        <v>19</v>
      </c>
      <c r="N3025">
        <v>21</v>
      </c>
      <c r="O3025">
        <v>2</v>
      </c>
      <c r="P3025">
        <v>0</v>
      </c>
      <c r="Q3025">
        <v>0</v>
      </c>
      <c r="T3025" s="340" t="str">
        <f t="shared" si="144"/>
        <v>2010MaleAllEth25Firearms and explosives</v>
      </c>
      <c r="U3025">
        <v>2010</v>
      </c>
      <c r="V3025" t="s">
        <v>20</v>
      </c>
      <c r="W3025" t="s">
        <v>27</v>
      </c>
      <c r="X3025">
        <v>25</v>
      </c>
      <c r="Y3025" t="s">
        <v>42</v>
      </c>
      <c r="Z3025">
        <v>10</v>
      </c>
      <c r="AA3025">
        <v>43</v>
      </c>
      <c r="AB3025">
        <v>23.3</v>
      </c>
    </row>
    <row r="3026" spans="10:28">
      <c r="J3026" s="340" t="str">
        <f t="shared" si="143"/>
        <v>2011AllSexNon-Maori213</v>
      </c>
      <c r="K3026">
        <v>2011</v>
      </c>
      <c r="L3026" t="s">
        <v>17</v>
      </c>
      <c r="M3026" t="s">
        <v>19</v>
      </c>
      <c r="N3026">
        <v>21</v>
      </c>
      <c r="O3026">
        <v>3</v>
      </c>
      <c r="P3026">
        <v>1</v>
      </c>
      <c r="Q3026">
        <v>0.75487574877512598</v>
      </c>
      <c r="R3026">
        <v>1.5</v>
      </c>
      <c r="T3026" s="340" t="str">
        <f t="shared" si="144"/>
        <v>2010MaleAllEth21Hanging, strangulation and suffocation</v>
      </c>
      <c r="U3026">
        <v>2010</v>
      </c>
      <c r="V3026" t="s">
        <v>20</v>
      </c>
      <c r="W3026" t="s">
        <v>27</v>
      </c>
      <c r="X3026">
        <v>21</v>
      </c>
      <c r="Y3026" t="s">
        <v>43</v>
      </c>
      <c r="Z3026">
        <v>3</v>
      </c>
      <c r="AA3026">
        <v>3</v>
      </c>
      <c r="AB3026">
        <v>100</v>
      </c>
    </row>
    <row r="3027" spans="10:28">
      <c r="J3027" s="340" t="str">
        <f t="shared" si="143"/>
        <v>2011AllSexNon-Maori214</v>
      </c>
      <c r="K3027">
        <v>2011</v>
      </c>
      <c r="L3027" t="s">
        <v>17</v>
      </c>
      <c r="M3027" t="s">
        <v>19</v>
      </c>
      <c r="N3027">
        <v>21</v>
      </c>
      <c r="O3027">
        <v>4</v>
      </c>
      <c r="P3027">
        <v>0</v>
      </c>
      <c r="Q3027">
        <v>0</v>
      </c>
      <c r="T3027" s="340" t="str">
        <f t="shared" si="144"/>
        <v>2010MaleAllEth22Hanging, strangulation and suffocation</v>
      </c>
      <c r="U3027">
        <v>2010</v>
      </c>
      <c r="V3027" t="s">
        <v>20</v>
      </c>
      <c r="W3027" t="s">
        <v>27</v>
      </c>
      <c r="X3027">
        <v>22</v>
      </c>
      <c r="Y3027" t="s">
        <v>43</v>
      </c>
      <c r="Z3027">
        <v>61</v>
      </c>
      <c r="AA3027">
        <v>77</v>
      </c>
      <c r="AB3027">
        <v>79.2</v>
      </c>
    </row>
    <row r="3028" spans="10:28">
      <c r="J3028" s="340" t="str">
        <f t="shared" si="143"/>
        <v>2011AllSexNon-Maori215</v>
      </c>
      <c r="K3028">
        <v>2011</v>
      </c>
      <c r="L3028" t="s">
        <v>17</v>
      </c>
      <c r="M3028" t="s">
        <v>19</v>
      </c>
      <c r="N3028">
        <v>21</v>
      </c>
      <c r="O3028">
        <v>5</v>
      </c>
      <c r="P3028">
        <v>1</v>
      </c>
      <c r="Q3028">
        <v>0.85111048137937195</v>
      </c>
      <c r="R3028">
        <v>1.7</v>
      </c>
      <c r="T3028" s="340" t="str">
        <f t="shared" si="144"/>
        <v>2010MaleAllEth23Hanging, strangulation and suffocation</v>
      </c>
      <c r="U3028">
        <v>2010</v>
      </c>
      <c r="V3028" t="s">
        <v>20</v>
      </c>
      <c r="W3028" t="s">
        <v>27</v>
      </c>
      <c r="X3028">
        <v>23</v>
      </c>
      <c r="Y3028" t="s">
        <v>43</v>
      </c>
      <c r="Z3028">
        <v>94</v>
      </c>
      <c r="AA3028">
        <v>146</v>
      </c>
      <c r="AB3028">
        <v>64.400000000000006</v>
      </c>
    </row>
    <row r="3029" spans="10:28">
      <c r="J3029" s="340" t="str">
        <f t="shared" si="143"/>
        <v>2011AllSexNon-Maori221</v>
      </c>
      <c r="K3029">
        <v>2011</v>
      </c>
      <c r="L3029" t="s">
        <v>17</v>
      </c>
      <c r="M3029" t="s">
        <v>19</v>
      </c>
      <c r="N3029">
        <v>22</v>
      </c>
      <c r="O3029">
        <v>1</v>
      </c>
      <c r="P3029">
        <v>9</v>
      </c>
      <c r="Q3029">
        <v>8.9528764310892104</v>
      </c>
      <c r="R3029">
        <v>5.8</v>
      </c>
      <c r="T3029" s="340" t="str">
        <f t="shared" si="144"/>
        <v>2010MaleAllEth24Hanging, strangulation and suffocation</v>
      </c>
      <c r="U3029">
        <v>2010</v>
      </c>
      <c r="V3029" t="s">
        <v>20</v>
      </c>
      <c r="W3029" t="s">
        <v>27</v>
      </c>
      <c r="X3029">
        <v>24</v>
      </c>
      <c r="Y3029" t="s">
        <v>43</v>
      </c>
      <c r="Z3029">
        <v>59</v>
      </c>
      <c r="AA3029">
        <v>118</v>
      </c>
      <c r="AB3029">
        <v>50</v>
      </c>
    </row>
    <row r="3030" spans="10:28">
      <c r="J3030" s="340" t="str">
        <f t="shared" si="143"/>
        <v>2011AllSexNon-Maori222</v>
      </c>
      <c r="K3030">
        <v>2011</v>
      </c>
      <c r="L3030" t="s">
        <v>17</v>
      </c>
      <c r="M3030" t="s">
        <v>19</v>
      </c>
      <c r="N3030">
        <v>22</v>
      </c>
      <c r="O3030">
        <v>2</v>
      </c>
      <c r="P3030">
        <v>14</v>
      </c>
      <c r="Q3030">
        <v>14.327807812503201</v>
      </c>
      <c r="R3030">
        <v>7.5</v>
      </c>
      <c r="T3030" s="340" t="str">
        <f t="shared" si="144"/>
        <v>2010MaleAllEth25Hanging, strangulation and suffocation</v>
      </c>
      <c r="U3030">
        <v>2010</v>
      </c>
      <c r="V3030" t="s">
        <v>20</v>
      </c>
      <c r="W3030" t="s">
        <v>27</v>
      </c>
      <c r="X3030">
        <v>25</v>
      </c>
      <c r="Y3030" t="s">
        <v>43</v>
      </c>
      <c r="Z3030">
        <v>16</v>
      </c>
      <c r="AA3030">
        <v>43</v>
      </c>
      <c r="AB3030">
        <v>37.200000000000003</v>
      </c>
    </row>
    <row r="3031" spans="10:28">
      <c r="J3031" s="340" t="str">
        <f t="shared" si="143"/>
        <v>2011AllSexNon-Maori223</v>
      </c>
      <c r="K3031">
        <v>2011</v>
      </c>
      <c r="L3031" t="s">
        <v>17</v>
      </c>
      <c r="M3031" t="s">
        <v>19</v>
      </c>
      <c r="N3031">
        <v>22</v>
      </c>
      <c r="O3031">
        <v>3</v>
      </c>
      <c r="P3031">
        <v>17</v>
      </c>
      <c r="Q3031">
        <v>17.422616392568099</v>
      </c>
      <c r="R3031">
        <v>8.3000000000000007</v>
      </c>
      <c r="T3031" s="340" t="str">
        <f t="shared" si="144"/>
        <v>2010MaleAllEth22Jumping from a high place</v>
      </c>
      <c r="U3031">
        <v>2010</v>
      </c>
      <c r="V3031" t="s">
        <v>20</v>
      </c>
      <c r="W3031" t="s">
        <v>27</v>
      </c>
      <c r="X3031">
        <v>22</v>
      </c>
      <c r="Y3031" t="s">
        <v>44</v>
      </c>
      <c r="Z3031">
        <v>2</v>
      </c>
      <c r="AA3031">
        <v>77</v>
      </c>
      <c r="AB3031">
        <v>2.6</v>
      </c>
    </row>
    <row r="3032" spans="10:28">
      <c r="J3032" s="340" t="str">
        <f t="shared" si="143"/>
        <v>2011AllSexNon-Maori224</v>
      </c>
      <c r="K3032">
        <v>2011</v>
      </c>
      <c r="L3032" t="s">
        <v>17</v>
      </c>
      <c r="M3032" t="s">
        <v>19</v>
      </c>
      <c r="N3032">
        <v>22</v>
      </c>
      <c r="O3032">
        <v>4</v>
      </c>
      <c r="P3032">
        <v>11</v>
      </c>
      <c r="Q3032">
        <v>10.6995458506338</v>
      </c>
      <c r="R3032">
        <v>6.3</v>
      </c>
      <c r="T3032" s="340" t="str">
        <f t="shared" si="144"/>
        <v>2010MaleAllEth23Jumping from a high place</v>
      </c>
      <c r="U3032">
        <v>2010</v>
      </c>
      <c r="V3032" t="s">
        <v>20</v>
      </c>
      <c r="W3032" t="s">
        <v>27</v>
      </c>
      <c r="X3032">
        <v>23</v>
      </c>
      <c r="Y3032" t="s">
        <v>44</v>
      </c>
      <c r="Z3032">
        <v>2</v>
      </c>
      <c r="AA3032">
        <v>146</v>
      </c>
      <c r="AB3032">
        <v>1.4</v>
      </c>
    </row>
    <row r="3033" spans="10:28">
      <c r="J3033" s="340" t="str">
        <f t="shared" si="143"/>
        <v>2011AllSexNon-Maori225</v>
      </c>
      <c r="K3033">
        <v>2011</v>
      </c>
      <c r="L3033" t="s">
        <v>17</v>
      </c>
      <c r="M3033" t="s">
        <v>19</v>
      </c>
      <c r="N3033">
        <v>22</v>
      </c>
      <c r="O3033">
        <v>5</v>
      </c>
      <c r="P3033">
        <v>28</v>
      </c>
      <c r="Q3033">
        <v>28.419183900821601</v>
      </c>
      <c r="R3033">
        <v>10.5</v>
      </c>
      <c r="T3033" s="340" t="str">
        <f t="shared" si="144"/>
        <v>2010MaleAllEth24Jumping from a high place</v>
      </c>
      <c r="U3033">
        <v>2010</v>
      </c>
      <c r="V3033" t="s">
        <v>20</v>
      </c>
      <c r="W3033" t="s">
        <v>27</v>
      </c>
      <c r="X3033">
        <v>24</v>
      </c>
      <c r="Y3033" t="s">
        <v>44</v>
      </c>
      <c r="Z3033">
        <v>5</v>
      </c>
      <c r="AA3033">
        <v>118</v>
      </c>
      <c r="AB3033">
        <v>4.2</v>
      </c>
    </row>
    <row r="3034" spans="10:28">
      <c r="J3034" s="340" t="str">
        <f t="shared" si="143"/>
        <v>2011AllSexNon-Maori231</v>
      </c>
      <c r="K3034">
        <v>2011</v>
      </c>
      <c r="L3034" t="s">
        <v>17</v>
      </c>
      <c r="M3034" t="s">
        <v>19</v>
      </c>
      <c r="N3034">
        <v>23</v>
      </c>
      <c r="O3034">
        <v>1</v>
      </c>
      <c r="P3034">
        <v>22</v>
      </c>
      <c r="Q3034">
        <v>10.650033940896201</v>
      </c>
      <c r="R3034">
        <v>4.5</v>
      </c>
      <c r="T3034" s="340" t="str">
        <f t="shared" si="144"/>
        <v>2010MaleAllEth25Jumping from a high place</v>
      </c>
      <c r="U3034">
        <v>2010</v>
      </c>
      <c r="V3034" t="s">
        <v>20</v>
      </c>
      <c r="W3034" t="s">
        <v>27</v>
      </c>
      <c r="X3034">
        <v>25</v>
      </c>
      <c r="Y3034" t="s">
        <v>44</v>
      </c>
      <c r="Z3034">
        <v>1</v>
      </c>
      <c r="AA3034">
        <v>43</v>
      </c>
      <c r="AB3034">
        <v>2.2999999999999998</v>
      </c>
    </row>
    <row r="3035" spans="10:28">
      <c r="J3035" s="340" t="str">
        <f t="shared" si="143"/>
        <v>2011AllSexNon-Maori232</v>
      </c>
      <c r="K3035">
        <v>2011</v>
      </c>
      <c r="L3035" t="s">
        <v>17</v>
      </c>
      <c r="M3035" t="s">
        <v>19</v>
      </c>
      <c r="N3035">
        <v>23</v>
      </c>
      <c r="O3035">
        <v>2</v>
      </c>
      <c r="P3035">
        <v>19</v>
      </c>
      <c r="Q3035">
        <v>8.7656370019113901</v>
      </c>
      <c r="R3035">
        <v>3.9</v>
      </c>
      <c r="T3035" s="340" t="str">
        <f t="shared" si="144"/>
        <v>2010MaleAllEth22Other</v>
      </c>
      <c r="U3035">
        <v>2010</v>
      </c>
      <c r="V3035" t="s">
        <v>20</v>
      </c>
      <c r="W3035" t="s">
        <v>27</v>
      </c>
      <c r="X3035">
        <v>22</v>
      </c>
      <c r="Y3035" t="s">
        <v>45</v>
      </c>
      <c r="Z3035">
        <v>3</v>
      </c>
      <c r="AA3035">
        <v>77</v>
      </c>
      <c r="AB3035">
        <v>3.9</v>
      </c>
    </row>
    <row r="3036" spans="10:28">
      <c r="J3036" s="340" t="str">
        <f t="shared" si="143"/>
        <v>2011AllSexNon-Maori233</v>
      </c>
      <c r="K3036">
        <v>2011</v>
      </c>
      <c r="L3036" t="s">
        <v>17</v>
      </c>
      <c r="M3036" t="s">
        <v>19</v>
      </c>
      <c r="N3036">
        <v>23</v>
      </c>
      <c r="O3036">
        <v>3</v>
      </c>
      <c r="P3036">
        <v>24</v>
      </c>
      <c r="Q3036">
        <v>11.3156508326727</v>
      </c>
      <c r="R3036">
        <v>4.5</v>
      </c>
      <c r="T3036" s="340" t="str">
        <f t="shared" si="144"/>
        <v>2010MaleAllEth23Other</v>
      </c>
      <c r="U3036">
        <v>2010</v>
      </c>
      <c r="V3036" t="s">
        <v>20</v>
      </c>
      <c r="W3036" t="s">
        <v>27</v>
      </c>
      <c r="X3036">
        <v>23</v>
      </c>
      <c r="Y3036" t="s">
        <v>45</v>
      </c>
      <c r="Z3036">
        <v>2</v>
      </c>
      <c r="AA3036">
        <v>146</v>
      </c>
      <c r="AB3036">
        <v>1.4</v>
      </c>
    </row>
    <row r="3037" spans="10:28">
      <c r="J3037" s="340" t="str">
        <f t="shared" si="143"/>
        <v>2011AllSexNon-Maori234</v>
      </c>
      <c r="K3037">
        <v>2011</v>
      </c>
      <c r="L3037" t="s">
        <v>17</v>
      </c>
      <c r="M3037" t="s">
        <v>19</v>
      </c>
      <c r="N3037">
        <v>23</v>
      </c>
      <c r="O3037">
        <v>4</v>
      </c>
      <c r="P3037">
        <v>27</v>
      </c>
      <c r="Q3037">
        <v>13.848121075520201</v>
      </c>
      <c r="R3037">
        <v>5.2</v>
      </c>
      <c r="T3037" s="340" t="str">
        <f t="shared" si="144"/>
        <v>2010MaleAllEth24Other</v>
      </c>
      <c r="U3037">
        <v>2010</v>
      </c>
      <c r="V3037" t="s">
        <v>20</v>
      </c>
      <c r="W3037" t="s">
        <v>27</v>
      </c>
      <c r="X3037">
        <v>24</v>
      </c>
      <c r="Y3037" t="s">
        <v>45</v>
      </c>
      <c r="Z3037">
        <v>8</v>
      </c>
      <c r="AA3037">
        <v>118</v>
      </c>
      <c r="AB3037">
        <v>6.8</v>
      </c>
    </row>
    <row r="3038" spans="10:28">
      <c r="J3038" s="340" t="str">
        <f t="shared" si="143"/>
        <v>2011AllSexNon-Maori235</v>
      </c>
      <c r="K3038">
        <v>2011</v>
      </c>
      <c r="L3038" t="s">
        <v>17</v>
      </c>
      <c r="M3038" t="s">
        <v>19</v>
      </c>
      <c r="N3038">
        <v>23</v>
      </c>
      <c r="O3038">
        <v>5</v>
      </c>
      <c r="P3038">
        <v>25</v>
      </c>
      <c r="Q3038">
        <v>16.0243396895624</v>
      </c>
      <c r="R3038">
        <v>6.3</v>
      </c>
      <c r="T3038" s="340" t="str">
        <f t="shared" si="144"/>
        <v>2010MaleAllEth25Other</v>
      </c>
      <c r="U3038">
        <v>2010</v>
      </c>
      <c r="V3038" t="s">
        <v>20</v>
      </c>
      <c r="W3038" t="s">
        <v>27</v>
      </c>
      <c r="X3038">
        <v>25</v>
      </c>
      <c r="Y3038" t="s">
        <v>45</v>
      </c>
      <c r="Z3038">
        <v>1</v>
      </c>
      <c r="AA3038">
        <v>43</v>
      </c>
      <c r="AB3038">
        <v>2.2999999999999998</v>
      </c>
    </row>
    <row r="3039" spans="10:28">
      <c r="J3039" s="340" t="str">
        <f t="shared" si="143"/>
        <v>2011AllSexNon-Maori241</v>
      </c>
      <c r="K3039">
        <v>2011</v>
      </c>
      <c r="L3039" t="s">
        <v>17</v>
      </c>
      <c r="M3039" t="s">
        <v>19</v>
      </c>
      <c r="N3039">
        <v>24</v>
      </c>
      <c r="O3039">
        <v>1</v>
      </c>
      <c r="P3039">
        <v>31</v>
      </c>
      <c r="Q3039">
        <v>11.8203206282575</v>
      </c>
      <c r="R3039">
        <v>4.2</v>
      </c>
      <c r="T3039" s="340" t="str">
        <f t="shared" si="144"/>
        <v>2010MaleAllEth22Poisoning by gases and vapours</v>
      </c>
      <c r="U3039">
        <v>2010</v>
      </c>
      <c r="V3039" t="s">
        <v>20</v>
      </c>
      <c r="W3039" t="s">
        <v>27</v>
      </c>
      <c r="X3039">
        <v>22</v>
      </c>
      <c r="Y3039" t="s">
        <v>46</v>
      </c>
      <c r="Z3039">
        <v>2</v>
      </c>
      <c r="AA3039">
        <v>77</v>
      </c>
      <c r="AB3039">
        <v>2.6</v>
      </c>
    </row>
    <row r="3040" spans="10:28">
      <c r="J3040" s="340" t="str">
        <f t="shared" si="143"/>
        <v>2011AllSexNon-Maori242</v>
      </c>
      <c r="K3040">
        <v>2011</v>
      </c>
      <c r="L3040" t="s">
        <v>17</v>
      </c>
      <c r="M3040" t="s">
        <v>19</v>
      </c>
      <c r="N3040">
        <v>24</v>
      </c>
      <c r="O3040">
        <v>2</v>
      </c>
      <c r="P3040">
        <v>18</v>
      </c>
      <c r="Q3040">
        <v>7.8550289364058896</v>
      </c>
      <c r="R3040">
        <v>3.6</v>
      </c>
      <c r="T3040" s="340" t="str">
        <f t="shared" si="144"/>
        <v>2010MaleAllEth23Poisoning by gases and vapours</v>
      </c>
      <c r="U3040">
        <v>2010</v>
      </c>
      <c r="V3040" t="s">
        <v>20</v>
      </c>
      <c r="W3040" t="s">
        <v>27</v>
      </c>
      <c r="X3040">
        <v>23</v>
      </c>
      <c r="Y3040" t="s">
        <v>46</v>
      </c>
      <c r="Z3040">
        <v>21</v>
      </c>
      <c r="AA3040">
        <v>146</v>
      </c>
      <c r="AB3040">
        <v>14.4</v>
      </c>
    </row>
    <row r="3041" spans="10:28">
      <c r="J3041" s="340" t="str">
        <f t="shared" si="143"/>
        <v>2011AllSexNon-Maori243</v>
      </c>
      <c r="K3041">
        <v>2011</v>
      </c>
      <c r="L3041" t="s">
        <v>17</v>
      </c>
      <c r="M3041" t="s">
        <v>19</v>
      </c>
      <c r="N3041">
        <v>24</v>
      </c>
      <c r="O3041">
        <v>3</v>
      </c>
      <c r="P3041">
        <v>35</v>
      </c>
      <c r="Q3041">
        <v>17.426957975426799</v>
      </c>
      <c r="R3041">
        <v>5.8</v>
      </c>
      <c r="T3041" s="340" t="str">
        <f t="shared" si="144"/>
        <v>2010MaleAllEth24Poisoning by gases and vapours</v>
      </c>
      <c r="U3041">
        <v>2010</v>
      </c>
      <c r="V3041" t="s">
        <v>20</v>
      </c>
      <c r="W3041" t="s">
        <v>27</v>
      </c>
      <c r="X3041">
        <v>24</v>
      </c>
      <c r="Y3041" t="s">
        <v>46</v>
      </c>
      <c r="Z3041">
        <v>19</v>
      </c>
      <c r="AA3041">
        <v>118</v>
      </c>
      <c r="AB3041">
        <v>16.100000000000001</v>
      </c>
    </row>
    <row r="3042" spans="10:28">
      <c r="J3042" s="340" t="str">
        <f t="shared" si="143"/>
        <v>2011AllSexNon-Maori244</v>
      </c>
      <c r="K3042">
        <v>2011</v>
      </c>
      <c r="L3042" t="s">
        <v>17</v>
      </c>
      <c r="M3042" t="s">
        <v>19</v>
      </c>
      <c r="N3042">
        <v>24</v>
      </c>
      <c r="O3042">
        <v>4</v>
      </c>
      <c r="P3042">
        <v>23</v>
      </c>
      <c r="Q3042">
        <v>13.3655646766241</v>
      </c>
      <c r="R3042">
        <v>5.5</v>
      </c>
      <c r="T3042" s="340" t="str">
        <f t="shared" si="144"/>
        <v>2010MaleAllEth25Poisoning by gases and vapours</v>
      </c>
      <c r="U3042">
        <v>2010</v>
      </c>
      <c r="V3042" t="s">
        <v>20</v>
      </c>
      <c r="W3042" t="s">
        <v>27</v>
      </c>
      <c r="X3042">
        <v>25</v>
      </c>
      <c r="Y3042" t="s">
        <v>46</v>
      </c>
      <c r="Z3042">
        <v>9</v>
      </c>
      <c r="AA3042">
        <v>43</v>
      </c>
      <c r="AB3042">
        <v>20.9</v>
      </c>
    </row>
    <row r="3043" spans="10:28">
      <c r="J3043" s="340" t="str">
        <f t="shared" si="143"/>
        <v>2011AllSexNon-Maori245</v>
      </c>
      <c r="K3043">
        <v>2011</v>
      </c>
      <c r="L3043" t="s">
        <v>17</v>
      </c>
      <c r="M3043" t="s">
        <v>19</v>
      </c>
      <c r="N3043">
        <v>24</v>
      </c>
      <c r="O3043">
        <v>5</v>
      </c>
      <c r="P3043">
        <v>21</v>
      </c>
      <c r="Q3043">
        <v>15.741980505722699</v>
      </c>
      <c r="R3043">
        <v>6.7</v>
      </c>
      <c r="T3043" s="340" t="str">
        <f t="shared" si="144"/>
        <v>2010MaleAllEth22Poisoning by solids and liquids</v>
      </c>
      <c r="U3043">
        <v>2010</v>
      </c>
      <c r="V3043" t="s">
        <v>20</v>
      </c>
      <c r="W3043" t="s">
        <v>27</v>
      </c>
      <c r="X3043">
        <v>22</v>
      </c>
      <c r="Y3043" t="s">
        <v>47</v>
      </c>
      <c r="Z3043">
        <v>2</v>
      </c>
      <c r="AA3043">
        <v>77</v>
      </c>
      <c r="AB3043">
        <v>2.6</v>
      </c>
    </row>
    <row r="3044" spans="10:28">
      <c r="J3044" s="340" t="str">
        <f t="shared" si="143"/>
        <v>2011AllSexNon-Maori251</v>
      </c>
      <c r="K3044">
        <v>2011</v>
      </c>
      <c r="L3044" t="s">
        <v>17</v>
      </c>
      <c r="M3044" t="s">
        <v>19</v>
      </c>
      <c r="N3044">
        <v>25</v>
      </c>
      <c r="O3044">
        <v>1</v>
      </c>
      <c r="P3044">
        <v>7</v>
      </c>
      <c r="Q3044">
        <v>5.9523751492233297</v>
      </c>
      <c r="R3044">
        <v>4.4000000000000004</v>
      </c>
      <c r="T3044" s="340" t="str">
        <f t="shared" si="144"/>
        <v>2010MaleAllEth23Poisoning by solids and liquids</v>
      </c>
      <c r="U3044">
        <v>2010</v>
      </c>
      <c r="V3044" t="s">
        <v>20</v>
      </c>
      <c r="W3044" t="s">
        <v>27</v>
      </c>
      <c r="X3044">
        <v>23</v>
      </c>
      <c r="Y3044" t="s">
        <v>47</v>
      </c>
      <c r="Z3044">
        <v>10</v>
      </c>
      <c r="AA3044">
        <v>146</v>
      </c>
      <c r="AB3044">
        <v>6.8</v>
      </c>
    </row>
    <row r="3045" spans="10:28">
      <c r="J3045" s="340" t="str">
        <f t="shared" si="143"/>
        <v>2011AllSexNon-Maori252</v>
      </c>
      <c r="K3045">
        <v>2011</v>
      </c>
      <c r="L3045" t="s">
        <v>17</v>
      </c>
      <c r="M3045" t="s">
        <v>19</v>
      </c>
      <c r="N3045">
        <v>25</v>
      </c>
      <c r="O3045">
        <v>2</v>
      </c>
      <c r="P3045">
        <v>8</v>
      </c>
      <c r="Q3045">
        <v>6.7917920019965896</v>
      </c>
      <c r="R3045">
        <v>4.7</v>
      </c>
      <c r="T3045" s="340" t="str">
        <f t="shared" si="144"/>
        <v>2010MaleAllEth24Poisoning by solids and liquids</v>
      </c>
      <c r="U3045">
        <v>2010</v>
      </c>
      <c r="V3045" t="s">
        <v>20</v>
      </c>
      <c r="W3045" t="s">
        <v>27</v>
      </c>
      <c r="X3045">
        <v>24</v>
      </c>
      <c r="Y3045" t="s">
        <v>47</v>
      </c>
      <c r="Z3045">
        <v>12</v>
      </c>
      <c r="AA3045">
        <v>118</v>
      </c>
      <c r="AB3045">
        <v>10.199999999999999</v>
      </c>
    </row>
    <row r="3046" spans="10:28">
      <c r="J3046" s="340" t="str">
        <f t="shared" si="143"/>
        <v>2011AllSexNon-Maori253</v>
      </c>
      <c r="K3046">
        <v>2011</v>
      </c>
      <c r="L3046" t="s">
        <v>17</v>
      </c>
      <c r="M3046" t="s">
        <v>19</v>
      </c>
      <c r="N3046">
        <v>25</v>
      </c>
      <c r="O3046">
        <v>3</v>
      </c>
      <c r="P3046">
        <v>13</v>
      </c>
      <c r="Q3046">
        <v>11.312373281247099</v>
      </c>
      <c r="R3046">
        <v>6.1</v>
      </c>
      <c r="T3046" s="340" t="str">
        <f t="shared" si="144"/>
        <v>2010MaleAllEth25Poisoning by solids and liquids</v>
      </c>
      <c r="U3046">
        <v>2010</v>
      </c>
      <c r="V3046" t="s">
        <v>20</v>
      </c>
      <c r="W3046" t="s">
        <v>27</v>
      </c>
      <c r="X3046">
        <v>25</v>
      </c>
      <c r="Y3046" t="s">
        <v>47</v>
      </c>
      <c r="Z3046">
        <v>4</v>
      </c>
      <c r="AA3046">
        <v>43</v>
      </c>
      <c r="AB3046">
        <v>9.3000000000000007</v>
      </c>
    </row>
    <row r="3047" spans="10:28">
      <c r="J3047" s="340" t="str">
        <f t="shared" si="143"/>
        <v>2011AllSexNon-Maori254</v>
      </c>
      <c r="K3047">
        <v>2011</v>
      </c>
      <c r="L3047" t="s">
        <v>17</v>
      </c>
      <c r="M3047" t="s">
        <v>19</v>
      </c>
      <c r="N3047">
        <v>25</v>
      </c>
      <c r="O3047">
        <v>4</v>
      </c>
      <c r="P3047">
        <v>8</v>
      </c>
      <c r="Q3047">
        <v>7.0384878195222704</v>
      </c>
      <c r="R3047">
        <v>4.9000000000000004</v>
      </c>
      <c r="T3047" s="340" t="str">
        <f t="shared" si="144"/>
        <v>2010MaleAllEth22Sharp object</v>
      </c>
      <c r="U3047">
        <v>2010</v>
      </c>
      <c r="V3047" t="s">
        <v>20</v>
      </c>
      <c r="W3047" t="s">
        <v>27</v>
      </c>
      <c r="X3047">
        <v>22</v>
      </c>
      <c r="Y3047" t="s">
        <v>48</v>
      </c>
      <c r="Z3047">
        <v>2</v>
      </c>
      <c r="AA3047">
        <v>77</v>
      </c>
      <c r="AB3047">
        <v>2.6</v>
      </c>
    </row>
    <row r="3048" spans="10:28">
      <c r="J3048" s="340" t="str">
        <f t="shared" si="143"/>
        <v>2011AllSexNon-Maori255</v>
      </c>
      <c r="K3048">
        <v>2011</v>
      </c>
      <c r="L3048" t="s">
        <v>17</v>
      </c>
      <c r="M3048" t="s">
        <v>19</v>
      </c>
      <c r="N3048">
        <v>25</v>
      </c>
      <c r="O3048">
        <v>5</v>
      </c>
      <c r="P3048">
        <v>7</v>
      </c>
      <c r="Q3048">
        <v>8.3609333654005606</v>
      </c>
      <c r="R3048">
        <v>6.2</v>
      </c>
      <c r="T3048" s="340" t="str">
        <f t="shared" si="144"/>
        <v>2010MaleAllEth23Sharp object</v>
      </c>
      <c r="U3048">
        <v>2010</v>
      </c>
      <c r="V3048" t="s">
        <v>20</v>
      </c>
      <c r="W3048" t="s">
        <v>27</v>
      </c>
      <c r="X3048">
        <v>23</v>
      </c>
      <c r="Y3048" t="s">
        <v>48</v>
      </c>
      <c r="Z3048">
        <v>3</v>
      </c>
      <c r="AA3048">
        <v>146</v>
      </c>
      <c r="AB3048">
        <v>2.1</v>
      </c>
    </row>
    <row r="3049" spans="10:28">
      <c r="J3049" s="340" t="str">
        <f t="shared" si="143"/>
        <v>2011FemaleAllEth211</v>
      </c>
      <c r="K3049">
        <v>2011</v>
      </c>
      <c r="L3049" t="s">
        <v>8</v>
      </c>
      <c r="M3049" t="s">
        <v>27</v>
      </c>
      <c r="N3049">
        <v>21</v>
      </c>
      <c r="O3049">
        <v>1</v>
      </c>
      <c r="P3049">
        <v>0</v>
      </c>
      <c r="Q3049">
        <v>0</v>
      </c>
      <c r="T3049" s="340" t="str">
        <f t="shared" si="144"/>
        <v>2010MaleAllEth24Sharp object</v>
      </c>
      <c r="U3049">
        <v>2010</v>
      </c>
      <c r="V3049" t="s">
        <v>20</v>
      </c>
      <c r="W3049" t="s">
        <v>27</v>
      </c>
      <c r="X3049">
        <v>24</v>
      </c>
      <c r="Y3049" t="s">
        <v>48</v>
      </c>
      <c r="Z3049">
        <v>1</v>
      </c>
      <c r="AA3049">
        <v>118</v>
      </c>
      <c r="AB3049">
        <v>0.8</v>
      </c>
    </row>
    <row r="3050" spans="10:28">
      <c r="J3050" s="340" t="str">
        <f t="shared" si="143"/>
        <v>2011FemaleAllEth212</v>
      </c>
      <c r="K3050">
        <v>2011</v>
      </c>
      <c r="L3050" t="s">
        <v>8</v>
      </c>
      <c r="M3050" t="s">
        <v>27</v>
      </c>
      <c r="N3050">
        <v>21</v>
      </c>
      <c r="O3050">
        <v>2</v>
      </c>
      <c r="P3050">
        <v>0</v>
      </c>
      <c r="Q3050">
        <v>0</v>
      </c>
      <c r="T3050" s="340" t="str">
        <f t="shared" si="144"/>
        <v>2010MaleAllEth25Sharp object</v>
      </c>
      <c r="U3050">
        <v>2010</v>
      </c>
      <c r="V3050" t="s">
        <v>20</v>
      </c>
      <c r="W3050" t="s">
        <v>27</v>
      </c>
      <c r="X3050">
        <v>25</v>
      </c>
      <c r="Y3050" t="s">
        <v>48</v>
      </c>
      <c r="Z3050">
        <v>1</v>
      </c>
      <c r="AA3050">
        <v>43</v>
      </c>
      <c r="AB3050">
        <v>2.2999999999999998</v>
      </c>
    </row>
    <row r="3051" spans="10:28">
      <c r="J3051" s="340" t="str">
        <f t="shared" si="143"/>
        <v>2011FemaleAllEth213</v>
      </c>
      <c r="K3051">
        <v>2011</v>
      </c>
      <c r="L3051" t="s">
        <v>8</v>
      </c>
      <c r="M3051" t="s">
        <v>27</v>
      </c>
      <c r="N3051">
        <v>21</v>
      </c>
      <c r="O3051">
        <v>3</v>
      </c>
      <c r="P3051">
        <v>1</v>
      </c>
      <c r="Q3051">
        <v>1.2053423008637101</v>
      </c>
      <c r="R3051">
        <v>2.4</v>
      </c>
      <c r="T3051" s="340" t="str">
        <f t="shared" si="144"/>
        <v>2010MaleAllEth22Submersion (drowning)</v>
      </c>
      <c r="U3051">
        <v>2010</v>
      </c>
      <c r="V3051" t="s">
        <v>20</v>
      </c>
      <c r="W3051" t="s">
        <v>27</v>
      </c>
      <c r="X3051">
        <v>22</v>
      </c>
      <c r="Y3051" t="s">
        <v>49</v>
      </c>
      <c r="Z3051">
        <v>1</v>
      </c>
      <c r="AA3051">
        <v>77</v>
      </c>
      <c r="AB3051">
        <v>1.3</v>
      </c>
    </row>
    <row r="3052" spans="10:28">
      <c r="J3052" s="340" t="str">
        <f t="shared" si="143"/>
        <v>2011FemaleAllEth214</v>
      </c>
      <c r="K3052">
        <v>2011</v>
      </c>
      <c r="L3052" t="s">
        <v>8</v>
      </c>
      <c r="M3052" t="s">
        <v>27</v>
      </c>
      <c r="N3052">
        <v>21</v>
      </c>
      <c r="O3052">
        <v>4</v>
      </c>
      <c r="P3052">
        <v>0</v>
      </c>
      <c r="Q3052">
        <v>0</v>
      </c>
      <c r="T3052" s="340" t="str">
        <f t="shared" si="144"/>
        <v>2010MaleAllEth23Submersion (drowning)</v>
      </c>
      <c r="U3052">
        <v>2010</v>
      </c>
      <c r="V3052" t="s">
        <v>20</v>
      </c>
      <c r="W3052" t="s">
        <v>27</v>
      </c>
      <c r="X3052">
        <v>23</v>
      </c>
      <c r="Y3052" t="s">
        <v>49</v>
      </c>
      <c r="Z3052">
        <v>1</v>
      </c>
      <c r="AA3052">
        <v>146</v>
      </c>
      <c r="AB3052">
        <v>0.7</v>
      </c>
    </row>
    <row r="3053" spans="10:28">
      <c r="J3053" s="340" t="str">
        <f t="shared" si="143"/>
        <v>2011FemaleAllEth215</v>
      </c>
      <c r="K3053">
        <v>2011</v>
      </c>
      <c r="L3053" t="s">
        <v>8</v>
      </c>
      <c r="M3053" t="s">
        <v>27</v>
      </c>
      <c r="N3053">
        <v>21</v>
      </c>
      <c r="O3053">
        <v>5</v>
      </c>
      <c r="P3053">
        <v>2</v>
      </c>
      <c r="Q3053">
        <v>1.9114948491066299</v>
      </c>
      <c r="R3053">
        <v>2.6</v>
      </c>
      <c r="T3053" s="340" t="str">
        <f t="shared" si="144"/>
        <v>2010MaleAllEth24Submersion (drowning)</v>
      </c>
      <c r="U3053">
        <v>2010</v>
      </c>
      <c r="V3053" t="s">
        <v>20</v>
      </c>
      <c r="W3053" t="s">
        <v>27</v>
      </c>
      <c r="X3053">
        <v>24</v>
      </c>
      <c r="Y3053" t="s">
        <v>49</v>
      </c>
      <c r="Z3053">
        <v>1</v>
      </c>
      <c r="AA3053">
        <v>118</v>
      </c>
      <c r="AB3053">
        <v>0.8</v>
      </c>
    </row>
    <row r="3054" spans="10:28">
      <c r="J3054" s="340" t="str">
        <f t="shared" si="143"/>
        <v>2011FemaleAllEth221</v>
      </c>
      <c r="K3054">
        <v>2011</v>
      </c>
      <c r="L3054" t="s">
        <v>8</v>
      </c>
      <c r="M3054" t="s">
        <v>27</v>
      </c>
      <c r="N3054">
        <v>22</v>
      </c>
      <c r="O3054">
        <v>1</v>
      </c>
      <c r="P3054">
        <v>3</v>
      </c>
      <c r="Q3054">
        <v>5.6317206157358601</v>
      </c>
      <c r="R3054">
        <v>6.4</v>
      </c>
      <c r="T3054" s="340" t="str">
        <f t="shared" si="144"/>
        <v>2010MaleAllEth25Submersion (drowning)</v>
      </c>
      <c r="U3054">
        <v>2010</v>
      </c>
      <c r="V3054" t="s">
        <v>20</v>
      </c>
      <c r="W3054" t="s">
        <v>27</v>
      </c>
      <c r="X3054">
        <v>25</v>
      </c>
      <c r="Y3054" t="s">
        <v>49</v>
      </c>
      <c r="Z3054">
        <v>1</v>
      </c>
      <c r="AA3054">
        <v>43</v>
      </c>
      <c r="AB3054">
        <v>2.2999999999999998</v>
      </c>
    </row>
    <row r="3055" spans="10:28">
      <c r="J3055" s="340" t="str">
        <f t="shared" si="143"/>
        <v>2011FemaleAllEth222</v>
      </c>
      <c r="K3055">
        <v>2011</v>
      </c>
      <c r="L3055" t="s">
        <v>8</v>
      </c>
      <c r="M3055" t="s">
        <v>27</v>
      </c>
      <c r="N3055">
        <v>22</v>
      </c>
      <c r="O3055">
        <v>2</v>
      </c>
      <c r="P3055">
        <v>5</v>
      </c>
      <c r="Q3055">
        <v>9.2769984762633193</v>
      </c>
      <c r="R3055">
        <v>8.1</v>
      </c>
      <c r="T3055" s="340" t="str">
        <f t="shared" si="144"/>
        <v>2010MaleMaori23Firearms and explosives</v>
      </c>
      <c r="U3055">
        <v>2010</v>
      </c>
      <c r="V3055" t="s">
        <v>20</v>
      </c>
      <c r="W3055" t="s">
        <v>18</v>
      </c>
      <c r="X3055">
        <v>23</v>
      </c>
      <c r="Y3055" t="s">
        <v>42</v>
      </c>
      <c r="Z3055">
        <v>3</v>
      </c>
      <c r="AA3055">
        <v>32</v>
      </c>
      <c r="AB3055">
        <v>9.4</v>
      </c>
    </row>
    <row r="3056" spans="10:28">
      <c r="J3056" s="340" t="str">
        <f t="shared" si="143"/>
        <v>2011FemaleAllEth223</v>
      </c>
      <c r="K3056">
        <v>2011</v>
      </c>
      <c r="L3056" t="s">
        <v>8</v>
      </c>
      <c r="M3056" t="s">
        <v>27</v>
      </c>
      <c r="N3056">
        <v>22</v>
      </c>
      <c r="O3056">
        <v>3</v>
      </c>
      <c r="P3056">
        <v>3</v>
      </c>
      <c r="Q3056">
        <v>5.2270678819459899</v>
      </c>
      <c r="R3056">
        <v>5.9</v>
      </c>
      <c r="T3056" s="340" t="str">
        <f t="shared" si="144"/>
        <v>2010MaleMaori21Hanging, strangulation and suffocation</v>
      </c>
      <c r="U3056">
        <v>2010</v>
      </c>
      <c r="V3056" t="s">
        <v>20</v>
      </c>
      <c r="W3056" t="s">
        <v>18</v>
      </c>
      <c r="X3056">
        <v>21</v>
      </c>
      <c r="Y3056" t="s">
        <v>43</v>
      </c>
      <c r="Z3056">
        <v>2</v>
      </c>
      <c r="AA3056">
        <v>2</v>
      </c>
      <c r="AB3056">
        <v>100</v>
      </c>
    </row>
    <row r="3057" spans="10:28">
      <c r="J3057" s="340" t="str">
        <f t="shared" si="143"/>
        <v>2011FemaleAllEth224</v>
      </c>
      <c r="K3057">
        <v>2011</v>
      </c>
      <c r="L3057" t="s">
        <v>8</v>
      </c>
      <c r="M3057" t="s">
        <v>27</v>
      </c>
      <c r="N3057">
        <v>22</v>
      </c>
      <c r="O3057">
        <v>4</v>
      </c>
      <c r="P3057">
        <v>4</v>
      </c>
      <c r="Q3057">
        <v>6.0633693665226502</v>
      </c>
      <c r="R3057">
        <v>5.9</v>
      </c>
      <c r="T3057" s="340" t="str">
        <f t="shared" si="144"/>
        <v>2010MaleMaori22Hanging, strangulation and suffocation</v>
      </c>
      <c r="U3057">
        <v>2010</v>
      </c>
      <c r="V3057" t="s">
        <v>20</v>
      </c>
      <c r="W3057" t="s">
        <v>18</v>
      </c>
      <c r="X3057">
        <v>22</v>
      </c>
      <c r="Y3057" t="s">
        <v>43</v>
      </c>
      <c r="Z3057">
        <v>24</v>
      </c>
      <c r="AA3057">
        <v>27</v>
      </c>
      <c r="AB3057">
        <v>88.9</v>
      </c>
    </row>
    <row r="3058" spans="10:28">
      <c r="J3058" s="340" t="str">
        <f t="shared" si="143"/>
        <v>2011FemaleAllEth225</v>
      </c>
      <c r="K3058">
        <v>2011</v>
      </c>
      <c r="L3058" t="s">
        <v>8</v>
      </c>
      <c r="M3058" t="s">
        <v>27</v>
      </c>
      <c r="N3058">
        <v>22</v>
      </c>
      <c r="O3058">
        <v>5</v>
      </c>
      <c r="P3058">
        <v>19</v>
      </c>
      <c r="Q3058">
        <v>24.862509426903099</v>
      </c>
      <c r="R3058">
        <v>11.2</v>
      </c>
      <c r="T3058" s="340" t="str">
        <f t="shared" si="144"/>
        <v>2010MaleMaori23Hanging, strangulation and suffocation</v>
      </c>
      <c r="U3058">
        <v>2010</v>
      </c>
      <c r="V3058" t="s">
        <v>20</v>
      </c>
      <c r="W3058" t="s">
        <v>18</v>
      </c>
      <c r="X3058">
        <v>23</v>
      </c>
      <c r="Y3058" t="s">
        <v>43</v>
      </c>
      <c r="Z3058">
        <v>24</v>
      </c>
      <c r="AA3058">
        <v>32</v>
      </c>
      <c r="AB3058">
        <v>75</v>
      </c>
    </row>
    <row r="3059" spans="10:28">
      <c r="J3059" s="340" t="str">
        <f t="shared" si="143"/>
        <v>2011FemaleAllEth231</v>
      </c>
      <c r="K3059">
        <v>2011</v>
      </c>
      <c r="L3059" t="s">
        <v>8</v>
      </c>
      <c r="M3059" t="s">
        <v>27</v>
      </c>
      <c r="N3059">
        <v>23</v>
      </c>
      <c r="O3059">
        <v>1</v>
      </c>
      <c r="P3059">
        <v>2</v>
      </c>
      <c r="Q3059">
        <v>1.72589201801514</v>
      </c>
      <c r="R3059">
        <v>2.4</v>
      </c>
      <c r="T3059" s="340" t="str">
        <f t="shared" si="144"/>
        <v>2010MaleMaori24Hanging, strangulation and suffocation</v>
      </c>
      <c r="U3059">
        <v>2010</v>
      </c>
      <c r="V3059" t="s">
        <v>20</v>
      </c>
      <c r="W3059" t="s">
        <v>18</v>
      </c>
      <c r="X3059">
        <v>24</v>
      </c>
      <c r="Y3059" t="s">
        <v>43</v>
      </c>
      <c r="Z3059">
        <v>7</v>
      </c>
      <c r="AA3059">
        <v>11</v>
      </c>
      <c r="AB3059">
        <v>63.6</v>
      </c>
    </row>
    <row r="3060" spans="10:28">
      <c r="J3060" s="340" t="str">
        <f t="shared" si="143"/>
        <v>2011FemaleAllEth232</v>
      </c>
      <c r="K3060">
        <v>2011</v>
      </c>
      <c r="L3060" t="s">
        <v>8</v>
      </c>
      <c r="M3060" t="s">
        <v>27</v>
      </c>
      <c r="N3060">
        <v>23</v>
      </c>
      <c r="O3060">
        <v>2</v>
      </c>
      <c r="P3060">
        <v>2</v>
      </c>
      <c r="Q3060">
        <v>1.6218590969617701</v>
      </c>
      <c r="R3060">
        <v>2.2000000000000002</v>
      </c>
      <c r="T3060" s="340" t="str">
        <f t="shared" si="144"/>
        <v>2010MaleMaori22Other</v>
      </c>
      <c r="U3060">
        <v>2010</v>
      </c>
      <c r="V3060" t="s">
        <v>20</v>
      </c>
      <c r="W3060" t="s">
        <v>18</v>
      </c>
      <c r="X3060">
        <v>22</v>
      </c>
      <c r="Y3060" t="s">
        <v>45</v>
      </c>
      <c r="Z3060">
        <v>3</v>
      </c>
      <c r="AA3060">
        <v>27</v>
      </c>
      <c r="AB3060">
        <v>11.1</v>
      </c>
    </row>
    <row r="3061" spans="10:28">
      <c r="J3061" s="340" t="str">
        <f t="shared" si="143"/>
        <v>2011FemaleAllEth233</v>
      </c>
      <c r="K3061">
        <v>2011</v>
      </c>
      <c r="L3061" t="s">
        <v>8</v>
      </c>
      <c r="M3061" t="s">
        <v>27</v>
      </c>
      <c r="N3061">
        <v>23</v>
      </c>
      <c r="O3061">
        <v>3</v>
      </c>
      <c r="P3061">
        <v>6</v>
      </c>
      <c r="Q3061">
        <v>4.8378945134182896</v>
      </c>
      <c r="R3061">
        <v>3.9</v>
      </c>
      <c r="T3061" s="340" t="str">
        <f t="shared" si="144"/>
        <v>2010MaleMaori23Poisoning by gases and vapours</v>
      </c>
      <c r="U3061">
        <v>2010</v>
      </c>
      <c r="V3061" t="s">
        <v>20</v>
      </c>
      <c r="W3061" t="s">
        <v>18</v>
      </c>
      <c r="X3061">
        <v>23</v>
      </c>
      <c r="Y3061" t="s">
        <v>46</v>
      </c>
      <c r="Z3061">
        <v>2</v>
      </c>
      <c r="AA3061">
        <v>32</v>
      </c>
      <c r="AB3061">
        <v>6.2</v>
      </c>
    </row>
    <row r="3062" spans="10:28">
      <c r="J3062" s="340" t="str">
        <f t="shared" si="143"/>
        <v>2011FemaleAllEth234</v>
      </c>
      <c r="K3062">
        <v>2011</v>
      </c>
      <c r="L3062" t="s">
        <v>8</v>
      </c>
      <c r="M3062" t="s">
        <v>27</v>
      </c>
      <c r="N3062">
        <v>23</v>
      </c>
      <c r="O3062">
        <v>4</v>
      </c>
      <c r="P3062">
        <v>11</v>
      </c>
      <c r="Q3062">
        <v>9.0868012666420892</v>
      </c>
      <c r="R3062">
        <v>5.4</v>
      </c>
      <c r="T3062" s="340" t="str">
        <f t="shared" si="144"/>
        <v>2010MaleMaori24Poisoning by gases and vapours</v>
      </c>
      <c r="U3062">
        <v>2010</v>
      </c>
      <c r="V3062" t="s">
        <v>20</v>
      </c>
      <c r="W3062" t="s">
        <v>18</v>
      </c>
      <c r="X3062">
        <v>24</v>
      </c>
      <c r="Y3062" t="s">
        <v>46</v>
      </c>
      <c r="Z3062">
        <v>2</v>
      </c>
      <c r="AA3062">
        <v>11</v>
      </c>
      <c r="AB3062">
        <v>18.2</v>
      </c>
    </row>
    <row r="3063" spans="10:28">
      <c r="J3063" s="340" t="str">
        <f t="shared" si="143"/>
        <v>2011FemaleAllEth235</v>
      </c>
      <c r="K3063">
        <v>2011</v>
      </c>
      <c r="L3063" t="s">
        <v>8</v>
      </c>
      <c r="M3063" t="s">
        <v>27</v>
      </c>
      <c r="N3063">
        <v>23</v>
      </c>
      <c r="O3063">
        <v>5</v>
      </c>
      <c r="P3063">
        <v>12</v>
      </c>
      <c r="Q3063">
        <v>10.241720118145</v>
      </c>
      <c r="R3063">
        <v>5.8</v>
      </c>
      <c r="T3063" s="340" t="str">
        <f t="shared" si="144"/>
        <v>2010MaleMaori23Poisoning by solids and liquids</v>
      </c>
      <c r="U3063">
        <v>2010</v>
      </c>
      <c r="V3063" t="s">
        <v>20</v>
      </c>
      <c r="W3063" t="s">
        <v>18</v>
      </c>
      <c r="X3063">
        <v>23</v>
      </c>
      <c r="Y3063" t="s">
        <v>47</v>
      </c>
      <c r="Z3063">
        <v>3</v>
      </c>
      <c r="AA3063">
        <v>32</v>
      </c>
      <c r="AB3063">
        <v>9.4</v>
      </c>
    </row>
    <row r="3064" spans="10:28">
      <c r="J3064" s="340" t="str">
        <f t="shared" si="143"/>
        <v>2011FemaleAllEth241</v>
      </c>
      <c r="K3064">
        <v>2011</v>
      </c>
      <c r="L3064" t="s">
        <v>8</v>
      </c>
      <c r="M3064" t="s">
        <v>27</v>
      </c>
      <c r="N3064">
        <v>24</v>
      </c>
      <c r="O3064">
        <v>1</v>
      </c>
      <c r="P3064">
        <v>9</v>
      </c>
      <c r="Q3064">
        <v>6.5108949649752796</v>
      </c>
      <c r="R3064">
        <v>4.3</v>
      </c>
      <c r="T3064" s="340" t="str">
        <f t="shared" si="144"/>
        <v>2010MaleMaori24Poisoning by solids and liquids</v>
      </c>
      <c r="U3064">
        <v>2010</v>
      </c>
      <c r="V3064" t="s">
        <v>20</v>
      </c>
      <c r="W3064" t="s">
        <v>18</v>
      </c>
      <c r="X3064">
        <v>24</v>
      </c>
      <c r="Y3064" t="s">
        <v>47</v>
      </c>
      <c r="Z3064">
        <v>1</v>
      </c>
      <c r="AA3064">
        <v>11</v>
      </c>
      <c r="AB3064">
        <v>9.1</v>
      </c>
    </row>
    <row r="3065" spans="10:28">
      <c r="J3065" s="340" t="str">
        <f t="shared" si="143"/>
        <v>2011FemaleAllEth242</v>
      </c>
      <c r="K3065">
        <v>2011</v>
      </c>
      <c r="L3065" t="s">
        <v>8</v>
      </c>
      <c r="M3065" t="s">
        <v>27</v>
      </c>
      <c r="N3065">
        <v>24</v>
      </c>
      <c r="O3065">
        <v>2</v>
      </c>
      <c r="P3065">
        <v>3</v>
      </c>
      <c r="Q3065">
        <v>2.4149863727936598</v>
      </c>
      <c r="R3065">
        <v>2.7</v>
      </c>
      <c r="T3065" s="340" t="str">
        <f t="shared" si="144"/>
        <v>2010MaleMaori24Sharp object</v>
      </c>
      <c r="U3065">
        <v>2010</v>
      </c>
      <c r="V3065" t="s">
        <v>20</v>
      </c>
      <c r="W3065" t="s">
        <v>18</v>
      </c>
      <c r="X3065">
        <v>24</v>
      </c>
      <c r="Y3065" t="s">
        <v>48</v>
      </c>
      <c r="Z3065">
        <v>1</v>
      </c>
      <c r="AA3065">
        <v>11</v>
      </c>
      <c r="AB3065">
        <v>9.1</v>
      </c>
    </row>
    <row r="3066" spans="10:28">
      <c r="J3066" s="340" t="str">
        <f t="shared" si="143"/>
        <v>2011FemaleAllEth243</v>
      </c>
      <c r="K3066">
        <v>2011</v>
      </c>
      <c r="L3066" t="s">
        <v>8</v>
      </c>
      <c r="M3066" t="s">
        <v>27</v>
      </c>
      <c r="N3066">
        <v>24</v>
      </c>
      <c r="O3066">
        <v>3</v>
      </c>
      <c r="P3066">
        <v>6</v>
      </c>
      <c r="Q3066">
        <v>5.30946755258375</v>
      </c>
      <c r="R3066">
        <v>4.2</v>
      </c>
      <c r="T3066" s="340" t="str">
        <f t="shared" si="144"/>
        <v>2010MaleNon-Maori22Firearms and explosives</v>
      </c>
      <c r="U3066">
        <v>2010</v>
      </c>
      <c r="V3066" t="s">
        <v>20</v>
      </c>
      <c r="W3066" t="s">
        <v>19</v>
      </c>
      <c r="X3066">
        <v>22</v>
      </c>
      <c r="Y3066" t="s">
        <v>42</v>
      </c>
      <c r="Z3066">
        <v>4</v>
      </c>
      <c r="AA3066">
        <v>50</v>
      </c>
      <c r="AB3066">
        <v>8</v>
      </c>
    </row>
    <row r="3067" spans="10:28">
      <c r="J3067" s="340" t="str">
        <f t="shared" si="143"/>
        <v>2011FemaleAllEth244</v>
      </c>
      <c r="K3067">
        <v>2011</v>
      </c>
      <c r="L3067" t="s">
        <v>8</v>
      </c>
      <c r="M3067" t="s">
        <v>27</v>
      </c>
      <c r="N3067">
        <v>24</v>
      </c>
      <c r="O3067">
        <v>4</v>
      </c>
      <c r="P3067">
        <v>5</v>
      </c>
      <c r="Q3067">
        <v>4.86972005923477</v>
      </c>
      <c r="R3067">
        <v>4.3</v>
      </c>
      <c r="T3067" s="340" t="str">
        <f t="shared" si="144"/>
        <v>2010MaleNon-Maori23Firearms and explosives</v>
      </c>
      <c r="U3067">
        <v>2010</v>
      </c>
      <c r="V3067" t="s">
        <v>20</v>
      </c>
      <c r="W3067" t="s">
        <v>19</v>
      </c>
      <c r="X3067">
        <v>23</v>
      </c>
      <c r="Y3067" t="s">
        <v>42</v>
      </c>
      <c r="Z3067">
        <v>10</v>
      </c>
      <c r="AA3067">
        <v>114</v>
      </c>
      <c r="AB3067">
        <v>8.8000000000000007</v>
      </c>
    </row>
    <row r="3068" spans="10:28">
      <c r="J3068" s="340" t="str">
        <f t="shared" si="143"/>
        <v>2011FemaleAllEth245</v>
      </c>
      <c r="K3068">
        <v>2011</v>
      </c>
      <c r="L3068" t="s">
        <v>8</v>
      </c>
      <c r="M3068" t="s">
        <v>27</v>
      </c>
      <c r="N3068">
        <v>24</v>
      </c>
      <c r="O3068">
        <v>5</v>
      </c>
      <c r="P3068">
        <v>10</v>
      </c>
      <c r="Q3068">
        <v>10.526982269551601</v>
      </c>
      <c r="R3068">
        <v>6.5</v>
      </c>
      <c r="T3068" s="340" t="str">
        <f t="shared" si="144"/>
        <v>2010MaleNon-Maori24Firearms and explosives</v>
      </c>
      <c r="U3068">
        <v>2010</v>
      </c>
      <c r="V3068" t="s">
        <v>20</v>
      </c>
      <c r="W3068" t="s">
        <v>19</v>
      </c>
      <c r="X3068">
        <v>24</v>
      </c>
      <c r="Y3068" t="s">
        <v>42</v>
      </c>
      <c r="Z3068">
        <v>13</v>
      </c>
      <c r="AA3068">
        <v>107</v>
      </c>
      <c r="AB3068">
        <v>12.1</v>
      </c>
    </row>
    <row r="3069" spans="10:28">
      <c r="J3069" s="340" t="str">
        <f t="shared" si="143"/>
        <v>2011FemaleAllEth251</v>
      </c>
      <c r="K3069">
        <v>2011</v>
      </c>
      <c r="L3069" t="s">
        <v>8</v>
      </c>
      <c r="M3069" t="s">
        <v>27</v>
      </c>
      <c r="N3069">
        <v>25</v>
      </c>
      <c r="O3069">
        <v>1</v>
      </c>
      <c r="P3069">
        <v>4</v>
      </c>
      <c r="Q3069">
        <v>6.4088073581369098</v>
      </c>
      <c r="R3069">
        <v>6.3</v>
      </c>
      <c r="T3069" s="340" t="str">
        <f t="shared" si="144"/>
        <v>2010MaleNon-Maori25Firearms and explosives</v>
      </c>
      <c r="U3069">
        <v>2010</v>
      </c>
      <c r="V3069" t="s">
        <v>20</v>
      </c>
      <c r="W3069" t="s">
        <v>19</v>
      </c>
      <c r="X3069">
        <v>25</v>
      </c>
      <c r="Y3069" t="s">
        <v>42</v>
      </c>
      <c r="Z3069">
        <v>10</v>
      </c>
      <c r="AA3069">
        <v>43</v>
      </c>
      <c r="AB3069">
        <v>23.3</v>
      </c>
    </row>
    <row r="3070" spans="10:28">
      <c r="J3070" s="340" t="str">
        <f t="shared" si="143"/>
        <v>2011FemaleAllEth252</v>
      </c>
      <c r="K3070">
        <v>2011</v>
      </c>
      <c r="L3070" t="s">
        <v>8</v>
      </c>
      <c r="M3070" t="s">
        <v>27</v>
      </c>
      <c r="N3070">
        <v>25</v>
      </c>
      <c r="O3070">
        <v>2</v>
      </c>
      <c r="P3070">
        <v>4</v>
      </c>
      <c r="Q3070">
        <v>6.2118470271110899</v>
      </c>
      <c r="R3070">
        <v>6.1</v>
      </c>
      <c r="T3070" s="340" t="str">
        <f t="shared" si="144"/>
        <v>2010MaleNon-Maori21Hanging, strangulation and suffocation</v>
      </c>
      <c r="U3070">
        <v>2010</v>
      </c>
      <c r="V3070" t="s">
        <v>20</v>
      </c>
      <c r="W3070" t="s">
        <v>19</v>
      </c>
      <c r="X3070">
        <v>21</v>
      </c>
      <c r="Y3070" t="s">
        <v>43</v>
      </c>
      <c r="Z3070">
        <v>1</v>
      </c>
      <c r="AA3070">
        <v>1</v>
      </c>
      <c r="AB3070">
        <v>100</v>
      </c>
    </row>
    <row r="3071" spans="10:28">
      <c r="J3071" s="340" t="str">
        <f t="shared" si="143"/>
        <v>2011FemaleAllEth253</v>
      </c>
      <c r="K3071">
        <v>2011</v>
      </c>
      <c r="L3071" t="s">
        <v>8</v>
      </c>
      <c r="M3071" t="s">
        <v>27</v>
      </c>
      <c r="N3071">
        <v>25</v>
      </c>
      <c r="O3071">
        <v>3</v>
      </c>
      <c r="P3071">
        <v>1</v>
      </c>
      <c r="Q3071">
        <v>1.5331110091086999</v>
      </c>
      <c r="R3071">
        <v>3</v>
      </c>
      <c r="T3071" s="340" t="str">
        <f t="shared" si="144"/>
        <v>2010MaleNon-Maori22Hanging, strangulation and suffocation</v>
      </c>
      <c r="U3071">
        <v>2010</v>
      </c>
      <c r="V3071" t="s">
        <v>20</v>
      </c>
      <c r="W3071" t="s">
        <v>19</v>
      </c>
      <c r="X3071">
        <v>22</v>
      </c>
      <c r="Y3071" t="s">
        <v>43</v>
      </c>
      <c r="Z3071">
        <v>37</v>
      </c>
      <c r="AA3071">
        <v>50</v>
      </c>
      <c r="AB3071">
        <v>74</v>
      </c>
    </row>
    <row r="3072" spans="10:28">
      <c r="J3072" s="340" t="str">
        <f t="shared" si="143"/>
        <v>2011FemaleAllEth254</v>
      </c>
      <c r="K3072">
        <v>2011</v>
      </c>
      <c r="L3072" t="s">
        <v>8</v>
      </c>
      <c r="M3072" t="s">
        <v>27</v>
      </c>
      <c r="N3072">
        <v>25</v>
      </c>
      <c r="O3072">
        <v>4</v>
      </c>
      <c r="P3072">
        <v>3</v>
      </c>
      <c r="Q3072">
        <v>4.3955471757174003</v>
      </c>
      <c r="R3072">
        <v>5</v>
      </c>
      <c r="T3072" s="340" t="str">
        <f t="shared" si="144"/>
        <v>2010MaleNon-Maori23Hanging, strangulation and suffocation</v>
      </c>
      <c r="U3072">
        <v>2010</v>
      </c>
      <c r="V3072" t="s">
        <v>20</v>
      </c>
      <c r="W3072" t="s">
        <v>19</v>
      </c>
      <c r="X3072">
        <v>23</v>
      </c>
      <c r="Y3072" t="s">
        <v>43</v>
      </c>
      <c r="Z3072">
        <v>70</v>
      </c>
      <c r="AA3072">
        <v>114</v>
      </c>
      <c r="AB3072">
        <v>61.4</v>
      </c>
    </row>
    <row r="3073" spans="10:28">
      <c r="J3073" s="340" t="str">
        <f t="shared" si="143"/>
        <v>2011FemaleAllEth255</v>
      </c>
      <c r="K3073">
        <v>2011</v>
      </c>
      <c r="L3073" t="s">
        <v>8</v>
      </c>
      <c r="M3073" t="s">
        <v>27</v>
      </c>
      <c r="N3073">
        <v>25</v>
      </c>
      <c r="O3073">
        <v>5</v>
      </c>
      <c r="P3073">
        <v>2</v>
      </c>
      <c r="Q3073">
        <v>3.6607233317096401</v>
      </c>
      <c r="R3073">
        <v>5.0999999999999996</v>
      </c>
      <c r="T3073" s="340" t="str">
        <f t="shared" si="144"/>
        <v>2010MaleNon-Maori24Hanging, strangulation and suffocation</v>
      </c>
      <c r="U3073">
        <v>2010</v>
      </c>
      <c r="V3073" t="s">
        <v>20</v>
      </c>
      <c r="W3073" t="s">
        <v>19</v>
      </c>
      <c r="X3073">
        <v>24</v>
      </c>
      <c r="Y3073" t="s">
        <v>43</v>
      </c>
      <c r="Z3073">
        <v>52</v>
      </c>
      <c r="AA3073">
        <v>107</v>
      </c>
      <c r="AB3073">
        <v>48.6</v>
      </c>
    </row>
    <row r="3074" spans="10:28">
      <c r="J3074" s="340" t="str">
        <f t="shared" si="143"/>
        <v>2011FemaleMaori211</v>
      </c>
      <c r="K3074">
        <v>2011</v>
      </c>
      <c r="L3074" t="s">
        <v>8</v>
      </c>
      <c r="M3074" t="s">
        <v>18</v>
      </c>
      <c r="N3074">
        <v>21</v>
      </c>
      <c r="O3074">
        <v>1</v>
      </c>
      <c r="P3074">
        <v>0</v>
      </c>
      <c r="Q3074">
        <v>0</v>
      </c>
      <c r="T3074" s="340" t="str">
        <f t="shared" si="144"/>
        <v>2010MaleNon-Maori25Hanging, strangulation and suffocation</v>
      </c>
      <c r="U3074">
        <v>2010</v>
      </c>
      <c r="V3074" t="s">
        <v>20</v>
      </c>
      <c r="W3074" t="s">
        <v>19</v>
      </c>
      <c r="X3074">
        <v>25</v>
      </c>
      <c r="Y3074" t="s">
        <v>43</v>
      </c>
      <c r="Z3074">
        <v>16</v>
      </c>
      <c r="AA3074">
        <v>43</v>
      </c>
      <c r="AB3074">
        <v>37.200000000000003</v>
      </c>
    </row>
    <row r="3075" spans="10:28">
      <c r="J3075" s="340" t="str">
        <f t="shared" si="143"/>
        <v>2011FemaleMaori212</v>
      </c>
      <c r="K3075">
        <v>2011</v>
      </c>
      <c r="L3075" t="s">
        <v>8</v>
      </c>
      <c r="M3075" t="s">
        <v>18</v>
      </c>
      <c r="N3075">
        <v>21</v>
      </c>
      <c r="O3075">
        <v>2</v>
      </c>
      <c r="P3075">
        <v>0</v>
      </c>
      <c r="Q3075">
        <v>0</v>
      </c>
      <c r="T3075" s="340" t="str">
        <f t="shared" si="144"/>
        <v>2010MaleNon-Maori22Jumping from a high place</v>
      </c>
      <c r="U3075">
        <v>2010</v>
      </c>
      <c r="V3075" t="s">
        <v>20</v>
      </c>
      <c r="W3075" t="s">
        <v>19</v>
      </c>
      <c r="X3075">
        <v>22</v>
      </c>
      <c r="Y3075" t="s">
        <v>44</v>
      </c>
      <c r="Z3075">
        <v>2</v>
      </c>
      <c r="AA3075">
        <v>50</v>
      </c>
      <c r="AB3075">
        <v>4</v>
      </c>
    </row>
    <row r="3076" spans="10:28">
      <c r="J3076" s="340" t="str">
        <f t="shared" ref="J3076:J3139" si="145">K3076&amp;L3076&amp;M3076&amp;N3076&amp;O3076</f>
        <v>2011FemaleMaori213</v>
      </c>
      <c r="K3076">
        <v>2011</v>
      </c>
      <c r="L3076" t="s">
        <v>8</v>
      </c>
      <c r="M3076" t="s">
        <v>18</v>
      </c>
      <c r="N3076">
        <v>21</v>
      </c>
      <c r="O3076">
        <v>3</v>
      </c>
      <c r="P3076">
        <v>1</v>
      </c>
      <c r="Q3076">
        <v>5.5137723224057797</v>
      </c>
      <c r="R3076">
        <v>10.8</v>
      </c>
      <c r="T3076" s="340" t="str">
        <f t="shared" si="144"/>
        <v>2010MaleNon-Maori23Jumping from a high place</v>
      </c>
      <c r="U3076">
        <v>2010</v>
      </c>
      <c r="V3076" t="s">
        <v>20</v>
      </c>
      <c r="W3076" t="s">
        <v>19</v>
      </c>
      <c r="X3076">
        <v>23</v>
      </c>
      <c r="Y3076" t="s">
        <v>44</v>
      </c>
      <c r="Z3076">
        <v>2</v>
      </c>
      <c r="AA3076">
        <v>114</v>
      </c>
      <c r="AB3076">
        <v>1.8</v>
      </c>
    </row>
    <row r="3077" spans="10:28">
      <c r="J3077" s="340" t="str">
        <f t="shared" si="145"/>
        <v>2011FemaleMaori214</v>
      </c>
      <c r="K3077">
        <v>2011</v>
      </c>
      <c r="L3077" t="s">
        <v>8</v>
      </c>
      <c r="M3077" t="s">
        <v>18</v>
      </c>
      <c r="N3077">
        <v>21</v>
      </c>
      <c r="O3077">
        <v>4</v>
      </c>
      <c r="P3077">
        <v>0</v>
      </c>
      <c r="Q3077">
        <v>0</v>
      </c>
      <c r="T3077" s="340" t="str">
        <f t="shared" ref="T3077:T3140" si="146">U3077&amp;V3077&amp;W3077&amp;X3077&amp;Y3077</f>
        <v>2010MaleNon-Maori24Jumping from a high place</v>
      </c>
      <c r="U3077">
        <v>2010</v>
      </c>
      <c r="V3077" t="s">
        <v>20</v>
      </c>
      <c r="W3077" t="s">
        <v>19</v>
      </c>
      <c r="X3077">
        <v>24</v>
      </c>
      <c r="Y3077" t="s">
        <v>44</v>
      </c>
      <c r="Z3077">
        <v>5</v>
      </c>
      <c r="AA3077">
        <v>107</v>
      </c>
      <c r="AB3077">
        <v>4.7</v>
      </c>
    </row>
    <row r="3078" spans="10:28">
      <c r="J3078" s="340" t="str">
        <f t="shared" si="145"/>
        <v>2011FemaleMaori215</v>
      </c>
      <c r="K3078">
        <v>2011</v>
      </c>
      <c r="L3078" t="s">
        <v>8</v>
      </c>
      <c r="M3078" t="s">
        <v>18</v>
      </c>
      <c r="N3078">
        <v>21</v>
      </c>
      <c r="O3078">
        <v>5</v>
      </c>
      <c r="P3078">
        <v>1</v>
      </c>
      <c r="Q3078">
        <v>2.1343921646644901</v>
      </c>
      <c r="R3078">
        <v>4.2</v>
      </c>
      <c r="T3078" s="340" t="str">
        <f t="shared" si="146"/>
        <v>2010MaleNon-Maori25Jumping from a high place</v>
      </c>
      <c r="U3078">
        <v>2010</v>
      </c>
      <c r="V3078" t="s">
        <v>20</v>
      </c>
      <c r="W3078" t="s">
        <v>19</v>
      </c>
      <c r="X3078">
        <v>25</v>
      </c>
      <c r="Y3078" t="s">
        <v>44</v>
      </c>
      <c r="Z3078">
        <v>1</v>
      </c>
      <c r="AA3078">
        <v>43</v>
      </c>
      <c r="AB3078">
        <v>2.2999999999999998</v>
      </c>
    </row>
    <row r="3079" spans="10:28">
      <c r="J3079" s="340" t="str">
        <f t="shared" si="145"/>
        <v>2011FemaleMaori221</v>
      </c>
      <c r="K3079">
        <v>2011</v>
      </c>
      <c r="L3079" t="s">
        <v>8</v>
      </c>
      <c r="M3079" t="s">
        <v>18</v>
      </c>
      <c r="N3079">
        <v>22</v>
      </c>
      <c r="O3079">
        <v>1</v>
      </c>
      <c r="P3079">
        <v>0</v>
      </c>
      <c r="Q3079">
        <v>0</v>
      </c>
      <c r="T3079" s="340" t="str">
        <f t="shared" si="146"/>
        <v>2010MaleNon-Maori23Other</v>
      </c>
      <c r="U3079">
        <v>2010</v>
      </c>
      <c r="V3079" t="s">
        <v>20</v>
      </c>
      <c r="W3079" t="s">
        <v>19</v>
      </c>
      <c r="X3079">
        <v>23</v>
      </c>
      <c r="Y3079" t="s">
        <v>45</v>
      </c>
      <c r="Z3079">
        <v>2</v>
      </c>
      <c r="AA3079">
        <v>114</v>
      </c>
      <c r="AB3079">
        <v>1.8</v>
      </c>
    </row>
    <row r="3080" spans="10:28">
      <c r="J3080" s="340" t="str">
        <f t="shared" si="145"/>
        <v>2011FemaleMaori222</v>
      </c>
      <c r="K3080">
        <v>2011</v>
      </c>
      <c r="L3080" t="s">
        <v>8</v>
      </c>
      <c r="M3080" t="s">
        <v>18</v>
      </c>
      <c r="N3080">
        <v>22</v>
      </c>
      <c r="O3080">
        <v>2</v>
      </c>
      <c r="P3080">
        <v>1</v>
      </c>
      <c r="Q3080">
        <v>14.743326622177801</v>
      </c>
      <c r="R3080">
        <v>28.9</v>
      </c>
      <c r="T3080" s="340" t="str">
        <f t="shared" si="146"/>
        <v>2010MaleNon-Maori24Other</v>
      </c>
      <c r="U3080">
        <v>2010</v>
      </c>
      <c r="V3080" t="s">
        <v>20</v>
      </c>
      <c r="W3080" t="s">
        <v>19</v>
      </c>
      <c r="X3080">
        <v>24</v>
      </c>
      <c r="Y3080" t="s">
        <v>45</v>
      </c>
      <c r="Z3080">
        <v>8</v>
      </c>
      <c r="AA3080">
        <v>107</v>
      </c>
      <c r="AB3080">
        <v>7.5</v>
      </c>
    </row>
    <row r="3081" spans="10:28">
      <c r="J3081" s="340" t="str">
        <f t="shared" si="145"/>
        <v>2011FemaleMaori223</v>
      </c>
      <c r="K3081">
        <v>2011</v>
      </c>
      <c r="L3081" t="s">
        <v>8</v>
      </c>
      <c r="M3081" t="s">
        <v>18</v>
      </c>
      <c r="N3081">
        <v>22</v>
      </c>
      <c r="O3081">
        <v>3</v>
      </c>
      <c r="P3081">
        <v>1</v>
      </c>
      <c r="Q3081">
        <v>10.012548768705599</v>
      </c>
      <c r="R3081">
        <v>19.600000000000001</v>
      </c>
      <c r="T3081" s="340" t="str">
        <f t="shared" si="146"/>
        <v>2010MaleNon-Maori25Other</v>
      </c>
      <c r="U3081">
        <v>2010</v>
      </c>
      <c r="V3081" t="s">
        <v>20</v>
      </c>
      <c r="W3081" t="s">
        <v>19</v>
      </c>
      <c r="X3081">
        <v>25</v>
      </c>
      <c r="Y3081" t="s">
        <v>45</v>
      </c>
      <c r="Z3081">
        <v>1</v>
      </c>
      <c r="AA3081">
        <v>43</v>
      </c>
      <c r="AB3081">
        <v>2.2999999999999998</v>
      </c>
    </row>
    <row r="3082" spans="10:28">
      <c r="J3082" s="340" t="str">
        <f t="shared" si="145"/>
        <v>2011FemaleMaori224</v>
      </c>
      <c r="K3082">
        <v>2011</v>
      </c>
      <c r="L3082" t="s">
        <v>8</v>
      </c>
      <c r="M3082" t="s">
        <v>18</v>
      </c>
      <c r="N3082">
        <v>22</v>
      </c>
      <c r="O3082">
        <v>4</v>
      </c>
      <c r="P3082">
        <v>3</v>
      </c>
      <c r="Q3082">
        <v>20.2974714492616</v>
      </c>
      <c r="R3082">
        <v>23</v>
      </c>
      <c r="T3082" s="340" t="str">
        <f t="shared" si="146"/>
        <v>2010MaleNon-Maori22Poisoning by gases and vapours</v>
      </c>
      <c r="U3082">
        <v>2010</v>
      </c>
      <c r="V3082" t="s">
        <v>20</v>
      </c>
      <c r="W3082" t="s">
        <v>19</v>
      </c>
      <c r="X3082">
        <v>22</v>
      </c>
      <c r="Y3082" t="s">
        <v>46</v>
      </c>
      <c r="Z3082">
        <v>2</v>
      </c>
      <c r="AA3082">
        <v>50</v>
      </c>
      <c r="AB3082">
        <v>4</v>
      </c>
    </row>
    <row r="3083" spans="10:28">
      <c r="J3083" s="340" t="str">
        <f t="shared" si="145"/>
        <v>2011FemaleMaori225</v>
      </c>
      <c r="K3083">
        <v>2011</v>
      </c>
      <c r="L3083" t="s">
        <v>8</v>
      </c>
      <c r="M3083" t="s">
        <v>18</v>
      </c>
      <c r="N3083">
        <v>22</v>
      </c>
      <c r="O3083">
        <v>5</v>
      </c>
      <c r="P3083">
        <v>10</v>
      </c>
      <c r="Q3083">
        <v>38.098736948664701</v>
      </c>
      <c r="R3083">
        <v>23.6</v>
      </c>
      <c r="T3083" s="340" t="str">
        <f t="shared" si="146"/>
        <v>2010MaleNon-Maori23Poisoning by gases and vapours</v>
      </c>
      <c r="U3083">
        <v>2010</v>
      </c>
      <c r="V3083" t="s">
        <v>20</v>
      </c>
      <c r="W3083" t="s">
        <v>19</v>
      </c>
      <c r="X3083">
        <v>23</v>
      </c>
      <c r="Y3083" t="s">
        <v>46</v>
      </c>
      <c r="Z3083">
        <v>19</v>
      </c>
      <c r="AA3083">
        <v>114</v>
      </c>
      <c r="AB3083">
        <v>16.7</v>
      </c>
    </row>
    <row r="3084" spans="10:28">
      <c r="J3084" s="340" t="str">
        <f t="shared" si="145"/>
        <v>2011FemaleMaori231</v>
      </c>
      <c r="K3084">
        <v>2011</v>
      </c>
      <c r="L3084" t="s">
        <v>8</v>
      </c>
      <c r="M3084" t="s">
        <v>18</v>
      </c>
      <c r="N3084">
        <v>23</v>
      </c>
      <c r="O3084">
        <v>1</v>
      </c>
      <c r="P3084">
        <v>0</v>
      </c>
      <c r="Q3084">
        <v>0</v>
      </c>
      <c r="T3084" s="340" t="str">
        <f t="shared" si="146"/>
        <v>2010MaleNon-Maori24Poisoning by gases and vapours</v>
      </c>
      <c r="U3084">
        <v>2010</v>
      </c>
      <c r="V3084" t="s">
        <v>20</v>
      </c>
      <c r="W3084" t="s">
        <v>19</v>
      </c>
      <c r="X3084">
        <v>24</v>
      </c>
      <c r="Y3084" t="s">
        <v>46</v>
      </c>
      <c r="Z3084">
        <v>17</v>
      </c>
      <c r="AA3084">
        <v>107</v>
      </c>
      <c r="AB3084">
        <v>15.9</v>
      </c>
    </row>
    <row r="3085" spans="10:28">
      <c r="J3085" s="340" t="str">
        <f t="shared" si="145"/>
        <v>2011FemaleMaori232</v>
      </c>
      <c r="K3085">
        <v>2011</v>
      </c>
      <c r="L3085" t="s">
        <v>8</v>
      </c>
      <c r="M3085" t="s">
        <v>18</v>
      </c>
      <c r="N3085">
        <v>23</v>
      </c>
      <c r="O3085">
        <v>2</v>
      </c>
      <c r="P3085">
        <v>1</v>
      </c>
      <c r="Q3085">
        <v>9.3938872188042506</v>
      </c>
      <c r="R3085">
        <v>18.399999999999999</v>
      </c>
      <c r="T3085" s="340" t="str">
        <f t="shared" si="146"/>
        <v>2010MaleNon-Maori25Poisoning by gases and vapours</v>
      </c>
      <c r="U3085">
        <v>2010</v>
      </c>
      <c r="V3085" t="s">
        <v>20</v>
      </c>
      <c r="W3085" t="s">
        <v>19</v>
      </c>
      <c r="X3085">
        <v>25</v>
      </c>
      <c r="Y3085" t="s">
        <v>46</v>
      </c>
      <c r="Z3085">
        <v>9</v>
      </c>
      <c r="AA3085">
        <v>43</v>
      </c>
      <c r="AB3085">
        <v>20.9</v>
      </c>
    </row>
    <row r="3086" spans="10:28">
      <c r="J3086" s="340" t="str">
        <f t="shared" si="145"/>
        <v>2011FemaleMaori233</v>
      </c>
      <c r="K3086">
        <v>2011</v>
      </c>
      <c r="L3086" t="s">
        <v>8</v>
      </c>
      <c r="M3086" t="s">
        <v>18</v>
      </c>
      <c r="N3086">
        <v>23</v>
      </c>
      <c r="O3086">
        <v>3</v>
      </c>
      <c r="P3086">
        <v>1</v>
      </c>
      <c r="Q3086">
        <v>6.7333463742358903</v>
      </c>
      <c r="R3086">
        <v>13.2</v>
      </c>
      <c r="T3086" s="340" t="str">
        <f t="shared" si="146"/>
        <v>2010MaleNon-Maori22Poisoning by solids and liquids</v>
      </c>
      <c r="U3086">
        <v>2010</v>
      </c>
      <c r="V3086" t="s">
        <v>20</v>
      </c>
      <c r="W3086" t="s">
        <v>19</v>
      </c>
      <c r="X3086">
        <v>22</v>
      </c>
      <c r="Y3086" t="s">
        <v>47</v>
      </c>
      <c r="Z3086">
        <v>2</v>
      </c>
      <c r="AA3086">
        <v>50</v>
      </c>
      <c r="AB3086">
        <v>4</v>
      </c>
    </row>
    <row r="3087" spans="10:28">
      <c r="J3087" s="340" t="str">
        <f t="shared" si="145"/>
        <v>2011FemaleMaori234</v>
      </c>
      <c r="K3087">
        <v>2011</v>
      </c>
      <c r="L3087" t="s">
        <v>8</v>
      </c>
      <c r="M3087" t="s">
        <v>18</v>
      </c>
      <c r="N3087">
        <v>23</v>
      </c>
      <c r="O3087">
        <v>4</v>
      </c>
      <c r="P3087">
        <v>3</v>
      </c>
      <c r="Q3087">
        <v>14.428377810721299</v>
      </c>
      <c r="R3087">
        <v>16.3</v>
      </c>
      <c r="T3087" s="340" t="str">
        <f t="shared" si="146"/>
        <v>2010MaleNon-Maori23Poisoning by solids and liquids</v>
      </c>
      <c r="U3087">
        <v>2010</v>
      </c>
      <c r="V3087" t="s">
        <v>20</v>
      </c>
      <c r="W3087" t="s">
        <v>19</v>
      </c>
      <c r="X3087">
        <v>23</v>
      </c>
      <c r="Y3087" t="s">
        <v>47</v>
      </c>
      <c r="Z3087">
        <v>7</v>
      </c>
      <c r="AA3087">
        <v>114</v>
      </c>
      <c r="AB3087">
        <v>6.1</v>
      </c>
    </row>
    <row r="3088" spans="10:28">
      <c r="J3088" s="340" t="str">
        <f t="shared" si="145"/>
        <v>2011FemaleMaori235</v>
      </c>
      <c r="K3088">
        <v>2011</v>
      </c>
      <c r="L3088" t="s">
        <v>8</v>
      </c>
      <c r="M3088" t="s">
        <v>18</v>
      </c>
      <c r="N3088">
        <v>23</v>
      </c>
      <c r="O3088">
        <v>5</v>
      </c>
      <c r="P3088">
        <v>6</v>
      </c>
      <c r="Q3088">
        <v>16.692852913573901</v>
      </c>
      <c r="R3088">
        <v>13.4</v>
      </c>
      <c r="T3088" s="340" t="str">
        <f t="shared" si="146"/>
        <v>2010MaleNon-Maori24Poisoning by solids and liquids</v>
      </c>
      <c r="U3088">
        <v>2010</v>
      </c>
      <c r="V3088" t="s">
        <v>20</v>
      </c>
      <c r="W3088" t="s">
        <v>19</v>
      </c>
      <c r="X3088">
        <v>24</v>
      </c>
      <c r="Y3088" t="s">
        <v>47</v>
      </c>
      <c r="Z3088">
        <v>11</v>
      </c>
      <c r="AA3088">
        <v>107</v>
      </c>
      <c r="AB3088">
        <v>10.3</v>
      </c>
    </row>
    <row r="3089" spans="10:28">
      <c r="J3089" s="340" t="str">
        <f t="shared" si="145"/>
        <v>2011FemaleMaori241</v>
      </c>
      <c r="K3089">
        <v>2011</v>
      </c>
      <c r="L3089" t="s">
        <v>8</v>
      </c>
      <c r="M3089" t="s">
        <v>18</v>
      </c>
      <c r="N3089">
        <v>24</v>
      </c>
      <c r="O3089">
        <v>1</v>
      </c>
      <c r="P3089">
        <v>0</v>
      </c>
      <c r="Q3089">
        <v>0</v>
      </c>
      <c r="T3089" s="340" t="str">
        <f t="shared" si="146"/>
        <v>2010MaleNon-Maori25Poisoning by solids and liquids</v>
      </c>
      <c r="U3089">
        <v>2010</v>
      </c>
      <c r="V3089" t="s">
        <v>20</v>
      </c>
      <c r="W3089" t="s">
        <v>19</v>
      </c>
      <c r="X3089">
        <v>25</v>
      </c>
      <c r="Y3089" t="s">
        <v>47</v>
      </c>
      <c r="Z3089">
        <v>4</v>
      </c>
      <c r="AA3089">
        <v>43</v>
      </c>
      <c r="AB3089">
        <v>9.3000000000000007</v>
      </c>
    </row>
    <row r="3090" spans="10:28">
      <c r="J3090" s="340" t="str">
        <f t="shared" si="145"/>
        <v>2011FemaleMaori242</v>
      </c>
      <c r="K3090">
        <v>2011</v>
      </c>
      <c r="L3090" t="s">
        <v>8</v>
      </c>
      <c r="M3090" t="s">
        <v>18</v>
      </c>
      <c r="N3090">
        <v>24</v>
      </c>
      <c r="O3090">
        <v>2</v>
      </c>
      <c r="P3090">
        <v>1</v>
      </c>
      <c r="Q3090">
        <v>13.502220234686099</v>
      </c>
      <c r="R3090">
        <v>26.5</v>
      </c>
      <c r="T3090" s="340" t="str">
        <f t="shared" si="146"/>
        <v>2010MaleNon-Maori22Sharp object</v>
      </c>
      <c r="U3090">
        <v>2010</v>
      </c>
      <c r="V3090" t="s">
        <v>20</v>
      </c>
      <c r="W3090" t="s">
        <v>19</v>
      </c>
      <c r="X3090">
        <v>22</v>
      </c>
      <c r="Y3090" t="s">
        <v>48</v>
      </c>
      <c r="Z3090">
        <v>2</v>
      </c>
      <c r="AA3090">
        <v>50</v>
      </c>
      <c r="AB3090">
        <v>4</v>
      </c>
    </row>
    <row r="3091" spans="10:28">
      <c r="J3091" s="340" t="str">
        <f t="shared" si="145"/>
        <v>2011FemaleMaori243</v>
      </c>
      <c r="K3091">
        <v>2011</v>
      </c>
      <c r="L3091" t="s">
        <v>8</v>
      </c>
      <c r="M3091" t="s">
        <v>18</v>
      </c>
      <c r="N3091">
        <v>24</v>
      </c>
      <c r="O3091">
        <v>3</v>
      </c>
      <c r="P3091">
        <v>1</v>
      </c>
      <c r="Q3091">
        <v>10.0700408877822</v>
      </c>
      <c r="R3091">
        <v>19.7</v>
      </c>
      <c r="T3091" s="340" t="str">
        <f t="shared" si="146"/>
        <v>2010MaleNon-Maori23Sharp object</v>
      </c>
      <c r="U3091">
        <v>2010</v>
      </c>
      <c r="V3091" t="s">
        <v>20</v>
      </c>
      <c r="W3091" t="s">
        <v>19</v>
      </c>
      <c r="X3091">
        <v>23</v>
      </c>
      <c r="Y3091" t="s">
        <v>48</v>
      </c>
      <c r="Z3091">
        <v>3</v>
      </c>
      <c r="AA3091">
        <v>114</v>
      </c>
      <c r="AB3091">
        <v>2.6</v>
      </c>
    </row>
    <row r="3092" spans="10:28">
      <c r="J3092" s="340" t="str">
        <f t="shared" si="145"/>
        <v>2011FemaleMaori244</v>
      </c>
      <c r="K3092">
        <v>2011</v>
      </c>
      <c r="L3092" t="s">
        <v>8</v>
      </c>
      <c r="M3092" t="s">
        <v>18</v>
      </c>
      <c r="N3092">
        <v>24</v>
      </c>
      <c r="O3092">
        <v>4</v>
      </c>
      <c r="P3092">
        <v>0</v>
      </c>
      <c r="Q3092">
        <v>0</v>
      </c>
      <c r="T3092" s="340" t="str">
        <f t="shared" si="146"/>
        <v>2010MaleNon-Maori25Sharp object</v>
      </c>
      <c r="U3092">
        <v>2010</v>
      </c>
      <c r="V3092" t="s">
        <v>20</v>
      </c>
      <c r="W3092" t="s">
        <v>19</v>
      </c>
      <c r="X3092">
        <v>25</v>
      </c>
      <c r="Y3092" t="s">
        <v>48</v>
      </c>
      <c r="Z3092">
        <v>1</v>
      </c>
      <c r="AA3092">
        <v>43</v>
      </c>
      <c r="AB3092">
        <v>2.2999999999999998</v>
      </c>
    </row>
    <row r="3093" spans="10:28">
      <c r="J3093" s="340" t="str">
        <f t="shared" si="145"/>
        <v>2011FemaleMaori245</v>
      </c>
      <c r="K3093">
        <v>2011</v>
      </c>
      <c r="L3093" t="s">
        <v>8</v>
      </c>
      <c r="M3093" t="s">
        <v>18</v>
      </c>
      <c r="N3093">
        <v>24</v>
      </c>
      <c r="O3093">
        <v>5</v>
      </c>
      <c r="P3093">
        <v>1</v>
      </c>
      <c r="Q3093">
        <v>3.8825147910438802</v>
      </c>
      <c r="R3093">
        <v>7.6</v>
      </c>
      <c r="T3093" s="340" t="str">
        <f t="shared" si="146"/>
        <v>2010MaleNon-Maori22Submersion (drowning)</v>
      </c>
      <c r="U3093">
        <v>2010</v>
      </c>
      <c r="V3093" t="s">
        <v>20</v>
      </c>
      <c r="W3093" t="s">
        <v>19</v>
      </c>
      <c r="X3093">
        <v>22</v>
      </c>
      <c r="Y3093" t="s">
        <v>49</v>
      </c>
      <c r="Z3093">
        <v>1</v>
      </c>
      <c r="AA3093">
        <v>50</v>
      </c>
      <c r="AB3093">
        <v>2</v>
      </c>
    </row>
    <row r="3094" spans="10:28">
      <c r="J3094" s="340" t="str">
        <f t="shared" si="145"/>
        <v>2011FemaleMaori251</v>
      </c>
      <c r="K3094">
        <v>2011</v>
      </c>
      <c r="L3094" t="s">
        <v>8</v>
      </c>
      <c r="M3094" t="s">
        <v>18</v>
      </c>
      <c r="N3094">
        <v>25</v>
      </c>
      <c r="O3094">
        <v>1</v>
      </c>
      <c r="P3094">
        <v>0</v>
      </c>
      <c r="Q3094">
        <v>0</v>
      </c>
      <c r="T3094" s="340" t="str">
        <f t="shared" si="146"/>
        <v>2010MaleNon-Maori23Submersion (drowning)</v>
      </c>
      <c r="U3094">
        <v>2010</v>
      </c>
      <c r="V3094" t="s">
        <v>20</v>
      </c>
      <c r="W3094" t="s">
        <v>19</v>
      </c>
      <c r="X3094">
        <v>23</v>
      </c>
      <c r="Y3094" t="s">
        <v>49</v>
      </c>
      <c r="Z3094">
        <v>1</v>
      </c>
      <c r="AA3094">
        <v>114</v>
      </c>
      <c r="AB3094">
        <v>0.9</v>
      </c>
    </row>
    <row r="3095" spans="10:28">
      <c r="J3095" s="340" t="str">
        <f t="shared" si="145"/>
        <v>2011FemaleMaori252</v>
      </c>
      <c r="K3095">
        <v>2011</v>
      </c>
      <c r="L3095" t="s">
        <v>8</v>
      </c>
      <c r="M3095" t="s">
        <v>18</v>
      </c>
      <c r="N3095">
        <v>25</v>
      </c>
      <c r="O3095">
        <v>2</v>
      </c>
      <c r="P3095">
        <v>0</v>
      </c>
      <c r="Q3095">
        <v>0</v>
      </c>
      <c r="T3095" s="340" t="str">
        <f t="shared" si="146"/>
        <v>2010MaleNon-Maori24Submersion (drowning)</v>
      </c>
      <c r="U3095">
        <v>2010</v>
      </c>
      <c r="V3095" t="s">
        <v>20</v>
      </c>
      <c r="W3095" t="s">
        <v>19</v>
      </c>
      <c r="X3095">
        <v>24</v>
      </c>
      <c r="Y3095" t="s">
        <v>49</v>
      </c>
      <c r="Z3095">
        <v>1</v>
      </c>
      <c r="AA3095">
        <v>107</v>
      </c>
      <c r="AB3095">
        <v>0.9</v>
      </c>
    </row>
    <row r="3096" spans="10:28">
      <c r="J3096" s="340" t="str">
        <f t="shared" si="145"/>
        <v>2011FemaleMaori253</v>
      </c>
      <c r="K3096">
        <v>2011</v>
      </c>
      <c r="L3096" t="s">
        <v>8</v>
      </c>
      <c r="M3096" t="s">
        <v>18</v>
      </c>
      <c r="N3096">
        <v>25</v>
      </c>
      <c r="O3096">
        <v>3</v>
      </c>
      <c r="P3096">
        <v>0</v>
      </c>
      <c r="Q3096">
        <v>0</v>
      </c>
      <c r="T3096" s="340" t="str">
        <f t="shared" si="146"/>
        <v>2010MaleNon-Maori25Submersion (drowning)</v>
      </c>
      <c r="U3096">
        <v>2010</v>
      </c>
      <c r="V3096" t="s">
        <v>20</v>
      </c>
      <c r="W3096" t="s">
        <v>19</v>
      </c>
      <c r="X3096">
        <v>25</v>
      </c>
      <c r="Y3096" t="s">
        <v>49</v>
      </c>
      <c r="Z3096">
        <v>1</v>
      </c>
      <c r="AA3096">
        <v>43</v>
      </c>
      <c r="AB3096">
        <v>2.2999999999999998</v>
      </c>
    </row>
    <row r="3097" spans="10:28">
      <c r="J3097" s="340" t="str">
        <f t="shared" si="145"/>
        <v>2011FemaleMaori254</v>
      </c>
      <c r="K3097">
        <v>2011</v>
      </c>
      <c r="L3097" t="s">
        <v>8</v>
      </c>
      <c r="M3097" t="s">
        <v>18</v>
      </c>
      <c r="N3097">
        <v>25</v>
      </c>
      <c r="O3097">
        <v>4</v>
      </c>
      <c r="P3097">
        <v>0</v>
      </c>
      <c r="Q3097">
        <v>0</v>
      </c>
      <c r="T3097" s="340" t="str">
        <f t="shared" si="146"/>
        <v>2011AllSexAllEth22Firearms and explosives</v>
      </c>
      <c r="U3097">
        <v>2011</v>
      </c>
      <c r="V3097" t="s">
        <v>17</v>
      </c>
      <c r="W3097" t="s">
        <v>27</v>
      </c>
      <c r="X3097">
        <v>22</v>
      </c>
      <c r="Y3097" t="s">
        <v>42</v>
      </c>
      <c r="Z3097">
        <v>4</v>
      </c>
      <c r="AA3097">
        <v>131</v>
      </c>
      <c r="AB3097">
        <v>3.1</v>
      </c>
    </row>
    <row r="3098" spans="10:28">
      <c r="J3098" s="340" t="str">
        <f t="shared" si="145"/>
        <v>2011FemaleMaori255</v>
      </c>
      <c r="K3098">
        <v>2011</v>
      </c>
      <c r="L3098" t="s">
        <v>8</v>
      </c>
      <c r="M3098" t="s">
        <v>18</v>
      </c>
      <c r="N3098">
        <v>25</v>
      </c>
      <c r="O3098">
        <v>5</v>
      </c>
      <c r="P3098">
        <v>0</v>
      </c>
      <c r="Q3098">
        <v>0</v>
      </c>
      <c r="T3098" s="340" t="str">
        <f t="shared" si="146"/>
        <v>2011AllSexAllEth23Firearms and explosives</v>
      </c>
      <c r="U3098">
        <v>2011</v>
      </c>
      <c r="V3098" t="s">
        <v>17</v>
      </c>
      <c r="W3098" t="s">
        <v>27</v>
      </c>
      <c r="X3098">
        <v>23</v>
      </c>
      <c r="Y3098" t="s">
        <v>42</v>
      </c>
      <c r="Z3098">
        <v>4</v>
      </c>
      <c r="AA3098">
        <v>163</v>
      </c>
      <c r="AB3098">
        <v>2.5</v>
      </c>
    </row>
    <row r="3099" spans="10:28">
      <c r="J3099" s="340" t="str">
        <f t="shared" si="145"/>
        <v>2011FemaleNon-Maori211</v>
      </c>
      <c r="K3099">
        <v>2011</v>
      </c>
      <c r="L3099" t="s">
        <v>8</v>
      </c>
      <c r="M3099" t="s">
        <v>19</v>
      </c>
      <c r="N3099">
        <v>21</v>
      </c>
      <c r="O3099">
        <v>1</v>
      </c>
      <c r="P3099">
        <v>0</v>
      </c>
      <c r="Q3099">
        <v>0</v>
      </c>
      <c r="T3099" s="340" t="str">
        <f t="shared" si="146"/>
        <v>2011AllSexAllEth24Firearms and explosives</v>
      </c>
      <c r="U3099">
        <v>2011</v>
      </c>
      <c r="V3099" t="s">
        <v>17</v>
      </c>
      <c r="W3099" t="s">
        <v>27</v>
      </c>
      <c r="X3099">
        <v>24</v>
      </c>
      <c r="Y3099" t="s">
        <v>42</v>
      </c>
      <c r="Z3099">
        <v>21</v>
      </c>
      <c r="AA3099">
        <v>150</v>
      </c>
      <c r="AB3099">
        <v>14</v>
      </c>
    </row>
    <row r="3100" spans="10:28">
      <c r="J3100" s="340" t="str">
        <f t="shared" si="145"/>
        <v>2011FemaleNon-Maori212</v>
      </c>
      <c r="K3100">
        <v>2011</v>
      </c>
      <c r="L3100" t="s">
        <v>8</v>
      </c>
      <c r="M3100" t="s">
        <v>19</v>
      </c>
      <c r="N3100">
        <v>21</v>
      </c>
      <c r="O3100">
        <v>2</v>
      </c>
      <c r="P3100">
        <v>0</v>
      </c>
      <c r="Q3100">
        <v>0</v>
      </c>
      <c r="T3100" s="340" t="str">
        <f t="shared" si="146"/>
        <v>2011AllSexAllEth25Firearms and explosives</v>
      </c>
      <c r="U3100">
        <v>2011</v>
      </c>
      <c r="V3100" t="s">
        <v>17</v>
      </c>
      <c r="W3100" t="s">
        <v>27</v>
      </c>
      <c r="X3100">
        <v>25</v>
      </c>
      <c r="Y3100" t="s">
        <v>42</v>
      </c>
      <c r="Z3100">
        <v>7</v>
      </c>
      <c r="AA3100">
        <v>45</v>
      </c>
      <c r="AB3100">
        <v>15.6</v>
      </c>
    </row>
    <row r="3101" spans="10:28">
      <c r="J3101" s="340" t="str">
        <f t="shared" si="145"/>
        <v>2011FemaleNon-Maori213</v>
      </c>
      <c r="K3101">
        <v>2011</v>
      </c>
      <c r="L3101" t="s">
        <v>8</v>
      </c>
      <c r="M3101" t="s">
        <v>19</v>
      </c>
      <c r="N3101">
        <v>21</v>
      </c>
      <c r="O3101">
        <v>3</v>
      </c>
      <c r="P3101">
        <v>0</v>
      </c>
      <c r="Q3101">
        <v>0</v>
      </c>
      <c r="T3101" s="340" t="str">
        <f t="shared" si="146"/>
        <v>2011AllSexAllEth21Hanging, strangulation and suffocation</v>
      </c>
      <c r="U3101">
        <v>2011</v>
      </c>
      <c r="V3101" t="s">
        <v>17</v>
      </c>
      <c r="W3101" t="s">
        <v>27</v>
      </c>
      <c r="X3101">
        <v>21</v>
      </c>
      <c r="Y3101" t="s">
        <v>43</v>
      </c>
      <c r="Z3101">
        <v>6</v>
      </c>
      <c r="AA3101">
        <v>6</v>
      </c>
      <c r="AB3101">
        <v>100</v>
      </c>
    </row>
    <row r="3102" spans="10:28">
      <c r="J3102" s="340" t="str">
        <f t="shared" si="145"/>
        <v>2011FemaleNon-Maori214</v>
      </c>
      <c r="K3102">
        <v>2011</v>
      </c>
      <c r="L3102" t="s">
        <v>8</v>
      </c>
      <c r="M3102" t="s">
        <v>19</v>
      </c>
      <c r="N3102">
        <v>21</v>
      </c>
      <c r="O3102">
        <v>4</v>
      </c>
      <c r="P3102">
        <v>0</v>
      </c>
      <c r="Q3102">
        <v>0</v>
      </c>
      <c r="T3102" s="340" t="str">
        <f t="shared" si="146"/>
        <v>2011AllSexAllEth22Hanging, strangulation and suffocation</v>
      </c>
      <c r="U3102">
        <v>2011</v>
      </c>
      <c r="V3102" t="s">
        <v>17</v>
      </c>
      <c r="W3102" t="s">
        <v>27</v>
      </c>
      <c r="X3102">
        <v>22</v>
      </c>
      <c r="Y3102" t="s">
        <v>43</v>
      </c>
      <c r="Z3102">
        <v>105</v>
      </c>
      <c r="AA3102">
        <v>131</v>
      </c>
      <c r="AB3102">
        <v>80.2</v>
      </c>
    </row>
    <row r="3103" spans="10:28">
      <c r="J3103" s="340" t="str">
        <f t="shared" si="145"/>
        <v>2011FemaleNon-Maori215</v>
      </c>
      <c r="K3103">
        <v>2011</v>
      </c>
      <c r="L3103" t="s">
        <v>8</v>
      </c>
      <c r="M3103" t="s">
        <v>19</v>
      </c>
      <c r="N3103">
        <v>21</v>
      </c>
      <c r="O3103">
        <v>5</v>
      </c>
      <c r="P3103">
        <v>1</v>
      </c>
      <c r="Q3103">
        <v>1.74788315897797</v>
      </c>
      <c r="R3103">
        <v>3.4</v>
      </c>
      <c r="T3103" s="340" t="str">
        <f t="shared" si="146"/>
        <v>2011AllSexAllEth23Hanging, strangulation and suffocation</v>
      </c>
      <c r="U3103">
        <v>2011</v>
      </c>
      <c r="V3103" t="s">
        <v>17</v>
      </c>
      <c r="W3103" t="s">
        <v>27</v>
      </c>
      <c r="X3103">
        <v>23</v>
      </c>
      <c r="Y3103" t="s">
        <v>43</v>
      </c>
      <c r="Z3103">
        <v>106</v>
      </c>
      <c r="AA3103">
        <v>163</v>
      </c>
      <c r="AB3103">
        <v>65</v>
      </c>
    </row>
    <row r="3104" spans="10:28">
      <c r="J3104" s="340" t="str">
        <f t="shared" si="145"/>
        <v>2011FemaleNon-Maori221</v>
      </c>
      <c r="K3104">
        <v>2011</v>
      </c>
      <c r="L3104" t="s">
        <v>8</v>
      </c>
      <c r="M3104" t="s">
        <v>19</v>
      </c>
      <c r="N3104">
        <v>22</v>
      </c>
      <c r="O3104">
        <v>1</v>
      </c>
      <c r="P3104">
        <v>3</v>
      </c>
      <c r="Q3104">
        <v>6.1625180878451999</v>
      </c>
      <c r="R3104">
        <v>7</v>
      </c>
      <c r="T3104" s="340" t="str">
        <f t="shared" si="146"/>
        <v>2011AllSexAllEth24Hanging, strangulation and suffocation</v>
      </c>
      <c r="U3104">
        <v>2011</v>
      </c>
      <c r="V3104" t="s">
        <v>17</v>
      </c>
      <c r="W3104" t="s">
        <v>27</v>
      </c>
      <c r="X3104">
        <v>24</v>
      </c>
      <c r="Y3104" t="s">
        <v>43</v>
      </c>
      <c r="Z3104">
        <v>70</v>
      </c>
      <c r="AA3104">
        <v>150</v>
      </c>
      <c r="AB3104">
        <v>46.7</v>
      </c>
    </row>
    <row r="3105" spans="10:28">
      <c r="J3105" s="340" t="str">
        <f t="shared" si="145"/>
        <v>2011FemaleNon-Maori222</v>
      </c>
      <c r="K3105">
        <v>2011</v>
      </c>
      <c r="L3105" t="s">
        <v>8</v>
      </c>
      <c r="M3105" t="s">
        <v>19</v>
      </c>
      <c r="N3105">
        <v>22</v>
      </c>
      <c r="O3105">
        <v>2</v>
      </c>
      <c r="P3105">
        <v>4</v>
      </c>
      <c r="Q3105">
        <v>8.4360461434252407</v>
      </c>
      <c r="R3105">
        <v>8.3000000000000007</v>
      </c>
      <c r="T3105" s="340" t="str">
        <f t="shared" si="146"/>
        <v>2011AllSexAllEth25Hanging, strangulation and suffocation</v>
      </c>
      <c r="U3105">
        <v>2011</v>
      </c>
      <c r="V3105" t="s">
        <v>17</v>
      </c>
      <c r="W3105" t="s">
        <v>27</v>
      </c>
      <c r="X3105">
        <v>25</v>
      </c>
      <c r="Y3105" t="s">
        <v>43</v>
      </c>
      <c r="Z3105">
        <v>15</v>
      </c>
      <c r="AA3105">
        <v>45</v>
      </c>
      <c r="AB3105">
        <v>33.299999999999997</v>
      </c>
    </row>
    <row r="3106" spans="10:28">
      <c r="J3106" s="340" t="str">
        <f t="shared" si="145"/>
        <v>2011FemaleNon-Maori223</v>
      </c>
      <c r="K3106">
        <v>2011</v>
      </c>
      <c r="L3106" t="s">
        <v>8</v>
      </c>
      <c r="M3106" t="s">
        <v>19</v>
      </c>
      <c r="N3106">
        <v>22</v>
      </c>
      <c r="O3106">
        <v>3</v>
      </c>
      <c r="P3106">
        <v>2</v>
      </c>
      <c r="Q3106">
        <v>4.21002975426393</v>
      </c>
      <c r="R3106">
        <v>5.8</v>
      </c>
      <c r="T3106" s="340" t="str">
        <f t="shared" si="146"/>
        <v>2011AllSexAllEth22Jumping from a high place</v>
      </c>
      <c r="U3106">
        <v>2011</v>
      </c>
      <c r="V3106" t="s">
        <v>17</v>
      </c>
      <c r="W3106" t="s">
        <v>27</v>
      </c>
      <c r="X3106">
        <v>22</v>
      </c>
      <c r="Y3106" t="s">
        <v>44</v>
      </c>
      <c r="Z3106">
        <v>3</v>
      </c>
      <c r="AA3106">
        <v>131</v>
      </c>
      <c r="AB3106">
        <v>2.2999999999999998</v>
      </c>
    </row>
    <row r="3107" spans="10:28">
      <c r="J3107" s="340" t="str">
        <f t="shared" si="145"/>
        <v>2011FemaleNon-Maori224</v>
      </c>
      <c r="K3107">
        <v>2011</v>
      </c>
      <c r="L3107" t="s">
        <v>8</v>
      </c>
      <c r="M3107" t="s">
        <v>19</v>
      </c>
      <c r="N3107">
        <v>22</v>
      </c>
      <c r="O3107">
        <v>4</v>
      </c>
      <c r="P3107">
        <v>1</v>
      </c>
      <c r="Q3107">
        <v>1.95604967474701</v>
      </c>
      <c r="R3107">
        <v>3.8</v>
      </c>
      <c r="T3107" s="340" t="str">
        <f t="shared" si="146"/>
        <v>2011AllSexAllEth23Jumping from a high place</v>
      </c>
      <c r="U3107">
        <v>2011</v>
      </c>
      <c r="V3107" t="s">
        <v>17</v>
      </c>
      <c r="W3107" t="s">
        <v>27</v>
      </c>
      <c r="X3107">
        <v>23</v>
      </c>
      <c r="Y3107" t="s">
        <v>44</v>
      </c>
      <c r="Z3107">
        <v>4</v>
      </c>
      <c r="AA3107">
        <v>163</v>
      </c>
      <c r="AB3107">
        <v>2.5</v>
      </c>
    </row>
    <row r="3108" spans="10:28">
      <c r="J3108" s="340" t="str">
        <f t="shared" si="145"/>
        <v>2011FemaleNon-Maori225</v>
      </c>
      <c r="K3108">
        <v>2011</v>
      </c>
      <c r="L3108" t="s">
        <v>8</v>
      </c>
      <c r="M3108" t="s">
        <v>19</v>
      </c>
      <c r="N3108">
        <v>22</v>
      </c>
      <c r="O3108">
        <v>5</v>
      </c>
      <c r="P3108">
        <v>9</v>
      </c>
      <c r="Q3108">
        <v>18.228096104968401</v>
      </c>
      <c r="R3108">
        <v>11.9</v>
      </c>
      <c r="T3108" s="340" t="str">
        <f t="shared" si="146"/>
        <v>2011AllSexAllEth24Jumping from a high place</v>
      </c>
      <c r="U3108">
        <v>2011</v>
      </c>
      <c r="V3108" t="s">
        <v>17</v>
      </c>
      <c r="W3108" t="s">
        <v>27</v>
      </c>
      <c r="X3108">
        <v>24</v>
      </c>
      <c r="Y3108" t="s">
        <v>44</v>
      </c>
      <c r="Z3108">
        <v>4</v>
      </c>
      <c r="AA3108">
        <v>150</v>
      </c>
      <c r="AB3108">
        <v>2.7</v>
      </c>
    </row>
    <row r="3109" spans="10:28">
      <c r="J3109" s="340" t="str">
        <f t="shared" si="145"/>
        <v>2011FemaleNon-Maori231</v>
      </c>
      <c r="K3109">
        <v>2011</v>
      </c>
      <c r="L3109" t="s">
        <v>8</v>
      </c>
      <c r="M3109" t="s">
        <v>19</v>
      </c>
      <c r="N3109">
        <v>23</v>
      </c>
      <c r="O3109">
        <v>1</v>
      </c>
      <c r="P3109">
        <v>2</v>
      </c>
      <c r="Q3109">
        <v>1.8285973856735001</v>
      </c>
      <c r="R3109">
        <v>2.5</v>
      </c>
      <c r="T3109" s="340" t="str">
        <f t="shared" si="146"/>
        <v>2011AllSexAllEth25Jumping from a high place</v>
      </c>
      <c r="U3109">
        <v>2011</v>
      </c>
      <c r="V3109" t="s">
        <v>17</v>
      </c>
      <c r="W3109" t="s">
        <v>27</v>
      </c>
      <c r="X3109">
        <v>25</v>
      </c>
      <c r="Y3109" t="s">
        <v>44</v>
      </c>
      <c r="Z3109">
        <v>1</v>
      </c>
      <c r="AA3109">
        <v>45</v>
      </c>
      <c r="AB3109">
        <v>2.2000000000000002</v>
      </c>
    </row>
    <row r="3110" spans="10:28">
      <c r="J3110" s="340" t="str">
        <f t="shared" si="145"/>
        <v>2011FemaleNon-Maori232</v>
      </c>
      <c r="K3110">
        <v>2011</v>
      </c>
      <c r="L3110" t="s">
        <v>8</v>
      </c>
      <c r="M3110" t="s">
        <v>19</v>
      </c>
      <c r="N3110">
        <v>23</v>
      </c>
      <c r="O3110">
        <v>2</v>
      </c>
      <c r="P3110">
        <v>1</v>
      </c>
      <c r="Q3110">
        <v>0.88319217232666802</v>
      </c>
      <c r="R3110">
        <v>1.7</v>
      </c>
      <c r="T3110" s="340" t="str">
        <f t="shared" si="146"/>
        <v>2011AllSexAllEth22Other</v>
      </c>
      <c r="U3110">
        <v>2011</v>
      </c>
      <c r="V3110" t="s">
        <v>17</v>
      </c>
      <c r="W3110" t="s">
        <v>27</v>
      </c>
      <c r="X3110">
        <v>22</v>
      </c>
      <c r="Y3110" t="s">
        <v>45</v>
      </c>
      <c r="Z3110">
        <v>5</v>
      </c>
      <c r="AA3110">
        <v>131</v>
      </c>
      <c r="AB3110">
        <v>3.8</v>
      </c>
    </row>
    <row r="3111" spans="10:28">
      <c r="J3111" s="340" t="str">
        <f t="shared" si="145"/>
        <v>2011FemaleNon-Maori233</v>
      </c>
      <c r="K3111">
        <v>2011</v>
      </c>
      <c r="L3111" t="s">
        <v>8</v>
      </c>
      <c r="M3111" t="s">
        <v>19</v>
      </c>
      <c r="N3111">
        <v>23</v>
      </c>
      <c r="O3111">
        <v>3</v>
      </c>
      <c r="P3111">
        <v>5</v>
      </c>
      <c r="Q3111">
        <v>4.5741302898762299</v>
      </c>
      <c r="R3111">
        <v>4</v>
      </c>
      <c r="T3111" s="340" t="str">
        <f t="shared" si="146"/>
        <v>2011AllSexAllEth23Other</v>
      </c>
      <c r="U3111">
        <v>2011</v>
      </c>
      <c r="V3111" t="s">
        <v>17</v>
      </c>
      <c r="W3111" t="s">
        <v>27</v>
      </c>
      <c r="X3111">
        <v>23</v>
      </c>
      <c r="Y3111" t="s">
        <v>45</v>
      </c>
      <c r="Z3111">
        <v>6</v>
      </c>
      <c r="AA3111">
        <v>163</v>
      </c>
      <c r="AB3111">
        <v>3.7</v>
      </c>
    </row>
    <row r="3112" spans="10:28">
      <c r="J3112" s="340" t="str">
        <f t="shared" si="145"/>
        <v>2011FemaleNon-Maori234</v>
      </c>
      <c r="K3112">
        <v>2011</v>
      </c>
      <c r="L3112" t="s">
        <v>8</v>
      </c>
      <c r="M3112" t="s">
        <v>19</v>
      </c>
      <c r="N3112">
        <v>23</v>
      </c>
      <c r="O3112">
        <v>4</v>
      </c>
      <c r="P3112">
        <v>8</v>
      </c>
      <c r="Q3112">
        <v>8.0145855835220807</v>
      </c>
      <c r="R3112">
        <v>5.6</v>
      </c>
      <c r="T3112" s="340" t="str">
        <f t="shared" si="146"/>
        <v>2011AllSexAllEth24Other</v>
      </c>
      <c r="U3112">
        <v>2011</v>
      </c>
      <c r="V3112" t="s">
        <v>17</v>
      </c>
      <c r="W3112" t="s">
        <v>27</v>
      </c>
      <c r="X3112">
        <v>24</v>
      </c>
      <c r="Y3112" t="s">
        <v>45</v>
      </c>
      <c r="Z3112">
        <v>5</v>
      </c>
      <c r="AA3112">
        <v>150</v>
      </c>
      <c r="AB3112">
        <v>3.3</v>
      </c>
    </row>
    <row r="3113" spans="10:28">
      <c r="J3113" s="340" t="str">
        <f t="shared" si="145"/>
        <v>2011FemaleNon-Maori235</v>
      </c>
      <c r="K3113">
        <v>2011</v>
      </c>
      <c r="L3113" t="s">
        <v>8</v>
      </c>
      <c r="M3113" t="s">
        <v>19</v>
      </c>
      <c r="N3113">
        <v>23</v>
      </c>
      <c r="O3113">
        <v>5</v>
      </c>
      <c r="P3113">
        <v>6</v>
      </c>
      <c r="Q3113">
        <v>7.50050032393351</v>
      </c>
      <c r="R3113">
        <v>6</v>
      </c>
      <c r="T3113" s="340" t="str">
        <f t="shared" si="146"/>
        <v>2011AllSexAllEth25Other</v>
      </c>
      <c r="U3113">
        <v>2011</v>
      </c>
      <c r="V3113" t="s">
        <v>17</v>
      </c>
      <c r="W3113" t="s">
        <v>27</v>
      </c>
      <c r="X3113">
        <v>25</v>
      </c>
      <c r="Y3113" t="s">
        <v>45</v>
      </c>
      <c r="Z3113">
        <v>2</v>
      </c>
      <c r="AA3113">
        <v>45</v>
      </c>
      <c r="AB3113">
        <v>4.4000000000000004</v>
      </c>
    </row>
    <row r="3114" spans="10:28">
      <c r="J3114" s="340" t="str">
        <f t="shared" si="145"/>
        <v>2011FemaleNon-Maori241</v>
      </c>
      <c r="K3114">
        <v>2011</v>
      </c>
      <c r="L3114" t="s">
        <v>8</v>
      </c>
      <c r="M3114" t="s">
        <v>19</v>
      </c>
      <c r="N3114">
        <v>24</v>
      </c>
      <c r="O3114">
        <v>1</v>
      </c>
      <c r="P3114">
        <v>9</v>
      </c>
      <c r="Q3114">
        <v>6.7409909330816902</v>
      </c>
      <c r="R3114">
        <v>4.4000000000000004</v>
      </c>
      <c r="T3114" s="340" t="str">
        <f t="shared" si="146"/>
        <v>2011AllSexAllEth22Poisoning by gases and vapours</v>
      </c>
      <c r="U3114">
        <v>2011</v>
      </c>
      <c r="V3114" t="s">
        <v>17</v>
      </c>
      <c r="W3114" t="s">
        <v>27</v>
      </c>
      <c r="X3114">
        <v>22</v>
      </c>
      <c r="Y3114" t="s">
        <v>46</v>
      </c>
      <c r="Z3114">
        <v>6</v>
      </c>
      <c r="AA3114">
        <v>131</v>
      </c>
      <c r="AB3114">
        <v>4.5999999999999996</v>
      </c>
    </row>
    <row r="3115" spans="10:28">
      <c r="J3115" s="340" t="str">
        <f t="shared" si="145"/>
        <v>2011FemaleNon-Maori242</v>
      </c>
      <c r="K3115">
        <v>2011</v>
      </c>
      <c r="L3115" t="s">
        <v>8</v>
      </c>
      <c r="M3115" t="s">
        <v>19</v>
      </c>
      <c r="N3115">
        <v>24</v>
      </c>
      <c r="O3115">
        <v>2</v>
      </c>
      <c r="P3115">
        <v>2</v>
      </c>
      <c r="Q3115">
        <v>1.7036010203010099</v>
      </c>
      <c r="R3115">
        <v>2.4</v>
      </c>
      <c r="T3115" s="340" t="str">
        <f t="shared" si="146"/>
        <v>2011AllSexAllEth23Poisoning by gases and vapours</v>
      </c>
      <c r="U3115">
        <v>2011</v>
      </c>
      <c r="V3115" t="s">
        <v>17</v>
      </c>
      <c r="W3115" t="s">
        <v>27</v>
      </c>
      <c r="X3115">
        <v>23</v>
      </c>
      <c r="Y3115" t="s">
        <v>46</v>
      </c>
      <c r="Z3115">
        <v>21</v>
      </c>
      <c r="AA3115">
        <v>163</v>
      </c>
      <c r="AB3115">
        <v>12.9</v>
      </c>
    </row>
    <row r="3116" spans="10:28">
      <c r="J3116" s="340" t="str">
        <f t="shared" si="145"/>
        <v>2011FemaleNon-Maori243</v>
      </c>
      <c r="K3116">
        <v>2011</v>
      </c>
      <c r="L3116" t="s">
        <v>8</v>
      </c>
      <c r="M3116" t="s">
        <v>19</v>
      </c>
      <c r="N3116">
        <v>24</v>
      </c>
      <c r="O3116">
        <v>3</v>
      </c>
      <c r="P3116">
        <v>5</v>
      </c>
      <c r="Q3116">
        <v>4.8403140785419403</v>
      </c>
      <c r="R3116">
        <v>4.2</v>
      </c>
      <c r="T3116" s="340" t="str">
        <f t="shared" si="146"/>
        <v>2011AllSexAllEth24Poisoning by gases and vapours</v>
      </c>
      <c r="U3116">
        <v>2011</v>
      </c>
      <c r="V3116" t="s">
        <v>17</v>
      </c>
      <c r="W3116" t="s">
        <v>27</v>
      </c>
      <c r="X3116">
        <v>24</v>
      </c>
      <c r="Y3116" t="s">
        <v>46</v>
      </c>
      <c r="Z3116">
        <v>20</v>
      </c>
      <c r="AA3116">
        <v>150</v>
      </c>
      <c r="AB3116">
        <v>13.3</v>
      </c>
    </row>
    <row r="3117" spans="10:28">
      <c r="J3117" s="340" t="str">
        <f t="shared" si="145"/>
        <v>2011FemaleNon-Maori244</v>
      </c>
      <c r="K3117">
        <v>2011</v>
      </c>
      <c r="L3117" t="s">
        <v>8</v>
      </c>
      <c r="M3117" t="s">
        <v>19</v>
      </c>
      <c r="N3117">
        <v>24</v>
      </c>
      <c r="O3117">
        <v>4</v>
      </c>
      <c r="P3117">
        <v>5</v>
      </c>
      <c r="Q3117">
        <v>5.6671482247615197</v>
      </c>
      <c r="R3117">
        <v>5</v>
      </c>
      <c r="T3117" s="340" t="str">
        <f t="shared" si="146"/>
        <v>2011AllSexAllEth25Poisoning by gases and vapours</v>
      </c>
      <c r="U3117">
        <v>2011</v>
      </c>
      <c r="V3117" t="s">
        <v>17</v>
      </c>
      <c r="W3117" t="s">
        <v>27</v>
      </c>
      <c r="X3117">
        <v>25</v>
      </c>
      <c r="Y3117" t="s">
        <v>46</v>
      </c>
      <c r="Z3117">
        <v>1</v>
      </c>
      <c r="AA3117">
        <v>45</v>
      </c>
      <c r="AB3117">
        <v>2.2000000000000002</v>
      </c>
    </row>
    <row r="3118" spans="10:28">
      <c r="J3118" s="340" t="str">
        <f t="shared" si="145"/>
        <v>2011FemaleNon-Maori245</v>
      </c>
      <c r="K3118">
        <v>2011</v>
      </c>
      <c r="L3118" t="s">
        <v>8</v>
      </c>
      <c r="M3118" t="s">
        <v>19</v>
      </c>
      <c r="N3118">
        <v>24</v>
      </c>
      <c r="O3118">
        <v>5</v>
      </c>
      <c r="P3118">
        <v>9</v>
      </c>
      <c r="Q3118">
        <v>13.3285012148361</v>
      </c>
      <c r="R3118">
        <v>8.6999999999999993</v>
      </c>
      <c r="T3118" s="340" t="str">
        <f t="shared" si="146"/>
        <v>2011AllSexAllEth22Poisoning by solids and liquids</v>
      </c>
      <c r="U3118">
        <v>2011</v>
      </c>
      <c r="V3118" t="s">
        <v>17</v>
      </c>
      <c r="W3118" t="s">
        <v>27</v>
      </c>
      <c r="X3118">
        <v>22</v>
      </c>
      <c r="Y3118" t="s">
        <v>47</v>
      </c>
      <c r="Z3118">
        <v>7</v>
      </c>
      <c r="AA3118">
        <v>131</v>
      </c>
      <c r="AB3118">
        <v>5.3</v>
      </c>
    </row>
    <row r="3119" spans="10:28">
      <c r="J3119" s="340" t="str">
        <f t="shared" si="145"/>
        <v>2011FemaleNon-Maori251</v>
      </c>
      <c r="K3119">
        <v>2011</v>
      </c>
      <c r="L3119" t="s">
        <v>8</v>
      </c>
      <c r="M3119" t="s">
        <v>19</v>
      </c>
      <c r="N3119">
        <v>25</v>
      </c>
      <c r="O3119">
        <v>1</v>
      </c>
      <c r="P3119">
        <v>4</v>
      </c>
      <c r="Q3119">
        <v>6.52606094952987</v>
      </c>
      <c r="R3119">
        <v>6.4</v>
      </c>
      <c r="T3119" s="340" t="str">
        <f t="shared" si="146"/>
        <v>2011AllSexAllEth23Poisoning by solids and liquids</v>
      </c>
      <c r="U3119">
        <v>2011</v>
      </c>
      <c r="V3119" t="s">
        <v>17</v>
      </c>
      <c r="W3119" t="s">
        <v>27</v>
      </c>
      <c r="X3119">
        <v>23</v>
      </c>
      <c r="Y3119" t="s">
        <v>47</v>
      </c>
      <c r="Z3119">
        <v>16</v>
      </c>
      <c r="AA3119">
        <v>163</v>
      </c>
      <c r="AB3119">
        <v>9.8000000000000007</v>
      </c>
    </row>
    <row r="3120" spans="10:28">
      <c r="J3120" s="340" t="str">
        <f t="shared" si="145"/>
        <v>2011FemaleNon-Maori252</v>
      </c>
      <c r="K3120">
        <v>2011</v>
      </c>
      <c r="L3120" t="s">
        <v>8</v>
      </c>
      <c r="M3120" t="s">
        <v>19</v>
      </c>
      <c r="N3120">
        <v>25</v>
      </c>
      <c r="O3120">
        <v>2</v>
      </c>
      <c r="P3120">
        <v>4</v>
      </c>
      <c r="Q3120">
        <v>6.3729778223411504</v>
      </c>
      <c r="R3120">
        <v>6.2</v>
      </c>
      <c r="T3120" s="340" t="str">
        <f t="shared" si="146"/>
        <v>2011AllSexAllEth24Poisoning by solids and liquids</v>
      </c>
      <c r="U3120">
        <v>2011</v>
      </c>
      <c r="V3120" t="s">
        <v>17</v>
      </c>
      <c r="W3120" t="s">
        <v>27</v>
      </c>
      <c r="X3120">
        <v>24</v>
      </c>
      <c r="Y3120" t="s">
        <v>47</v>
      </c>
      <c r="Z3120">
        <v>23</v>
      </c>
      <c r="AA3120">
        <v>150</v>
      </c>
      <c r="AB3120">
        <v>15.3</v>
      </c>
    </row>
    <row r="3121" spans="10:28">
      <c r="J3121" s="340" t="str">
        <f t="shared" si="145"/>
        <v>2011FemaleNon-Maori253</v>
      </c>
      <c r="K3121">
        <v>2011</v>
      </c>
      <c r="L3121" t="s">
        <v>8</v>
      </c>
      <c r="M3121" t="s">
        <v>19</v>
      </c>
      <c r="N3121">
        <v>25</v>
      </c>
      <c r="O3121">
        <v>3</v>
      </c>
      <c r="P3121">
        <v>1</v>
      </c>
      <c r="Q3121">
        <v>1.5958183996036901</v>
      </c>
      <c r="R3121">
        <v>3.1</v>
      </c>
      <c r="T3121" s="340" t="str">
        <f t="shared" si="146"/>
        <v>2011AllSexAllEth25Poisoning by solids and liquids</v>
      </c>
      <c r="U3121">
        <v>2011</v>
      </c>
      <c r="V3121" t="s">
        <v>17</v>
      </c>
      <c r="W3121" t="s">
        <v>27</v>
      </c>
      <c r="X3121">
        <v>25</v>
      </c>
      <c r="Y3121" t="s">
        <v>47</v>
      </c>
      <c r="Z3121">
        <v>11</v>
      </c>
      <c r="AA3121">
        <v>45</v>
      </c>
      <c r="AB3121">
        <v>24.4</v>
      </c>
    </row>
    <row r="3122" spans="10:28">
      <c r="J3122" s="340" t="str">
        <f t="shared" si="145"/>
        <v>2011FemaleNon-Maori254</v>
      </c>
      <c r="K3122">
        <v>2011</v>
      </c>
      <c r="L3122" t="s">
        <v>8</v>
      </c>
      <c r="M3122" t="s">
        <v>19</v>
      </c>
      <c r="N3122">
        <v>25</v>
      </c>
      <c r="O3122">
        <v>4</v>
      </c>
      <c r="P3122">
        <v>3</v>
      </c>
      <c r="Q3122">
        <v>4.6776105570095901</v>
      </c>
      <c r="R3122">
        <v>5.3</v>
      </c>
      <c r="T3122" s="340" t="str">
        <f t="shared" si="146"/>
        <v>2011AllSexAllEth23Sharp object</v>
      </c>
      <c r="U3122">
        <v>2011</v>
      </c>
      <c r="V3122" t="s">
        <v>17</v>
      </c>
      <c r="W3122" t="s">
        <v>27</v>
      </c>
      <c r="X3122">
        <v>23</v>
      </c>
      <c r="Y3122" t="s">
        <v>48</v>
      </c>
      <c r="Z3122">
        <v>2</v>
      </c>
      <c r="AA3122">
        <v>163</v>
      </c>
      <c r="AB3122">
        <v>1.2</v>
      </c>
    </row>
    <row r="3123" spans="10:28">
      <c r="J3123" s="340" t="str">
        <f t="shared" si="145"/>
        <v>2011FemaleNon-Maori255</v>
      </c>
      <c r="K3123">
        <v>2011</v>
      </c>
      <c r="L3123" t="s">
        <v>8</v>
      </c>
      <c r="M3123" t="s">
        <v>19</v>
      </c>
      <c r="N3123">
        <v>25</v>
      </c>
      <c r="O3123">
        <v>5</v>
      </c>
      <c r="P3123">
        <v>2</v>
      </c>
      <c r="Q3123">
        <v>4.3128425430153197</v>
      </c>
      <c r="R3123">
        <v>6</v>
      </c>
      <c r="T3123" s="340" t="str">
        <f t="shared" si="146"/>
        <v>2011AllSexAllEth24Sharp object</v>
      </c>
      <c r="U3123">
        <v>2011</v>
      </c>
      <c r="V3123" t="s">
        <v>17</v>
      </c>
      <c r="W3123" t="s">
        <v>27</v>
      </c>
      <c r="X3123">
        <v>24</v>
      </c>
      <c r="Y3123" t="s">
        <v>48</v>
      </c>
      <c r="Z3123">
        <v>2</v>
      </c>
      <c r="AA3123">
        <v>150</v>
      </c>
      <c r="AB3123">
        <v>1.3</v>
      </c>
    </row>
    <row r="3124" spans="10:28">
      <c r="J3124" s="340" t="str">
        <f t="shared" si="145"/>
        <v>2011MaleAllEth211</v>
      </c>
      <c r="K3124">
        <v>2011</v>
      </c>
      <c r="L3124" t="s">
        <v>20</v>
      </c>
      <c r="M3124" t="s">
        <v>27</v>
      </c>
      <c r="N3124">
        <v>21</v>
      </c>
      <c r="O3124">
        <v>1</v>
      </c>
      <c r="P3124">
        <v>0</v>
      </c>
      <c r="Q3124">
        <v>0</v>
      </c>
      <c r="T3124" s="340" t="str">
        <f t="shared" si="146"/>
        <v>2011AllSexAllEth25Sharp object</v>
      </c>
      <c r="U3124">
        <v>2011</v>
      </c>
      <c r="V3124" t="s">
        <v>17</v>
      </c>
      <c r="W3124" t="s">
        <v>27</v>
      </c>
      <c r="X3124">
        <v>25</v>
      </c>
      <c r="Y3124" t="s">
        <v>48</v>
      </c>
      <c r="Z3124">
        <v>3</v>
      </c>
      <c r="AA3124">
        <v>45</v>
      </c>
      <c r="AB3124">
        <v>6.7</v>
      </c>
    </row>
    <row r="3125" spans="10:28">
      <c r="J3125" s="340" t="str">
        <f t="shared" si="145"/>
        <v>2011MaleAllEth212</v>
      </c>
      <c r="K3125">
        <v>2011</v>
      </c>
      <c r="L3125" t="s">
        <v>20</v>
      </c>
      <c r="M3125" t="s">
        <v>27</v>
      </c>
      <c r="N3125">
        <v>21</v>
      </c>
      <c r="O3125">
        <v>2</v>
      </c>
      <c r="P3125">
        <v>1</v>
      </c>
      <c r="Q3125">
        <v>1.1300933137273601</v>
      </c>
      <c r="R3125">
        <v>2.2000000000000002</v>
      </c>
      <c r="T3125" s="340" t="str">
        <f t="shared" si="146"/>
        <v>2011AllSexAllEth22Submersion (drowning)</v>
      </c>
      <c r="U3125">
        <v>2011</v>
      </c>
      <c r="V3125" t="s">
        <v>17</v>
      </c>
      <c r="W3125" t="s">
        <v>27</v>
      </c>
      <c r="X3125">
        <v>22</v>
      </c>
      <c r="Y3125" t="s">
        <v>49</v>
      </c>
      <c r="Z3125">
        <v>1</v>
      </c>
      <c r="AA3125">
        <v>131</v>
      </c>
      <c r="AB3125">
        <v>0.8</v>
      </c>
    </row>
    <row r="3126" spans="10:28">
      <c r="J3126" s="340" t="str">
        <f t="shared" si="145"/>
        <v>2011MaleAllEth213</v>
      </c>
      <c r="K3126">
        <v>2011</v>
      </c>
      <c r="L3126" t="s">
        <v>20</v>
      </c>
      <c r="M3126" t="s">
        <v>27</v>
      </c>
      <c r="N3126">
        <v>21</v>
      </c>
      <c r="O3126">
        <v>3</v>
      </c>
      <c r="P3126">
        <v>1</v>
      </c>
      <c r="Q3126">
        <v>1.1556133274560001</v>
      </c>
      <c r="R3126">
        <v>2.2999999999999998</v>
      </c>
      <c r="T3126" s="340" t="str">
        <f t="shared" si="146"/>
        <v>2011AllSexAllEth23Submersion (drowning)</v>
      </c>
      <c r="U3126">
        <v>2011</v>
      </c>
      <c r="V3126" t="s">
        <v>17</v>
      </c>
      <c r="W3126" t="s">
        <v>27</v>
      </c>
      <c r="X3126">
        <v>23</v>
      </c>
      <c r="Y3126" t="s">
        <v>49</v>
      </c>
      <c r="Z3126">
        <v>4</v>
      </c>
      <c r="AA3126">
        <v>163</v>
      </c>
      <c r="AB3126">
        <v>2.5</v>
      </c>
    </row>
    <row r="3127" spans="10:28">
      <c r="J3127" s="340" t="str">
        <f t="shared" si="145"/>
        <v>2011MaleAllEth214</v>
      </c>
      <c r="K3127">
        <v>2011</v>
      </c>
      <c r="L3127" t="s">
        <v>20</v>
      </c>
      <c r="M3127" t="s">
        <v>27</v>
      </c>
      <c r="N3127">
        <v>21</v>
      </c>
      <c r="O3127">
        <v>4</v>
      </c>
      <c r="P3127">
        <v>0</v>
      </c>
      <c r="Q3127">
        <v>0</v>
      </c>
      <c r="T3127" s="340" t="str">
        <f t="shared" si="146"/>
        <v>2011AllSexAllEth24Submersion (drowning)</v>
      </c>
      <c r="U3127">
        <v>2011</v>
      </c>
      <c r="V3127" t="s">
        <v>17</v>
      </c>
      <c r="W3127" t="s">
        <v>27</v>
      </c>
      <c r="X3127">
        <v>24</v>
      </c>
      <c r="Y3127" t="s">
        <v>49</v>
      </c>
      <c r="Z3127">
        <v>5</v>
      </c>
      <c r="AA3127">
        <v>150</v>
      </c>
      <c r="AB3127">
        <v>3.3</v>
      </c>
    </row>
    <row r="3128" spans="10:28">
      <c r="J3128" s="340" t="str">
        <f t="shared" si="145"/>
        <v>2011MaleAllEth215</v>
      </c>
      <c r="K3128">
        <v>2011</v>
      </c>
      <c r="L3128" t="s">
        <v>20</v>
      </c>
      <c r="M3128" t="s">
        <v>27</v>
      </c>
      <c r="N3128">
        <v>21</v>
      </c>
      <c r="O3128">
        <v>5</v>
      </c>
      <c r="P3128">
        <v>1</v>
      </c>
      <c r="Q3128">
        <v>0.90537478076743505</v>
      </c>
      <c r="R3128">
        <v>1.8</v>
      </c>
      <c r="T3128" s="340" t="str">
        <f t="shared" si="146"/>
        <v>2011AllSexAllEth25Submersion (drowning)</v>
      </c>
      <c r="U3128">
        <v>2011</v>
      </c>
      <c r="V3128" t="s">
        <v>17</v>
      </c>
      <c r="W3128" t="s">
        <v>27</v>
      </c>
      <c r="X3128">
        <v>25</v>
      </c>
      <c r="Y3128" t="s">
        <v>49</v>
      </c>
      <c r="Z3128">
        <v>5</v>
      </c>
      <c r="AA3128">
        <v>45</v>
      </c>
      <c r="AB3128">
        <v>11.1</v>
      </c>
    </row>
    <row r="3129" spans="10:28">
      <c r="J3129" s="340" t="str">
        <f t="shared" si="145"/>
        <v>2011MaleAllEth221</v>
      </c>
      <c r="K3129">
        <v>2011</v>
      </c>
      <c r="L3129" t="s">
        <v>20</v>
      </c>
      <c r="M3129" t="s">
        <v>27</v>
      </c>
      <c r="N3129">
        <v>22</v>
      </c>
      <c r="O3129">
        <v>1</v>
      </c>
      <c r="P3129">
        <v>8</v>
      </c>
      <c r="Q3129">
        <v>14.101401281706</v>
      </c>
      <c r="R3129">
        <v>9.8000000000000007</v>
      </c>
      <c r="T3129" s="340" t="str">
        <f t="shared" si="146"/>
        <v>2011AllSexMaori22Firearms and explosives</v>
      </c>
      <c r="U3129">
        <v>2011</v>
      </c>
      <c r="V3129" t="s">
        <v>17</v>
      </c>
      <c r="W3129" t="s">
        <v>18</v>
      </c>
      <c r="X3129">
        <v>22</v>
      </c>
      <c r="Y3129" t="s">
        <v>42</v>
      </c>
      <c r="Z3129">
        <v>1</v>
      </c>
      <c r="AA3129">
        <v>49</v>
      </c>
      <c r="AB3129">
        <v>2</v>
      </c>
    </row>
    <row r="3130" spans="10:28">
      <c r="J3130" s="340" t="str">
        <f t="shared" si="145"/>
        <v>2011MaleAllEth222</v>
      </c>
      <c r="K3130">
        <v>2011</v>
      </c>
      <c r="L3130" t="s">
        <v>20</v>
      </c>
      <c r="M3130" t="s">
        <v>27</v>
      </c>
      <c r="N3130">
        <v>22</v>
      </c>
      <c r="O3130">
        <v>2</v>
      </c>
      <c r="P3130">
        <v>14</v>
      </c>
      <c r="Q3130">
        <v>24.437176258826899</v>
      </c>
      <c r="R3130">
        <v>12.8</v>
      </c>
      <c r="T3130" s="340" t="str">
        <f t="shared" si="146"/>
        <v>2011AllSexMaori23Firearms and explosives</v>
      </c>
      <c r="U3130">
        <v>2011</v>
      </c>
      <c r="V3130" t="s">
        <v>17</v>
      </c>
      <c r="W3130" t="s">
        <v>18</v>
      </c>
      <c r="X3130">
        <v>23</v>
      </c>
      <c r="Y3130" t="s">
        <v>42</v>
      </c>
      <c r="Z3130">
        <v>1</v>
      </c>
      <c r="AA3130">
        <v>44</v>
      </c>
      <c r="AB3130">
        <v>2.2999999999999998</v>
      </c>
    </row>
    <row r="3131" spans="10:28">
      <c r="J3131" s="340" t="str">
        <f t="shared" si="145"/>
        <v>2011MaleAllEth223</v>
      </c>
      <c r="K3131">
        <v>2011</v>
      </c>
      <c r="L3131" t="s">
        <v>20</v>
      </c>
      <c r="M3131" t="s">
        <v>27</v>
      </c>
      <c r="N3131">
        <v>22</v>
      </c>
      <c r="O3131">
        <v>3</v>
      </c>
      <c r="P3131">
        <v>22</v>
      </c>
      <c r="Q3131">
        <v>36.488655435418799</v>
      </c>
      <c r="R3131">
        <v>15.2</v>
      </c>
      <c r="T3131" s="340" t="str">
        <f t="shared" si="146"/>
        <v>2011AllSexMaori21Hanging, strangulation and suffocation</v>
      </c>
      <c r="U3131">
        <v>2011</v>
      </c>
      <c r="V3131" t="s">
        <v>17</v>
      </c>
      <c r="W3131" t="s">
        <v>18</v>
      </c>
      <c r="X3131">
        <v>21</v>
      </c>
      <c r="Y3131" t="s">
        <v>43</v>
      </c>
      <c r="Z3131">
        <v>4</v>
      </c>
      <c r="AA3131">
        <v>4</v>
      </c>
      <c r="AB3131">
        <v>100</v>
      </c>
    </row>
    <row r="3132" spans="10:28">
      <c r="J3132" s="340" t="str">
        <f t="shared" si="145"/>
        <v>2011MaleAllEth224</v>
      </c>
      <c r="K3132">
        <v>2011</v>
      </c>
      <c r="L3132" t="s">
        <v>20</v>
      </c>
      <c r="M3132" t="s">
        <v>27</v>
      </c>
      <c r="N3132">
        <v>22</v>
      </c>
      <c r="O3132">
        <v>4</v>
      </c>
      <c r="P3132">
        <v>18</v>
      </c>
      <c r="Q3132">
        <v>27.117952834480501</v>
      </c>
      <c r="R3132">
        <v>12.5</v>
      </c>
      <c r="T3132" s="340" t="str">
        <f t="shared" si="146"/>
        <v>2011AllSexMaori22Hanging, strangulation and suffocation</v>
      </c>
      <c r="U3132">
        <v>2011</v>
      </c>
      <c r="V3132" t="s">
        <v>17</v>
      </c>
      <c r="W3132" t="s">
        <v>18</v>
      </c>
      <c r="X3132">
        <v>22</v>
      </c>
      <c r="Y3132" t="s">
        <v>43</v>
      </c>
      <c r="Z3132">
        <v>46</v>
      </c>
      <c r="AA3132">
        <v>49</v>
      </c>
      <c r="AB3132">
        <v>93.9</v>
      </c>
    </row>
    <row r="3133" spans="10:28">
      <c r="J3133" s="340" t="str">
        <f t="shared" si="145"/>
        <v>2011MaleAllEth225</v>
      </c>
      <c r="K3133">
        <v>2011</v>
      </c>
      <c r="L3133" t="s">
        <v>20</v>
      </c>
      <c r="M3133" t="s">
        <v>27</v>
      </c>
      <c r="N3133">
        <v>22</v>
      </c>
      <c r="O3133">
        <v>5</v>
      </c>
      <c r="P3133">
        <v>31</v>
      </c>
      <c r="Q3133">
        <v>41.824534692461803</v>
      </c>
      <c r="R3133">
        <v>14.7</v>
      </c>
      <c r="T3133" s="340" t="str">
        <f t="shared" si="146"/>
        <v>2011AllSexMaori23Hanging, strangulation and suffocation</v>
      </c>
      <c r="U3133">
        <v>2011</v>
      </c>
      <c r="V3133" t="s">
        <v>17</v>
      </c>
      <c r="W3133" t="s">
        <v>18</v>
      </c>
      <c r="X3133">
        <v>23</v>
      </c>
      <c r="Y3133" t="s">
        <v>43</v>
      </c>
      <c r="Z3133">
        <v>37</v>
      </c>
      <c r="AA3133">
        <v>44</v>
      </c>
      <c r="AB3133">
        <v>84.1</v>
      </c>
    </row>
    <row r="3134" spans="10:28">
      <c r="J3134" s="340" t="str">
        <f t="shared" si="145"/>
        <v>2011MaleAllEth231</v>
      </c>
      <c r="K3134">
        <v>2011</v>
      </c>
      <c r="L3134" t="s">
        <v>20</v>
      </c>
      <c r="M3134" t="s">
        <v>27</v>
      </c>
      <c r="N3134">
        <v>23</v>
      </c>
      <c r="O3134">
        <v>1</v>
      </c>
      <c r="P3134">
        <v>23</v>
      </c>
      <c r="Q3134">
        <v>22.178328067609801</v>
      </c>
      <c r="R3134">
        <v>9.1</v>
      </c>
      <c r="T3134" s="340" t="str">
        <f t="shared" si="146"/>
        <v>2011AllSexMaori24Hanging, strangulation and suffocation</v>
      </c>
      <c r="U3134">
        <v>2011</v>
      </c>
      <c r="V3134" t="s">
        <v>17</v>
      </c>
      <c r="W3134" t="s">
        <v>18</v>
      </c>
      <c r="X3134">
        <v>24</v>
      </c>
      <c r="Y3134" t="s">
        <v>43</v>
      </c>
      <c r="Z3134">
        <v>9</v>
      </c>
      <c r="AA3134">
        <v>16</v>
      </c>
      <c r="AB3134">
        <v>56.2</v>
      </c>
    </row>
    <row r="3135" spans="10:28">
      <c r="J3135" s="340" t="str">
        <f t="shared" si="145"/>
        <v>2011MaleAllEth232</v>
      </c>
      <c r="K3135">
        <v>2011</v>
      </c>
      <c r="L3135" t="s">
        <v>20</v>
      </c>
      <c r="M3135" t="s">
        <v>27</v>
      </c>
      <c r="N3135">
        <v>23</v>
      </c>
      <c r="O3135">
        <v>2</v>
      </c>
      <c r="P3135">
        <v>22</v>
      </c>
      <c r="Q3135">
        <v>19.464228766200002</v>
      </c>
      <c r="R3135">
        <v>8.1</v>
      </c>
      <c r="T3135" s="340" t="str">
        <f t="shared" si="146"/>
        <v>2011AllSexMaori23Jumping from a high place</v>
      </c>
      <c r="U3135">
        <v>2011</v>
      </c>
      <c r="V3135" t="s">
        <v>17</v>
      </c>
      <c r="W3135" t="s">
        <v>18</v>
      </c>
      <c r="X3135">
        <v>23</v>
      </c>
      <c r="Y3135" t="s">
        <v>44</v>
      </c>
      <c r="Z3135">
        <v>1</v>
      </c>
      <c r="AA3135">
        <v>44</v>
      </c>
      <c r="AB3135">
        <v>2.2999999999999998</v>
      </c>
    </row>
    <row r="3136" spans="10:28">
      <c r="J3136" s="340" t="str">
        <f t="shared" si="145"/>
        <v>2011MaleAllEth233</v>
      </c>
      <c r="K3136">
        <v>2011</v>
      </c>
      <c r="L3136" t="s">
        <v>20</v>
      </c>
      <c r="M3136" t="s">
        <v>27</v>
      </c>
      <c r="N3136">
        <v>23</v>
      </c>
      <c r="O3136">
        <v>3</v>
      </c>
      <c r="P3136">
        <v>21</v>
      </c>
      <c r="Q3136">
        <v>18.025301448546401</v>
      </c>
      <c r="R3136">
        <v>7.7</v>
      </c>
      <c r="T3136" s="340" t="str">
        <f t="shared" si="146"/>
        <v>2011AllSexMaori24Jumping from a high place</v>
      </c>
      <c r="U3136">
        <v>2011</v>
      </c>
      <c r="V3136" t="s">
        <v>17</v>
      </c>
      <c r="W3136" t="s">
        <v>18</v>
      </c>
      <c r="X3136">
        <v>24</v>
      </c>
      <c r="Y3136" t="s">
        <v>44</v>
      </c>
      <c r="Z3136">
        <v>1</v>
      </c>
      <c r="AA3136">
        <v>16</v>
      </c>
      <c r="AB3136">
        <v>6.2</v>
      </c>
    </row>
    <row r="3137" spans="10:28">
      <c r="J3137" s="340" t="str">
        <f t="shared" si="145"/>
        <v>2011MaleAllEth234</v>
      </c>
      <c r="K3137">
        <v>2011</v>
      </c>
      <c r="L3137" t="s">
        <v>20</v>
      </c>
      <c r="M3137" t="s">
        <v>27</v>
      </c>
      <c r="N3137">
        <v>23</v>
      </c>
      <c r="O3137">
        <v>4</v>
      </c>
      <c r="P3137">
        <v>22</v>
      </c>
      <c r="Q3137">
        <v>19.230063888798199</v>
      </c>
      <c r="R3137">
        <v>8</v>
      </c>
      <c r="T3137" s="340" t="str">
        <f t="shared" si="146"/>
        <v>2011AllSexMaori22Other</v>
      </c>
      <c r="U3137">
        <v>2011</v>
      </c>
      <c r="V3137" t="s">
        <v>17</v>
      </c>
      <c r="W3137" t="s">
        <v>18</v>
      </c>
      <c r="X3137">
        <v>22</v>
      </c>
      <c r="Y3137" t="s">
        <v>45</v>
      </c>
      <c r="Z3137">
        <v>2</v>
      </c>
      <c r="AA3137">
        <v>49</v>
      </c>
      <c r="AB3137">
        <v>4.0999999999999996</v>
      </c>
    </row>
    <row r="3138" spans="10:28">
      <c r="J3138" s="340" t="str">
        <f t="shared" si="145"/>
        <v>2011MaleAllEth235</v>
      </c>
      <c r="K3138">
        <v>2011</v>
      </c>
      <c r="L3138" t="s">
        <v>20</v>
      </c>
      <c r="M3138" t="s">
        <v>27</v>
      </c>
      <c r="N3138">
        <v>23</v>
      </c>
      <c r="O3138">
        <v>5</v>
      </c>
      <c r="P3138">
        <v>40</v>
      </c>
      <c r="Q3138">
        <v>38.120661210482297</v>
      </c>
      <c r="R3138">
        <v>11.8</v>
      </c>
      <c r="T3138" s="340" t="str">
        <f t="shared" si="146"/>
        <v>2011AllSexMaori23Other</v>
      </c>
      <c r="U3138">
        <v>2011</v>
      </c>
      <c r="V3138" t="s">
        <v>17</v>
      </c>
      <c r="W3138" t="s">
        <v>18</v>
      </c>
      <c r="X3138">
        <v>23</v>
      </c>
      <c r="Y3138" t="s">
        <v>45</v>
      </c>
      <c r="Z3138">
        <v>1</v>
      </c>
      <c r="AA3138">
        <v>44</v>
      </c>
      <c r="AB3138">
        <v>2.2999999999999998</v>
      </c>
    </row>
    <row r="3139" spans="10:28">
      <c r="J3139" s="340" t="str">
        <f t="shared" si="145"/>
        <v>2011MaleAllEth241</v>
      </c>
      <c r="K3139">
        <v>2011</v>
      </c>
      <c r="L3139" t="s">
        <v>20</v>
      </c>
      <c r="M3139" t="s">
        <v>27</v>
      </c>
      <c r="N3139">
        <v>24</v>
      </c>
      <c r="O3139">
        <v>1</v>
      </c>
      <c r="P3139">
        <v>23</v>
      </c>
      <c r="Q3139">
        <v>17.212173005586699</v>
      </c>
      <c r="R3139">
        <v>7</v>
      </c>
      <c r="T3139" s="340" t="str">
        <f t="shared" si="146"/>
        <v>2011AllSexMaori23Poisoning by gases and vapours</v>
      </c>
      <c r="U3139">
        <v>2011</v>
      </c>
      <c r="V3139" t="s">
        <v>17</v>
      </c>
      <c r="W3139" t="s">
        <v>18</v>
      </c>
      <c r="X3139">
        <v>23</v>
      </c>
      <c r="Y3139" t="s">
        <v>46</v>
      </c>
      <c r="Z3139">
        <v>1</v>
      </c>
      <c r="AA3139">
        <v>44</v>
      </c>
      <c r="AB3139">
        <v>2.2999999999999998</v>
      </c>
    </row>
    <row r="3140" spans="10:28">
      <c r="J3140" s="340" t="str">
        <f t="shared" ref="J3140:J3203" si="147">K3140&amp;L3140&amp;M3140&amp;N3140&amp;O3140</f>
        <v>2011MaleAllEth242</v>
      </c>
      <c r="K3140">
        <v>2011</v>
      </c>
      <c r="L3140" t="s">
        <v>20</v>
      </c>
      <c r="M3140" t="s">
        <v>27</v>
      </c>
      <c r="N3140">
        <v>24</v>
      </c>
      <c r="O3140">
        <v>2</v>
      </c>
      <c r="P3140">
        <v>21</v>
      </c>
      <c r="Q3140">
        <v>17.716664053723601</v>
      </c>
      <c r="R3140">
        <v>7.6</v>
      </c>
      <c r="T3140" s="340" t="str">
        <f t="shared" si="146"/>
        <v>2011AllSexMaori24Poisoning by gases and vapours</v>
      </c>
      <c r="U3140">
        <v>2011</v>
      </c>
      <c r="V3140" t="s">
        <v>17</v>
      </c>
      <c r="W3140" t="s">
        <v>18</v>
      </c>
      <c r="X3140">
        <v>24</v>
      </c>
      <c r="Y3140" t="s">
        <v>46</v>
      </c>
      <c r="Z3140">
        <v>4</v>
      </c>
      <c r="AA3140">
        <v>16</v>
      </c>
      <c r="AB3140">
        <v>25</v>
      </c>
    </row>
    <row r="3141" spans="10:28">
      <c r="J3141" s="340" t="str">
        <f t="shared" si="147"/>
        <v>2011MaleAllEth243</v>
      </c>
      <c r="K3141">
        <v>2011</v>
      </c>
      <c r="L3141" t="s">
        <v>20</v>
      </c>
      <c r="M3141" t="s">
        <v>27</v>
      </c>
      <c r="N3141">
        <v>24</v>
      </c>
      <c r="O3141">
        <v>3</v>
      </c>
      <c r="P3141">
        <v>31</v>
      </c>
      <c r="Q3141">
        <v>29.041037140971699</v>
      </c>
      <c r="R3141">
        <v>10.199999999999999</v>
      </c>
      <c r="T3141" s="340" t="str">
        <f t="shared" ref="T3141:T3204" si="148">U3141&amp;V3141&amp;W3141&amp;X3141&amp;Y3141</f>
        <v>2011AllSexMaori23Poisoning by solids and liquids</v>
      </c>
      <c r="U3141">
        <v>2011</v>
      </c>
      <c r="V3141" t="s">
        <v>17</v>
      </c>
      <c r="W3141" t="s">
        <v>18</v>
      </c>
      <c r="X3141">
        <v>23</v>
      </c>
      <c r="Y3141" t="s">
        <v>47</v>
      </c>
      <c r="Z3141">
        <v>1</v>
      </c>
      <c r="AA3141">
        <v>44</v>
      </c>
      <c r="AB3141">
        <v>2.2999999999999998</v>
      </c>
    </row>
    <row r="3142" spans="10:28">
      <c r="J3142" s="340" t="str">
        <f t="shared" si="147"/>
        <v>2011MaleAllEth244</v>
      </c>
      <c r="K3142">
        <v>2011</v>
      </c>
      <c r="L3142" t="s">
        <v>20</v>
      </c>
      <c r="M3142" t="s">
        <v>27</v>
      </c>
      <c r="N3142">
        <v>24</v>
      </c>
      <c r="O3142">
        <v>4</v>
      </c>
      <c r="P3142">
        <v>21</v>
      </c>
      <c r="Q3142">
        <v>21.663909271025599</v>
      </c>
      <c r="R3142">
        <v>9.3000000000000007</v>
      </c>
      <c r="T3142" s="340" t="str">
        <f t="shared" si="148"/>
        <v>2011AllSexMaori24Poisoning by solids and liquids</v>
      </c>
      <c r="U3142">
        <v>2011</v>
      </c>
      <c r="V3142" t="s">
        <v>17</v>
      </c>
      <c r="W3142" t="s">
        <v>18</v>
      </c>
      <c r="X3142">
        <v>24</v>
      </c>
      <c r="Y3142" t="s">
        <v>47</v>
      </c>
      <c r="Z3142">
        <v>2</v>
      </c>
      <c r="AA3142">
        <v>16</v>
      </c>
      <c r="AB3142">
        <v>12.5</v>
      </c>
    </row>
    <row r="3143" spans="10:28">
      <c r="J3143" s="340" t="str">
        <f t="shared" si="147"/>
        <v>2011MaleAllEth245</v>
      </c>
      <c r="K3143">
        <v>2011</v>
      </c>
      <c r="L3143" t="s">
        <v>20</v>
      </c>
      <c r="M3143" t="s">
        <v>27</v>
      </c>
      <c r="N3143">
        <v>24</v>
      </c>
      <c r="O3143">
        <v>5</v>
      </c>
      <c r="P3143">
        <v>15</v>
      </c>
      <c r="Q3143">
        <v>16.948899558620202</v>
      </c>
      <c r="R3143">
        <v>8.6</v>
      </c>
      <c r="T3143" s="340" t="str">
        <f t="shared" si="148"/>
        <v>2011AllSexMaori23Sharp object</v>
      </c>
      <c r="U3143">
        <v>2011</v>
      </c>
      <c r="V3143" t="s">
        <v>17</v>
      </c>
      <c r="W3143" t="s">
        <v>18</v>
      </c>
      <c r="X3143">
        <v>23</v>
      </c>
      <c r="Y3143" t="s">
        <v>48</v>
      </c>
      <c r="Z3143">
        <v>1</v>
      </c>
      <c r="AA3143">
        <v>44</v>
      </c>
      <c r="AB3143">
        <v>2.2999999999999998</v>
      </c>
    </row>
    <row r="3144" spans="10:28">
      <c r="J3144" s="340" t="str">
        <f t="shared" si="147"/>
        <v>2011MaleAllEth251</v>
      </c>
      <c r="K3144">
        <v>2011</v>
      </c>
      <c r="L3144" t="s">
        <v>20</v>
      </c>
      <c r="M3144" t="s">
        <v>27</v>
      </c>
      <c r="N3144">
        <v>25</v>
      </c>
      <c r="O3144">
        <v>1</v>
      </c>
      <c r="P3144">
        <v>3</v>
      </c>
      <c r="Q3144">
        <v>5.2313738578897997</v>
      </c>
      <c r="R3144">
        <v>5.9</v>
      </c>
      <c r="T3144" s="340" t="str">
        <f t="shared" si="148"/>
        <v>2011AllSexMaori23Submersion (drowning)</v>
      </c>
      <c r="U3144">
        <v>2011</v>
      </c>
      <c r="V3144" t="s">
        <v>17</v>
      </c>
      <c r="W3144" t="s">
        <v>18</v>
      </c>
      <c r="X3144">
        <v>23</v>
      </c>
      <c r="Y3144" t="s">
        <v>49</v>
      </c>
      <c r="Z3144">
        <v>1</v>
      </c>
      <c r="AA3144">
        <v>44</v>
      </c>
      <c r="AB3144">
        <v>2.2999999999999998</v>
      </c>
    </row>
    <row r="3145" spans="10:28">
      <c r="J3145" s="340" t="str">
        <f t="shared" si="147"/>
        <v>2011MaleAllEth252</v>
      </c>
      <c r="K3145">
        <v>2011</v>
      </c>
      <c r="L3145" t="s">
        <v>20</v>
      </c>
      <c r="M3145" t="s">
        <v>27</v>
      </c>
      <c r="N3145">
        <v>25</v>
      </c>
      <c r="O3145">
        <v>2</v>
      </c>
      <c r="P3145">
        <v>4</v>
      </c>
      <c r="Q3145">
        <v>7.0679760625467596</v>
      </c>
      <c r="R3145">
        <v>6.9</v>
      </c>
      <c r="T3145" s="340" t="str">
        <f t="shared" si="148"/>
        <v>2011AllSexNon-Maori22Firearms and explosives</v>
      </c>
      <c r="U3145">
        <v>2011</v>
      </c>
      <c r="V3145" t="s">
        <v>17</v>
      </c>
      <c r="W3145" t="s">
        <v>19</v>
      </c>
      <c r="X3145">
        <v>22</v>
      </c>
      <c r="Y3145" t="s">
        <v>42</v>
      </c>
      <c r="Z3145">
        <v>3</v>
      </c>
      <c r="AA3145">
        <v>82</v>
      </c>
      <c r="AB3145">
        <v>3.7</v>
      </c>
    </row>
    <row r="3146" spans="10:28">
      <c r="J3146" s="340" t="str">
        <f t="shared" si="147"/>
        <v>2011MaleAllEth253</v>
      </c>
      <c r="K3146">
        <v>2011</v>
      </c>
      <c r="L3146" t="s">
        <v>20</v>
      </c>
      <c r="M3146" t="s">
        <v>27</v>
      </c>
      <c r="N3146">
        <v>25</v>
      </c>
      <c r="O3146">
        <v>3</v>
      </c>
      <c r="P3146">
        <v>12</v>
      </c>
      <c r="Q3146">
        <v>22.004198047498001</v>
      </c>
      <c r="R3146">
        <v>12.4</v>
      </c>
      <c r="T3146" s="340" t="str">
        <f t="shared" si="148"/>
        <v>2011AllSexNon-Maori23Firearms and explosives</v>
      </c>
      <c r="U3146">
        <v>2011</v>
      </c>
      <c r="V3146" t="s">
        <v>17</v>
      </c>
      <c r="W3146" t="s">
        <v>19</v>
      </c>
      <c r="X3146">
        <v>23</v>
      </c>
      <c r="Y3146" t="s">
        <v>42</v>
      </c>
      <c r="Z3146">
        <v>3</v>
      </c>
      <c r="AA3146">
        <v>119</v>
      </c>
      <c r="AB3146">
        <v>2.5</v>
      </c>
    </row>
    <row r="3147" spans="10:28">
      <c r="J3147" s="340" t="str">
        <f t="shared" si="147"/>
        <v>2011MaleAllEth254</v>
      </c>
      <c r="K3147">
        <v>2011</v>
      </c>
      <c r="L3147" t="s">
        <v>20</v>
      </c>
      <c r="M3147" t="s">
        <v>27</v>
      </c>
      <c r="N3147">
        <v>25</v>
      </c>
      <c r="O3147">
        <v>4</v>
      </c>
      <c r="P3147">
        <v>5</v>
      </c>
      <c r="Q3147">
        <v>9.4440097575666897</v>
      </c>
      <c r="R3147">
        <v>8.3000000000000007</v>
      </c>
      <c r="T3147" s="340" t="str">
        <f t="shared" si="148"/>
        <v>2011AllSexNon-Maori24Firearms and explosives</v>
      </c>
      <c r="U3147">
        <v>2011</v>
      </c>
      <c r="V3147" t="s">
        <v>17</v>
      </c>
      <c r="W3147" t="s">
        <v>19</v>
      </c>
      <c r="X3147">
        <v>24</v>
      </c>
      <c r="Y3147" t="s">
        <v>42</v>
      </c>
      <c r="Z3147">
        <v>21</v>
      </c>
      <c r="AA3147">
        <v>134</v>
      </c>
      <c r="AB3147">
        <v>15.7</v>
      </c>
    </row>
    <row r="3148" spans="10:28">
      <c r="J3148" s="340" t="str">
        <f t="shared" si="147"/>
        <v>2011MaleAllEth255</v>
      </c>
      <c r="K3148">
        <v>2011</v>
      </c>
      <c r="L3148" t="s">
        <v>20</v>
      </c>
      <c r="M3148" t="s">
        <v>27</v>
      </c>
      <c r="N3148">
        <v>25</v>
      </c>
      <c r="O3148">
        <v>5</v>
      </c>
      <c r="P3148">
        <v>5</v>
      </c>
      <c r="Q3148">
        <v>11.435891222804701</v>
      </c>
      <c r="R3148">
        <v>10</v>
      </c>
      <c r="T3148" s="340" t="str">
        <f t="shared" si="148"/>
        <v>2011AllSexNon-Maori25Firearms and explosives</v>
      </c>
      <c r="U3148">
        <v>2011</v>
      </c>
      <c r="V3148" t="s">
        <v>17</v>
      </c>
      <c r="W3148" t="s">
        <v>19</v>
      </c>
      <c r="X3148">
        <v>25</v>
      </c>
      <c r="Y3148" t="s">
        <v>42</v>
      </c>
      <c r="Z3148">
        <v>7</v>
      </c>
      <c r="AA3148">
        <v>45</v>
      </c>
      <c r="AB3148">
        <v>15.6</v>
      </c>
    </row>
    <row r="3149" spans="10:28">
      <c r="J3149" s="340" t="str">
        <f t="shared" si="147"/>
        <v>2011MaleMaori211</v>
      </c>
      <c r="K3149">
        <v>2011</v>
      </c>
      <c r="L3149" t="s">
        <v>20</v>
      </c>
      <c r="M3149" t="s">
        <v>18</v>
      </c>
      <c r="N3149">
        <v>21</v>
      </c>
      <c r="O3149">
        <v>1</v>
      </c>
      <c r="P3149">
        <v>0</v>
      </c>
      <c r="Q3149">
        <v>0</v>
      </c>
      <c r="T3149" s="340" t="str">
        <f t="shared" si="148"/>
        <v>2011AllSexNon-Maori21Hanging, strangulation and suffocation</v>
      </c>
      <c r="U3149">
        <v>2011</v>
      </c>
      <c r="V3149" t="s">
        <v>17</v>
      </c>
      <c r="W3149" t="s">
        <v>19</v>
      </c>
      <c r="X3149">
        <v>21</v>
      </c>
      <c r="Y3149" t="s">
        <v>43</v>
      </c>
      <c r="Z3149">
        <v>2</v>
      </c>
      <c r="AA3149">
        <v>2</v>
      </c>
      <c r="AB3149">
        <v>100</v>
      </c>
    </row>
    <row r="3150" spans="10:28">
      <c r="J3150" s="340" t="str">
        <f t="shared" si="147"/>
        <v>2011MaleMaori212</v>
      </c>
      <c r="K3150">
        <v>2011</v>
      </c>
      <c r="L3150" t="s">
        <v>20</v>
      </c>
      <c r="M3150" t="s">
        <v>18</v>
      </c>
      <c r="N3150">
        <v>21</v>
      </c>
      <c r="O3150">
        <v>2</v>
      </c>
      <c r="P3150">
        <v>1</v>
      </c>
      <c r="Q3150">
        <v>7.3328450032421504</v>
      </c>
      <c r="R3150">
        <v>14.4</v>
      </c>
      <c r="T3150" s="340" t="str">
        <f t="shared" si="148"/>
        <v>2011AllSexNon-Maori22Hanging, strangulation and suffocation</v>
      </c>
      <c r="U3150">
        <v>2011</v>
      </c>
      <c r="V3150" t="s">
        <v>17</v>
      </c>
      <c r="W3150" t="s">
        <v>19</v>
      </c>
      <c r="X3150">
        <v>22</v>
      </c>
      <c r="Y3150" t="s">
        <v>43</v>
      </c>
      <c r="Z3150">
        <v>59</v>
      </c>
      <c r="AA3150">
        <v>82</v>
      </c>
      <c r="AB3150">
        <v>72</v>
      </c>
    </row>
    <row r="3151" spans="10:28">
      <c r="J3151" s="340" t="str">
        <f t="shared" si="147"/>
        <v>2011MaleMaori213</v>
      </c>
      <c r="K3151">
        <v>2011</v>
      </c>
      <c r="L3151" t="s">
        <v>20</v>
      </c>
      <c r="M3151" t="s">
        <v>18</v>
      </c>
      <c r="N3151">
        <v>21</v>
      </c>
      <c r="O3151">
        <v>3</v>
      </c>
      <c r="P3151">
        <v>0</v>
      </c>
      <c r="Q3151">
        <v>0</v>
      </c>
      <c r="T3151" s="340" t="str">
        <f t="shared" si="148"/>
        <v>2011AllSexNon-Maori23Hanging, strangulation and suffocation</v>
      </c>
      <c r="U3151">
        <v>2011</v>
      </c>
      <c r="V3151" t="s">
        <v>17</v>
      </c>
      <c r="W3151" t="s">
        <v>19</v>
      </c>
      <c r="X3151">
        <v>23</v>
      </c>
      <c r="Y3151" t="s">
        <v>43</v>
      </c>
      <c r="Z3151">
        <v>69</v>
      </c>
      <c r="AA3151">
        <v>119</v>
      </c>
      <c r="AB3151">
        <v>58</v>
      </c>
    </row>
    <row r="3152" spans="10:28">
      <c r="J3152" s="340" t="str">
        <f t="shared" si="147"/>
        <v>2011MaleMaori214</v>
      </c>
      <c r="K3152">
        <v>2011</v>
      </c>
      <c r="L3152" t="s">
        <v>20</v>
      </c>
      <c r="M3152" t="s">
        <v>18</v>
      </c>
      <c r="N3152">
        <v>21</v>
      </c>
      <c r="O3152">
        <v>4</v>
      </c>
      <c r="P3152">
        <v>0</v>
      </c>
      <c r="Q3152">
        <v>0</v>
      </c>
      <c r="T3152" s="340" t="str">
        <f t="shared" si="148"/>
        <v>2011AllSexNon-Maori24Hanging, strangulation and suffocation</v>
      </c>
      <c r="U3152">
        <v>2011</v>
      </c>
      <c r="V3152" t="s">
        <v>17</v>
      </c>
      <c r="W3152" t="s">
        <v>19</v>
      </c>
      <c r="X3152">
        <v>24</v>
      </c>
      <c r="Y3152" t="s">
        <v>43</v>
      </c>
      <c r="Z3152">
        <v>61</v>
      </c>
      <c r="AA3152">
        <v>134</v>
      </c>
      <c r="AB3152">
        <v>45.5</v>
      </c>
    </row>
    <row r="3153" spans="10:28">
      <c r="J3153" s="340" t="str">
        <f t="shared" si="147"/>
        <v>2011MaleMaori215</v>
      </c>
      <c r="K3153">
        <v>2011</v>
      </c>
      <c r="L3153" t="s">
        <v>20</v>
      </c>
      <c r="M3153" t="s">
        <v>18</v>
      </c>
      <c r="N3153">
        <v>21</v>
      </c>
      <c r="O3153">
        <v>5</v>
      </c>
      <c r="P3153">
        <v>1</v>
      </c>
      <c r="Q3153">
        <v>2.0177171993906899</v>
      </c>
      <c r="R3153">
        <v>4</v>
      </c>
      <c r="T3153" s="340" t="str">
        <f t="shared" si="148"/>
        <v>2011AllSexNon-Maori25Hanging, strangulation and suffocation</v>
      </c>
      <c r="U3153">
        <v>2011</v>
      </c>
      <c r="V3153" t="s">
        <v>17</v>
      </c>
      <c r="W3153" t="s">
        <v>19</v>
      </c>
      <c r="X3153">
        <v>25</v>
      </c>
      <c r="Y3153" t="s">
        <v>43</v>
      </c>
      <c r="Z3153">
        <v>15</v>
      </c>
      <c r="AA3153">
        <v>45</v>
      </c>
      <c r="AB3153">
        <v>33.299999999999997</v>
      </c>
    </row>
    <row r="3154" spans="10:28">
      <c r="J3154" s="340" t="str">
        <f t="shared" si="147"/>
        <v>2011MaleMaori221</v>
      </c>
      <c r="K3154">
        <v>2011</v>
      </c>
      <c r="L3154" t="s">
        <v>20</v>
      </c>
      <c r="M3154" t="s">
        <v>18</v>
      </c>
      <c r="N3154">
        <v>22</v>
      </c>
      <c r="O3154">
        <v>1</v>
      </c>
      <c r="P3154">
        <v>2</v>
      </c>
      <c r="Q3154">
        <v>37.115723251095503</v>
      </c>
      <c r="R3154">
        <v>51.4</v>
      </c>
      <c r="T3154" s="340" t="str">
        <f t="shared" si="148"/>
        <v>2011AllSexNon-Maori22Jumping from a high place</v>
      </c>
      <c r="U3154">
        <v>2011</v>
      </c>
      <c r="V3154" t="s">
        <v>17</v>
      </c>
      <c r="W3154" t="s">
        <v>19</v>
      </c>
      <c r="X3154">
        <v>22</v>
      </c>
      <c r="Y3154" t="s">
        <v>44</v>
      </c>
      <c r="Z3154">
        <v>3</v>
      </c>
      <c r="AA3154">
        <v>82</v>
      </c>
      <c r="AB3154">
        <v>3.7</v>
      </c>
    </row>
    <row r="3155" spans="10:28">
      <c r="J3155" s="340" t="str">
        <f t="shared" si="147"/>
        <v>2011MaleMaori222</v>
      </c>
      <c r="K3155">
        <v>2011</v>
      </c>
      <c r="L3155" t="s">
        <v>20</v>
      </c>
      <c r="M3155" t="s">
        <v>18</v>
      </c>
      <c r="N3155">
        <v>22</v>
      </c>
      <c r="O3155">
        <v>2</v>
      </c>
      <c r="P3155">
        <v>4</v>
      </c>
      <c r="Q3155">
        <v>55.521293217433602</v>
      </c>
      <c r="R3155">
        <v>54.4</v>
      </c>
      <c r="T3155" s="340" t="str">
        <f t="shared" si="148"/>
        <v>2011AllSexNon-Maori23Jumping from a high place</v>
      </c>
      <c r="U3155">
        <v>2011</v>
      </c>
      <c r="V3155" t="s">
        <v>17</v>
      </c>
      <c r="W3155" t="s">
        <v>19</v>
      </c>
      <c r="X3155">
        <v>23</v>
      </c>
      <c r="Y3155" t="s">
        <v>44</v>
      </c>
      <c r="Z3155">
        <v>3</v>
      </c>
      <c r="AA3155">
        <v>119</v>
      </c>
      <c r="AB3155">
        <v>2.5</v>
      </c>
    </row>
    <row r="3156" spans="10:28">
      <c r="J3156" s="340" t="str">
        <f t="shared" si="147"/>
        <v>2011MaleMaori223</v>
      </c>
      <c r="K3156">
        <v>2011</v>
      </c>
      <c r="L3156" t="s">
        <v>20</v>
      </c>
      <c r="M3156" t="s">
        <v>18</v>
      </c>
      <c r="N3156">
        <v>22</v>
      </c>
      <c r="O3156">
        <v>3</v>
      </c>
      <c r="P3156">
        <v>7</v>
      </c>
      <c r="Q3156">
        <v>67.880981179570796</v>
      </c>
      <c r="R3156">
        <v>50.3</v>
      </c>
      <c r="T3156" s="340" t="str">
        <f t="shared" si="148"/>
        <v>2011AllSexNon-Maori24Jumping from a high place</v>
      </c>
      <c r="U3156">
        <v>2011</v>
      </c>
      <c r="V3156" t="s">
        <v>17</v>
      </c>
      <c r="W3156" t="s">
        <v>19</v>
      </c>
      <c r="X3156">
        <v>24</v>
      </c>
      <c r="Y3156" t="s">
        <v>44</v>
      </c>
      <c r="Z3156">
        <v>3</v>
      </c>
      <c r="AA3156">
        <v>134</v>
      </c>
      <c r="AB3156">
        <v>2.2000000000000002</v>
      </c>
    </row>
    <row r="3157" spans="10:28">
      <c r="J3157" s="340" t="str">
        <f t="shared" si="147"/>
        <v>2011MaleMaori224</v>
      </c>
      <c r="K3157">
        <v>2011</v>
      </c>
      <c r="L3157" t="s">
        <v>20</v>
      </c>
      <c r="M3157" t="s">
        <v>18</v>
      </c>
      <c r="N3157">
        <v>22</v>
      </c>
      <c r="O3157">
        <v>4</v>
      </c>
      <c r="P3157">
        <v>8</v>
      </c>
      <c r="Q3157">
        <v>54.926334802194397</v>
      </c>
      <c r="R3157">
        <v>38.1</v>
      </c>
      <c r="T3157" s="340" t="str">
        <f t="shared" si="148"/>
        <v>2011AllSexNon-Maori25Jumping from a high place</v>
      </c>
      <c r="U3157">
        <v>2011</v>
      </c>
      <c r="V3157" t="s">
        <v>17</v>
      </c>
      <c r="W3157" t="s">
        <v>19</v>
      </c>
      <c r="X3157">
        <v>25</v>
      </c>
      <c r="Y3157" t="s">
        <v>44</v>
      </c>
      <c r="Z3157">
        <v>1</v>
      </c>
      <c r="AA3157">
        <v>45</v>
      </c>
      <c r="AB3157">
        <v>2.2000000000000002</v>
      </c>
    </row>
    <row r="3158" spans="10:28">
      <c r="J3158" s="340" t="str">
        <f t="shared" si="147"/>
        <v>2011MaleMaori225</v>
      </c>
      <c r="K3158">
        <v>2011</v>
      </c>
      <c r="L3158" t="s">
        <v>20</v>
      </c>
      <c r="M3158" t="s">
        <v>18</v>
      </c>
      <c r="N3158">
        <v>22</v>
      </c>
      <c r="O3158">
        <v>5</v>
      </c>
      <c r="P3158">
        <v>12</v>
      </c>
      <c r="Q3158">
        <v>49.556593721107802</v>
      </c>
      <c r="R3158">
        <v>28</v>
      </c>
      <c r="T3158" s="340" t="str">
        <f t="shared" si="148"/>
        <v>2011AllSexNon-Maori22Other</v>
      </c>
      <c r="U3158">
        <v>2011</v>
      </c>
      <c r="V3158" t="s">
        <v>17</v>
      </c>
      <c r="W3158" t="s">
        <v>19</v>
      </c>
      <c r="X3158">
        <v>22</v>
      </c>
      <c r="Y3158" t="s">
        <v>45</v>
      </c>
      <c r="Z3158">
        <v>3</v>
      </c>
      <c r="AA3158">
        <v>82</v>
      </c>
      <c r="AB3158">
        <v>3.7</v>
      </c>
    </row>
    <row r="3159" spans="10:28">
      <c r="J3159" s="340" t="str">
        <f t="shared" si="147"/>
        <v>2011MaleMaori231</v>
      </c>
      <c r="K3159">
        <v>2011</v>
      </c>
      <c r="L3159" t="s">
        <v>20</v>
      </c>
      <c r="M3159" t="s">
        <v>18</v>
      </c>
      <c r="N3159">
        <v>23</v>
      </c>
      <c r="O3159">
        <v>1</v>
      </c>
      <c r="P3159">
        <v>3</v>
      </c>
      <c r="Q3159">
        <v>40.794063837210203</v>
      </c>
      <c r="R3159">
        <v>46.2</v>
      </c>
      <c r="T3159" s="340" t="str">
        <f t="shared" si="148"/>
        <v>2011AllSexNon-Maori23Other</v>
      </c>
      <c r="U3159">
        <v>2011</v>
      </c>
      <c r="V3159" t="s">
        <v>17</v>
      </c>
      <c r="W3159" t="s">
        <v>19</v>
      </c>
      <c r="X3159">
        <v>23</v>
      </c>
      <c r="Y3159" t="s">
        <v>45</v>
      </c>
      <c r="Z3159">
        <v>5</v>
      </c>
      <c r="AA3159">
        <v>119</v>
      </c>
      <c r="AB3159">
        <v>4.2</v>
      </c>
    </row>
    <row r="3160" spans="10:28">
      <c r="J3160" s="340" t="str">
        <f t="shared" si="147"/>
        <v>2011MaleMaori232</v>
      </c>
      <c r="K3160">
        <v>2011</v>
      </c>
      <c r="L3160" t="s">
        <v>20</v>
      </c>
      <c r="M3160" t="s">
        <v>18</v>
      </c>
      <c r="N3160">
        <v>23</v>
      </c>
      <c r="O3160">
        <v>2</v>
      </c>
      <c r="P3160">
        <v>4</v>
      </c>
      <c r="Q3160">
        <v>40.177558035660198</v>
      </c>
      <c r="R3160">
        <v>39.4</v>
      </c>
      <c r="T3160" s="340" t="str">
        <f t="shared" si="148"/>
        <v>2011AllSexNon-Maori24Other</v>
      </c>
      <c r="U3160">
        <v>2011</v>
      </c>
      <c r="V3160" t="s">
        <v>17</v>
      </c>
      <c r="W3160" t="s">
        <v>19</v>
      </c>
      <c r="X3160">
        <v>24</v>
      </c>
      <c r="Y3160" t="s">
        <v>45</v>
      </c>
      <c r="Z3160">
        <v>5</v>
      </c>
      <c r="AA3160">
        <v>134</v>
      </c>
      <c r="AB3160">
        <v>3.7</v>
      </c>
    </row>
    <row r="3161" spans="10:28">
      <c r="J3161" s="340" t="str">
        <f t="shared" si="147"/>
        <v>2011MaleMaori233</v>
      </c>
      <c r="K3161">
        <v>2011</v>
      </c>
      <c r="L3161" t="s">
        <v>20</v>
      </c>
      <c r="M3161" t="s">
        <v>18</v>
      </c>
      <c r="N3161">
        <v>23</v>
      </c>
      <c r="O3161">
        <v>3</v>
      </c>
      <c r="P3161">
        <v>2</v>
      </c>
      <c r="Q3161">
        <v>14.467800625365101</v>
      </c>
      <c r="R3161">
        <v>20.100000000000001</v>
      </c>
      <c r="T3161" s="340" t="str">
        <f t="shared" si="148"/>
        <v>2011AllSexNon-Maori25Other</v>
      </c>
      <c r="U3161">
        <v>2011</v>
      </c>
      <c r="V3161" t="s">
        <v>17</v>
      </c>
      <c r="W3161" t="s">
        <v>19</v>
      </c>
      <c r="X3161">
        <v>25</v>
      </c>
      <c r="Y3161" t="s">
        <v>45</v>
      </c>
      <c r="Z3161">
        <v>2</v>
      </c>
      <c r="AA3161">
        <v>45</v>
      </c>
      <c r="AB3161">
        <v>4.4000000000000004</v>
      </c>
    </row>
    <row r="3162" spans="10:28">
      <c r="J3162" s="340" t="str">
        <f t="shared" si="147"/>
        <v>2011MaleMaori234</v>
      </c>
      <c r="K3162">
        <v>2011</v>
      </c>
      <c r="L3162" t="s">
        <v>20</v>
      </c>
      <c r="M3162" t="s">
        <v>18</v>
      </c>
      <c r="N3162">
        <v>23</v>
      </c>
      <c r="O3162">
        <v>4</v>
      </c>
      <c r="P3162">
        <v>3</v>
      </c>
      <c r="Q3162">
        <v>16.0214698145993</v>
      </c>
      <c r="R3162">
        <v>18.100000000000001</v>
      </c>
      <c r="T3162" s="340" t="str">
        <f t="shared" si="148"/>
        <v>2011AllSexNon-Maori22Poisoning by gases and vapours</v>
      </c>
      <c r="U3162">
        <v>2011</v>
      </c>
      <c r="V3162" t="s">
        <v>17</v>
      </c>
      <c r="W3162" t="s">
        <v>19</v>
      </c>
      <c r="X3162">
        <v>22</v>
      </c>
      <c r="Y3162" t="s">
        <v>46</v>
      </c>
      <c r="Z3162">
        <v>6</v>
      </c>
      <c r="AA3162">
        <v>82</v>
      </c>
      <c r="AB3162">
        <v>7.3</v>
      </c>
    </row>
    <row r="3163" spans="10:28">
      <c r="J3163" s="340" t="str">
        <f t="shared" si="147"/>
        <v>2011MaleMaori235</v>
      </c>
      <c r="K3163">
        <v>2011</v>
      </c>
      <c r="L3163" t="s">
        <v>20</v>
      </c>
      <c r="M3163" t="s">
        <v>18</v>
      </c>
      <c r="N3163">
        <v>23</v>
      </c>
      <c r="O3163">
        <v>5</v>
      </c>
      <c r="P3163">
        <v>21</v>
      </c>
      <c r="Q3163">
        <v>75.120520413746704</v>
      </c>
      <c r="R3163">
        <v>32.1</v>
      </c>
      <c r="T3163" s="340" t="str">
        <f t="shared" si="148"/>
        <v>2011AllSexNon-Maori23Poisoning by gases and vapours</v>
      </c>
      <c r="U3163">
        <v>2011</v>
      </c>
      <c r="V3163" t="s">
        <v>17</v>
      </c>
      <c r="W3163" t="s">
        <v>19</v>
      </c>
      <c r="X3163">
        <v>23</v>
      </c>
      <c r="Y3163" t="s">
        <v>46</v>
      </c>
      <c r="Z3163">
        <v>20</v>
      </c>
      <c r="AA3163">
        <v>119</v>
      </c>
      <c r="AB3163">
        <v>16.8</v>
      </c>
    </row>
    <row r="3164" spans="10:28">
      <c r="J3164" s="340" t="str">
        <f t="shared" si="147"/>
        <v>2011MaleMaori241</v>
      </c>
      <c r="K3164">
        <v>2011</v>
      </c>
      <c r="L3164" t="s">
        <v>20</v>
      </c>
      <c r="M3164" t="s">
        <v>18</v>
      </c>
      <c r="N3164">
        <v>24</v>
      </c>
      <c r="O3164">
        <v>1</v>
      </c>
      <c r="P3164">
        <v>1</v>
      </c>
      <c r="Q3164">
        <v>16.982527506724701</v>
      </c>
      <c r="R3164">
        <v>33.299999999999997</v>
      </c>
      <c r="T3164" s="340" t="str">
        <f t="shared" si="148"/>
        <v>2011AllSexNon-Maori24Poisoning by gases and vapours</v>
      </c>
      <c r="U3164">
        <v>2011</v>
      </c>
      <c r="V3164" t="s">
        <v>17</v>
      </c>
      <c r="W3164" t="s">
        <v>19</v>
      </c>
      <c r="X3164">
        <v>24</v>
      </c>
      <c r="Y3164" t="s">
        <v>46</v>
      </c>
      <c r="Z3164">
        <v>16</v>
      </c>
      <c r="AA3164">
        <v>134</v>
      </c>
      <c r="AB3164">
        <v>11.9</v>
      </c>
    </row>
    <row r="3165" spans="10:28">
      <c r="J3165" s="340" t="str">
        <f t="shared" si="147"/>
        <v>2011MaleMaori242</v>
      </c>
      <c r="K3165">
        <v>2011</v>
      </c>
      <c r="L3165" t="s">
        <v>20</v>
      </c>
      <c r="M3165" t="s">
        <v>18</v>
      </c>
      <c r="N3165">
        <v>24</v>
      </c>
      <c r="O3165">
        <v>2</v>
      </c>
      <c r="P3165">
        <v>5</v>
      </c>
      <c r="Q3165">
        <v>68.565889162844996</v>
      </c>
      <c r="R3165">
        <v>60.1</v>
      </c>
      <c r="T3165" s="340" t="str">
        <f t="shared" si="148"/>
        <v>2011AllSexNon-Maori25Poisoning by gases and vapours</v>
      </c>
      <c r="U3165">
        <v>2011</v>
      </c>
      <c r="V3165" t="s">
        <v>17</v>
      </c>
      <c r="W3165" t="s">
        <v>19</v>
      </c>
      <c r="X3165">
        <v>25</v>
      </c>
      <c r="Y3165" t="s">
        <v>46</v>
      </c>
      <c r="Z3165">
        <v>1</v>
      </c>
      <c r="AA3165">
        <v>45</v>
      </c>
      <c r="AB3165">
        <v>2.2000000000000002</v>
      </c>
    </row>
    <row r="3166" spans="10:28">
      <c r="J3166" s="340" t="str">
        <f t="shared" si="147"/>
        <v>2011MaleMaori243</v>
      </c>
      <c r="K3166">
        <v>2011</v>
      </c>
      <c r="L3166" t="s">
        <v>20</v>
      </c>
      <c r="M3166" t="s">
        <v>18</v>
      </c>
      <c r="N3166">
        <v>24</v>
      </c>
      <c r="O3166">
        <v>3</v>
      </c>
      <c r="P3166">
        <v>1</v>
      </c>
      <c r="Q3166">
        <v>10.6478858086386</v>
      </c>
      <c r="R3166">
        <v>20.9</v>
      </c>
      <c r="T3166" s="340" t="str">
        <f t="shared" si="148"/>
        <v>2011AllSexNon-Maori22Poisoning by solids and liquids</v>
      </c>
      <c r="U3166">
        <v>2011</v>
      </c>
      <c r="V3166" t="s">
        <v>17</v>
      </c>
      <c r="W3166" t="s">
        <v>19</v>
      </c>
      <c r="X3166">
        <v>22</v>
      </c>
      <c r="Y3166" t="s">
        <v>47</v>
      </c>
      <c r="Z3166">
        <v>7</v>
      </c>
      <c r="AA3166">
        <v>82</v>
      </c>
      <c r="AB3166">
        <v>8.5</v>
      </c>
    </row>
    <row r="3167" spans="10:28">
      <c r="J3167" s="340" t="str">
        <f t="shared" si="147"/>
        <v>2011MaleMaori244</v>
      </c>
      <c r="K3167">
        <v>2011</v>
      </c>
      <c r="L3167" t="s">
        <v>20</v>
      </c>
      <c r="M3167" t="s">
        <v>18</v>
      </c>
      <c r="N3167">
        <v>24</v>
      </c>
      <c r="O3167">
        <v>4</v>
      </c>
      <c r="P3167">
        <v>3</v>
      </c>
      <c r="Q3167">
        <v>23.499922738060501</v>
      </c>
      <c r="R3167">
        <v>26.6</v>
      </c>
      <c r="T3167" s="340" t="str">
        <f t="shared" si="148"/>
        <v>2011AllSexNon-Maori23Poisoning by solids and liquids</v>
      </c>
      <c r="U3167">
        <v>2011</v>
      </c>
      <c r="V3167" t="s">
        <v>17</v>
      </c>
      <c r="W3167" t="s">
        <v>19</v>
      </c>
      <c r="X3167">
        <v>23</v>
      </c>
      <c r="Y3167" t="s">
        <v>47</v>
      </c>
      <c r="Z3167">
        <v>15</v>
      </c>
      <c r="AA3167">
        <v>119</v>
      </c>
      <c r="AB3167">
        <v>12.6</v>
      </c>
    </row>
    <row r="3168" spans="10:28">
      <c r="J3168" s="340" t="str">
        <f t="shared" si="147"/>
        <v>2011MaleMaori245</v>
      </c>
      <c r="K3168">
        <v>2011</v>
      </c>
      <c r="L3168" t="s">
        <v>20</v>
      </c>
      <c r="M3168" t="s">
        <v>18</v>
      </c>
      <c r="N3168">
        <v>24</v>
      </c>
      <c r="O3168">
        <v>5</v>
      </c>
      <c r="P3168">
        <v>3</v>
      </c>
      <c r="Q3168">
        <v>14.156920348388701</v>
      </c>
      <c r="R3168">
        <v>16</v>
      </c>
      <c r="T3168" s="340" t="str">
        <f t="shared" si="148"/>
        <v>2011AllSexNon-Maori24Poisoning by solids and liquids</v>
      </c>
      <c r="U3168">
        <v>2011</v>
      </c>
      <c r="V3168" t="s">
        <v>17</v>
      </c>
      <c r="W3168" t="s">
        <v>19</v>
      </c>
      <c r="X3168">
        <v>24</v>
      </c>
      <c r="Y3168" t="s">
        <v>47</v>
      </c>
      <c r="Z3168">
        <v>21</v>
      </c>
      <c r="AA3168">
        <v>134</v>
      </c>
      <c r="AB3168">
        <v>15.7</v>
      </c>
    </row>
    <row r="3169" spans="10:28">
      <c r="J3169" s="340" t="str">
        <f t="shared" si="147"/>
        <v>2011MaleMaori251</v>
      </c>
      <c r="K3169">
        <v>2011</v>
      </c>
      <c r="L3169" t="s">
        <v>20</v>
      </c>
      <c r="M3169" t="s">
        <v>18</v>
      </c>
      <c r="N3169">
        <v>25</v>
      </c>
      <c r="O3169">
        <v>1</v>
      </c>
      <c r="P3169">
        <v>0</v>
      </c>
      <c r="Q3169">
        <v>0</v>
      </c>
      <c r="T3169" s="340" t="str">
        <f t="shared" si="148"/>
        <v>2011AllSexNon-Maori25Poisoning by solids and liquids</v>
      </c>
      <c r="U3169">
        <v>2011</v>
      </c>
      <c r="V3169" t="s">
        <v>17</v>
      </c>
      <c r="W3169" t="s">
        <v>19</v>
      </c>
      <c r="X3169">
        <v>25</v>
      </c>
      <c r="Y3169" t="s">
        <v>47</v>
      </c>
      <c r="Z3169">
        <v>11</v>
      </c>
      <c r="AA3169">
        <v>45</v>
      </c>
      <c r="AB3169">
        <v>24.4</v>
      </c>
    </row>
    <row r="3170" spans="10:28">
      <c r="J3170" s="340" t="str">
        <f t="shared" si="147"/>
        <v>2011MaleMaori252</v>
      </c>
      <c r="K3170">
        <v>2011</v>
      </c>
      <c r="L3170" t="s">
        <v>20</v>
      </c>
      <c r="M3170" t="s">
        <v>18</v>
      </c>
      <c r="N3170">
        <v>25</v>
      </c>
      <c r="O3170">
        <v>2</v>
      </c>
      <c r="P3170">
        <v>0</v>
      </c>
      <c r="Q3170">
        <v>0</v>
      </c>
      <c r="T3170" s="340" t="str">
        <f t="shared" si="148"/>
        <v>2011AllSexNon-Maori23Sharp object</v>
      </c>
      <c r="U3170">
        <v>2011</v>
      </c>
      <c r="V3170" t="s">
        <v>17</v>
      </c>
      <c r="W3170" t="s">
        <v>19</v>
      </c>
      <c r="X3170">
        <v>23</v>
      </c>
      <c r="Y3170" t="s">
        <v>48</v>
      </c>
      <c r="Z3170">
        <v>1</v>
      </c>
      <c r="AA3170">
        <v>119</v>
      </c>
      <c r="AB3170">
        <v>0.8</v>
      </c>
    </row>
    <row r="3171" spans="10:28">
      <c r="J3171" s="340" t="str">
        <f t="shared" si="147"/>
        <v>2011MaleMaori253</v>
      </c>
      <c r="K3171">
        <v>2011</v>
      </c>
      <c r="L3171" t="s">
        <v>20</v>
      </c>
      <c r="M3171" t="s">
        <v>18</v>
      </c>
      <c r="N3171">
        <v>25</v>
      </c>
      <c r="O3171">
        <v>3</v>
      </c>
      <c r="P3171">
        <v>0</v>
      </c>
      <c r="Q3171">
        <v>0</v>
      </c>
      <c r="T3171" s="340" t="str">
        <f t="shared" si="148"/>
        <v>2011AllSexNon-Maori24Sharp object</v>
      </c>
      <c r="U3171">
        <v>2011</v>
      </c>
      <c r="V3171" t="s">
        <v>17</v>
      </c>
      <c r="W3171" t="s">
        <v>19</v>
      </c>
      <c r="X3171">
        <v>24</v>
      </c>
      <c r="Y3171" t="s">
        <v>48</v>
      </c>
      <c r="Z3171">
        <v>2</v>
      </c>
      <c r="AA3171">
        <v>134</v>
      </c>
      <c r="AB3171">
        <v>1.5</v>
      </c>
    </row>
    <row r="3172" spans="10:28">
      <c r="J3172" s="340" t="str">
        <f t="shared" si="147"/>
        <v>2011MaleMaori254</v>
      </c>
      <c r="K3172">
        <v>2011</v>
      </c>
      <c r="L3172" t="s">
        <v>20</v>
      </c>
      <c r="M3172" t="s">
        <v>18</v>
      </c>
      <c r="N3172">
        <v>25</v>
      </c>
      <c r="O3172">
        <v>4</v>
      </c>
      <c r="P3172">
        <v>0</v>
      </c>
      <c r="Q3172">
        <v>0</v>
      </c>
      <c r="T3172" s="340" t="str">
        <f t="shared" si="148"/>
        <v>2011AllSexNon-Maori25Sharp object</v>
      </c>
      <c r="U3172">
        <v>2011</v>
      </c>
      <c r="V3172" t="s">
        <v>17</v>
      </c>
      <c r="W3172" t="s">
        <v>19</v>
      </c>
      <c r="X3172">
        <v>25</v>
      </c>
      <c r="Y3172" t="s">
        <v>48</v>
      </c>
      <c r="Z3172">
        <v>3</v>
      </c>
      <c r="AA3172">
        <v>45</v>
      </c>
      <c r="AB3172">
        <v>6.7</v>
      </c>
    </row>
    <row r="3173" spans="10:28">
      <c r="J3173" s="340" t="str">
        <f t="shared" si="147"/>
        <v>2011MaleMaori255</v>
      </c>
      <c r="K3173">
        <v>2011</v>
      </c>
      <c r="L3173" t="s">
        <v>20</v>
      </c>
      <c r="M3173" t="s">
        <v>18</v>
      </c>
      <c r="N3173">
        <v>25</v>
      </c>
      <c r="O3173">
        <v>5</v>
      </c>
      <c r="P3173">
        <v>0</v>
      </c>
      <c r="Q3173">
        <v>0</v>
      </c>
      <c r="T3173" s="340" t="str">
        <f t="shared" si="148"/>
        <v>2011AllSexNon-Maori22Submersion (drowning)</v>
      </c>
      <c r="U3173">
        <v>2011</v>
      </c>
      <c r="V3173" t="s">
        <v>17</v>
      </c>
      <c r="W3173" t="s">
        <v>19</v>
      </c>
      <c r="X3173">
        <v>22</v>
      </c>
      <c r="Y3173" t="s">
        <v>49</v>
      </c>
      <c r="Z3173">
        <v>1</v>
      </c>
      <c r="AA3173">
        <v>82</v>
      </c>
      <c r="AB3173">
        <v>1.2</v>
      </c>
    </row>
    <row r="3174" spans="10:28">
      <c r="J3174" s="340" t="str">
        <f t="shared" si="147"/>
        <v>2011MaleNon-Maori211</v>
      </c>
      <c r="K3174">
        <v>2011</v>
      </c>
      <c r="L3174" t="s">
        <v>20</v>
      </c>
      <c r="M3174" t="s">
        <v>19</v>
      </c>
      <c r="N3174">
        <v>21</v>
      </c>
      <c r="O3174">
        <v>1</v>
      </c>
      <c r="P3174">
        <v>0</v>
      </c>
      <c r="Q3174">
        <v>0</v>
      </c>
      <c r="T3174" s="340" t="str">
        <f t="shared" si="148"/>
        <v>2011AllSexNon-Maori23Submersion (drowning)</v>
      </c>
      <c r="U3174">
        <v>2011</v>
      </c>
      <c r="V3174" t="s">
        <v>17</v>
      </c>
      <c r="W3174" t="s">
        <v>19</v>
      </c>
      <c r="X3174">
        <v>23</v>
      </c>
      <c r="Y3174" t="s">
        <v>49</v>
      </c>
      <c r="Z3174">
        <v>3</v>
      </c>
      <c r="AA3174">
        <v>119</v>
      </c>
      <c r="AB3174">
        <v>2.5</v>
      </c>
    </row>
    <row r="3175" spans="10:28">
      <c r="J3175" s="340" t="str">
        <f t="shared" si="147"/>
        <v>2011MaleNon-Maori212</v>
      </c>
      <c r="K3175">
        <v>2011</v>
      </c>
      <c r="L3175" t="s">
        <v>20</v>
      </c>
      <c r="M3175" t="s">
        <v>19</v>
      </c>
      <c r="N3175">
        <v>21</v>
      </c>
      <c r="O3175">
        <v>2</v>
      </c>
      <c r="P3175">
        <v>0</v>
      </c>
      <c r="Q3175">
        <v>0</v>
      </c>
      <c r="T3175" s="340" t="str">
        <f t="shared" si="148"/>
        <v>2011AllSexNon-Maori24Submersion (drowning)</v>
      </c>
      <c r="U3175">
        <v>2011</v>
      </c>
      <c r="V3175" t="s">
        <v>17</v>
      </c>
      <c r="W3175" t="s">
        <v>19</v>
      </c>
      <c r="X3175">
        <v>24</v>
      </c>
      <c r="Y3175" t="s">
        <v>49</v>
      </c>
      <c r="Z3175">
        <v>5</v>
      </c>
      <c r="AA3175">
        <v>134</v>
      </c>
      <c r="AB3175">
        <v>3.7</v>
      </c>
    </row>
    <row r="3176" spans="10:28">
      <c r="J3176" s="340" t="str">
        <f t="shared" si="147"/>
        <v>2011MaleNon-Maori213</v>
      </c>
      <c r="K3176">
        <v>2011</v>
      </c>
      <c r="L3176" t="s">
        <v>20</v>
      </c>
      <c r="M3176" t="s">
        <v>19</v>
      </c>
      <c r="N3176">
        <v>21</v>
      </c>
      <c r="O3176">
        <v>3</v>
      </c>
      <c r="P3176">
        <v>1</v>
      </c>
      <c r="Q3176">
        <v>1.4782810451200099</v>
      </c>
      <c r="R3176">
        <v>2.9</v>
      </c>
      <c r="T3176" s="340" t="str">
        <f t="shared" si="148"/>
        <v>2011AllSexNon-Maori25Submersion (drowning)</v>
      </c>
      <c r="U3176">
        <v>2011</v>
      </c>
      <c r="V3176" t="s">
        <v>17</v>
      </c>
      <c r="W3176" t="s">
        <v>19</v>
      </c>
      <c r="X3176">
        <v>25</v>
      </c>
      <c r="Y3176" t="s">
        <v>49</v>
      </c>
      <c r="Z3176">
        <v>5</v>
      </c>
      <c r="AA3176">
        <v>45</v>
      </c>
      <c r="AB3176">
        <v>11.1</v>
      </c>
    </row>
    <row r="3177" spans="10:28">
      <c r="J3177" s="340" t="str">
        <f t="shared" si="147"/>
        <v>2011MaleNon-Maori214</v>
      </c>
      <c r="K3177">
        <v>2011</v>
      </c>
      <c r="L3177" t="s">
        <v>20</v>
      </c>
      <c r="M3177" t="s">
        <v>19</v>
      </c>
      <c r="N3177">
        <v>21</v>
      </c>
      <c r="O3177">
        <v>4</v>
      </c>
      <c r="P3177">
        <v>0</v>
      </c>
      <c r="Q3177">
        <v>0</v>
      </c>
      <c r="T3177" s="340" t="str">
        <f t="shared" si="148"/>
        <v>2011FemaleAllEth24Firearms and explosives</v>
      </c>
      <c r="U3177">
        <v>2011</v>
      </c>
      <c r="V3177" t="s">
        <v>8</v>
      </c>
      <c r="W3177" t="s">
        <v>27</v>
      </c>
      <c r="X3177">
        <v>24</v>
      </c>
      <c r="Y3177" t="s">
        <v>42</v>
      </c>
      <c r="Z3177">
        <v>2</v>
      </c>
      <c r="AA3177">
        <v>33</v>
      </c>
      <c r="AB3177">
        <v>6.1</v>
      </c>
    </row>
    <row r="3178" spans="10:28">
      <c r="J3178" s="340" t="str">
        <f t="shared" si="147"/>
        <v>2011MaleNon-Maori215</v>
      </c>
      <c r="K3178">
        <v>2011</v>
      </c>
      <c r="L3178" t="s">
        <v>20</v>
      </c>
      <c r="M3178" t="s">
        <v>19</v>
      </c>
      <c r="N3178">
        <v>21</v>
      </c>
      <c r="O3178">
        <v>5</v>
      </c>
      <c r="P3178">
        <v>0</v>
      </c>
      <c r="Q3178">
        <v>0</v>
      </c>
      <c r="T3178" s="340" t="str">
        <f t="shared" si="148"/>
        <v>2011FemaleAllEth21Hanging, strangulation and suffocation</v>
      </c>
      <c r="U3178">
        <v>2011</v>
      </c>
      <c r="V3178" t="s">
        <v>8</v>
      </c>
      <c r="W3178" t="s">
        <v>27</v>
      </c>
      <c r="X3178">
        <v>21</v>
      </c>
      <c r="Y3178" t="s">
        <v>43</v>
      </c>
      <c r="Z3178">
        <v>3</v>
      </c>
      <c r="AA3178">
        <v>3</v>
      </c>
      <c r="AB3178">
        <v>100</v>
      </c>
    </row>
    <row r="3179" spans="10:28">
      <c r="J3179" s="340" t="str">
        <f t="shared" si="147"/>
        <v>2011MaleNon-Maori221</v>
      </c>
      <c r="K3179">
        <v>2011</v>
      </c>
      <c r="L3179" t="s">
        <v>20</v>
      </c>
      <c r="M3179" t="s">
        <v>19</v>
      </c>
      <c r="N3179">
        <v>22</v>
      </c>
      <c r="O3179">
        <v>1</v>
      </c>
      <c r="P3179">
        <v>6</v>
      </c>
      <c r="Q3179">
        <v>11.5685703225558</v>
      </c>
      <c r="R3179">
        <v>9.3000000000000007</v>
      </c>
      <c r="T3179" s="340" t="str">
        <f t="shared" si="148"/>
        <v>2011FemaleAllEth22Hanging, strangulation and suffocation</v>
      </c>
      <c r="U3179">
        <v>2011</v>
      </c>
      <c r="V3179" t="s">
        <v>8</v>
      </c>
      <c r="W3179" t="s">
        <v>27</v>
      </c>
      <c r="X3179">
        <v>22</v>
      </c>
      <c r="Y3179" t="s">
        <v>43</v>
      </c>
      <c r="Z3179">
        <v>31</v>
      </c>
      <c r="AA3179">
        <v>35</v>
      </c>
      <c r="AB3179">
        <v>88.6</v>
      </c>
    </row>
    <row r="3180" spans="10:28">
      <c r="J3180" s="340" t="str">
        <f t="shared" si="147"/>
        <v>2011MaleNon-Maori222</v>
      </c>
      <c r="K3180">
        <v>2011</v>
      </c>
      <c r="L3180" t="s">
        <v>20</v>
      </c>
      <c r="M3180" t="s">
        <v>19</v>
      </c>
      <c r="N3180">
        <v>22</v>
      </c>
      <c r="O3180">
        <v>2</v>
      </c>
      <c r="P3180">
        <v>10</v>
      </c>
      <c r="Q3180">
        <v>19.8753792368496</v>
      </c>
      <c r="R3180">
        <v>12.3</v>
      </c>
      <c r="T3180" s="340" t="str">
        <f t="shared" si="148"/>
        <v>2011FemaleAllEth23Hanging, strangulation and suffocation</v>
      </c>
      <c r="U3180">
        <v>2011</v>
      </c>
      <c r="V3180" t="s">
        <v>8</v>
      </c>
      <c r="W3180" t="s">
        <v>27</v>
      </c>
      <c r="X3180">
        <v>23</v>
      </c>
      <c r="Y3180" t="s">
        <v>43</v>
      </c>
      <c r="Z3180">
        <v>20</v>
      </c>
      <c r="AA3180">
        <v>33</v>
      </c>
      <c r="AB3180">
        <v>60.6</v>
      </c>
    </row>
    <row r="3181" spans="10:28">
      <c r="J3181" s="340" t="str">
        <f t="shared" si="147"/>
        <v>2011MaleNon-Maori223</v>
      </c>
      <c r="K3181">
        <v>2011</v>
      </c>
      <c r="L3181" t="s">
        <v>20</v>
      </c>
      <c r="M3181" t="s">
        <v>19</v>
      </c>
      <c r="N3181">
        <v>22</v>
      </c>
      <c r="O3181">
        <v>3</v>
      </c>
      <c r="P3181">
        <v>15</v>
      </c>
      <c r="Q3181">
        <v>29.9570050963619</v>
      </c>
      <c r="R3181">
        <v>15.2</v>
      </c>
      <c r="T3181" s="340" t="str">
        <f t="shared" si="148"/>
        <v>2011FemaleAllEth24Hanging, strangulation and suffocation</v>
      </c>
      <c r="U3181">
        <v>2011</v>
      </c>
      <c r="V3181" t="s">
        <v>8</v>
      </c>
      <c r="W3181" t="s">
        <v>27</v>
      </c>
      <c r="X3181">
        <v>24</v>
      </c>
      <c r="Y3181" t="s">
        <v>43</v>
      </c>
      <c r="Z3181">
        <v>9</v>
      </c>
      <c r="AA3181">
        <v>33</v>
      </c>
      <c r="AB3181">
        <v>27.3</v>
      </c>
    </row>
    <row r="3182" spans="10:28">
      <c r="J3182" s="340" t="str">
        <f t="shared" si="147"/>
        <v>2011MaleNon-Maori224</v>
      </c>
      <c r="K3182">
        <v>2011</v>
      </c>
      <c r="L3182" t="s">
        <v>20</v>
      </c>
      <c r="M3182" t="s">
        <v>19</v>
      </c>
      <c r="N3182">
        <v>22</v>
      </c>
      <c r="O3182">
        <v>4</v>
      </c>
      <c r="P3182">
        <v>10</v>
      </c>
      <c r="Q3182">
        <v>19.348287315734801</v>
      </c>
      <c r="R3182">
        <v>12</v>
      </c>
      <c r="T3182" s="340" t="str">
        <f t="shared" si="148"/>
        <v>2011FemaleAllEth25Hanging, strangulation and suffocation</v>
      </c>
      <c r="U3182">
        <v>2011</v>
      </c>
      <c r="V3182" t="s">
        <v>8</v>
      </c>
      <c r="W3182" t="s">
        <v>27</v>
      </c>
      <c r="X3182">
        <v>25</v>
      </c>
      <c r="Y3182" t="s">
        <v>43</v>
      </c>
      <c r="Z3182">
        <v>6</v>
      </c>
      <c r="AA3182">
        <v>14</v>
      </c>
      <c r="AB3182">
        <v>42.9</v>
      </c>
    </row>
    <row r="3183" spans="10:28">
      <c r="J3183" s="340" t="str">
        <f t="shared" si="147"/>
        <v>2011MaleNon-Maori225</v>
      </c>
      <c r="K3183">
        <v>2011</v>
      </c>
      <c r="L3183" t="s">
        <v>20</v>
      </c>
      <c r="M3183" t="s">
        <v>19</v>
      </c>
      <c r="N3183">
        <v>22</v>
      </c>
      <c r="O3183">
        <v>5</v>
      </c>
      <c r="P3183">
        <v>19</v>
      </c>
      <c r="Q3183">
        <v>38.640259444061499</v>
      </c>
      <c r="R3183">
        <v>17.399999999999999</v>
      </c>
      <c r="T3183" s="340" t="str">
        <f t="shared" si="148"/>
        <v>2011FemaleAllEth23Jumping from a high place</v>
      </c>
      <c r="U3183">
        <v>2011</v>
      </c>
      <c r="V3183" t="s">
        <v>8</v>
      </c>
      <c r="W3183" t="s">
        <v>27</v>
      </c>
      <c r="X3183">
        <v>23</v>
      </c>
      <c r="Y3183" t="s">
        <v>44</v>
      </c>
      <c r="Z3183">
        <v>1</v>
      </c>
      <c r="AA3183">
        <v>33</v>
      </c>
      <c r="AB3183">
        <v>3</v>
      </c>
    </row>
    <row r="3184" spans="10:28">
      <c r="J3184" s="340" t="str">
        <f t="shared" si="147"/>
        <v>2011MaleNon-Maori231</v>
      </c>
      <c r="K3184">
        <v>2011</v>
      </c>
      <c r="L3184" t="s">
        <v>20</v>
      </c>
      <c r="M3184" t="s">
        <v>19</v>
      </c>
      <c r="N3184">
        <v>23</v>
      </c>
      <c r="O3184">
        <v>1</v>
      </c>
      <c r="P3184">
        <v>20</v>
      </c>
      <c r="Q3184">
        <v>20.5689197070582</v>
      </c>
      <c r="R3184">
        <v>9</v>
      </c>
      <c r="T3184" s="340" t="str">
        <f t="shared" si="148"/>
        <v>2011FemaleAllEth24Jumping from a high place</v>
      </c>
      <c r="U3184">
        <v>2011</v>
      </c>
      <c r="V3184" t="s">
        <v>8</v>
      </c>
      <c r="W3184" t="s">
        <v>27</v>
      </c>
      <c r="X3184">
        <v>24</v>
      </c>
      <c r="Y3184" t="s">
        <v>44</v>
      </c>
      <c r="Z3184">
        <v>2</v>
      </c>
      <c r="AA3184">
        <v>33</v>
      </c>
      <c r="AB3184">
        <v>6.1</v>
      </c>
    </row>
    <row r="3185" spans="10:28">
      <c r="J3185" s="340" t="str">
        <f t="shared" si="147"/>
        <v>2011MaleNon-Maori232</v>
      </c>
      <c r="K3185">
        <v>2011</v>
      </c>
      <c r="L3185" t="s">
        <v>20</v>
      </c>
      <c r="M3185" t="s">
        <v>19</v>
      </c>
      <c r="N3185">
        <v>23</v>
      </c>
      <c r="O3185">
        <v>2</v>
      </c>
      <c r="P3185">
        <v>18</v>
      </c>
      <c r="Q3185">
        <v>17.3875934399505</v>
      </c>
      <c r="R3185">
        <v>8</v>
      </c>
      <c r="T3185" s="340" t="str">
        <f t="shared" si="148"/>
        <v>2011FemaleAllEth23Other</v>
      </c>
      <c r="U3185">
        <v>2011</v>
      </c>
      <c r="V3185" t="s">
        <v>8</v>
      </c>
      <c r="W3185" t="s">
        <v>27</v>
      </c>
      <c r="X3185">
        <v>23</v>
      </c>
      <c r="Y3185" t="s">
        <v>45</v>
      </c>
      <c r="Z3185">
        <v>3</v>
      </c>
      <c r="AA3185">
        <v>33</v>
      </c>
      <c r="AB3185">
        <v>9.1</v>
      </c>
    </row>
    <row r="3186" spans="10:28">
      <c r="J3186" s="340" t="str">
        <f t="shared" si="147"/>
        <v>2011MaleNon-Maori233</v>
      </c>
      <c r="K3186">
        <v>2011</v>
      </c>
      <c r="L3186" t="s">
        <v>20</v>
      </c>
      <c r="M3186" t="s">
        <v>19</v>
      </c>
      <c r="N3186">
        <v>23</v>
      </c>
      <c r="O3186">
        <v>3</v>
      </c>
      <c r="P3186">
        <v>19</v>
      </c>
      <c r="Q3186">
        <v>18.487117787909</v>
      </c>
      <c r="R3186">
        <v>8.3000000000000007</v>
      </c>
      <c r="T3186" s="340" t="str">
        <f t="shared" si="148"/>
        <v>2011FemaleAllEth24Other</v>
      </c>
      <c r="U3186">
        <v>2011</v>
      </c>
      <c r="V3186" t="s">
        <v>8</v>
      </c>
      <c r="W3186" t="s">
        <v>27</v>
      </c>
      <c r="X3186">
        <v>24</v>
      </c>
      <c r="Y3186" t="s">
        <v>45</v>
      </c>
      <c r="Z3186">
        <v>2</v>
      </c>
      <c r="AA3186">
        <v>33</v>
      </c>
      <c r="AB3186">
        <v>6.1</v>
      </c>
    </row>
    <row r="3187" spans="10:28">
      <c r="J3187" s="340" t="str">
        <f t="shared" si="147"/>
        <v>2011MaleNon-Maori234</v>
      </c>
      <c r="K3187">
        <v>2011</v>
      </c>
      <c r="L3187" t="s">
        <v>20</v>
      </c>
      <c r="M3187" t="s">
        <v>19</v>
      </c>
      <c r="N3187">
        <v>23</v>
      </c>
      <c r="O3187">
        <v>4</v>
      </c>
      <c r="P3187">
        <v>19</v>
      </c>
      <c r="Q3187">
        <v>19.967270420602699</v>
      </c>
      <c r="R3187">
        <v>9</v>
      </c>
      <c r="T3187" s="340" t="str">
        <f t="shared" si="148"/>
        <v>2011FemaleAllEth23Poisoning by gases and vapours</v>
      </c>
      <c r="U3187">
        <v>2011</v>
      </c>
      <c r="V3187" t="s">
        <v>8</v>
      </c>
      <c r="W3187" t="s">
        <v>27</v>
      </c>
      <c r="X3187">
        <v>23</v>
      </c>
      <c r="Y3187" t="s">
        <v>46</v>
      </c>
      <c r="Z3187">
        <v>3</v>
      </c>
      <c r="AA3187">
        <v>33</v>
      </c>
      <c r="AB3187">
        <v>9.1</v>
      </c>
    </row>
    <row r="3188" spans="10:28">
      <c r="J3188" s="340" t="str">
        <f t="shared" si="147"/>
        <v>2011MaleNon-Maori235</v>
      </c>
      <c r="K3188">
        <v>2011</v>
      </c>
      <c r="L3188" t="s">
        <v>20</v>
      </c>
      <c r="M3188" t="s">
        <v>19</v>
      </c>
      <c r="N3188">
        <v>23</v>
      </c>
      <c r="O3188">
        <v>5</v>
      </c>
      <c r="P3188">
        <v>19</v>
      </c>
      <c r="Q3188">
        <v>24.999850207903101</v>
      </c>
      <c r="R3188">
        <v>11.2</v>
      </c>
      <c r="T3188" s="340" t="str">
        <f t="shared" si="148"/>
        <v>2011FemaleAllEth24Poisoning by gases and vapours</v>
      </c>
      <c r="U3188">
        <v>2011</v>
      </c>
      <c r="V3188" t="s">
        <v>8</v>
      </c>
      <c r="W3188" t="s">
        <v>27</v>
      </c>
      <c r="X3188">
        <v>24</v>
      </c>
      <c r="Y3188" t="s">
        <v>46</v>
      </c>
      <c r="Z3188">
        <v>2</v>
      </c>
      <c r="AA3188">
        <v>33</v>
      </c>
      <c r="AB3188">
        <v>6.1</v>
      </c>
    </row>
    <row r="3189" spans="10:28">
      <c r="J3189" s="340" t="str">
        <f t="shared" si="147"/>
        <v>2011MaleNon-Maori241</v>
      </c>
      <c r="K3189">
        <v>2011</v>
      </c>
      <c r="L3189" t="s">
        <v>20</v>
      </c>
      <c r="M3189" t="s">
        <v>19</v>
      </c>
      <c r="N3189">
        <v>24</v>
      </c>
      <c r="O3189">
        <v>1</v>
      </c>
      <c r="P3189">
        <v>22</v>
      </c>
      <c r="Q3189">
        <v>17.085518527723</v>
      </c>
      <c r="R3189">
        <v>7.1</v>
      </c>
      <c r="T3189" s="340" t="str">
        <f t="shared" si="148"/>
        <v>2011FemaleAllEth22Poisoning by solids and liquids</v>
      </c>
      <c r="U3189">
        <v>2011</v>
      </c>
      <c r="V3189" t="s">
        <v>8</v>
      </c>
      <c r="W3189" t="s">
        <v>27</v>
      </c>
      <c r="X3189">
        <v>22</v>
      </c>
      <c r="Y3189" t="s">
        <v>47</v>
      </c>
      <c r="Z3189">
        <v>3</v>
      </c>
      <c r="AA3189">
        <v>35</v>
      </c>
      <c r="AB3189">
        <v>8.6</v>
      </c>
    </row>
    <row r="3190" spans="10:28">
      <c r="J3190" s="340" t="str">
        <f t="shared" si="147"/>
        <v>2011MaleNon-Maori242</v>
      </c>
      <c r="K3190">
        <v>2011</v>
      </c>
      <c r="L3190" t="s">
        <v>20</v>
      </c>
      <c r="M3190" t="s">
        <v>19</v>
      </c>
      <c r="N3190">
        <v>24</v>
      </c>
      <c r="O3190">
        <v>2</v>
      </c>
      <c r="P3190">
        <v>16</v>
      </c>
      <c r="Q3190">
        <v>14.3214027859627</v>
      </c>
      <c r="R3190">
        <v>7</v>
      </c>
      <c r="T3190" s="340" t="str">
        <f t="shared" si="148"/>
        <v>2011FemaleAllEth23Poisoning by solids and liquids</v>
      </c>
      <c r="U3190">
        <v>2011</v>
      </c>
      <c r="V3190" t="s">
        <v>8</v>
      </c>
      <c r="W3190" t="s">
        <v>27</v>
      </c>
      <c r="X3190">
        <v>23</v>
      </c>
      <c r="Y3190" t="s">
        <v>47</v>
      </c>
      <c r="Z3190">
        <v>4</v>
      </c>
      <c r="AA3190">
        <v>33</v>
      </c>
      <c r="AB3190">
        <v>12.1</v>
      </c>
    </row>
    <row r="3191" spans="10:28">
      <c r="J3191" s="340" t="str">
        <f t="shared" si="147"/>
        <v>2011MaleNon-Maori243</v>
      </c>
      <c r="K3191">
        <v>2011</v>
      </c>
      <c r="L3191" t="s">
        <v>20</v>
      </c>
      <c r="M3191" t="s">
        <v>19</v>
      </c>
      <c r="N3191">
        <v>24</v>
      </c>
      <c r="O3191">
        <v>3</v>
      </c>
      <c r="P3191">
        <v>30</v>
      </c>
      <c r="Q3191">
        <v>30.752644486549599</v>
      </c>
      <c r="R3191">
        <v>11</v>
      </c>
      <c r="T3191" s="340" t="str">
        <f t="shared" si="148"/>
        <v>2011FemaleAllEth24Poisoning by solids and liquids</v>
      </c>
      <c r="U3191">
        <v>2011</v>
      </c>
      <c r="V3191" t="s">
        <v>8</v>
      </c>
      <c r="W3191" t="s">
        <v>27</v>
      </c>
      <c r="X3191">
        <v>24</v>
      </c>
      <c r="Y3191" t="s">
        <v>47</v>
      </c>
      <c r="Z3191">
        <v>13</v>
      </c>
      <c r="AA3191">
        <v>33</v>
      </c>
      <c r="AB3191">
        <v>39.4</v>
      </c>
    </row>
    <row r="3192" spans="10:28">
      <c r="J3192" s="340" t="str">
        <f t="shared" si="147"/>
        <v>2011MaleNon-Maori244</v>
      </c>
      <c r="K3192">
        <v>2011</v>
      </c>
      <c r="L3192" t="s">
        <v>20</v>
      </c>
      <c r="M3192" t="s">
        <v>19</v>
      </c>
      <c r="N3192">
        <v>24</v>
      </c>
      <c r="O3192">
        <v>4</v>
      </c>
      <c r="P3192">
        <v>18</v>
      </c>
      <c r="Q3192">
        <v>21.458816377732099</v>
      </c>
      <c r="R3192">
        <v>9.9</v>
      </c>
      <c r="T3192" s="340" t="str">
        <f t="shared" si="148"/>
        <v>2011FemaleAllEth25Poisoning by solids and liquids</v>
      </c>
      <c r="U3192">
        <v>2011</v>
      </c>
      <c r="V3192" t="s">
        <v>8</v>
      </c>
      <c r="W3192" t="s">
        <v>27</v>
      </c>
      <c r="X3192">
        <v>25</v>
      </c>
      <c r="Y3192" t="s">
        <v>47</v>
      </c>
      <c r="Z3192">
        <v>6</v>
      </c>
      <c r="AA3192">
        <v>14</v>
      </c>
      <c r="AB3192">
        <v>42.9</v>
      </c>
    </row>
    <row r="3193" spans="10:28">
      <c r="J3193" s="340" t="str">
        <f t="shared" si="147"/>
        <v>2011MaleNon-Maori245</v>
      </c>
      <c r="K3193">
        <v>2011</v>
      </c>
      <c r="L3193" t="s">
        <v>20</v>
      </c>
      <c r="M3193" t="s">
        <v>19</v>
      </c>
      <c r="N3193">
        <v>24</v>
      </c>
      <c r="O3193">
        <v>5</v>
      </c>
      <c r="P3193">
        <v>12</v>
      </c>
      <c r="Q3193">
        <v>18.206280029893801</v>
      </c>
      <c r="R3193">
        <v>10.3</v>
      </c>
      <c r="T3193" s="340" t="str">
        <f t="shared" si="148"/>
        <v>2011FemaleAllEth23Sharp object</v>
      </c>
      <c r="U3193">
        <v>2011</v>
      </c>
      <c r="V3193" t="s">
        <v>8</v>
      </c>
      <c r="W3193" t="s">
        <v>27</v>
      </c>
      <c r="X3193">
        <v>23</v>
      </c>
      <c r="Y3193" t="s">
        <v>48</v>
      </c>
      <c r="Z3193">
        <v>1</v>
      </c>
      <c r="AA3193">
        <v>33</v>
      </c>
      <c r="AB3193">
        <v>3</v>
      </c>
    </row>
    <row r="3194" spans="10:28">
      <c r="J3194" s="340" t="str">
        <f t="shared" si="147"/>
        <v>2011MaleNon-Maori251</v>
      </c>
      <c r="K3194">
        <v>2011</v>
      </c>
      <c r="L3194" t="s">
        <v>20</v>
      </c>
      <c r="M3194" t="s">
        <v>19</v>
      </c>
      <c r="N3194">
        <v>25</v>
      </c>
      <c r="O3194">
        <v>1</v>
      </c>
      <c r="P3194">
        <v>3</v>
      </c>
      <c r="Q3194">
        <v>5.3331241711378103</v>
      </c>
      <c r="R3194">
        <v>6</v>
      </c>
      <c r="T3194" s="340" t="str">
        <f t="shared" si="148"/>
        <v>2011FemaleAllEth22Submersion (drowning)</v>
      </c>
      <c r="U3194">
        <v>2011</v>
      </c>
      <c r="V3194" t="s">
        <v>8</v>
      </c>
      <c r="W3194" t="s">
        <v>27</v>
      </c>
      <c r="X3194">
        <v>22</v>
      </c>
      <c r="Y3194" t="s">
        <v>49</v>
      </c>
      <c r="Z3194">
        <v>1</v>
      </c>
      <c r="AA3194">
        <v>35</v>
      </c>
      <c r="AB3194">
        <v>2.9</v>
      </c>
    </row>
    <row r="3195" spans="10:28">
      <c r="J3195" s="340" t="str">
        <f t="shared" si="147"/>
        <v>2011MaleNon-Maori252</v>
      </c>
      <c r="K3195">
        <v>2011</v>
      </c>
      <c r="L3195" t="s">
        <v>20</v>
      </c>
      <c r="M3195" t="s">
        <v>19</v>
      </c>
      <c r="N3195">
        <v>25</v>
      </c>
      <c r="O3195">
        <v>2</v>
      </c>
      <c r="P3195">
        <v>4</v>
      </c>
      <c r="Q3195">
        <v>7.2708460675669802</v>
      </c>
      <c r="R3195">
        <v>7.1</v>
      </c>
      <c r="T3195" s="340" t="str">
        <f t="shared" si="148"/>
        <v>2011FemaleAllEth23Submersion (drowning)</v>
      </c>
      <c r="U3195">
        <v>2011</v>
      </c>
      <c r="V3195" t="s">
        <v>8</v>
      </c>
      <c r="W3195" t="s">
        <v>27</v>
      </c>
      <c r="X3195">
        <v>23</v>
      </c>
      <c r="Y3195" t="s">
        <v>49</v>
      </c>
      <c r="Z3195">
        <v>1</v>
      </c>
      <c r="AA3195">
        <v>33</v>
      </c>
      <c r="AB3195">
        <v>3</v>
      </c>
    </row>
    <row r="3196" spans="10:28">
      <c r="J3196" s="340" t="str">
        <f t="shared" si="147"/>
        <v>2011MaleNon-Maori253</v>
      </c>
      <c r="K3196">
        <v>2011</v>
      </c>
      <c r="L3196" t="s">
        <v>20</v>
      </c>
      <c r="M3196" t="s">
        <v>19</v>
      </c>
      <c r="N3196">
        <v>25</v>
      </c>
      <c r="O3196">
        <v>3</v>
      </c>
      <c r="P3196">
        <v>12</v>
      </c>
      <c r="Q3196">
        <v>22.9551784504587</v>
      </c>
      <c r="R3196">
        <v>13</v>
      </c>
      <c r="T3196" s="340" t="str">
        <f t="shared" si="148"/>
        <v>2011FemaleAllEth24Submersion (drowning)</v>
      </c>
      <c r="U3196">
        <v>2011</v>
      </c>
      <c r="V3196" t="s">
        <v>8</v>
      </c>
      <c r="W3196" t="s">
        <v>27</v>
      </c>
      <c r="X3196">
        <v>24</v>
      </c>
      <c r="Y3196" t="s">
        <v>49</v>
      </c>
      <c r="Z3196">
        <v>3</v>
      </c>
      <c r="AA3196">
        <v>33</v>
      </c>
      <c r="AB3196">
        <v>9.1</v>
      </c>
    </row>
    <row r="3197" spans="10:28">
      <c r="J3197" s="340" t="str">
        <f t="shared" si="147"/>
        <v>2011MaleNon-Maori254</v>
      </c>
      <c r="K3197">
        <v>2011</v>
      </c>
      <c r="L3197" t="s">
        <v>20</v>
      </c>
      <c r="M3197" t="s">
        <v>19</v>
      </c>
      <c r="N3197">
        <v>25</v>
      </c>
      <c r="O3197">
        <v>4</v>
      </c>
      <c r="P3197">
        <v>5</v>
      </c>
      <c r="Q3197">
        <v>10.089690708249799</v>
      </c>
      <c r="R3197">
        <v>8.8000000000000007</v>
      </c>
      <c r="T3197" s="340" t="str">
        <f t="shared" si="148"/>
        <v>2011FemaleAllEth25Submersion (drowning)</v>
      </c>
      <c r="U3197">
        <v>2011</v>
      </c>
      <c r="V3197" t="s">
        <v>8</v>
      </c>
      <c r="W3197" t="s">
        <v>27</v>
      </c>
      <c r="X3197">
        <v>25</v>
      </c>
      <c r="Y3197" t="s">
        <v>49</v>
      </c>
      <c r="Z3197">
        <v>2</v>
      </c>
      <c r="AA3197">
        <v>14</v>
      </c>
      <c r="AB3197">
        <v>14.3</v>
      </c>
    </row>
    <row r="3198" spans="10:28">
      <c r="J3198" s="340" t="str">
        <f t="shared" si="147"/>
        <v>2011MaleNon-Maori255</v>
      </c>
      <c r="K3198">
        <v>2011</v>
      </c>
      <c r="L3198" t="s">
        <v>20</v>
      </c>
      <c r="M3198" t="s">
        <v>19</v>
      </c>
      <c r="N3198">
        <v>25</v>
      </c>
      <c r="O3198">
        <v>5</v>
      </c>
      <c r="P3198">
        <v>5</v>
      </c>
      <c r="Q3198">
        <v>13.397660120170499</v>
      </c>
      <c r="R3198">
        <v>11.7</v>
      </c>
      <c r="T3198" s="340" t="str">
        <f t="shared" si="148"/>
        <v>2011FemaleMaori21Hanging, strangulation and suffocation</v>
      </c>
      <c r="U3198">
        <v>2011</v>
      </c>
      <c r="V3198" t="s">
        <v>8</v>
      </c>
      <c r="W3198" t="s">
        <v>18</v>
      </c>
      <c r="X3198">
        <v>21</v>
      </c>
      <c r="Y3198" t="s">
        <v>43</v>
      </c>
      <c r="Z3198">
        <v>2</v>
      </c>
      <c r="AA3198">
        <v>2</v>
      </c>
      <c r="AB3198">
        <v>100</v>
      </c>
    </row>
    <row r="3199" spans="10:28">
      <c r="J3199" s="340" t="str">
        <f t="shared" si="147"/>
        <v>2012AllSexAllEth211</v>
      </c>
      <c r="K3199">
        <v>2012</v>
      </c>
      <c r="L3199" t="s">
        <v>17</v>
      </c>
      <c r="M3199" t="s">
        <v>27</v>
      </c>
      <c r="N3199">
        <v>21</v>
      </c>
      <c r="O3199">
        <v>1</v>
      </c>
      <c r="P3199">
        <v>0</v>
      </c>
      <c r="Q3199">
        <v>0</v>
      </c>
      <c r="T3199" s="340" t="str">
        <f t="shared" si="148"/>
        <v>2011FemaleMaori22Hanging, strangulation and suffocation</v>
      </c>
      <c r="U3199">
        <v>2011</v>
      </c>
      <c r="V3199" t="s">
        <v>8</v>
      </c>
      <c r="W3199" t="s">
        <v>18</v>
      </c>
      <c r="X3199">
        <v>22</v>
      </c>
      <c r="Y3199" t="s">
        <v>43</v>
      </c>
      <c r="Z3199">
        <v>16</v>
      </c>
      <c r="AA3199">
        <v>16</v>
      </c>
      <c r="AB3199">
        <v>100</v>
      </c>
    </row>
    <row r="3200" spans="10:28">
      <c r="J3200" s="340" t="str">
        <f t="shared" si="147"/>
        <v>2012AllSexAllEth212</v>
      </c>
      <c r="K3200">
        <v>2012</v>
      </c>
      <c r="L3200" t="s">
        <v>17</v>
      </c>
      <c r="M3200" t="s">
        <v>27</v>
      </c>
      <c r="N3200">
        <v>21</v>
      </c>
      <c r="O3200">
        <v>2</v>
      </c>
      <c r="P3200">
        <v>3</v>
      </c>
      <c r="Q3200">
        <v>1.7448648419203201</v>
      </c>
      <c r="R3200">
        <v>2</v>
      </c>
      <c r="T3200" s="340" t="str">
        <f t="shared" si="148"/>
        <v>2011FemaleMaori23Hanging, strangulation and suffocation</v>
      </c>
      <c r="U3200">
        <v>2011</v>
      </c>
      <c r="V3200" t="s">
        <v>8</v>
      </c>
      <c r="W3200" t="s">
        <v>18</v>
      </c>
      <c r="X3200">
        <v>23</v>
      </c>
      <c r="Y3200" t="s">
        <v>43</v>
      </c>
      <c r="Z3200">
        <v>10</v>
      </c>
      <c r="AA3200">
        <v>11</v>
      </c>
      <c r="AB3200">
        <v>90.9</v>
      </c>
    </row>
    <row r="3201" spans="10:28">
      <c r="J3201" s="340" t="str">
        <f t="shared" si="147"/>
        <v>2012AllSexAllEth213</v>
      </c>
      <c r="K3201">
        <v>2012</v>
      </c>
      <c r="L3201" t="s">
        <v>17</v>
      </c>
      <c r="M3201" t="s">
        <v>27</v>
      </c>
      <c r="N3201">
        <v>21</v>
      </c>
      <c r="O3201">
        <v>3</v>
      </c>
      <c r="P3201">
        <v>1</v>
      </c>
      <c r="Q3201">
        <v>0.59062445923699802</v>
      </c>
      <c r="R3201">
        <v>1.2</v>
      </c>
      <c r="T3201" s="340" t="str">
        <f t="shared" si="148"/>
        <v>2011FemaleMaori24Hanging, strangulation and suffocation</v>
      </c>
      <c r="U3201">
        <v>2011</v>
      </c>
      <c r="V3201" t="s">
        <v>8</v>
      </c>
      <c r="W3201" t="s">
        <v>18</v>
      </c>
      <c r="X3201">
        <v>24</v>
      </c>
      <c r="Y3201" t="s">
        <v>43</v>
      </c>
      <c r="Z3201">
        <v>2</v>
      </c>
      <c r="AA3201">
        <v>3</v>
      </c>
      <c r="AB3201">
        <v>66.7</v>
      </c>
    </row>
    <row r="3202" spans="10:28">
      <c r="J3202" s="340" t="str">
        <f t="shared" si="147"/>
        <v>2012AllSexAllEth214</v>
      </c>
      <c r="K3202">
        <v>2012</v>
      </c>
      <c r="L3202" t="s">
        <v>17</v>
      </c>
      <c r="M3202" t="s">
        <v>27</v>
      </c>
      <c r="N3202">
        <v>21</v>
      </c>
      <c r="O3202">
        <v>4</v>
      </c>
      <c r="P3202">
        <v>2</v>
      </c>
      <c r="Q3202">
        <v>1.17209720200616</v>
      </c>
      <c r="R3202">
        <v>1.6</v>
      </c>
      <c r="T3202" s="340" t="str">
        <f t="shared" si="148"/>
        <v>2011FemaleMaori23Jumping from a high place</v>
      </c>
      <c r="U3202">
        <v>2011</v>
      </c>
      <c r="V3202" t="s">
        <v>8</v>
      </c>
      <c r="W3202" t="s">
        <v>18</v>
      </c>
      <c r="X3202">
        <v>23</v>
      </c>
      <c r="Y3202" t="s">
        <v>44</v>
      </c>
      <c r="Z3202">
        <v>1</v>
      </c>
      <c r="AA3202">
        <v>11</v>
      </c>
      <c r="AB3202">
        <v>9.1</v>
      </c>
    </row>
    <row r="3203" spans="10:28">
      <c r="J3203" s="340" t="str">
        <f t="shared" si="147"/>
        <v>2012AllSexAllEth215</v>
      </c>
      <c r="K3203">
        <v>2012</v>
      </c>
      <c r="L3203" t="s">
        <v>17</v>
      </c>
      <c r="M3203" t="s">
        <v>27</v>
      </c>
      <c r="N3203">
        <v>21</v>
      </c>
      <c r="O3203">
        <v>5</v>
      </c>
      <c r="P3203">
        <v>5</v>
      </c>
      <c r="Q3203">
        <v>2.32749910171324</v>
      </c>
      <c r="R3203">
        <v>2</v>
      </c>
      <c r="T3203" s="340" t="str">
        <f t="shared" si="148"/>
        <v>2011FemaleMaori24Poisoning by solids and liquids</v>
      </c>
      <c r="U3203">
        <v>2011</v>
      </c>
      <c r="V3203" t="s">
        <v>8</v>
      </c>
      <c r="W3203" t="s">
        <v>18</v>
      </c>
      <c r="X3203">
        <v>24</v>
      </c>
      <c r="Y3203" t="s">
        <v>47</v>
      </c>
      <c r="Z3203">
        <v>1</v>
      </c>
      <c r="AA3203">
        <v>3</v>
      </c>
      <c r="AB3203">
        <v>33.299999999999997</v>
      </c>
    </row>
    <row r="3204" spans="10:28">
      <c r="J3204" s="340" t="str">
        <f t="shared" ref="J3204:J3267" si="149">K3204&amp;L3204&amp;M3204&amp;N3204&amp;O3204</f>
        <v>2012AllSexAllEth221</v>
      </c>
      <c r="K3204">
        <v>2012</v>
      </c>
      <c r="L3204" t="s">
        <v>17</v>
      </c>
      <c r="M3204" t="s">
        <v>27</v>
      </c>
      <c r="N3204">
        <v>22</v>
      </c>
      <c r="O3204">
        <v>1</v>
      </c>
      <c r="P3204">
        <v>11</v>
      </c>
      <c r="Q3204">
        <v>9.9822790655776394</v>
      </c>
      <c r="R3204">
        <v>5.9</v>
      </c>
      <c r="T3204" s="340" t="str">
        <f t="shared" si="148"/>
        <v>2011FemaleNon-Maori24Firearms and explosives</v>
      </c>
      <c r="U3204">
        <v>2011</v>
      </c>
      <c r="V3204" t="s">
        <v>8</v>
      </c>
      <c r="W3204" t="s">
        <v>19</v>
      </c>
      <c r="X3204">
        <v>24</v>
      </c>
      <c r="Y3204" t="s">
        <v>42</v>
      </c>
      <c r="Z3204">
        <v>2</v>
      </c>
      <c r="AA3204">
        <v>30</v>
      </c>
      <c r="AB3204">
        <v>6.7</v>
      </c>
    </row>
    <row r="3205" spans="10:28">
      <c r="J3205" s="340" t="str">
        <f t="shared" si="149"/>
        <v>2012AllSexAllEth222</v>
      </c>
      <c r="K3205">
        <v>2012</v>
      </c>
      <c r="L3205" t="s">
        <v>17</v>
      </c>
      <c r="M3205" t="s">
        <v>27</v>
      </c>
      <c r="N3205">
        <v>22</v>
      </c>
      <c r="O3205">
        <v>2</v>
      </c>
      <c r="P3205">
        <v>16</v>
      </c>
      <c r="Q3205">
        <v>14.3523465558831</v>
      </c>
      <c r="R3205">
        <v>7</v>
      </c>
      <c r="T3205" s="340" t="str">
        <f t="shared" ref="T3205:T3268" si="150">U3205&amp;V3205&amp;W3205&amp;X3205&amp;Y3205</f>
        <v>2011FemaleNon-Maori21Hanging, strangulation and suffocation</v>
      </c>
      <c r="U3205">
        <v>2011</v>
      </c>
      <c r="V3205" t="s">
        <v>8</v>
      </c>
      <c r="W3205" t="s">
        <v>19</v>
      </c>
      <c r="X3205">
        <v>21</v>
      </c>
      <c r="Y3205" t="s">
        <v>43</v>
      </c>
      <c r="Z3205">
        <v>1</v>
      </c>
      <c r="AA3205">
        <v>1</v>
      </c>
      <c r="AB3205">
        <v>100</v>
      </c>
    </row>
    <row r="3206" spans="10:28">
      <c r="J3206" s="340" t="str">
        <f t="shared" si="149"/>
        <v>2012AllSexAllEth223</v>
      </c>
      <c r="K3206">
        <v>2012</v>
      </c>
      <c r="L3206" t="s">
        <v>17</v>
      </c>
      <c r="M3206" t="s">
        <v>27</v>
      </c>
      <c r="N3206">
        <v>22</v>
      </c>
      <c r="O3206">
        <v>3</v>
      </c>
      <c r="P3206">
        <v>30</v>
      </c>
      <c r="Q3206">
        <v>25.4102857361258</v>
      </c>
      <c r="R3206">
        <v>9.1</v>
      </c>
      <c r="T3206" s="340" t="str">
        <f t="shared" si="150"/>
        <v>2011FemaleNon-Maori22Hanging, strangulation and suffocation</v>
      </c>
      <c r="U3206">
        <v>2011</v>
      </c>
      <c r="V3206" t="s">
        <v>8</v>
      </c>
      <c r="W3206" t="s">
        <v>19</v>
      </c>
      <c r="X3206">
        <v>22</v>
      </c>
      <c r="Y3206" t="s">
        <v>43</v>
      </c>
      <c r="Z3206">
        <v>15</v>
      </c>
      <c r="AA3206">
        <v>19</v>
      </c>
      <c r="AB3206">
        <v>78.900000000000006</v>
      </c>
    </row>
    <row r="3207" spans="10:28">
      <c r="J3207" s="340" t="str">
        <f t="shared" si="149"/>
        <v>2012AllSexAllEth224</v>
      </c>
      <c r="K3207">
        <v>2012</v>
      </c>
      <c r="L3207" t="s">
        <v>17</v>
      </c>
      <c r="M3207" t="s">
        <v>27</v>
      </c>
      <c r="N3207">
        <v>22</v>
      </c>
      <c r="O3207">
        <v>4</v>
      </c>
      <c r="P3207">
        <v>39</v>
      </c>
      <c r="Q3207">
        <v>29.369879840171301</v>
      </c>
      <c r="R3207">
        <v>9.1999999999999993</v>
      </c>
      <c r="T3207" s="340" t="str">
        <f t="shared" si="150"/>
        <v>2011FemaleNon-Maori23Hanging, strangulation and suffocation</v>
      </c>
      <c r="U3207">
        <v>2011</v>
      </c>
      <c r="V3207" t="s">
        <v>8</v>
      </c>
      <c r="W3207" t="s">
        <v>19</v>
      </c>
      <c r="X3207">
        <v>23</v>
      </c>
      <c r="Y3207" t="s">
        <v>43</v>
      </c>
      <c r="Z3207">
        <v>10</v>
      </c>
      <c r="AA3207">
        <v>22</v>
      </c>
      <c r="AB3207">
        <v>45.5</v>
      </c>
    </row>
    <row r="3208" spans="10:28">
      <c r="J3208" s="340" t="str">
        <f t="shared" si="149"/>
        <v>2012AllSexAllEth225</v>
      </c>
      <c r="K3208">
        <v>2012</v>
      </c>
      <c r="L3208" t="s">
        <v>17</v>
      </c>
      <c r="M3208" t="s">
        <v>27</v>
      </c>
      <c r="N3208">
        <v>22</v>
      </c>
      <c r="O3208">
        <v>5</v>
      </c>
      <c r="P3208">
        <v>48</v>
      </c>
      <c r="Q3208">
        <v>31.7937605176486</v>
      </c>
      <c r="R3208">
        <v>9</v>
      </c>
      <c r="T3208" s="340" t="str">
        <f t="shared" si="150"/>
        <v>2011FemaleNon-Maori24Hanging, strangulation and suffocation</v>
      </c>
      <c r="U3208">
        <v>2011</v>
      </c>
      <c r="V3208" t="s">
        <v>8</v>
      </c>
      <c r="W3208" t="s">
        <v>19</v>
      </c>
      <c r="X3208">
        <v>24</v>
      </c>
      <c r="Y3208" t="s">
        <v>43</v>
      </c>
      <c r="Z3208">
        <v>7</v>
      </c>
      <c r="AA3208">
        <v>30</v>
      </c>
      <c r="AB3208">
        <v>23.3</v>
      </c>
    </row>
    <row r="3209" spans="10:28">
      <c r="J3209" s="340" t="str">
        <f t="shared" si="149"/>
        <v>2012AllSexAllEth231</v>
      </c>
      <c r="K3209">
        <v>2012</v>
      </c>
      <c r="L3209" t="s">
        <v>17</v>
      </c>
      <c r="M3209" t="s">
        <v>27</v>
      </c>
      <c r="N3209">
        <v>23</v>
      </c>
      <c r="O3209">
        <v>1</v>
      </c>
      <c r="P3209">
        <v>19</v>
      </c>
      <c r="Q3209">
        <v>8.7270022479196694</v>
      </c>
      <c r="R3209">
        <v>3.9</v>
      </c>
      <c r="T3209" s="340" t="str">
        <f t="shared" si="150"/>
        <v>2011FemaleNon-Maori25Hanging, strangulation and suffocation</v>
      </c>
      <c r="U3209">
        <v>2011</v>
      </c>
      <c r="V3209" t="s">
        <v>8</v>
      </c>
      <c r="W3209" t="s">
        <v>19</v>
      </c>
      <c r="X3209">
        <v>25</v>
      </c>
      <c r="Y3209" t="s">
        <v>43</v>
      </c>
      <c r="Z3209">
        <v>6</v>
      </c>
      <c r="AA3209">
        <v>14</v>
      </c>
      <c r="AB3209">
        <v>42.9</v>
      </c>
    </row>
    <row r="3210" spans="10:28">
      <c r="J3210" s="340" t="str">
        <f t="shared" si="149"/>
        <v>2012AllSexAllEth232</v>
      </c>
      <c r="K3210">
        <v>2012</v>
      </c>
      <c r="L3210" t="s">
        <v>17</v>
      </c>
      <c r="M3210" t="s">
        <v>27</v>
      </c>
      <c r="N3210">
        <v>23</v>
      </c>
      <c r="O3210">
        <v>2</v>
      </c>
      <c r="P3210">
        <v>27</v>
      </c>
      <c r="Q3210">
        <v>11.517774124728399</v>
      </c>
      <c r="R3210">
        <v>4.3</v>
      </c>
      <c r="T3210" s="340" t="str">
        <f t="shared" si="150"/>
        <v>2011FemaleNon-Maori24Jumping from a high place</v>
      </c>
      <c r="U3210">
        <v>2011</v>
      </c>
      <c r="V3210" t="s">
        <v>8</v>
      </c>
      <c r="W3210" t="s">
        <v>19</v>
      </c>
      <c r="X3210">
        <v>24</v>
      </c>
      <c r="Y3210" t="s">
        <v>44</v>
      </c>
      <c r="Z3210">
        <v>2</v>
      </c>
      <c r="AA3210">
        <v>30</v>
      </c>
      <c r="AB3210">
        <v>6.7</v>
      </c>
    </row>
    <row r="3211" spans="10:28">
      <c r="J3211" s="340" t="str">
        <f t="shared" si="149"/>
        <v>2012AllSexAllEth233</v>
      </c>
      <c r="K3211">
        <v>2012</v>
      </c>
      <c r="L3211" t="s">
        <v>17</v>
      </c>
      <c r="M3211" t="s">
        <v>27</v>
      </c>
      <c r="N3211">
        <v>23</v>
      </c>
      <c r="O3211">
        <v>3</v>
      </c>
      <c r="P3211">
        <v>38</v>
      </c>
      <c r="Q3211">
        <v>15.9266886219936</v>
      </c>
      <c r="R3211">
        <v>5.0999999999999996</v>
      </c>
      <c r="T3211" s="340" t="str">
        <f t="shared" si="150"/>
        <v>2011FemaleNon-Maori23Other</v>
      </c>
      <c r="U3211">
        <v>2011</v>
      </c>
      <c r="V3211" t="s">
        <v>8</v>
      </c>
      <c r="W3211" t="s">
        <v>19</v>
      </c>
      <c r="X3211">
        <v>23</v>
      </c>
      <c r="Y3211" t="s">
        <v>45</v>
      </c>
      <c r="Z3211">
        <v>3</v>
      </c>
      <c r="AA3211">
        <v>22</v>
      </c>
      <c r="AB3211">
        <v>13.6</v>
      </c>
    </row>
    <row r="3212" spans="10:28">
      <c r="J3212" s="340" t="str">
        <f t="shared" si="149"/>
        <v>2012AllSexAllEth234</v>
      </c>
      <c r="K3212">
        <v>2012</v>
      </c>
      <c r="L3212" t="s">
        <v>17</v>
      </c>
      <c r="M3212" t="s">
        <v>27</v>
      </c>
      <c r="N3212">
        <v>23</v>
      </c>
      <c r="O3212">
        <v>4</v>
      </c>
      <c r="P3212">
        <v>48</v>
      </c>
      <c r="Q3212">
        <v>20.550488387618401</v>
      </c>
      <c r="R3212">
        <v>5.8</v>
      </c>
      <c r="T3212" s="340" t="str">
        <f t="shared" si="150"/>
        <v>2011FemaleNon-Maori24Other</v>
      </c>
      <c r="U3212">
        <v>2011</v>
      </c>
      <c r="V3212" t="s">
        <v>8</v>
      </c>
      <c r="W3212" t="s">
        <v>19</v>
      </c>
      <c r="X3212">
        <v>24</v>
      </c>
      <c r="Y3212" t="s">
        <v>45</v>
      </c>
      <c r="Z3212">
        <v>2</v>
      </c>
      <c r="AA3212">
        <v>30</v>
      </c>
      <c r="AB3212">
        <v>6.7</v>
      </c>
    </row>
    <row r="3213" spans="10:28">
      <c r="J3213" s="340" t="str">
        <f t="shared" si="149"/>
        <v>2012AllSexAllEth235</v>
      </c>
      <c r="K3213">
        <v>2012</v>
      </c>
      <c r="L3213" t="s">
        <v>17</v>
      </c>
      <c r="M3213" t="s">
        <v>27</v>
      </c>
      <c r="N3213">
        <v>23</v>
      </c>
      <c r="O3213">
        <v>5</v>
      </c>
      <c r="P3213">
        <v>44</v>
      </c>
      <c r="Q3213">
        <v>19.967310634898599</v>
      </c>
      <c r="R3213">
        <v>5.9</v>
      </c>
      <c r="T3213" s="340" t="str">
        <f t="shared" si="150"/>
        <v>2011FemaleNon-Maori23Poisoning by gases and vapours</v>
      </c>
      <c r="U3213">
        <v>2011</v>
      </c>
      <c r="V3213" t="s">
        <v>8</v>
      </c>
      <c r="W3213" t="s">
        <v>19</v>
      </c>
      <c r="X3213">
        <v>23</v>
      </c>
      <c r="Y3213" t="s">
        <v>46</v>
      </c>
      <c r="Z3213">
        <v>3</v>
      </c>
      <c r="AA3213">
        <v>22</v>
      </c>
      <c r="AB3213">
        <v>13.6</v>
      </c>
    </row>
    <row r="3214" spans="10:28">
      <c r="J3214" s="340" t="str">
        <f t="shared" si="149"/>
        <v>2012AllSexAllEth241</v>
      </c>
      <c r="K3214">
        <v>2012</v>
      </c>
      <c r="L3214" t="s">
        <v>17</v>
      </c>
      <c r="M3214" t="s">
        <v>27</v>
      </c>
      <c r="N3214">
        <v>24</v>
      </c>
      <c r="O3214">
        <v>1</v>
      </c>
      <c r="P3214">
        <v>17</v>
      </c>
      <c r="Q3214">
        <v>6.2006799575216904</v>
      </c>
      <c r="R3214">
        <v>2.9</v>
      </c>
      <c r="T3214" s="340" t="str">
        <f t="shared" si="150"/>
        <v>2011FemaleNon-Maori24Poisoning by gases and vapours</v>
      </c>
      <c r="U3214">
        <v>2011</v>
      </c>
      <c r="V3214" t="s">
        <v>8</v>
      </c>
      <c r="W3214" t="s">
        <v>19</v>
      </c>
      <c r="X3214">
        <v>24</v>
      </c>
      <c r="Y3214" t="s">
        <v>46</v>
      </c>
      <c r="Z3214">
        <v>2</v>
      </c>
      <c r="AA3214">
        <v>30</v>
      </c>
      <c r="AB3214">
        <v>6.7</v>
      </c>
    </row>
    <row r="3215" spans="10:28">
      <c r="J3215" s="340" t="str">
        <f t="shared" si="149"/>
        <v>2012AllSexAllEth242</v>
      </c>
      <c r="K3215">
        <v>2012</v>
      </c>
      <c r="L3215" t="s">
        <v>17</v>
      </c>
      <c r="M3215" t="s">
        <v>27</v>
      </c>
      <c r="N3215">
        <v>24</v>
      </c>
      <c r="O3215">
        <v>2</v>
      </c>
      <c r="P3215">
        <v>27</v>
      </c>
      <c r="Q3215">
        <v>11.0276812039756</v>
      </c>
      <c r="R3215">
        <v>4.2</v>
      </c>
      <c r="T3215" s="340" t="str">
        <f t="shared" si="150"/>
        <v>2011FemaleNon-Maori22Poisoning by solids and liquids</v>
      </c>
      <c r="U3215">
        <v>2011</v>
      </c>
      <c r="V3215" t="s">
        <v>8</v>
      </c>
      <c r="W3215" t="s">
        <v>19</v>
      </c>
      <c r="X3215">
        <v>22</v>
      </c>
      <c r="Y3215" t="s">
        <v>47</v>
      </c>
      <c r="Z3215">
        <v>3</v>
      </c>
      <c r="AA3215">
        <v>19</v>
      </c>
      <c r="AB3215">
        <v>15.8</v>
      </c>
    </row>
    <row r="3216" spans="10:28">
      <c r="J3216" s="340" t="str">
        <f t="shared" si="149"/>
        <v>2012AllSexAllEth243</v>
      </c>
      <c r="K3216">
        <v>2012</v>
      </c>
      <c r="L3216" t="s">
        <v>17</v>
      </c>
      <c r="M3216" t="s">
        <v>27</v>
      </c>
      <c r="N3216">
        <v>24</v>
      </c>
      <c r="O3216">
        <v>3</v>
      </c>
      <c r="P3216">
        <v>32</v>
      </c>
      <c r="Q3216">
        <v>14.4370924253983</v>
      </c>
      <c r="R3216">
        <v>5</v>
      </c>
      <c r="T3216" s="340" t="str">
        <f t="shared" si="150"/>
        <v>2011FemaleNon-Maori23Poisoning by solids and liquids</v>
      </c>
      <c r="U3216">
        <v>2011</v>
      </c>
      <c r="V3216" t="s">
        <v>8</v>
      </c>
      <c r="W3216" t="s">
        <v>19</v>
      </c>
      <c r="X3216">
        <v>23</v>
      </c>
      <c r="Y3216" t="s">
        <v>47</v>
      </c>
      <c r="Z3216">
        <v>4</v>
      </c>
      <c r="AA3216">
        <v>22</v>
      </c>
      <c r="AB3216">
        <v>18.2</v>
      </c>
    </row>
    <row r="3217" spans="10:28">
      <c r="J3217" s="340" t="str">
        <f t="shared" si="149"/>
        <v>2012AllSexAllEth244</v>
      </c>
      <c r="K3217">
        <v>2012</v>
      </c>
      <c r="L3217" t="s">
        <v>17</v>
      </c>
      <c r="M3217" t="s">
        <v>27</v>
      </c>
      <c r="N3217">
        <v>24</v>
      </c>
      <c r="O3217">
        <v>4</v>
      </c>
      <c r="P3217">
        <v>37</v>
      </c>
      <c r="Q3217">
        <v>18.376466860299701</v>
      </c>
      <c r="R3217">
        <v>5.9</v>
      </c>
      <c r="T3217" s="340" t="str">
        <f t="shared" si="150"/>
        <v>2011FemaleNon-Maori24Poisoning by solids and liquids</v>
      </c>
      <c r="U3217">
        <v>2011</v>
      </c>
      <c r="V3217" t="s">
        <v>8</v>
      </c>
      <c r="W3217" t="s">
        <v>19</v>
      </c>
      <c r="X3217">
        <v>24</v>
      </c>
      <c r="Y3217" t="s">
        <v>47</v>
      </c>
      <c r="Z3217">
        <v>12</v>
      </c>
      <c r="AA3217">
        <v>30</v>
      </c>
      <c r="AB3217">
        <v>40</v>
      </c>
    </row>
    <row r="3218" spans="10:28">
      <c r="J3218" s="340" t="str">
        <f t="shared" si="149"/>
        <v>2012AllSexAllEth245</v>
      </c>
      <c r="K3218">
        <v>2012</v>
      </c>
      <c r="L3218" t="s">
        <v>17</v>
      </c>
      <c r="M3218" t="s">
        <v>27</v>
      </c>
      <c r="N3218">
        <v>24</v>
      </c>
      <c r="O3218">
        <v>5</v>
      </c>
      <c r="P3218">
        <v>29</v>
      </c>
      <c r="Q3218">
        <v>15.6695562381692</v>
      </c>
      <c r="R3218">
        <v>5.7</v>
      </c>
      <c r="T3218" s="340" t="str">
        <f t="shared" si="150"/>
        <v>2011FemaleNon-Maori25Poisoning by solids and liquids</v>
      </c>
      <c r="U3218">
        <v>2011</v>
      </c>
      <c r="V3218" t="s">
        <v>8</v>
      </c>
      <c r="W3218" t="s">
        <v>19</v>
      </c>
      <c r="X3218">
        <v>25</v>
      </c>
      <c r="Y3218" t="s">
        <v>47</v>
      </c>
      <c r="Z3218">
        <v>6</v>
      </c>
      <c r="AA3218">
        <v>14</v>
      </c>
      <c r="AB3218">
        <v>42.9</v>
      </c>
    </row>
    <row r="3219" spans="10:28">
      <c r="J3219" s="340" t="str">
        <f t="shared" si="149"/>
        <v>2012AllSexAllEth251</v>
      </c>
      <c r="K3219">
        <v>2012</v>
      </c>
      <c r="L3219" t="s">
        <v>17</v>
      </c>
      <c r="M3219" t="s">
        <v>27</v>
      </c>
      <c r="N3219">
        <v>25</v>
      </c>
      <c r="O3219">
        <v>1</v>
      </c>
      <c r="P3219">
        <v>5</v>
      </c>
      <c r="Q3219">
        <v>4.0076916080608296</v>
      </c>
      <c r="R3219">
        <v>3.5</v>
      </c>
      <c r="T3219" s="340" t="str">
        <f t="shared" si="150"/>
        <v>2011FemaleNon-Maori23Sharp object</v>
      </c>
      <c r="U3219">
        <v>2011</v>
      </c>
      <c r="V3219" t="s">
        <v>8</v>
      </c>
      <c r="W3219" t="s">
        <v>19</v>
      </c>
      <c r="X3219">
        <v>23</v>
      </c>
      <c r="Y3219" t="s">
        <v>48</v>
      </c>
      <c r="Z3219">
        <v>1</v>
      </c>
      <c r="AA3219">
        <v>22</v>
      </c>
      <c r="AB3219">
        <v>4.5</v>
      </c>
    </row>
    <row r="3220" spans="10:28">
      <c r="J3220" s="340" t="str">
        <f t="shared" si="149"/>
        <v>2012AllSexAllEth252</v>
      </c>
      <c r="K3220">
        <v>2012</v>
      </c>
      <c r="L3220" t="s">
        <v>17</v>
      </c>
      <c r="M3220" t="s">
        <v>27</v>
      </c>
      <c r="N3220">
        <v>25</v>
      </c>
      <c r="O3220">
        <v>2</v>
      </c>
      <c r="P3220">
        <v>14</v>
      </c>
      <c r="Q3220">
        <v>11.119693883237501</v>
      </c>
      <c r="R3220">
        <v>5.8</v>
      </c>
      <c r="T3220" s="340" t="str">
        <f t="shared" si="150"/>
        <v>2011FemaleNon-Maori22Submersion (drowning)</v>
      </c>
      <c r="U3220">
        <v>2011</v>
      </c>
      <c r="V3220" t="s">
        <v>8</v>
      </c>
      <c r="W3220" t="s">
        <v>19</v>
      </c>
      <c r="X3220">
        <v>22</v>
      </c>
      <c r="Y3220" t="s">
        <v>49</v>
      </c>
      <c r="Z3220">
        <v>1</v>
      </c>
      <c r="AA3220">
        <v>19</v>
      </c>
      <c r="AB3220">
        <v>5.3</v>
      </c>
    </row>
    <row r="3221" spans="10:28">
      <c r="J3221" s="340" t="str">
        <f t="shared" si="149"/>
        <v>2012AllSexAllEth253</v>
      </c>
      <c r="K3221">
        <v>2012</v>
      </c>
      <c r="L3221" t="s">
        <v>17</v>
      </c>
      <c r="M3221" t="s">
        <v>27</v>
      </c>
      <c r="N3221">
        <v>25</v>
      </c>
      <c r="O3221">
        <v>3</v>
      </c>
      <c r="P3221">
        <v>16</v>
      </c>
      <c r="Q3221">
        <v>12.853786246412399</v>
      </c>
      <c r="R3221">
        <v>6.3</v>
      </c>
      <c r="T3221" s="340" t="str">
        <f t="shared" si="150"/>
        <v>2011FemaleNon-Maori23Submersion (drowning)</v>
      </c>
      <c r="U3221">
        <v>2011</v>
      </c>
      <c r="V3221" t="s">
        <v>8</v>
      </c>
      <c r="W3221" t="s">
        <v>19</v>
      </c>
      <c r="X3221">
        <v>23</v>
      </c>
      <c r="Y3221" t="s">
        <v>49</v>
      </c>
      <c r="Z3221">
        <v>1</v>
      </c>
      <c r="AA3221">
        <v>22</v>
      </c>
      <c r="AB3221">
        <v>4.5</v>
      </c>
    </row>
    <row r="3222" spans="10:28">
      <c r="J3222" s="340" t="str">
        <f t="shared" si="149"/>
        <v>2012AllSexAllEth254</v>
      </c>
      <c r="K3222">
        <v>2012</v>
      </c>
      <c r="L3222" t="s">
        <v>17</v>
      </c>
      <c r="M3222" t="s">
        <v>27</v>
      </c>
      <c r="N3222">
        <v>25</v>
      </c>
      <c r="O3222">
        <v>4</v>
      </c>
      <c r="P3222">
        <v>10</v>
      </c>
      <c r="Q3222">
        <v>7.9527013153643802</v>
      </c>
      <c r="R3222">
        <v>4.9000000000000004</v>
      </c>
      <c r="T3222" s="340" t="str">
        <f t="shared" si="150"/>
        <v>2011FemaleNon-Maori24Submersion (drowning)</v>
      </c>
      <c r="U3222">
        <v>2011</v>
      </c>
      <c r="V3222" t="s">
        <v>8</v>
      </c>
      <c r="W3222" t="s">
        <v>19</v>
      </c>
      <c r="X3222">
        <v>24</v>
      </c>
      <c r="Y3222" t="s">
        <v>49</v>
      </c>
      <c r="Z3222">
        <v>3</v>
      </c>
      <c r="AA3222">
        <v>30</v>
      </c>
      <c r="AB3222">
        <v>10</v>
      </c>
    </row>
    <row r="3223" spans="10:28">
      <c r="J3223" s="340" t="str">
        <f t="shared" si="149"/>
        <v>2012AllSexAllEth255</v>
      </c>
      <c r="K3223">
        <v>2012</v>
      </c>
      <c r="L3223" t="s">
        <v>17</v>
      </c>
      <c r="M3223" t="s">
        <v>27</v>
      </c>
      <c r="N3223">
        <v>25</v>
      </c>
      <c r="O3223">
        <v>5</v>
      </c>
      <c r="P3223">
        <v>10</v>
      </c>
      <c r="Q3223">
        <v>9.7879592188669502</v>
      </c>
      <c r="R3223">
        <v>6.1</v>
      </c>
      <c r="T3223" s="340" t="str">
        <f t="shared" si="150"/>
        <v>2011FemaleNon-Maori25Submersion (drowning)</v>
      </c>
      <c r="U3223">
        <v>2011</v>
      </c>
      <c r="V3223" t="s">
        <v>8</v>
      </c>
      <c r="W3223" t="s">
        <v>19</v>
      </c>
      <c r="X3223">
        <v>25</v>
      </c>
      <c r="Y3223" t="s">
        <v>49</v>
      </c>
      <c r="Z3223">
        <v>2</v>
      </c>
      <c r="AA3223">
        <v>14</v>
      </c>
      <c r="AB3223">
        <v>14.3</v>
      </c>
    </row>
    <row r="3224" spans="10:28">
      <c r="J3224" s="340" t="str">
        <f t="shared" si="149"/>
        <v>2012AllSexMaori211</v>
      </c>
      <c r="K3224">
        <v>2012</v>
      </c>
      <c r="L3224" t="s">
        <v>17</v>
      </c>
      <c r="M3224" t="s">
        <v>18</v>
      </c>
      <c r="N3224">
        <v>21</v>
      </c>
      <c r="O3224">
        <v>1</v>
      </c>
      <c r="P3224">
        <v>0</v>
      </c>
      <c r="Q3224">
        <v>0</v>
      </c>
      <c r="T3224" s="340" t="str">
        <f t="shared" si="150"/>
        <v>2011MaleAllEth22Firearms and explosives</v>
      </c>
      <c r="U3224">
        <v>2011</v>
      </c>
      <c r="V3224" t="s">
        <v>20</v>
      </c>
      <c r="W3224" t="s">
        <v>27</v>
      </c>
      <c r="X3224">
        <v>22</v>
      </c>
      <c r="Y3224" t="s">
        <v>42</v>
      </c>
      <c r="Z3224">
        <v>4</v>
      </c>
      <c r="AA3224">
        <v>96</v>
      </c>
      <c r="AB3224">
        <v>4.2</v>
      </c>
    </row>
    <row r="3225" spans="10:28">
      <c r="J3225" s="340" t="str">
        <f t="shared" si="149"/>
        <v>2012AllSexMaori212</v>
      </c>
      <c r="K3225">
        <v>2012</v>
      </c>
      <c r="L3225" t="s">
        <v>17</v>
      </c>
      <c r="M3225" t="s">
        <v>18</v>
      </c>
      <c r="N3225">
        <v>21</v>
      </c>
      <c r="O3225">
        <v>2</v>
      </c>
      <c r="P3225">
        <v>0</v>
      </c>
      <c r="Q3225">
        <v>0</v>
      </c>
      <c r="T3225" s="340" t="str">
        <f t="shared" si="150"/>
        <v>2011MaleAllEth23Firearms and explosives</v>
      </c>
      <c r="U3225">
        <v>2011</v>
      </c>
      <c r="V3225" t="s">
        <v>20</v>
      </c>
      <c r="W3225" t="s">
        <v>27</v>
      </c>
      <c r="X3225">
        <v>23</v>
      </c>
      <c r="Y3225" t="s">
        <v>42</v>
      </c>
      <c r="Z3225">
        <v>4</v>
      </c>
      <c r="AA3225">
        <v>130</v>
      </c>
      <c r="AB3225">
        <v>3.1</v>
      </c>
    </row>
    <row r="3226" spans="10:28">
      <c r="J3226" s="340" t="str">
        <f t="shared" si="149"/>
        <v>2012AllSexMaori213</v>
      </c>
      <c r="K3226">
        <v>2012</v>
      </c>
      <c r="L3226" t="s">
        <v>17</v>
      </c>
      <c r="M3226" t="s">
        <v>18</v>
      </c>
      <c r="N3226">
        <v>21</v>
      </c>
      <c r="O3226">
        <v>3</v>
      </c>
      <c r="P3226">
        <v>1</v>
      </c>
      <c r="Q3226">
        <v>2.6862575544975398</v>
      </c>
      <c r="R3226">
        <v>5.3</v>
      </c>
      <c r="T3226" s="340" t="str">
        <f t="shared" si="150"/>
        <v>2011MaleAllEth24Firearms and explosives</v>
      </c>
      <c r="U3226">
        <v>2011</v>
      </c>
      <c r="V3226" t="s">
        <v>20</v>
      </c>
      <c r="W3226" t="s">
        <v>27</v>
      </c>
      <c r="X3226">
        <v>24</v>
      </c>
      <c r="Y3226" t="s">
        <v>42</v>
      </c>
      <c r="Z3226">
        <v>19</v>
      </c>
      <c r="AA3226">
        <v>117</v>
      </c>
      <c r="AB3226">
        <v>16.2</v>
      </c>
    </row>
    <row r="3227" spans="10:28">
      <c r="J3227" s="340" t="str">
        <f t="shared" si="149"/>
        <v>2012AllSexMaori214</v>
      </c>
      <c r="K3227">
        <v>2012</v>
      </c>
      <c r="L3227" t="s">
        <v>17</v>
      </c>
      <c r="M3227" t="s">
        <v>18</v>
      </c>
      <c r="N3227">
        <v>21</v>
      </c>
      <c r="O3227">
        <v>4</v>
      </c>
      <c r="P3227">
        <v>2</v>
      </c>
      <c r="Q3227">
        <v>3.8520426692053502</v>
      </c>
      <c r="R3227">
        <v>5.3</v>
      </c>
      <c r="T3227" s="340" t="str">
        <f t="shared" si="150"/>
        <v>2011MaleAllEth25Firearms and explosives</v>
      </c>
      <c r="U3227">
        <v>2011</v>
      </c>
      <c r="V3227" t="s">
        <v>20</v>
      </c>
      <c r="W3227" t="s">
        <v>27</v>
      </c>
      <c r="X3227">
        <v>25</v>
      </c>
      <c r="Y3227" t="s">
        <v>42</v>
      </c>
      <c r="Z3227">
        <v>7</v>
      </c>
      <c r="AA3227">
        <v>31</v>
      </c>
      <c r="AB3227">
        <v>22.6</v>
      </c>
    </row>
    <row r="3228" spans="10:28">
      <c r="J3228" s="340" t="str">
        <f t="shared" si="149"/>
        <v>2012AllSexMaori215</v>
      </c>
      <c r="K3228">
        <v>2012</v>
      </c>
      <c r="L3228" t="s">
        <v>17</v>
      </c>
      <c r="M3228" t="s">
        <v>18</v>
      </c>
      <c r="N3228">
        <v>21</v>
      </c>
      <c r="O3228">
        <v>5</v>
      </c>
      <c r="P3228">
        <v>4</v>
      </c>
      <c r="Q3228">
        <v>4.1267567008407502</v>
      </c>
      <c r="R3228">
        <v>4</v>
      </c>
      <c r="T3228" s="340" t="str">
        <f t="shared" si="150"/>
        <v>2011MaleAllEth21Hanging, strangulation and suffocation</v>
      </c>
      <c r="U3228">
        <v>2011</v>
      </c>
      <c r="V3228" t="s">
        <v>20</v>
      </c>
      <c r="W3228" t="s">
        <v>27</v>
      </c>
      <c r="X3228">
        <v>21</v>
      </c>
      <c r="Y3228" t="s">
        <v>43</v>
      </c>
      <c r="Z3228">
        <v>3</v>
      </c>
      <c r="AA3228">
        <v>3</v>
      </c>
      <c r="AB3228">
        <v>100</v>
      </c>
    </row>
    <row r="3229" spans="10:28">
      <c r="J3229" s="340" t="str">
        <f t="shared" si="149"/>
        <v>2012AllSexMaori221</v>
      </c>
      <c r="K3229">
        <v>2012</v>
      </c>
      <c r="L3229" t="s">
        <v>17</v>
      </c>
      <c r="M3229" t="s">
        <v>18</v>
      </c>
      <c r="N3229">
        <v>22</v>
      </c>
      <c r="O3229">
        <v>1</v>
      </c>
      <c r="P3229">
        <v>0</v>
      </c>
      <c r="Q3229">
        <v>0</v>
      </c>
      <c r="T3229" s="340" t="str">
        <f t="shared" si="150"/>
        <v>2011MaleAllEth22Hanging, strangulation and suffocation</v>
      </c>
      <c r="U3229">
        <v>2011</v>
      </c>
      <c r="V3229" t="s">
        <v>20</v>
      </c>
      <c r="W3229" t="s">
        <v>27</v>
      </c>
      <c r="X3229">
        <v>22</v>
      </c>
      <c r="Y3229" t="s">
        <v>43</v>
      </c>
      <c r="Z3229">
        <v>74</v>
      </c>
      <c r="AA3229">
        <v>96</v>
      </c>
      <c r="AB3229">
        <v>77.099999999999994</v>
      </c>
    </row>
    <row r="3230" spans="10:28">
      <c r="J3230" s="340" t="str">
        <f t="shared" si="149"/>
        <v>2012AllSexMaori222</v>
      </c>
      <c r="K3230">
        <v>2012</v>
      </c>
      <c r="L3230" t="s">
        <v>17</v>
      </c>
      <c r="M3230" t="s">
        <v>18</v>
      </c>
      <c r="N3230">
        <v>22</v>
      </c>
      <c r="O3230">
        <v>2</v>
      </c>
      <c r="P3230">
        <v>5</v>
      </c>
      <c r="Q3230">
        <v>35.357330414483897</v>
      </c>
      <c r="R3230">
        <v>31</v>
      </c>
      <c r="T3230" s="340" t="str">
        <f t="shared" si="150"/>
        <v>2011MaleAllEth23Hanging, strangulation and suffocation</v>
      </c>
      <c r="U3230">
        <v>2011</v>
      </c>
      <c r="V3230" t="s">
        <v>20</v>
      </c>
      <c r="W3230" t="s">
        <v>27</v>
      </c>
      <c r="X3230">
        <v>23</v>
      </c>
      <c r="Y3230" t="s">
        <v>43</v>
      </c>
      <c r="Z3230">
        <v>86</v>
      </c>
      <c r="AA3230">
        <v>130</v>
      </c>
      <c r="AB3230">
        <v>66.2</v>
      </c>
    </row>
    <row r="3231" spans="10:28">
      <c r="J3231" s="340" t="str">
        <f t="shared" si="149"/>
        <v>2012AllSexMaori223</v>
      </c>
      <c r="K3231">
        <v>2012</v>
      </c>
      <c r="L3231" t="s">
        <v>17</v>
      </c>
      <c r="M3231" t="s">
        <v>18</v>
      </c>
      <c r="N3231">
        <v>22</v>
      </c>
      <c r="O3231">
        <v>3</v>
      </c>
      <c r="P3231">
        <v>10</v>
      </c>
      <c r="Q3231">
        <v>48.666290663782803</v>
      </c>
      <c r="R3231">
        <v>30.2</v>
      </c>
      <c r="T3231" s="340" t="str">
        <f t="shared" si="150"/>
        <v>2011MaleAllEth24Hanging, strangulation and suffocation</v>
      </c>
      <c r="U3231">
        <v>2011</v>
      </c>
      <c r="V3231" t="s">
        <v>20</v>
      </c>
      <c r="W3231" t="s">
        <v>27</v>
      </c>
      <c r="X3231">
        <v>24</v>
      </c>
      <c r="Y3231" t="s">
        <v>43</v>
      </c>
      <c r="Z3231">
        <v>61</v>
      </c>
      <c r="AA3231">
        <v>117</v>
      </c>
      <c r="AB3231">
        <v>52.1</v>
      </c>
    </row>
    <row r="3232" spans="10:28">
      <c r="J3232" s="340" t="str">
        <f t="shared" si="149"/>
        <v>2012AllSexMaori224</v>
      </c>
      <c r="K3232">
        <v>2012</v>
      </c>
      <c r="L3232" t="s">
        <v>17</v>
      </c>
      <c r="M3232" t="s">
        <v>18</v>
      </c>
      <c r="N3232">
        <v>22</v>
      </c>
      <c r="O3232">
        <v>4</v>
      </c>
      <c r="P3232">
        <v>16</v>
      </c>
      <c r="Q3232">
        <v>53.913374603787702</v>
      </c>
      <c r="R3232">
        <v>26.4</v>
      </c>
      <c r="T3232" s="340" t="str">
        <f t="shared" si="150"/>
        <v>2011MaleAllEth25Hanging, strangulation and suffocation</v>
      </c>
      <c r="U3232">
        <v>2011</v>
      </c>
      <c r="V3232" t="s">
        <v>20</v>
      </c>
      <c r="W3232" t="s">
        <v>27</v>
      </c>
      <c r="X3232">
        <v>25</v>
      </c>
      <c r="Y3232" t="s">
        <v>43</v>
      </c>
      <c r="Z3232">
        <v>9</v>
      </c>
      <c r="AA3232">
        <v>31</v>
      </c>
      <c r="AB3232">
        <v>29</v>
      </c>
    </row>
    <row r="3233" spans="10:28">
      <c r="J3233" s="340" t="str">
        <f t="shared" si="149"/>
        <v>2012AllSexMaori225</v>
      </c>
      <c r="K3233">
        <v>2012</v>
      </c>
      <c r="L3233" t="s">
        <v>17</v>
      </c>
      <c r="M3233" t="s">
        <v>18</v>
      </c>
      <c r="N3233">
        <v>22</v>
      </c>
      <c r="O3233">
        <v>5</v>
      </c>
      <c r="P3233">
        <v>28</v>
      </c>
      <c r="Q3233">
        <v>54.857610196567499</v>
      </c>
      <c r="R3233">
        <v>20.3</v>
      </c>
      <c r="T3233" s="340" t="str">
        <f t="shared" si="150"/>
        <v>2011MaleAllEth22Jumping from a high place</v>
      </c>
      <c r="U3233">
        <v>2011</v>
      </c>
      <c r="V3233" t="s">
        <v>20</v>
      </c>
      <c r="W3233" t="s">
        <v>27</v>
      </c>
      <c r="X3233">
        <v>22</v>
      </c>
      <c r="Y3233" t="s">
        <v>44</v>
      </c>
      <c r="Z3233">
        <v>3</v>
      </c>
      <c r="AA3233">
        <v>96</v>
      </c>
      <c r="AB3233">
        <v>3.1</v>
      </c>
    </row>
    <row r="3234" spans="10:28">
      <c r="J3234" s="340" t="str">
        <f t="shared" si="149"/>
        <v>2012AllSexMaori231</v>
      </c>
      <c r="K3234">
        <v>2012</v>
      </c>
      <c r="L3234" t="s">
        <v>17</v>
      </c>
      <c r="M3234" t="s">
        <v>18</v>
      </c>
      <c r="N3234">
        <v>23</v>
      </c>
      <c r="O3234">
        <v>1</v>
      </c>
      <c r="P3234">
        <v>2</v>
      </c>
      <c r="Q3234">
        <v>13.4433888001474</v>
      </c>
      <c r="R3234">
        <v>18.600000000000001</v>
      </c>
      <c r="T3234" s="340" t="str">
        <f t="shared" si="150"/>
        <v>2011MaleAllEth23Jumping from a high place</v>
      </c>
      <c r="U3234">
        <v>2011</v>
      </c>
      <c r="V3234" t="s">
        <v>20</v>
      </c>
      <c r="W3234" t="s">
        <v>27</v>
      </c>
      <c r="X3234">
        <v>23</v>
      </c>
      <c r="Y3234" t="s">
        <v>44</v>
      </c>
      <c r="Z3234">
        <v>3</v>
      </c>
      <c r="AA3234">
        <v>130</v>
      </c>
      <c r="AB3234">
        <v>2.2999999999999998</v>
      </c>
    </row>
    <row r="3235" spans="10:28">
      <c r="J3235" s="340" t="str">
        <f t="shared" si="149"/>
        <v>2012AllSexMaori232</v>
      </c>
      <c r="K3235">
        <v>2012</v>
      </c>
      <c r="L3235" t="s">
        <v>17</v>
      </c>
      <c r="M3235" t="s">
        <v>18</v>
      </c>
      <c r="N3235">
        <v>23</v>
      </c>
      <c r="O3235">
        <v>2</v>
      </c>
      <c r="P3235">
        <v>5</v>
      </c>
      <c r="Q3235">
        <v>24.2691222537578</v>
      </c>
      <c r="R3235">
        <v>21.3</v>
      </c>
      <c r="T3235" s="340" t="str">
        <f t="shared" si="150"/>
        <v>2011MaleAllEth24Jumping from a high place</v>
      </c>
      <c r="U3235">
        <v>2011</v>
      </c>
      <c r="V3235" t="s">
        <v>20</v>
      </c>
      <c r="W3235" t="s">
        <v>27</v>
      </c>
      <c r="X3235">
        <v>24</v>
      </c>
      <c r="Y3235" t="s">
        <v>44</v>
      </c>
      <c r="Z3235">
        <v>2</v>
      </c>
      <c r="AA3235">
        <v>117</v>
      </c>
      <c r="AB3235">
        <v>1.7</v>
      </c>
    </row>
    <row r="3236" spans="10:28">
      <c r="J3236" s="340" t="str">
        <f t="shared" si="149"/>
        <v>2012AllSexMaori233</v>
      </c>
      <c r="K3236">
        <v>2012</v>
      </c>
      <c r="L3236" t="s">
        <v>17</v>
      </c>
      <c r="M3236" t="s">
        <v>18</v>
      </c>
      <c r="N3236">
        <v>23</v>
      </c>
      <c r="O3236">
        <v>3</v>
      </c>
      <c r="P3236">
        <v>5</v>
      </c>
      <c r="Q3236">
        <v>17.445129261798598</v>
      </c>
      <c r="R3236">
        <v>15.3</v>
      </c>
      <c r="T3236" s="340" t="str">
        <f t="shared" si="150"/>
        <v>2011MaleAllEth25Jumping from a high place</v>
      </c>
      <c r="U3236">
        <v>2011</v>
      </c>
      <c r="V3236" t="s">
        <v>20</v>
      </c>
      <c r="W3236" t="s">
        <v>27</v>
      </c>
      <c r="X3236">
        <v>25</v>
      </c>
      <c r="Y3236" t="s">
        <v>44</v>
      </c>
      <c r="Z3236">
        <v>1</v>
      </c>
      <c r="AA3236">
        <v>31</v>
      </c>
      <c r="AB3236">
        <v>3.2</v>
      </c>
    </row>
    <row r="3237" spans="10:28">
      <c r="J3237" s="340" t="str">
        <f t="shared" si="149"/>
        <v>2012AllSexMaori234</v>
      </c>
      <c r="K3237">
        <v>2012</v>
      </c>
      <c r="L3237" t="s">
        <v>17</v>
      </c>
      <c r="M3237" t="s">
        <v>18</v>
      </c>
      <c r="N3237">
        <v>23</v>
      </c>
      <c r="O3237">
        <v>4</v>
      </c>
      <c r="P3237">
        <v>13</v>
      </c>
      <c r="Q3237">
        <v>32.886281530445203</v>
      </c>
      <c r="R3237">
        <v>17.899999999999999</v>
      </c>
      <c r="T3237" s="340" t="str">
        <f t="shared" si="150"/>
        <v>2011MaleAllEth22Other</v>
      </c>
      <c r="U3237">
        <v>2011</v>
      </c>
      <c r="V3237" t="s">
        <v>20</v>
      </c>
      <c r="W3237" t="s">
        <v>27</v>
      </c>
      <c r="X3237">
        <v>22</v>
      </c>
      <c r="Y3237" t="s">
        <v>45</v>
      </c>
      <c r="Z3237">
        <v>5</v>
      </c>
      <c r="AA3237">
        <v>96</v>
      </c>
      <c r="AB3237">
        <v>5.2</v>
      </c>
    </row>
    <row r="3238" spans="10:28">
      <c r="J3238" s="340" t="str">
        <f t="shared" si="149"/>
        <v>2012AllSexMaori235</v>
      </c>
      <c r="K3238">
        <v>2012</v>
      </c>
      <c r="L3238" t="s">
        <v>17</v>
      </c>
      <c r="M3238" t="s">
        <v>18</v>
      </c>
      <c r="N3238">
        <v>23</v>
      </c>
      <c r="O3238">
        <v>5</v>
      </c>
      <c r="P3238">
        <v>13</v>
      </c>
      <c r="Q3238">
        <v>20.324032655424499</v>
      </c>
      <c r="R3238">
        <v>11</v>
      </c>
      <c r="T3238" s="340" t="str">
        <f t="shared" si="150"/>
        <v>2011MaleAllEth23Other</v>
      </c>
      <c r="U3238">
        <v>2011</v>
      </c>
      <c r="V3238" t="s">
        <v>20</v>
      </c>
      <c r="W3238" t="s">
        <v>27</v>
      </c>
      <c r="X3238">
        <v>23</v>
      </c>
      <c r="Y3238" t="s">
        <v>45</v>
      </c>
      <c r="Z3238">
        <v>3</v>
      </c>
      <c r="AA3238">
        <v>130</v>
      </c>
      <c r="AB3238">
        <v>2.2999999999999998</v>
      </c>
    </row>
    <row r="3239" spans="10:28">
      <c r="J3239" s="340" t="str">
        <f t="shared" si="149"/>
        <v>2012AllSexMaori241</v>
      </c>
      <c r="K3239">
        <v>2012</v>
      </c>
      <c r="L3239" t="s">
        <v>17</v>
      </c>
      <c r="M3239" t="s">
        <v>18</v>
      </c>
      <c r="N3239">
        <v>24</v>
      </c>
      <c r="O3239">
        <v>1</v>
      </c>
      <c r="P3239">
        <v>0</v>
      </c>
      <c r="Q3239">
        <v>0</v>
      </c>
      <c r="T3239" s="340" t="str">
        <f t="shared" si="150"/>
        <v>2011MaleAllEth24Other</v>
      </c>
      <c r="U3239">
        <v>2011</v>
      </c>
      <c r="V3239" t="s">
        <v>20</v>
      </c>
      <c r="W3239" t="s">
        <v>27</v>
      </c>
      <c r="X3239">
        <v>24</v>
      </c>
      <c r="Y3239" t="s">
        <v>45</v>
      </c>
      <c r="Z3239">
        <v>3</v>
      </c>
      <c r="AA3239">
        <v>117</v>
      </c>
      <c r="AB3239">
        <v>2.6</v>
      </c>
    </row>
    <row r="3240" spans="10:28">
      <c r="J3240" s="340" t="str">
        <f t="shared" si="149"/>
        <v>2012AllSexMaori242</v>
      </c>
      <c r="K3240">
        <v>2012</v>
      </c>
      <c r="L3240" t="s">
        <v>17</v>
      </c>
      <c r="M3240" t="s">
        <v>18</v>
      </c>
      <c r="N3240">
        <v>24</v>
      </c>
      <c r="O3240">
        <v>2</v>
      </c>
      <c r="P3240">
        <v>1</v>
      </c>
      <c r="Q3240">
        <v>6.5802964547958398</v>
      </c>
      <c r="R3240">
        <v>12.9</v>
      </c>
      <c r="T3240" s="340" t="str">
        <f t="shared" si="150"/>
        <v>2011MaleAllEth25Other</v>
      </c>
      <c r="U3240">
        <v>2011</v>
      </c>
      <c r="V3240" t="s">
        <v>20</v>
      </c>
      <c r="W3240" t="s">
        <v>27</v>
      </c>
      <c r="X3240">
        <v>25</v>
      </c>
      <c r="Y3240" t="s">
        <v>45</v>
      </c>
      <c r="Z3240">
        <v>2</v>
      </c>
      <c r="AA3240">
        <v>31</v>
      </c>
      <c r="AB3240">
        <v>6.5</v>
      </c>
    </row>
    <row r="3241" spans="10:28">
      <c r="J3241" s="340" t="str">
        <f t="shared" si="149"/>
        <v>2012AllSexMaori243</v>
      </c>
      <c r="K3241">
        <v>2012</v>
      </c>
      <c r="L3241" t="s">
        <v>17</v>
      </c>
      <c r="M3241" t="s">
        <v>18</v>
      </c>
      <c r="N3241">
        <v>24</v>
      </c>
      <c r="O3241">
        <v>3</v>
      </c>
      <c r="P3241">
        <v>1</v>
      </c>
      <c r="Q3241">
        <v>5.0010419070206797</v>
      </c>
      <c r="R3241">
        <v>9.8000000000000007</v>
      </c>
      <c r="T3241" s="340" t="str">
        <f t="shared" si="150"/>
        <v>2011MaleAllEth22Poisoning by gases and vapours</v>
      </c>
      <c r="U3241">
        <v>2011</v>
      </c>
      <c r="V3241" t="s">
        <v>20</v>
      </c>
      <c r="W3241" t="s">
        <v>27</v>
      </c>
      <c r="X3241">
        <v>22</v>
      </c>
      <c r="Y3241" t="s">
        <v>46</v>
      </c>
      <c r="Z3241">
        <v>6</v>
      </c>
      <c r="AA3241">
        <v>96</v>
      </c>
      <c r="AB3241">
        <v>6.2</v>
      </c>
    </row>
    <row r="3242" spans="10:28">
      <c r="J3242" s="340" t="str">
        <f t="shared" si="149"/>
        <v>2012AllSexMaori244</v>
      </c>
      <c r="K3242">
        <v>2012</v>
      </c>
      <c r="L3242" t="s">
        <v>17</v>
      </c>
      <c r="M3242" t="s">
        <v>18</v>
      </c>
      <c r="N3242">
        <v>24</v>
      </c>
      <c r="O3242">
        <v>4</v>
      </c>
      <c r="P3242">
        <v>3</v>
      </c>
      <c r="Q3242">
        <v>10.790766430146</v>
      </c>
      <c r="R3242">
        <v>12.2</v>
      </c>
      <c r="T3242" s="340" t="str">
        <f t="shared" si="150"/>
        <v>2011MaleAllEth23Poisoning by gases and vapours</v>
      </c>
      <c r="U3242">
        <v>2011</v>
      </c>
      <c r="V3242" t="s">
        <v>20</v>
      </c>
      <c r="W3242" t="s">
        <v>27</v>
      </c>
      <c r="X3242">
        <v>23</v>
      </c>
      <c r="Y3242" t="s">
        <v>46</v>
      </c>
      <c r="Z3242">
        <v>18</v>
      </c>
      <c r="AA3242">
        <v>130</v>
      </c>
      <c r="AB3242">
        <v>13.8</v>
      </c>
    </row>
    <row r="3243" spans="10:28">
      <c r="J3243" s="340" t="str">
        <f t="shared" si="149"/>
        <v>2012AllSexMaori245</v>
      </c>
      <c r="K3243">
        <v>2012</v>
      </c>
      <c r="L3243" t="s">
        <v>17</v>
      </c>
      <c r="M3243" t="s">
        <v>18</v>
      </c>
      <c r="N3243">
        <v>24</v>
      </c>
      <c r="O3243">
        <v>5</v>
      </c>
      <c r="P3243">
        <v>5</v>
      </c>
      <c r="Q3243">
        <v>10.297853391754099</v>
      </c>
      <c r="R3243">
        <v>9</v>
      </c>
      <c r="T3243" s="340" t="str">
        <f t="shared" si="150"/>
        <v>2011MaleAllEth24Poisoning by gases and vapours</v>
      </c>
      <c r="U3243">
        <v>2011</v>
      </c>
      <c r="V3243" t="s">
        <v>20</v>
      </c>
      <c r="W3243" t="s">
        <v>27</v>
      </c>
      <c r="X3243">
        <v>24</v>
      </c>
      <c r="Y3243" t="s">
        <v>46</v>
      </c>
      <c r="Z3243">
        <v>18</v>
      </c>
      <c r="AA3243">
        <v>117</v>
      </c>
      <c r="AB3243">
        <v>15.4</v>
      </c>
    </row>
    <row r="3244" spans="10:28">
      <c r="J3244" s="340" t="str">
        <f t="shared" si="149"/>
        <v>2012AllSexMaori251</v>
      </c>
      <c r="K3244">
        <v>2012</v>
      </c>
      <c r="L3244" t="s">
        <v>17</v>
      </c>
      <c r="M3244" t="s">
        <v>18</v>
      </c>
      <c r="N3244">
        <v>25</v>
      </c>
      <c r="O3244">
        <v>1</v>
      </c>
      <c r="P3244">
        <v>0</v>
      </c>
      <c r="Q3244">
        <v>0</v>
      </c>
      <c r="T3244" s="340" t="str">
        <f t="shared" si="150"/>
        <v>2011MaleAllEth25Poisoning by gases and vapours</v>
      </c>
      <c r="U3244">
        <v>2011</v>
      </c>
      <c r="V3244" t="s">
        <v>20</v>
      </c>
      <c r="W3244" t="s">
        <v>27</v>
      </c>
      <c r="X3244">
        <v>25</v>
      </c>
      <c r="Y3244" t="s">
        <v>46</v>
      </c>
      <c r="Z3244">
        <v>1</v>
      </c>
      <c r="AA3244">
        <v>31</v>
      </c>
      <c r="AB3244">
        <v>3.2</v>
      </c>
    </row>
    <row r="3245" spans="10:28">
      <c r="J3245" s="340" t="str">
        <f t="shared" si="149"/>
        <v>2012AllSexMaori252</v>
      </c>
      <c r="K3245">
        <v>2012</v>
      </c>
      <c r="L3245" t="s">
        <v>17</v>
      </c>
      <c r="M3245" t="s">
        <v>18</v>
      </c>
      <c r="N3245">
        <v>25</v>
      </c>
      <c r="O3245">
        <v>2</v>
      </c>
      <c r="P3245">
        <v>1</v>
      </c>
      <c r="Q3245">
        <v>27.197743524466599</v>
      </c>
      <c r="R3245">
        <v>53.3</v>
      </c>
      <c r="T3245" s="340" t="str">
        <f t="shared" si="150"/>
        <v>2011MaleAllEth22Poisoning by solids and liquids</v>
      </c>
      <c r="U3245">
        <v>2011</v>
      </c>
      <c r="V3245" t="s">
        <v>20</v>
      </c>
      <c r="W3245" t="s">
        <v>27</v>
      </c>
      <c r="X3245">
        <v>22</v>
      </c>
      <c r="Y3245" t="s">
        <v>47</v>
      </c>
      <c r="Z3245">
        <v>4</v>
      </c>
      <c r="AA3245">
        <v>96</v>
      </c>
      <c r="AB3245">
        <v>4.2</v>
      </c>
    </row>
    <row r="3246" spans="10:28">
      <c r="J3246" s="340" t="str">
        <f t="shared" si="149"/>
        <v>2012AllSexMaori253</v>
      </c>
      <c r="K3246">
        <v>2012</v>
      </c>
      <c r="L3246" t="s">
        <v>17</v>
      </c>
      <c r="M3246" t="s">
        <v>18</v>
      </c>
      <c r="N3246">
        <v>25</v>
      </c>
      <c r="O3246">
        <v>3</v>
      </c>
      <c r="P3246">
        <v>0</v>
      </c>
      <c r="Q3246">
        <v>0</v>
      </c>
      <c r="T3246" s="340" t="str">
        <f t="shared" si="150"/>
        <v>2011MaleAllEth23Poisoning by solids and liquids</v>
      </c>
      <c r="U3246">
        <v>2011</v>
      </c>
      <c r="V3246" t="s">
        <v>20</v>
      </c>
      <c r="W3246" t="s">
        <v>27</v>
      </c>
      <c r="X3246">
        <v>23</v>
      </c>
      <c r="Y3246" t="s">
        <v>47</v>
      </c>
      <c r="Z3246">
        <v>12</v>
      </c>
      <c r="AA3246">
        <v>130</v>
      </c>
      <c r="AB3246">
        <v>9.1999999999999993</v>
      </c>
    </row>
    <row r="3247" spans="10:28">
      <c r="J3247" s="340" t="str">
        <f t="shared" si="149"/>
        <v>2012AllSexMaori254</v>
      </c>
      <c r="K3247">
        <v>2012</v>
      </c>
      <c r="L3247" t="s">
        <v>17</v>
      </c>
      <c r="M3247" t="s">
        <v>18</v>
      </c>
      <c r="N3247">
        <v>25</v>
      </c>
      <c r="O3247">
        <v>4</v>
      </c>
      <c r="P3247">
        <v>0</v>
      </c>
      <c r="Q3247">
        <v>0</v>
      </c>
      <c r="T3247" s="340" t="str">
        <f t="shared" si="150"/>
        <v>2011MaleAllEth24Poisoning by solids and liquids</v>
      </c>
      <c r="U3247">
        <v>2011</v>
      </c>
      <c r="V3247" t="s">
        <v>20</v>
      </c>
      <c r="W3247" t="s">
        <v>27</v>
      </c>
      <c r="X3247">
        <v>24</v>
      </c>
      <c r="Y3247" t="s">
        <v>47</v>
      </c>
      <c r="Z3247">
        <v>10</v>
      </c>
      <c r="AA3247">
        <v>117</v>
      </c>
      <c r="AB3247">
        <v>8.5</v>
      </c>
    </row>
    <row r="3248" spans="10:28">
      <c r="J3248" s="340" t="str">
        <f t="shared" si="149"/>
        <v>2012AllSexMaori255</v>
      </c>
      <c r="K3248">
        <v>2012</v>
      </c>
      <c r="L3248" t="s">
        <v>17</v>
      </c>
      <c r="M3248" t="s">
        <v>18</v>
      </c>
      <c r="N3248">
        <v>25</v>
      </c>
      <c r="O3248">
        <v>5</v>
      </c>
      <c r="P3248">
        <v>0</v>
      </c>
      <c r="Q3248">
        <v>0</v>
      </c>
      <c r="T3248" s="340" t="str">
        <f t="shared" si="150"/>
        <v>2011MaleAllEth25Poisoning by solids and liquids</v>
      </c>
      <c r="U3248">
        <v>2011</v>
      </c>
      <c r="V3248" t="s">
        <v>20</v>
      </c>
      <c r="W3248" t="s">
        <v>27</v>
      </c>
      <c r="X3248">
        <v>25</v>
      </c>
      <c r="Y3248" t="s">
        <v>47</v>
      </c>
      <c r="Z3248">
        <v>5</v>
      </c>
      <c r="AA3248">
        <v>31</v>
      </c>
      <c r="AB3248">
        <v>16.100000000000001</v>
      </c>
    </row>
    <row r="3249" spans="10:28">
      <c r="J3249" s="340" t="str">
        <f t="shared" si="149"/>
        <v>2012AllSexNon-Maori211</v>
      </c>
      <c r="K3249">
        <v>2012</v>
      </c>
      <c r="L3249" t="s">
        <v>17</v>
      </c>
      <c r="M3249" t="s">
        <v>19</v>
      </c>
      <c r="N3249">
        <v>21</v>
      </c>
      <c r="O3249">
        <v>1</v>
      </c>
      <c r="P3249">
        <v>0</v>
      </c>
      <c r="Q3249">
        <v>0</v>
      </c>
      <c r="T3249" s="340" t="str">
        <f t="shared" si="150"/>
        <v>2011MaleAllEth23Sharp object</v>
      </c>
      <c r="U3249">
        <v>2011</v>
      </c>
      <c r="V3249" t="s">
        <v>20</v>
      </c>
      <c r="W3249" t="s">
        <v>27</v>
      </c>
      <c r="X3249">
        <v>23</v>
      </c>
      <c r="Y3249" t="s">
        <v>48</v>
      </c>
      <c r="Z3249">
        <v>1</v>
      </c>
      <c r="AA3249">
        <v>130</v>
      </c>
      <c r="AB3249">
        <v>0.8</v>
      </c>
    </row>
    <row r="3250" spans="10:28">
      <c r="J3250" s="340" t="str">
        <f t="shared" si="149"/>
        <v>2012AllSexNon-Maori212</v>
      </c>
      <c r="K3250">
        <v>2012</v>
      </c>
      <c r="L3250" t="s">
        <v>17</v>
      </c>
      <c r="M3250" t="s">
        <v>19</v>
      </c>
      <c r="N3250">
        <v>21</v>
      </c>
      <c r="O3250">
        <v>2</v>
      </c>
      <c r="P3250">
        <v>3</v>
      </c>
      <c r="Q3250">
        <v>2.0608486604449698</v>
      </c>
      <c r="R3250">
        <v>2.2999999999999998</v>
      </c>
      <c r="T3250" s="340" t="str">
        <f t="shared" si="150"/>
        <v>2011MaleAllEth24Sharp object</v>
      </c>
      <c r="U3250">
        <v>2011</v>
      </c>
      <c r="V3250" t="s">
        <v>20</v>
      </c>
      <c r="W3250" t="s">
        <v>27</v>
      </c>
      <c r="X3250">
        <v>24</v>
      </c>
      <c r="Y3250" t="s">
        <v>48</v>
      </c>
      <c r="Z3250">
        <v>2</v>
      </c>
      <c r="AA3250">
        <v>117</v>
      </c>
      <c r="AB3250">
        <v>1.7</v>
      </c>
    </row>
    <row r="3251" spans="10:28">
      <c r="J3251" s="340" t="str">
        <f t="shared" si="149"/>
        <v>2012AllSexNon-Maori213</v>
      </c>
      <c r="K3251">
        <v>2012</v>
      </c>
      <c r="L3251" t="s">
        <v>17</v>
      </c>
      <c r="M3251" t="s">
        <v>19</v>
      </c>
      <c r="N3251">
        <v>21</v>
      </c>
      <c r="O3251">
        <v>3</v>
      </c>
      <c r="P3251">
        <v>0</v>
      </c>
      <c r="Q3251">
        <v>0</v>
      </c>
      <c r="T3251" s="340" t="str">
        <f t="shared" si="150"/>
        <v>2011MaleAllEth25Sharp object</v>
      </c>
      <c r="U3251">
        <v>2011</v>
      </c>
      <c r="V3251" t="s">
        <v>20</v>
      </c>
      <c r="W3251" t="s">
        <v>27</v>
      </c>
      <c r="X3251">
        <v>25</v>
      </c>
      <c r="Y3251" t="s">
        <v>48</v>
      </c>
      <c r="Z3251">
        <v>3</v>
      </c>
      <c r="AA3251">
        <v>31</v>
      </c>
      <c r="AB3251">
        <v>9.6999999999999993</v>
      </c>
    </row>
    <row r="3252" spans="10:28">
      <c r="J3252" s="340" t="str">
        <f t="shared" si="149"/>
        <v>2012AllSexNon-Maori214</v>
      </c>
      <c r="K3252">
        <v>2012</v>
      </c>
      <c r="L3252" t="s">
        <v>17</v>
      </c>
      <c r="M3252" t="s">
        <v>19</v>
      </c>
      <c r="N3252">
        <v>21</v>
      </c>
      <c r="O3252">
        <v>4</v>
      </c>
      <c r="P3252">
        <v>0</v>
      </c>
      <c r="Q3252">
        <v>0</v>
      </c>
      <c r="T3252" s="340" t="str">
        <f t="shared" si="150"/>
        <v>2011MaleAllEth23Submersion (drowning)</v>
      </c>
      <c r="U3252">
        <v>2011</v>
      </c>
      <c r="V3252" t="s">
        <v>20</v>
      </c>
      <c r="W3252" t="s">
        <v>27</v>
      </c>
      <c r="X3252">
        <v>23</v>
      </c>
      <c r="Y3252" t="s">
        <v>49</v>
      </c>
      <c r="Z3252">
        <v>3</v>
      </c>
      <c r="AA3252">
        <v>130</v>
      </c>
      <c r="AB3252">
        <v>2.2999999999999998</v>
      </c>
    </row>
    <row r="3253" spans="10:28">
      <c r="J3253" s="340" t="str">
        <f t="shared" si="149"/>
        <v>2012AllSexNon-Maori215</v>
      </c>
      <c r="K3253">
        <v>2012</v>
      </c>
      <c r="L3253" t="s">
        <v>17</v>
      </c>
      <c r="M3253" t="s">
        <v>19</v>
      </c>
      <c r="N3253">
        <v>21</v>
      </c>
      <c r="O3253">
        <v>5</v>
      </c>
      <c r="P3253">
        <v>1</v>
      </c>
      <c r="Q3253">
        <v>0.85071118570914595</v>
      </c>
      <c r="R3253">
        <v>1.7</v>
      </c>
      <c r="T3253" s="340" t="str">
        <f t="shared" si="150"/>
        <v>2011MaleAllEth24Submersion (drowning)</v>
      </c>
      <c r="U3253">
        <v>2011</v>
      </c>
      <c r="V3253" t="s">
        <v>20</v>
      </c>
      <c r="W3253" t="s">
        <v>27</v>
      </c>
      <c r="X3253">
        <v>24</v>
      </c>
      <c r="Y3253" t="s">
        <v>49</v>
      </c>
      <c r="Z3253">
        <v>2</v>
      </c>
      <c r="AA3253">
        <v>117</v>
      </c>
      <c r="AB3253">
        <v>1.7</v>
      </c>
    </row>
    <row r="3254" spans="10:28">
      <c r="J3254" s="340" t="str">
        <f t="shared" si="149"/>
        <v>2012AllSexNon-Maori221</v>
      </c>
      <c r="K3254">
        <v>2012</v>
      </c>
      <c r="L3254" t="s">
        <v>17</v>
      </c>
      <c r="M3254" t="s">
        <v>19</v>
      </c>
      <c r="N3254">
        <v>22</v>
      </c>
      <c r="O3254">
        <v>1</v>
      </c>
      <c r="P3254">
        <v>11</v>
      </c>
      <c r="Q3254">
        <v>10.995179471887001</v>
      </c>
      <c r="R3254">
        <v>6.5</v>
      </c>
      <c r="T3254" s="340" t="str">
        <f t="shared" si="150"/>
        <v>2011MaleAllEth25Submersion (drowning)</v>
      </c>
      <c r="U3254">
        <v>2011</v>
      </c>
      <c r="V3254" t="s">
        <v>20</v>
      </c>
      <c r="W3254" t="s">
        <v>27</v>
      </c>
      <c r="X3254">
        <v>25</v>
      </c>
      <c r="Y3254" t="s">
        <v>49</v>
      </c>
      <c r="Z3254">
        <v>3</v>
      </c>
      <c r="AA3254">
        <v>31</v>
      </c>
      <c r="AB3254">
        <v>9.6999999999999993</v>
      </c>
    </row>
    <row r="3255" spans="10:28">
      <c r="J3255" s="340" t="str">
        <f t="shared" si="149"/>
        <v>2012AllSexNon-Maori222</v>
      </c>
      <c r="K3255">
        <v>2012</v>
      </c>
      <c r="L3255" t="s">
        <v>17</v>
      </c>
      <c r="M3255" t="s">
        <v>19</v>
      </c>
      <c r="N3255">
        <v>22</v>
      </c>
      <c r="O3255">
        <v>2</v>
      </c>
      <c r="P3255">
        <v>11</v>
      </c>
      <c r="Q3255">
        <v>11.276417338480799</v>
      </c>
      <c r="R3255">
        <v>6.7</v>
      </c>
      <c r="T3255" s="340" t="str">
        <f t="shared" si="150"/>
        <v>2011MaleMaori22Firearms and explosives</v>
      </c>
      <c r="U3255">
        <v>2011</v>
      </c>
      <c r="V3255" t="s">
        <v>20</v>
      </c>
      <c r="W3255" t="s">
        <v>18</v>
      </c>
      <c r="X3255">
        <v>22</v>
      </c>
      <c r="Y3255" t="s">
        <v>42</v>
      </c>
      <c r="Z3255">
        <v>1</v>
      </c>
      <c r="AA3255">
        <v>33</v>
      </c>
      <c r="AB3255">
        <v>3</v>
      </c>
    </row>
    <row r="3256" spans="10:28">
      <c r="J3256" s="340" t="str">
        <f t="shared" si="149"/>
        <v>2012AllSexNon-Maori223</v>
      </c>
      <c r="K3256">
        <v>2012</v>
      </c>
      <c r="L3256" t="s">
        <v>17</v>
      </c>
      <c r="M3256" t="s">
        <v>19</v>
      </c>
      <c r="N3256">
        <v>22</v>
      </c>
      <c r="O3256">
        <v>3</v>
      </c>
      <c r="P3256">
        <v>20</v>
      </c>
      <c r="Q3256">
        <v>20.4927025452698</v>
      </c>
      <c r="R3256">
        <v>9</v>
      </c>
      <c r="T3256" s="340" t="str">
        <f t="shared" si="150"/>
        <v>2011MaleMaori23Firearms and explosives</v>
      </c>
      <c r="U3256">
        <v>2011</v>
      </c>
      <c r="V3256" t="s">
        <v>20</v>
      </c>
      <c r="W3256" t="s">
        <v>18</v>
      </c>
      <c r="X3256">
        <v>23</v>
      </c>
      <c r="Y3256" t="s">
        <v>42</v>
      </c>
      <c r="Z3256">
        <v>1</v>
      </c>
      <c r="AA3256">
        <v>33</v>
      </c>
      <c r="AB3256">
        <v>3</v>
      </c>
    </row>
    <row r="3257" spans="10:28">
      <c r="J3257" s="340" t="str">
        <f t="shared" si="149"/>
        <v>2012AllSexNon-Maori224</v>
      </c>
      <c r="K3257">
        <v>2012</v>
      </c>
      <c r="L3257" t="s">
        <v>17</v>
      </c>
      <c r="M3257" t="s">
        <v>19</v>
      </c>
      <c r="N3257">
        <v>22</v>
      </c>
      <c r="O3257">
        <v>4</v>
      </c>
      <c r="P3257">
        <v>23</v>
      </c>
      <c r="Q3257">
        <v>22.329121540663699</v>
      </c>
      <c r="R3257">
        <v>9.1</v>
      </c>
      <c r="T3257" s="340" t="str">
        <f t="shared" si="150"/>
        <v>2011MaleMaori21Hanging, strangulation and suffocation</v>
      </c>
      <c r="U3257">
        <v>2011</v>
      </c>
      <c r="V3257" t="s">
        <v>20</v>
      </c>
      <c r="W3257" t="s">
        <v>18</v>
      </c>
      <c r="X3257">
        <v>21</v>
      </c>
      <c r="Y3257" t="s">
        <v>43</v>
      </c>
      <c r="Z3257">
        <v>2</v>
      </c>
      <c r="AA3257">
        <v>2</v>
      </c>
      <c r="AB3257">
        <v>100</v>
      </c>
    </row>
    <row r="3258" spans="10:28">
      <c r="J3258" s="340" t="str">
        <f t="shared" si="149"/>
        <v>2012AllSexNon-Maori225</v>
      </c>
      <c r="K3258">
        <v>2012</v>
      </c>
      <c r="L3258" t="s">
        <v>17</v>
      </c>
      <c r="M3258" t="s">
        <v>19</v>
      </c>
      <c r="N3258">
        <v>22</v>
      </c>
      <c r="O3258">
        <v>5</v>
      </c>
      <c r="P3258">
        <v>20</v>
      </c>
      <c r="Q3258">
        <v>20.156678788165099</v>
      </c>
      <c r="R3258">
        <v>8.8000000000000007</v>
      </c>
      <c r="T3258" s="340" t="str">
        <f t="shared" si="150"/>
        <v>2011MaleMaori22Hanging, strangulation and suffocation</v>
      </c>
      <c r="U3258">
        <v>2011</v>
      </c>
      <c r="V3258" t="s">
        <v>20</v>
      </c>
      <c r="W3258" t="s">
        <v>18</v>
      </c>
      <c r="X3258">
        <v>22</v>
      </c>
      <c r="Y3258" t="s">
        <v>43</v>
      </c>
      <c r="Z3258">
        <v>30</v>
      </c>
      <c r="AA3258">
        <v>33</v>
      </c>
      <c r="AB3258">
        <v>90.9</v>
      </c>
    </row>
    <row r="3259" spans="10:28">
      <c r="J3259" s="340" t="str">
        <f t="shared" si="149"/>
        <v>2012AllSexNon-Maori231</v>
      </c>
      <c r="K3259">
        <v>2012</v>
      </c>
      <c r="L3259" t="s">
        <v>17</v>
      </c>
      <c r="M3259" t="s">
        <v>19</v>
      </c>
      <c r="N3259">
        <v>23</v>
      </c>
      <c r="O3259">
        <v>1</v>
      </c>
      <c r="P3259">
        <v>17</v>
      </c>
      <c r="Q3259">
        <v>8.3478802472853104</v>
      </c>
      <c r="R3259">
        <v>4</v>
      </c>
      <c r="T3259" s="340" t="str">
        <f t="shared" si="150"/>
        <v>2011MaleMaori23Hanging, strangulation and suffocation</v>
      </c>
      <c r="U3259">
        <v>2011</v>
      </c>
      <c r="V3259" t="s">
        <v>20</v>
      </c>
      <c r="W3259" t="s">
        <v>18</v>
      </c>
      <c r="X3259">
        <v>23</v>
      </c>
      <c r="Y3259" t="s">
        <v>43</v>
      </c>
      <c r="Z3259">
        <v>27</v>
      </c>
      <c r="AA3259">
        <v>33</v>
      </c>
      <c r="AB3259">
        <v>81.8</v>
      </c>
    </row>
    <row r="3260" spans="10:28">
      <c r="J3260" s="340" t="str">
        <f t="shared" si="149"/>
        <v>2012AllSexNon-Maori232</v>
      </c>
      <c r="K3260">
        <v>2012</v>
      </c>
      <c r="L3260" t="s">
        <v>17</v>
      </c>
      <c r="M3260" t="s">
        <v>19</v>
      </c>
      <c r="N3260">
        <v>23</v>
      </c>
      <c r="O3260">
        <v>2</v>
      </c>
      <c r="P3260">
        <v>22</v>
      </c>
      <c r="Q3260">
        <v>10.2706260769727</v>
      </c>
      <c r="R3260">
        <v>4.3</v>
      </c>
      <c r="T3260" s="340" t="str">
        <f t="shared" si="150"/>
        <v>2011MaleMaori24Hanging, strangulation and suffocation</v>
      </c>
      <c r="U3260">
        <v>2011</v>
      </c>
      <c r="V3260" t="s">
        <v>20</v>
      </c>
      <c r="W3260" t="s">
        <v>18</v>
      </c>
      <c r="X3260">
        <v>24</v>
      </c>
      <c r="Y3260" t="s">
        <v>43</v>
      </c>
      <c r="Z3260">
        <v>7</v>
      </c>
      <c r="AA3260">
        <v>13</v>
      </c>
      <c r="AB3260">
        <v>53.8</v>
      </c>
    </row>
    <row r="3261" spans="10:28">
      <c r="J3261" s="340" t="str">
        <f t="shared" si="149"/>
        <v>2012AllSexNon-Maori233</v>
      </c>
      <c r="K3261">
        <v>2012</v>
      </c>
      <c r="L3261" t="s">
        <v>17</v>
      </c>
      <c r="M3261" t="s">
        <v>19</v>
      </c>
      <c r="N3261">
        <v>23</v>
      </c>
      <c r="O3261">
        <v>3</v>
      </c>
      <c r="P3261">
        <v>33</v>
      </c>
      <c r="Q3261">
        <v>15.716995416086201</v>
      </c>
      <c r="R3261">
        <v>5.4</v>
      </c>
      <c r="T3261" s="340" t="str">
        <f t="shared" si="150"/>
        <v>2011MaleMaori24Jumping from a high place</v>
      </c>
      <c r="U3261">
        <v>2011</v>
      </c>
      <c r="V3261" t="s">
        <v>20</v>
      </c>
      <c r="W3261" t="s">
        <v>18</v>
      </c>
      <c r="X3261">
        <v>24</v>
      </c>
      <c r="Y3261" t="s">
        <v>44</v>
      </c>
      <c r="Z3261">
        <v>1</v>
      </c>
      <c r="AA3261">
        <v>13</v>
      </c>
      <c r="AB3261">
        <v>7.7</v>
      </c>
    </row>
    <row r="3262" spans="10:28">
      <c r="J3262" s="340" t="str">
        <f t="shared" si="149"/>
        <v>2012AllSexNon-Maori234</v>
      </c>
      <c r="K3262">
        <v>2012</v>
      </c>
      <c r="L3262" t="s">
        <v>17</v>
      </c>
      <c r="M3262" t="s">
        <v>19</v>
      </c>
      <c r="N3262">
        <v>23</v>
      </c>
      <c r="O3262">
        <v>4</v>
      </c>
      <c r="P3262">
        <v>35</v>
      </c>
      <c r="Q3262">
        <v>18.075671781923798</v>
      </c>
      <c r="R3262">
        <v>6</v>
      </c>
      <c r="T3262" s="340" t="str">
        <f t="shared" si="150"/>
        <v>2011MaleMaori22Other</v>
      </c>
      <c r="U3262">
        <v>2011</v>
      </c>
      <c r="V3262" t="s">
        <v>20</v>
      </c>
      <c r="W3262" t="s">
        <v>18</v>
      </c>
      <c r="X3262">
        <v>22</v>
      </c>
      <c r="Y3262" t="s">
        <v>45</v>
      </c>
      <c r="Z3262">
        <v>2</v>
      </c>
      <c r="AA3262">
        <v>33</v>
      </c>
      <c r="AB3262">
        <v>6.1</v>
      </c>
    </row>
    <row r="3263" spans="10:28">
      <c r="J3263" s="340" t="str">
        <f t="shared" si="149"/>
        <v>2012AllSexNon-Maori235</v>
      </c>
      <c r="K3263">
        <v>2012</v>
      </c>
      <c r="L3263" t="s">
        <v>17</v>
      </c>
      <c r="M3263" t="s">
        <v>19</v>
      </c>
      <c r="N3263">
        <v>23</v>
      </c>
      <c r="O3263">
        <v>5</v>
      </c>
      <c r="P3263">
        <v>31</v>
      </c>
      <c r="Q3263">
        <v>19.9257715030922</v>
      </c>
      <c r="R3263">
        <v>7</v>
      </c>
      <c r="T3263" s="340" t="str">
        <f t="shared" si="150"/>
        <v>2011MaleMaori23Other</v>
      </c>
      <c r="U3263">
        <v>2011</v>
      </c>
      <c r="V3263" t="s">
        <v>20</v>
      </c>
      <c r="W3263" t="s">
        <v>18</v>
      </c>
      <c r="X3263">
        <v>23</v>
      </c>
      <c r="Y3263" t="s">
        <v>45</v>
      </c>
      <c r="Z3263">
        <v>1</v>
      </c>
      <c r="AA3263">
        <v>33</v>
      </c>
      <c r="AB3263">
        <v>3</v>
      </c>
    </row>
    <row r="3264" spans="10:28">
      <c r="J3264" s="340" t="str">
        <f t="shared" si="149"/>
        <v>2012AllSexNon-Maori241</v>
      </c>
      <c r="K3264">
        <v>2012</v>
      </c>
      <c r="L3264" t="s">
        <v>17</v>
      </c>
      <c r="M3264" t="s">
        <v>19</v>
      </c>
      <c r="N3264">
        <v>24</v>
      </c>
      <c r="O3264">
        <v>1</v>
      </c>
      <c r="P3264">
        <v>17</v>
      </c>
      <c r="Q3264">
        <v>6.4613638611917601</v>
      </c>
      <c r="R3264">
        <v>3.1</v>
      </c>
      <c r="T3264" s="340" t="str">
        <f t="shared" si="150"/>
        <v>2011MaleMaori23Poisoning by gases and vapours</v>
      </c>
      <c r="U3264">
        <v>2011</v>
      </c>
      <c r="V3264" t="s">
        <v>20</v>
      </c>
      <c r="W3264" t="s">
        <v>18</v>
      </c>
      <c r="X3264">
        <v>23</v>
      </c>
      <c r="Y3264" t="s">
        <v>46</v>
      </c>
      <c r="Z3264">
        <v>1</v>
      </c>
      <c r="AA3264">
        <v>33</v>
      </c>
      <c r="AB3264">
        <v>3</v>
      </c>
    </row>
    <row r="3265" spans="10:28">
      <c r="J3265" s="340" t="str">
        <f t="shared" si="149"/>
        <v>2012AllSexNon-Maori242</v>
      </c>
      <c r="K3265">
        <v>2012</v>
      </c>
      <c r="L3265" t="s">
        <v>17</v>
      </c>
      <c r="M3265" t="s">
        <v>19</v>
      </c>
      <c r="N3265">
        <v>24</v>
      </c>
      <c r="O3265">
        <v>2</v>
      </c>
      <c r="P3265">
        <v>26</v>
      </c>
      <c r="Q3265">
        <v>11.295054122344199</v>
      </c>
      <c r="R3265">
        <v>4.3</v>
      </c>
      <c r="T3265" s="340" t="str">
        <f t="shared" si="150"/>
        <v>2011MaleMaori24Poisoning by gases and vapours</v>
      </c>
      <c r="U3265">
        <v>2011</v>
      </c>
      <c r="V3265" t="s">
        <v>20</v>
      </c>
      <c r="W3265" t="s">
        <v>18</v>
      </c>
      <c r="X3265">
        <v>24</v>
      </c>
      <c r="Y3265" t="s">
        <v>46</v>
      </c>
      <c r="Z3265">
        <v>4</v>
      </c>
      <c r="AA3265">
        <v>13</v>
      </c>
      <c r="AB3265">
        <v>30.8</v>
      </c>
    </row>
    <row r="3266" spans="10:28">
      <c r="J3266" s="340" t="str">
        <f t="shared" si="149"/>
        <v>2012AllSexNon-Maori243</v>
      </c>
      <c r="K3266">
        <v>2012</v>
      </c>
      <c r="L3266" t="s">
        <v>17</v>
      </c>
      <c r="M3266" t="s">
        <v>19</v>
      </c>
      <c r="N3266">
        <v>24</v>
      </c>
      <c r="O3266">
        <v>3</v>
      </c>
      <c r="P3266">
        <v>31</v>
      </c>
      <c r="Q3266">
        <v>15.3567660645624</v>
      </c>
      <c r="R3266">
        <v>5.4</v>
      </c>
      <c r="T3266" s="340" t="str">
        <f t="shared" si="150"/>
        <v>2011MaleMaori23Poisoning by solids and liquids</v>
      </c>
      <c r="U3266">
        <v>2011</v>
      </c>
      <c r="V3266" t="s">
        <v>20</v>
      </c>
      <c r="W3266" t="s">
        <v>18</v>
      </c>
      <c r="X3266">
        <v>23</v>
      </c>
      <c r="Y3266" t="s">
        <v>47</v>
      </c>
      <c r="Z3266">
        <v>1</v>
      </c>
      <c r="AA3266">
        <v>33</v>
      </c>
      <c r="AB3266">
        <v>3</v>
      </c>
    </row>
    <row r="3267" spans="10:28">
      <c r="J3267" s="340" t="str">
        <f t="shared" si="149"/>
        <v>2012AllSexNon-Maori244</v>
      </c>
      <c r="K3267">
        <v>2012</v>
      </c>
      <c r="L3267" t="s">
        <v>17</v>
      </c>
      <c r="M3267" t="s">
        <v>19</v>
      </c>
      <c r="N3267">
        <v>24</v>
      </c>
      <c r="O3267">
        <v>4</v>
      </c>
      <c r="P3267">
        <v>34</v>
      </c>
      <c r="Q3267">
        <v>19.628084422207699</v>
      </c>
      <c r="R3267">
        <v>6.6</v>
      </c>
      <c r="T3267" s="340" t="str">
        <f t="shared" si="150"/>
        <v>2011MaleMaori24Poisoning by solids and liquids</v>
      </c>
      <c r="U3267">
        <v>2011</v>
      </c>
      <c r="V3267" t="s">
        <v>20</v>
      </c>
      <c r="W3267" t="s">
        <v>18</v>
      </c>
      <c r="X3267">
        <v>24</v>
      </c>
      <c r="Y3267" t="s">
        <v>47</v>
      </c>
      <c r="Z3267">
        <v>1</v>
      </c>
      <c r="AA3267">
        <v>13</v>
      </c>
      <c r="AB3267">
        <v>7.7</v>
      </c>
    </row>
    <row r="3268" spans="10:28">
      <c r="J3268" s="340" t="str">
        <f t="shared" ref="J3268:J3331" si="151">K3268&amp;L3268&amp;M3268&amp;N3268&amp;O3268</f>
        <v>2012AllSexNon-Maori245</v>
      </c>
      <c r="K3268">
        <v>2012</v>
      </c>
      <c r="L3268" t="s">
        <v>17</v>
      </c>
      <c r="M3268" t="s">
        <v>19</v>
      </c>
      <c r="N3268">
        <v>24</v>
      </c>
      <c r="O3268">
        <v>5</v>
      </c>
      <c r="P3268">
        <v>24</v>
      </c>
      <c r="Q3268">
        <v>17.783378199489999</v>
      </c>
      <c r="R3268">
        <v>7.1</v>
      </c>
      <c r="T3268" s="340" t="str">
        <f t="shared" si="150"/>
        <v>2011MaleMaori23Sharp object</v>
      </c>
      <c r="U3268">
        <v>2011</v>
      </c>
      <c r="V3268" t="s">
        <v>20</v>
      </c>
      <c r="W3268" t="s">
        <v>18</v>
      </c>
      <c r="X3268">
        <v>23</v>
      </c>
      <c r="Y3268" t="s">
        <v>48</v>
      </c>
      <c r="Z3268">
        <v>1</v>
      </c>
      <c r="AA3268">
        <v>33</v>
      </c>
      <c r="AB3268">
        <v>3</v>
      </c>
    </row>
    <row r="3269" spans="10:28">
      <c r="J3269" s="340" t="str">
        <f t="shared" si="151"/>
        <v>2012AllSexNon-Maori251</v>
      </c>
      <c r="K3269">
        <v>2012</v>
      </c>
      <c r="L3269" t="s">
        <v>17</v>
      </c>
      <c r="M3269" t="s">
        <v>19</v>
      </c>
      <c r="N3269">
        <v>25</v>
      </c>
      <c r="O3269">
        <v>1</v>
      </c>
      <c r="P3269">
        <v>5</v>
      </c>
      <c r="Q3269">
        <v>4.0879407139345503</v>
      </c>
      <c r="R3269">
        <v>3.6</v>
      </c>
      <c r="T3269" s="340" t="str">
        <f t="shared" ref="T3269:T3332" si="152">U3269&amp;V3269&amp;W3269&amp;X3269&amp;Y3269</f>
        <v>2011MaleMaori23Submersion (drowning)</v>
      </c>
      <c r="U3269">
        <v>2011</v>
      </c>
      <c r="V3269" t="s">
        <v>20</v>
      </c>
      <c r="W3269" t="s">
        <v>18</v>
      </c>
      <c r="X3269">
        <v>23</v>
      </c>
      <c r="Y3269" t="s">
        <v>49</v>
      </c>
      <c r="Z3269">
        <v>1</v>
      </c>
      <c r="AA3269">
        <v>33</v>
      </c>
      <c r="AB3269">
        <v>3</v>
      </c>
    </row>
    <row r="3270" spans="10:28">
      <c r="J3270" s="340" t="str">
        <f t="shared" si="151"/>
        <v>2012AllSexNon-Maori252</v>
      </c>
      <c r="K3270">
        <v>2012</v>
      </c>
      <c r="L3270" t="s">
        <v>17</v>
      </c>
      <c r="M3270" t="s">
        <v>19</v>
      </c>
      <c r="N3270">
        <v>25</v>
      </c>
      <c r="O3270">
        <v>2</v>
      </c>
      <c r="P3270">
        <v>13</v>
      </c>
      <c r="Q3270">
        <v>10.622152186741401</v>
      </c>
      <c r="R3270">
        <v>5.8</v>
      </c>
      <c r="T3270" s="340" t="str">
        <f t="shared" si="152"/>
        <v>2011MaleNon-Maori22Firearms and explosives</v>
      </c>
      <c r="U3270">
        <v>2011</v>
      </c>
      <c r="V3270" t="s">
        <v>20</v>
      </c>
      <c r="W3270" t="s">
        <v>19</v>
      </c>
      <c r="X3270">
        <v>22</v>
      </c>
      <c r="Y3270" t="s">
        <v>42</v>
      </c>
      <c r="Z3270">
        <v>3</v>
      </c>
      <c r="AA3270">
        <v>63</v>
      </c>
      <c r="AB3270">
        <v>4.8</v>
      </c>
    </row>
    <row r="3271" spans="10:28">
      <c r="J3271" s="340" t="str">
        <f t="shared" si="151"/>
        <v>2012AllSexNon-Maori253</v>
      </c>
      <c r="K3271">
        <v>2012</v>
      </c>
      <c r="L3271" t="s">
        <v>17</v>
      </c>
      <c r="M3271" t="s">
        <v>19</v>
      </c>
      <c r="N3271">
        <v>25</v>
      </c>
      <c r="O3271">
        <v>3</v>
      </c>
      <c r="P3271">
        <v>16</v>
      </c>
      <c r="Q3271">
        <v>13.4152797315156</v>
      </c>
      <c r="R3271">
        <v>6.6</v>
      </c>
      <c r="T3271" s="340" t="str">
        <f t="shared" si="152"/>
        <v>2011MaleNon-Maori23Firearms and explosives</v>
      </c>
      <c r="U3271">
        <v>2011</v>
      </c>
      <c r="V3271" t="s">
        <v>20</v>
      </c>
      <c r="W3271" t="s">
        <v>19</v>
      </c>
      <c r="X3271">
        <v>23</v>
      </c>
      <c r="Y3271" t="s">
        <v>42</v>
      </c>
      <c r="Z3271">
        <v>3</v>
      </c>
      <c r="AA3271">
        <v>97</v>
      </c>
      <c r="AB3271">
        <v>3.1</v>
      </c>
    </row>
    <row r="3272" spans="10:28">
      <c r="J3272" s="340" t="str">
        <f t="shared" si="151"/>
        <v>2012AllSexNon-Maori254</v>
      </c>
      <c r="K3272">
        <v>2012</v>
      </c>
      <c r="L3272" t="s">
        <v>17</v>
      </c>
      <c r="M3272" t="s">
        <v>19</v>
      </c>
      <c r="N3272">
        <v>25</v>
      </c>
      <c r="O3272">
        <v>4</v>
      </c>
      <c r="P3272">
        <v>10</v>
      </c>
      <c r="Q3272">
        <v>8.4890125398566294</v>
      </c>
      <c r="R3272">
        <v>5.3</v>
      </c>
      <c r="T3272" s="340" t="str">
        <f t="shared" si="152"/>
        <v>2011MaleNon-Maori24Firearms and explosives</v>
      </c>
      <c r="U3272">
        <v>2011</v>
      </c>
      <c r="V3272" t="s">
        <v>20</v>
      </c>
      <c r="W3272" t="s">
        <v>19</v>
      </c>
      <c r="X3272">
        <v>24</v>
      </c>
      <c r="Y3272" t="s">
        <v>42</v>
      </c>
      <c r="Z3272">
        <v>19</v>
      </c>
      <c r="AA3272">
        <v>104</v>
      </c>
      <c r="AB3272">
        <v>18.3</v>
      </c>
    </row>
    <row r="3273" spans="10:28">
      <c r="J3273" s="340" t="str">
        <f t="shared" si="151"/>
        <v>2012AllSexNon-Maori255</v>
      </c>
      <c r="K3273">
        <v>2012</v>
      </c>
      <c r="L3273" t="s">
        <v>17</v>
      </c>
      <c r="M3273" t="s">
        <v>19</v>
      </c>
      <c r="N3273">
        <v>25</v>
      </c>
      <c r="O3273">
        <v>5</v>
      </c>
      <c r="P3273">
        <v>10</v>
      </c>
      <c r="Q3273">
        <v>11.505098619886899</v>
      </c>
      <c r="R3273">
        <v>7.1</v>
      </c>
      <c r="T3273" s="340" t="str">
        <f t="shared" si="152"/>
        <v>2011MaleNon-Maori25Firearms and explosives</v>
      </c>
      <c r="U3273">
        <v>2011</v>
      </c>
      <c r="V3273" t="s">
        <v>20</v>
      </c>
      <c r="W3273" t="s">
        <v>19</v>
      </c>
      <c r="X3273">
        <v>25</v>
      </c>
      <c r="Y3273" t="s">
        <v>42</v>
      </c>
      <c r="Z3273">
        <v>7</v>
      </c>
      <c r="AA3273">
        <v>31</v>
      </c>
      <c r="AB3273">
        <v>22.6</v>
      </c>
    </row>
    <row r="3274" spans="10:28">
      <c r="J3274" s="340" t="str">
        <f t="shared" si="151"/>
        <v>2012FemaleAllEth211</v>
      </c>
      <c r="K3274">
        <v>2012</v>
      </c>
      <c r="L3274" t="s">
        <v>8</v>
      </c>
      <c r="M3274" t="s">
        <v>27</v>
      </c>
      <c r="N3274">
        <v>21</v>
      </c>
      <c r="O3274">
        <v>1</v>
      </c>
      <c r="P3274">
        <v>0</v>
      </c>
      <c r="Q3274">
        <v>0</v>
      </c>
      <c r="T3274" s="340" t="str">
        <f t="shared" si="152"/>
        <v>2011MaleNon-Maori21Hanging, strangulation and suffocation</v>
      </c>
      <c r="U3274">
        <v>2011</v>
      </c>
      <c r="V3274" t="s">
        <v>20</v>
      </c>
      <c r="W3274" t="s">
        <v>19</v>
      </c>
      <c r="X3274">
        <v>21</v>
      </c>
      <c r="Y3274" t="s">
        <v>43</v>
      </c>
      <c r="Z3274">
        <v>1</v>
      </c>
      <c r="AA3274">
        <v>1</v>
      </c>
      <c r="AB3274">
        <v>100</v>
      </c>
    </row>
    <row r="3275" spans="10:28">
      <c r="J3275" s="340" t="str">
        <f t="shared" si="151"/>
        <v>2012FemaleAllEth212</v>
      </c>
      <c r="K3275">
        <v>2012</v>
      </c>
      <c r="L3275" t="s">
        <v>8</v>
      </c>
      <c r="M3275" t="s">
        <v>27</v>
      </c>
      <c r="N3275">
        <v>21</v>
      </c>
      <c r="O3275">
        <v>2</v>
      </c>
      <c r="P3275">
        <v>1</v>
      </c>
      <c r="Q3275">
        <v>1.19781595738613</v>
      </c>
      <c r="R3275">
        <v>2.2999999999999998</v>
      </c>
      <c r="T3275" s="340" t="str">
        <f t="shared" si="152"/>
        <v>2011MaleNon-Maori22Hanging, strangulation and suffocation</v>
      </c>
      <c r="U3275">
        <v>2011</v>
      </c>
      <c r="V3275" t="s">
        <v>20</v>
      </c>
      <c r="W3275" t="s">
        <v>19</v>
      </c>
      <c r="X3275">
        <v>22</v>
      </c>
      <c r="Y3275" t="s">
        <v>43</v>
      </c>
      <c r="Z3275">
        <v>44</v>
      </c>
      <c r="AA3275">
        <v>63</v>
      </c>
      <c r="AB3275">
        <v>69.8</v>
      </c>
    </row>
    <row r="3276" spans="10:28">
      <c r="J3276" s="340" t="str">
        <f t="shared" si="151"/>
        <v>2012FemaleAllEth213</v>
      </c>
      <c r="K3276">
        <v>2012</v>
      </c>
      <c r="L3276" t="s">
        <v>8</v>
      </c>
      <c r="M3276" t="s">
        <v>27</v>
      </c>
      <c r="N3276">
        <v>21</v>
      </c>
      <c r="O3276">
        <v>3</v>
      </c>
      <c r="P3276">
        <v>0</v>
      </c>
      <c r="Q3276">
        <v>0</v>
      </c>
      <c r="T3276" s="340" t="str">
        <f t="shared" si="152"/>
        <v>2011MaleNon-Maori23Hanging, strangulation and suffocation</v>
      </c>
      <c r="U3276">
        <v>2011</v>
      </c>
      <c r="V3276" t="s">
        <v>20</v>
      </c>
      <c r="W3276" t="s">
        <v>19</v>
      </c>
      <c r="X3276">
        <v>23</v>
      </c>
      <c r="Y3276" t="s">
        <v>43</v>
      </c>
      <c r="Z3276">
        <v>59</v>
      </c>
      <c r="AA3276">
        <v>97</v>
      </c>
      <c r="AB3276">
        <v>60.8</v>
      </c>
    </row>
    <row r="3277" spans="10:28">
      <c r="J3277" s="340" t="str">
        <f t="shared" si="151"/>
        <v>2012FemaleAllEth214</v>
      </c>
      <c r="K3277">
        <v>2012</v>
      </c>
      <c r="L3277" t="s">
        <v>8</v>
      </c>
      <c r="M3277" t="s">
        <v>27</v>
      </c>
      <c r="N3277">
        <v>21</v>
      </c>
      <c r="O3277">
        <v>4</v>
      </c>
      <c r="P3277">
        <v>0</v>
      </c>
      <c r="Q3277">
        <v>0</v>
      </c>
      <c r="T3277" s="340" t="str">
        <f t="shared" si="152"/>
        <v>2011MaleNon-Maori24Hanging, strangulation and suffocation</v>
      </c>
      <c r="U3277">
        <v>2011</v>
      </c>
      <c r="V3277" t="s">
        <v>20</v>
      </c>
      <c r="W3277" t="s">
        <v>19</v>
      </c>
      <c r="X3277">
        <v>24</v>
      </c>
      <c r="Y3277" t="s">
        <v>43</v>
      </c>
      <c r="Z3277">
        <v>54</v>
      </c>
      <c r="AA3277">
        <v>104</v>
      </c>
      <c r="AB3277">
        <v>51.9</v>
      </c>
    </row>
    <row r="3278" spans="10:28">
      <c r="J3278" s="340" t="str">
        <f t="shared" si="151"/>
        <v>2012FemaleAllEth215</v>
      </c>
      <c r="K3278">
        <v>2012</v>
      </c>
      <c r="L3278" t="s">
        <v>8</v>
      </c>
      <c r="M3278" t="s">
        <v>27</v>
      </c>
      <c r="N3278">
        <v>21</v>
      </c>
      <c r="O3278">
        <v>5</v>
      </c>
      <c r="P3278">
        <v>4</v>
      </c>
      <c r="Q3278">
        <v>3.8287141051848499</v>
      </c>
      <c r="R3278">
        <v>3.8</v>
      </c>
      <c r="T3278" s="340" t="str">
        <f t="shared" si="152"/>
        <v>2011MaleNon-Maori25Hanging, strangulation and suffocation</v>
      </c>
      <c r="U3278">
        <v>2011</v>
      </c>
      <c r="V3278" t="s">
        <v>20</v>
      </c>
      <c r="W3278" t="s">
        <v>19</v>
      </c>
      <c r="X3278">
        <v>25</v>
      </c>
      <c r="Y3278" t="s">
        <v>43</v>
      </c>
      <c r="Z3278">
        <v>9</v>
      </c>
      <c r="AA3278">
        <v>31</v>
      </c>
      <c r="AB3278">
        <v>29</v>
      </c>
    </row>
    <row r="3279" spans="10:28">
      <c r="J3279" s="340" t="str">
        <f t="shared" si="151"/>
        <v>2012FemaleAllEth221</v>
      </c>
      <c r="K3279">
        <v>2012</v>
      </c>
      <c r="L3279" t="s">
        <v>8</v>
      </c>
      <c r="M3279" t="s">
        <v>27</v>
      </c>
      <c r="N3279">
        <v>22</v>
      </c>
      <c r="O3279">
        <v>1</v>
      </c>
      <c r="P3279">
        <v>0</v>
      </c>
      <c r="Q3279">
        <v>0</v>
      </c>
      <c r="T3279" s="340" t="str">
        <f t="shared" si="152"/>
        <v>2011MaleNon-Maori22Jumping from a high place</v>
      </c>
      <c r="U3279">
        <v>2011</v>
      </c>
      <c r="V3279" t="s">
        <v>20</v>
      </c>
      <c r="W3279" t="s">
        <v>19</v>
      </c>
      <c r="X3279">
        <v>22</v>
      </c>
      <c r="Y3279" t="s">
        <v>44</v>
      </c>
      <c r="Z3279">
        <v>3</v>
      </c>
      <c r="AA3279">
        <v>63</v>
      </c>
      <c r="AB3279">
        <v>4.8</v>
      </c>
    </row>
    <row r="3280" spans="10:28">
      <c r="J3280" s="340" t="str">
        <f t="shared" si="151"/>
        <v>2012FemaleAllEth222</v>
      </c>
      <c r="K3280">
        <v>2012</v>
      </c>
      <c r="L3280" t="s">
        <v>8</v>
      </c>
      <c r="M3280" t="s">
        <v>27</v>
      </c>
      <c r="N3280">
        <v>22</v>
      </c>
      <c r="O3280">
        <v>2</v>
      </c>
      <c r="P3280">
        <v>6</v>
      </c>
      <c r="Q3280">
        <v>11.1246382256133</v>
      </c>
      <c r="R3280">
        <v>8.9</v>
      </c>
      <c r="T3280" s="340" t="str">
        <f t="shared" si="152"/>
        <v>2011MaleNon-Maori23Jumping from a high place</v>
      </c>
      <c r="U3280">
        <v>2011</v>
      </c>
      <c r="V3280" t="s">
        <v>20</v>
      </c>
      <c r="W3280" t="s">
        <v>19</v>
      </c>
      <c r="X3280">
        <v>23</v>
      </c>
      <c r="Y3280" t="s">
        <v>44</v>
      </c>
      <c r="Z3280">
        <v>3</v>
      </c>
      <c r="AA3280">
        <v>97</v>
      </c>
      <c r="AB3280">
        <v>3.1</v>
      </c>
    </row>
    <row r="3281" spans="10:28">
      <c r="J3281" s="340" t="str">
        <f t="shared" si="151"/>
        <v>2012FemaleAllEth223</v>
      </c>
      <c r="K3281">
        <v>2012</v>
      </c>
      <c r="L3281" t="s">
        <v>8</v>
      </c>
      <c r="M3281" t="s">
        <v>27</v>
      </c>
      <c r="N3281">
        <v>22</v>
      </c>
      <c r="O3281">
        <v>3</v>
      </c>
      <c r="P3281">
        <v>5</v>
      </c>
      <c r="Q3281">
        <v>8.6984156999726299</v>
      </c>
      <c r="R3281">
        <v>7.6</v>
      </c>
      <c r="T3281" s="340" t="str">
        <f t="shared" si="152"/>
        <v>2011MaleNon-Maori24Jumping from a high place</v>
      </c>
      <c r="U3281">
        <v>2011</v>
      </c>
      <c r="V3281" t="s">
        <v>20</v>
      </c>
      <c r="W3281" t="s">
        <v>19</v>
      </c>
      <c r="X3281">
        <v>24</v>
      </c>
      <c r="Y3281" t="s">
        <v>44</v>
      </c>
      <c r="Z3281">
        <v>1</v>
      </c>
      <c r="AA3281">
        <v>104</v>
      </c>
      <c r="AB3281">
        <v>1</v>
      </c>
    </row>
    <row r="3282" spans="10:28">
      <c r="J3282" s="340" t="str">
        <f t="shared" si="151"/>
        <v>2012FemaleAllEth224</v>
      </c>
      <c r="K3282">
        <v>2012</v>
      </c>
      <c r="L3282" t="s">
        <v>8</v>
      </c>
      <c r="M3282" t="s">
        <v>27</v>
      </c>
      <c r="N3282">
        <v>22</v>
      </c>
      <c r="O3282">
        <v>4</v>
      </c>
      <c r="P3282">
        <v>11</v>
      </c>
      <c r="Q3282">
        <v>16.6458471809174</v>
      </c>
      <c r="R3282">
        <v>9.8000000000000007</v>
      </c>
      <c r="T3282" s="340" t="str">
        <f t="shared" si="152"/>
        <v>2011MaleNon-Maori25Jumping from a high place</v>
      </c>
      <c r="U3282">
        <v>2011</v>
      </c>
      <c r="V3282" t="s">
        <v>20</v>
      </c>
      <c r="W3282" t="s">
        <v>19</v>
      </c>
      <c r="X3282">
        <v>25</v>
      </c>
      <c r="Y3282" t="s">
        <v>44</v>
      </c>
      <c r="Z3282">
        <v>1</v>
      </c>
      <c r="AA3282">
        <v>31</v>
      </c>
      <c r="AB3282">
        <v>3.2</v>
      </c>
    </row>
    <row r="3283" spans="10:28">
      <c r="J3283" s="340" t="str">
        <f t="shared" si="151"/>
        <v>2012FemaleAllEth225</v>
      </c>
      <c r="K3283">
        <v>2012</v>
      </c>
      <c r="L3283" t="s">
        <v>8</v>
      </c>
      <c r="M3283" t="s">
        <v>27</v>
      </c>
      <c r="N3283">
        <v>22</v>
      </c>
      <c r="O3283">
        <v>5</v>
      </c>
      <c r="P3283">
        <v>18</v>
      </c>
      <c r="Q3283">
        <v>23.519888696348101</v>
      </c>
      <c r="R3283">
        <v>10.9</v>
      </c>
      <c r="T3283" s="340" t="str">
        <f t="shared" si="152"/>
        <v>2011MaleNon-Maori22Other</v>
      </c>
      <c r="U3283">
        <v>2011</v>
      </c>
      <c r="V3283" t="s">
        <v>20</v>
      </c>
      <c r="W3283" t="s">
        <v>19</v>
      </c>
      <c r="X3283">
        <v>22</v>
      </c>
      <c r="Y3283" t="s">
        <v>45</v>
      </c>
      <c r="Z3283">
        <v>3</v>
      </c>
      <c r="AA3283">
        <v>63</v>
      </c>
      <c r="AB3283">
        <v>4.8</v>
      </c>
    </row>
    <row r="3284" spans="10:28">
      <c r="J3284" s="340" t="str">
        <f t="shared" si="151"/>
        <v>2012FemaleAllEth231</v>
      </c>
      <c r="K3284">
        <v>2012</v>
      </c>
      <c r="L3284" t="s">
        <v>8</v>
      </c>
      <c r="M3284" t="s">
        <v>27</v>
      </c>
      <c r="N3284">
        <v>23</v>
      </c>
      <c r="O3284">
        <v>1</v>
      </c>
      <c r="P3284">
        <v>4</v>
      </c>
      <c r="Q3284">
        <v>3.4807212415182298</v>
      </c>
      <c r="R3284">
        <v>3.4</v>
      </c>
      <c r="T3284" s="340" t="str">
        <f t="shared" si="152"/>
        <v>2011MaleNon-Maori23Other</v>
      </c>
      <c r="U3284">
        <v>2011</v>
      </c>
      <c r="V3284" t="s">
        <v>20</v>
      </c>
      <c r="W3284" t="s">
        <v>19</v>
      </c>
      <c r="X3284">
        <v>23</v>
      </c>
      <c r="Y3284" t="s">
        <v>45</v>
      </c>
      <c r="Z3284">
        <v>2</v>
      </c>
      <c r="AA3284">
        <v>97</v>
      </c>
      <c r="AB3284">
        <v>2.1</v>
      </c>
    </row>
    <row r="3285" spans="10:28">
      <c r="J3285" s="340" t="str">
        <f t="shared" si="151"/>
        <v>2012FemaleAllEth232</v>
      </c>
      <c r="K3285">
        <v>2012</v>
      </c>
      <c r="L3285" t="s">
        <v>8</v>
      </c>
      <c r="M3285" t="s">
        <v>27</v>
      </c>
      <c r="N3285">
        <v>23</v>
      </c>
      <c r="O3285">
        <v>2</v>
      </c>
      <c r="P3285">
        <v>5</v>
      </c>
      <c r="Q3285">
        <v>4.0871772498913996</v>
      </c>
      <c r="R3285">
        <v>3.6</v>
      </c>
      <c r="T3285" s="340" t="str">
        <f t="shared" si="152"/>
        <v>2011MaleNon-Maori24Other</v>
      </c>
      <c r="U3285">
        <v>2011</v>
      </c>
      <c r="V3285" t="s">
        <v>20</v>
      </c>
      <c r="W3285" t="s">
        <v>19</v>
      </c>
      <c r="X3285">
        <v>24</v>
      </c>
      <c r="Y3285" t="s">
        <v>45</v>
      </c>
      <c r="Z3285">
        <v>3</v>
      </c>
      <c r="AA3285">
        <v>104</v>
      </c>
      <c r="AB3285">
        <v>2.9</v>
      </c>
    </row>
    <row r="3286" spans="10:28">
      <c r="J3286" s="340" t="str">
        <f t="shared" si="151"/>
        <v>2012FemaleAllEth233</v>
      </c>
      <c r="K3286">
        <v>2012</v>
      </c>
      <c r="L3286" t="s">
        <v>8</v>
      </c>
      <c r="M3286" t="s">
        <v>27</v>
      </c>
      <c r="N3286">
        <v>23</v>
      </c>
      <c r="O3286">
        <v>3</v>
      </c>
      <c r="P3286">
        <v>7</v>
      </c>
      <c r="Q3286">
        <v>5.6881823677885599</v>
      </c>
      <c r="R3286">
        <v>4.2</v>
      </c>
      <c r="T3286" s="340" t="str">
        <f t="shared" si="152"/>
        <v>2011MaleNon-Maori25Other</v>
      </c>
      <c r="U3286">
        <v>2011</v>
      </c>
      <c r="V3286" t="s">
        <v>20</v>
      </c>
      <c r="W3286" t="s">
        <v>19</v>
      </c>
      <c r="X3286">
        <v>25</v>
      </c>
      <c r="Y3286" t="s">
        <v>45</v>
      </c>
      <c r="Z3286">
        <v>2</v>
      </c>
      <c r="AA3286">
        <v>31</v>
      </c>
      <c r="AB3286">
        <v>6.5</v>
      </c>
    </row>
    <row r="3287" spans="10:28">
      <c r="J3287" s="340" t="str">
        <f t="shared" si="151"/>
        <v>2012FemaleAllEth234</v>
      </c>
      <c r="K3287">
        <v>2012</v>
      </c>
      <c r="L3287" t="s">
        <v>8</v>
      </c>
      <c r="M3287" t="s">
        <v>27</v>
      </c>
      <c r="N3287">
        <v>23</v>
      </c>
      <c r="O3287">
        <v>4</v>
      </c>
      <c r="P3287">
        <v>14</v>
      </c>
      <c r="Q3287">
        <v>11.6530602838648</v>
      </c>
      <c r="R3287">
        <v>6.1</v>
      </c>
      <c r="T3287" s="340" t="str">
        <f t="shared" si="152"/>
        <v>2011MaleNon-Maori22Poisoning by gases and vapours</v>
      </c>
      <c r="U3287">
        <v>2011</v>
      </c>
      <c r="V3287" t="s">
        <v>20</v>
      </c>
      <c r="W3287" t="s">
        <v>19</v>
      </c>
      <c r="X3287">
        <v>22</v>
      </c>
      <c r="Y3287" t="s">
        <v>46</v>
      </c>
      <c r="Z3287">
        <v>6</v>
      </c>
      <c r="AA3287">
        <v>63</v>
      </c>
      <c r="AB3287">
        <v>9.5</v>
      </c>
    </row>
    <row r="3288" spans="10:28">
      <c r="J3288" s="340" t="str">
        <f t="shared" si="151"/>
        <v>2012FemaleAllEth235</v>
      </c>
      <c r="K3288">
        <v>2012</v>
      </c>
      <c r="L3288" t="s">
        <v>8</v>
      </c>
      <c r="M3288" t="s">
        <v>27</v>
      </c>
      <c r="N3288">
        <v>23</v>
      </c>
      <c r="O3288">
        <v>5</v>
      </c>
      <c r="P3288">
        <v>9</v>
      </c>
      <c r="Q3288">
        <v>7.7395664053941502</v>
      </c>
      <c r="R3288">
        <v>5.0999999999999996</v>
      </c>
      <c r="T3288" s="340" t="str">
        <f t="shared" si="152"/>
        <v>2011MaleNon-Maori23Poisoning by gases and vapours</v>
      </c>
      <c r="U3288">
        <v>2011</v>
      </c>
      <c r="V3288" t="s">
        <v>20</v>
      </c>
      <c r="W3288" t="s">
        <v>19</v>
      </c>
      <c r="X3288">
        <v>23</v>
      </c>
      <c r="Y3288" t="s">
        <v>46</v>
      </c>
      <c r="Z3288">
        <v>17</v>
      </c>
      <c r="AA3288">
        <v>97</v>
      </c>
      <c r="AB3288">
        <v>17.5</v>
      </c>
    </row>
    <row r="3289" spans="10:28">
      <c r="J3289" s="340" t="str">
        <f t="shared" si="151"/>
        <v>2012FemaleAllEth241</v>
      </c>
      <c r="K3289">
        <v>2012</v>
      </c>
      <c r="L3289" t="s">
        <v>8</v>
      </c>
      <c r="M3289" t="s">
        <v>27</v>
      </c>
      <c r="N3289">
        <v>24</v>
      </c>
      <c r="O3289">
        <v>1</v>
      </c>
      <c r="P3289">
        <v>4</v>
      </c>
      <c r="Q3289">
        <v>2.8615071800141298</v>
      </c>
      <c r="R3289">
        <v>2.8</v>
      </c>
      <c r="T3289" s="340" t="str">
        <f t="shared" si="152"/>
        <v>2011MaleNon-Maori24Poisoning by gases and vapours</v>
      </c>
      <c r="U3289">
        <v>2011</v>
      </c>
      <c r="V3289" t="s">
        <v>20</v>
      </c>
      <c r="W3289" t="s">
        <v>19</v>
      </c>
      <c r="X3289">
        <v>24</v>
      </c>
      <c r="Y3289" t="s">
        <v>46</v>
      </c>
      <c r="Z3289">
        <v>14</v>
      </c>
      <c r="AA3289">
        <v>104</v>
      </c>
      <c r="AB3289">
        <v>13.5</v>
      </c>
    </row>
    <row r="3290" spans="10:28">
      <c r="J3290" s="340" t="str">
        <f t="shared" si="151"/>
        <v>2012FemaleAllEth242</v>
      </c>
      <c r="K3290">
        <v>2012</v>
      </c>
      <c r="L3290" t="s">
        <v>8</v>
      </c>
      <c r="M3290" t="s">
        <v>27</v>
      </c>
      <c r="N3290">
        <v>24</v>
      </c>
      <c r="O3290">
        <v>2</v>
      </c>
      <c r="P3290">
        <v>10</v>
      </c>
      <c r="Q3290">
        <v>7.9600404890147702</v>
      </c>
      <c r="R3290">
        <v>4.9000000000000004</v>
      </c>
      <c r="T3290" s="340" t="str">
        <f t="shared" si="152"/>
        <v>2011MaleNon-Maori25Poisoning by gases and vapours</v>
      </c>
      <c r="U3290">
        <v>2011</v>
      </c>
      <c r="V3290" t="s">
        <v>20</v>
      </c>
      <c r="W3290" t="s">
        <v>19</v>
      </c>
      <c r="X3290">
        <v>25</v>
      </c>
      <c r="Y3290" t="s">
        <v>46</v>
      </c>
      <c r="Z3290">
        <v>1</v>
      </c>
      <c r="AA3290">
        <v>31</v>
      </c>
      <c r="AB3290">
        <v>3.2</v>
      </c>
    </row>
    <row r="3291" spans="10:28">
      <c r="J3291" s="340" t="str">
        <f t="shared" si="151"/>
        <v>2012FemaleAllEth243</v>
      </c>
      <c r="K3291">
        <v>2012</v>
      </c>
      <c r="L3291" t="s">
        <v>8</v>
      </c>
      <c r="M3291" t="s">
        <v>27</v>
      </c>
      <c r="N3291">
        <v>24</v>
      </c>
      <c r="O3291">
        <v>3</v>
      </c>
      <c r="P3291">
        <v>6</v>
      </c>
      <c r="Q3291">
        <v>5.2499389653330804</v>
      </c>
      <c r="R3291">
        <v>4.2</v>
      </c>
      <c r="T3291" s="340" t="str">
        <f t="shared" si="152"/>
        <v>2011MaleNon-Maori22Poisoning by solids and liquids</v>
      </c>
      <c r="U3291">
        <v>2011</v>
      </c>
      <c r="V3291" t="s">
        <v>20</v>
      </c>
      <c r="W3291" t="s">
        <v>19</v>
      </c>
      <c r="X3291">
        <v>22</v>
      </c>
      <c r="Y3291" t="s">
        <v>47</v>
      </c>
      <c r="Z3291">
        <v>4</v>
      </c>
      <c r="AA3291">
        <v>63</v>
      </c>
      <c r="AB3291">
        <v>6.3</v>
      </c>
    </row>
    <row r="3292" spans="10:28">
      <c r="J3292" s="340" t="str">
        <f t="shared" si="151"/>
        <v>2012FemaleAllEth244</v>
      </c>
      <c r="K3292">
        <v>2012</v>
      </c>
      <c r="L3292" t="s">
        <v>8</v>
      </c>
      <c r="M3292" t="s">
        <v>27</v>
      </c>
      <c r="N3292">
        <v>24</v>
      </c>
      <c r="O3292">
        <v>4</v>
      </c>
      <c r="P3292">
        <v>12</v>
      </c>
      <c r="Q3292">
        <v>11.553729741612701</v>
      </c>
      <c r="R3292">
        <v>6.5</v>
      </c>
      <c r="T3292" s="340" t="str">
        <f t="shared" si="152"/>
        <v>2011MaleNon-Maori23Poisoning by solids and liquids</v>
      </c>
      <c r="U3292">
        <v>2011</v>
      </c>
      <c r="V3292" t="s">
        <v>20</v>
      </c>
      <c r="W3292" t="s">
        <v>19</v>
      </c>
      <c r="X3292">
        <v>23</v>
      </c>
      <c r="Y3292" t="s">
        <v>47</v>
      </c>
      <c r="Z3292">
        <v>11</v>
      </c>
      <c r="AA3292">
        <v>97</v>
      </c>
      <c r="AB3292">
        <v>11.3</v>
      </c>
    </row>
    <row r="3293" spans="10:28">
      <c r="J3293" s="340" t="str">
        <f t="shared" si="151"/>
        <v>2012FemaleAllEth245</v>
      </c>
      <c r="K3293">
        <v>2012</v>
      </c>
      <c r="L3293" t="s">
        <v>8</v>
      </c>
      <c r="M3293" t="s">
        <v>27</v>
      </c>
      <c r="N3293">
        <v>24</v>
      </c>
      <c r="O3293">
        <v>5</v>
      </c>
      <c r="P3293">
        <v>8</v>
      </c>
      <c r="Q3293">
        <v>8.3276068584515404</v>
      </c>
      <c r="R3293">
        <v>5.8</v>
      </c>
      <c r="T3293" s="340" t="str">
        <f t="shared" si="152"/>
        <v>2011MaleNon-Maori24Poisoning by solids and liquids</v>
      </c>
      <c r="U3293">
        <v>2011</v>
      </c>
      <c r="V3293" t="s">
        <v>20</v>
      </c>
      <c r="W3293" t="s">
        <v>19</v>
      </c>
      <c r="X3293">
        <v>24</v>
      </c>
      <c r="Y3293" t="s">
        <v>47</v>
      </c>
      <c r="Z3293">
        <v>9</v>
      </c>
      <c r="AA3293">
        <v>104</v>
      </c>
      <c r="AB3293">
        <v>8.6999999999999993</v>
      </c>
    </row>
    <row r="3294" spans="10:28">
      <c r="J3294" s="340" t="str">
        <f t="shared" si="151"/>
        <v>2012FemaleAllEth251</v>
      </c>
      <c r="K3294">
        <v>2012</v>
      </c>
      <c r="L3294" t="s">
        <v>8</v>
      </c>
      <c r="M3294" t="s">
        <v>27</v>
      </c>
      <c r="N3294">
        <v>25</v>
      </c>
      <c r="O3294">
        <v>1</v>
      </c>
      <c r="P3294">
        <v>0</v>
      </c>
      <c r="Q3294">
        <v>0</v>
      </c>
      <c r="T3294" s="340" t="str">
        <f t="shared" si="152"/>
        <v>2011MaleNon-Maori25Poisoning by solids and liquids</v>
      </c>
      <c r="U3294">
        <v>2011</v>
      </c>
      <c r="V3294" t="s">
        <v>20</v>
      </c>
      <c r="W3294" t="s">
        <v>19</v>
      </c>
      <c r="X3294">
        <v>25</v>
      </c>
      <c r="Y3294" t="s">
        <v>47</v>
      </c>
      <c r="Z3294">
        <v>5</v>
      </c>
      <c r="AA3294">
        <v>31</v>
      </c>
      <c r="AB3294">
        <v>16.100000000000001</v>
      </c>
    </row>
    <row r="3295" spans="10:28">
      <c r="J3295" s="340" t="str">
        <f t="shared" si="151"/>
        <v>2012FemaleAllEth252</v>
      </c>
      <c r="K3295">
        <v>2012</v>
      </c>
      <c r="L3295" t="s">
        <v>8</v>
      </c>
      <c r="M3295" t="s">
        <v>27</v>
      </c>
      <c r="N3295">
        <v>25</v>
      </c>
      <c r="O3295">
        <v>2</v>
      </c>
      <c r="P3295">
        <v>2</v>
      </c>
      <c r="Q3295">
        <v>2.9970539106656799</v>
      </c>
      <c r="R3295">
        <v>4.2</v>
      </c>
      <c r="T3295" s="340" t="str">
        <f t="shared" si="152"/>
        <v>2011MaleNon-Maori24Sharp object</v>
      </c>
      <c r="U3295">
        <v>2011</v>
      </c>
      <c r="V3295" t="s">
        <v>20</v>
      </c>
      <c r="W3295" t="s">
        <v>19</v>
      </c>
      <c r="X3295">
        <v>24</v>
      </c>
      <c r="Y3295" t="s">
        <v>48</v>
      </c>
      <c r="Z3295">
        <v>2</v>
      </c>
      <c r="AA3295">
        <v>104</v>
      </c>
      <c r="AB3295">
        <v>1.9</v>
      </c>
    </row>
    <row r="3296" spans="10:28">
      <c r="J3296" s="340" t="str">
        <f t="shared" si="151"/>
        <v>2012FemaleAllEth253</v>
      </c>
      <c r="K3296">
        <v>2012</v>
      </c>
      <c r="L3296" t="s">
        <v>8</v>
      </c>
      <c r="M3296" t="s">
        <v>27</v>
      </c>
      <c r="N3296">
        <v>25</v>
      </c>
      <c r="O3296">
        <v>3</v>
      </c>
      <c r="P3296">
        <v>3</v>
      </c>
      <c r="Q3296">
        <v>4.4438530519960402</v>
      </c>
      <c r="R3296">
        <v>5</v>
      </c>
      <c r="T3296" s="340" t="str">
        <f t="shared" si="152"/>
        <v>2011MaleNon-Maori25Sharp object</v>
      </c>
      <c r="U3296">
        <v>2011</v>
      </c>
      <c r="V3296" t="s">
        <v>20</v>
      </c>
      <c r="W3296" t="s">
        <v>19</v>
      </c>
      <c r="X3296">
        <v>25</v>
      </c>
      <c r="Y3296" t="s">
        <v>48</v>
      </c>
      <c r="Z3296">
        <v>3</v>
      </c>
      <c r="AA3296">
        <v>31</v>
      </c>
      <c r="AB3296">
        <v>9.6999999999999993</v>
      </c>
    </row>
    <row r="3297" spans="10:28">
      <c r="J3297" s="340" t="str">
        <f t="shared" si="151"/>
        <v>2012FemaleAllEth254</v>
      </c>
      <c r="K3297">
        <v>2012</v>
      </c>
      <c r="L3297" t="s">
        <v>8</v>
      </c>
      <c r="M3297" t="s">
        <v>27</v>
      </c>
      <c r="N3297">
        <v>25</v>
      </c>
      <c r="O3297">
        <v>4</v>
      </c>
      <c r="P3297">
        <v>4</v>
      </c>
      <c r="Q3297">
        <v>5.6719798744883301</v>
      </c>
      <c r="R3297">
        <v>5.6</v>
      </c>
      <c r="T3297" s="340" t="str">
        <f t="shared" si="152"/>
        <v>2011MaleNon-Maori23Submersion (drowning)</v>
      </c>
      <c r="U3297">
        <v>2011</v>
      </c>
      <c r="V3297" t="s">
        <v>20</v>
      </c>
      <c r="W3297" t="s">
        <v>19</v>
      </c>
      <c r="X3297">
        <v>23</v>
      </c>
      <c r="Y3297" t="s">
        <v>49</v>
      </c>
      <c r="Z3297">
        <v>2</v>
      </c>
      <c r="AA3297">
        <v>97</v>
      </c>
      <c r="AB3297">
        <v>2.1</v>
      </c>
    </row>
    <row r="3298" spans="10:28">
      <c r="J3298" s="340" t="str">
        <f t="shared" si="151"/>
        <v>2012FemaleAllEth255</v>
      </c>
      <c r="K3298">
        <v>2012</v>
      </c>
      <c r="L3298" t="s">
        <v>8</v>
      </c>
      <c r="M3298" t="s">
        <v>27</v>
      </c>
      <c r="N3298">
        <v>25</v>
      </c>
      <c r="O3298">
        <v>5</v>
      </c>
      <c r="P3298">
        <v>4</v>
      </c>
      <c r="Q3298">
        <v>7.0770540970332103</v>
      </c>
      <c r="R3298">
        <v>6.9</v>
      </c>
      <c r="T3298" s="340" t="str">
        <f t="shared" si="152"/>
        <v>2011MaleNon-Maori24Submersion (drowning)</v>
      </c>
      <c r="U3298">
        <v>2011</v>
      </c>
      <c r="V3298" t="s">
        <v>20</v>
      </c>
      <c r="W3298" t="s">
        <v>19</v>
      </c>
      <c r="X3298">
        <v>24</v>
      </c>
      <c r="Y3298" t="s">
        <v>49</v>
      </c>
      <c r="Z3298">
        <v>2</v>
      </c>
      <c r="AA3298">
        <v>104</v>
      </c>
      <c r="AB3298">
        <v>1.9</v>
      </c>
    </row>
    <row r="3299" spans="10:28">
      <c r="J3299" s="340" t="str">
        <f t="shared" si="151"/>
        <v>2012FemaleMaori211</v>
      </c>
      <c r="K3299">
        <v>2012</v>
      </c>
      <c r="L3299" t="s">
        <v>8</v>
      </c>
      <c r="M3299" t="s">
        <v>18</v>
      </c>
      <c r="N3299">
        <v>21</v>
      </c>
      <c r="O3299">
        <v>1</v>
      </c>
      <c r="P3299">
        <v>0</v>
      </c>
      <c r="Q3299">
        <v>0</v>
      </c>
      <c r="T3299" s="340" t="str">
        <f t="shared" si="152"/>
        <v>2011MaleNon-Maori25Submersion (drowning)</v>
      </c>
      <c r="U3299">
        <v>2011</v>
      </c>
      <c r="V3299" t="s">
        <v>20</v>
      </c>
      <c r="W3299" t="s">
        <v>19</v>
      </c>
      <c r="X3299">
        <v>25</v>
      </c>
      <c r="Y3299" t="s">
        <v>49</v>
      </c>
      <c r="Z3299">
        <v>3</v>
      </c>
      <c r="AA3299">
        <v>31</v>
      </c>
      <c r="AB3299">
        <v>9.6999999999999993</v>
      </c>
    </row>
    <row r="3300" spans="10:28">
      <c r="J3300" s="340" t="str">
        <f t="shared" si="151"/>
        <v>2012FemaleMaori212</v>
      </c>
      <c r="K3300">
        <v>2012</v>
      </c>
      <c r="L3300" t="s">
        <v>8</v>
      </c>
      <c r="M3300" t="s">
        <v>18</v>
      </c>
      <c r="N3300">
        <v>21</v>
      </c>
      <c r="O3300">
        <v>2</v>
      </c>
      <c r="P3300">
        <v>0</v>
      </c>
      <c r="Q3300">
        <v>0</v>
      </c>
      <c r="T3300" s="340" t="str">
        <f t="shared" si="152"/>
        <v>2012AllSexAllEth21Firearms and explosives</v>
      </c>
      <c r="U3300">
        <v>2012</v>
      </c>
      <c r="V3300" t="s">
        <v>17</v>
      </c>
      <c r="W3300" t="s">
        <v>27</v>
      </c>
      <c r="X3300">
        <v>21</v>
      </c>
      <c r="Y3300" t="s">
        <v>42</v>
      </c>
      <c r="Z3300">
        <v>2</v>
      </c>
      <c r="AA3300">
        <v>11</v>
      </c>
      <c r="AB3300">
        <v>18.2</v>
      </c>
    </row>
    <row r="3301" spans="10:28">
      <c r="J3301" s="340" t="str">
        <f t="shared" si="151"/>
        <v>2012FemaleMaori213</v>
      </c>
      <c r="K3301">
        <v>2012</v>
      </c>
      <c r="L3301" t="s">
        <v>8</v>
      </c>
      <c r="M3301" t="s">
        <v>18</v>
      </c>
      <c r="N3301">
        <v>21</v>
      </c>
      <c r="O3301">
        <v>3</v>
      </c>
      <c r="P3301">
        <v>0</v>
      </c>
      <c r="Q3301">
        <v>0</v>
      </c>
      <c r="T3301" s="340" t="str">
        <f t="shared" si="152"/>
        <v>2012AllSexAllEth22Firearms and explosives</v>
      </c>
      <c r="U3301">
        <v>2012</v>
      </c>
      <c r="V3301" t="s">
        <v>17</v>
      </c>
      <c r="W3301" t="s">
        <v>27</v>
      </c>
      <c r="X3301">
        <v>22</v>
      </c>
      <c r="Y3301" t="s">
        <v>42</v>
      </c>
      <c r="Z3301">
        <v>9</v>
      </c>
      <c r="AA3301">
        <v>148</v>
      </c>
      <c r="AB3301">
        <v>6.1</v>
      </c>
    </row>
    <row r="3302" spans="10:28">
      <c r="J3302" s="340" t="str">
        <f t="shared" si="151"/>
        <v>2012FemaleMaori214</v>
      </c>
      <c r="K3302">
        <v>2012</v>
      </c>
      <c r="L3302" t="s">
        <v>8</v>
      </c>
      <c r="M3302" t="s">
        <v>18</v>
      </c>
      <c r="N3302">
        <v>21</v>
      </c>
      <c r="O3302">
        <v>4</v>
      </c>
      <c r="P3302">
        <v>0</v>
      </c>
      <c r="Q3302">
        <v>0</v>
      </c>
      <c r="T3302" s="340" t="str">
        <f t="shared" si="152"/>
        <v>2012AllSexAllEth23Firearms and explosives</v>
      </c>
      <c r="U3302">
        <v>2012</v>
      </c>
      <c r="V3302" t="s">
        <v>17</v>
      </c>
      <c r="W3302" t="s">
        <v>27</v>
      </c>
      <c r="X3302">
        <v>23</v>
      </c>
      <c r="Y3302" t="s">
        <v>42</v>
      </c>
      <c r="Z3302">
        <v>11</v>
      </c>
      <c r="AA3302">
        <v>186</v>
      </c>
      <c r="AB3302">
        <v>5.9</v>
      </c>
    </row>
    <row r="3303" spans="10:28">
      <c r="J3303" s="340" t="str">
        <f t="shared" si="151"/>
        <v>2012FemaleMaori215</v>
      </c>
      <c r="K3303">
        <v>2012</v>
      </c>
      <c r="L3303" t="s">
        <v>8</v>
      </c>
      <c r="M3303" t="s">
        <v>18</v>
      </c>
      <c r="N3303">
        <v>21</v>
      </c>
      <c r="O3303">
        <v>5</v>
      </c>
      <c r="P3303">
        <v>3</v>
      </c>
      <c r="Q3303">
        <v>6.3704034612068599</v>
      </c>
      <c r="R3303">
        <v>7.2</v>
      </c>
      <c r="T3303" s="340" t="str">
        <f t="shared" si="152"/>
        <v>2012AllSexAllEth24Firearms and explosives</v>
      </c>
      <c r="U3303">
        <v>2012</v>
      </c>
      <c r="V3303" t="s">
        <v>17</v>
      </c>
      <c r="W3303" t="s">
        <v>27</v>
      </c>
      <c r="X3303">
        <v>24</v>
      </c>
      <c r="Y3303" t="s">
        <v>42</v>
      </c>
      <c r="Z3303">
        <v>17</v>
      </c>
      <c r="AA3303">
        <v>147</v>
      </c>
      <c r="AB3303">
        <v>11.6</v>
      </c>
    </row>
    <row r="3304" spans="10:28">
      <c r="J3304" s="340" t="str">
        <f t="shared" si="151"/>
        <v>2012FemaleMaori221</v>
      </c>
      <c r="K3304">
        <v>2012</v>
      </c>
      <c r="L3304" t="s">
        <v>8</v>
      </c>
      <c r="M3304" t="s">
        <v>18</v>
      </c>
      <c r="N3304">
        <v>22</v>
      </c>
      <c r="O3304">
        <v>1</v>
      </c>
      <c r="P3304">
        <v>0</v>
      </c>
      <c r="Q3304">
        <v>0</v>
      </c>
      <c r="T3304" s="340" t="str">
        <f t="shared" si="152"/>
        <v>2012AllSexAllEth25Firearms and explosives</v>
      </c>
      <c r="U3304">
        <v>2012</v>
      </c>
      <c r="V3304" t="s">
        <v>17</v>
      </c>
      <c r="W3304" t="s">
        <v>27</v>
      </c>
      <c r="X3304">
        <v>25</v>
      </c>
      <c r="Y3304" t="s">
        <v>42</v>
      </c>
      <c r="Z3304">
        <v>8</v>
      </c>
      <c r="AA3304">
        <v>57</v>
      </c>
      <c r="AB3304">
        <v>14</v>
      </c>
    </row>
    <row r="3305" spans="10:28">
      <c r="J3305" s="340" t="str">
        <f t="shared" si="151"/>
        <v>2012FemaleMaori222</v>
      </c>
      <c r="K3305">
        <v>2012</v>
      </c>
      <c r="L3305" t="s">
        <v>8</v>
      </c>
      <c r="M3305" t="s">
        <v>18</v>
      </c>
      <c r="N3305">
        <v>22</v>
      </c>
      <c r="O3305">
        <v>2</v>
      </c>
      <c r="P3305">
        <v>3</v>
      </c>
      <c r="Q3305">
        <v>43.721992895085201</v>
      </c>
      <c r="R3305">
        <v>49.5</v>
      </c>
      <c r="T3305" s="340" t="str">
        <f t="shared" si="152"/>
        <v>2012AllSexAllEth21Hanging, strangulation and suffocation</v>
      </c>
      <c r="U3305">
        <v>2012</v>
      </c>
      <c r="V3305" t="s">
        <v>17</v>
      </c>
      <c r="W3305" t="s">
        <v>27</v>
      </c>
      <c r="X3305">
        <v>21</v>
      </c>
      <c r="Y3305" t="s">
        <v>43</v>
      </c>
      <c r="Z3305">
        <v>8</v>
      </c>
      <c r="AA3305">
        <v>11</v>
      </c>
      <c r="AB3305">
        <v>72.7</v>
      </c>
    </row>
    <row r="3306" spans="10:28">
      <c r="J3306" s="340" t="str">
        <f t="shared" si="151"/>
        <v>2012FemaleMaori223</v>
      </c>
      <c r="K3306">
        <v>2012</v>
      </c>
      <c r="L3306" t="s">
        <v>8</v>
      </c>
      <c r="M3306" t="s">
        <v>18</v>
      </c>
      <c r="N3306">
        <v>22</v>
      </c>
      <c r="O3306">
        <v>3</v>
      </c>
      <c r="P3306">
        <v>2</v>
      </c>
      <c r="Q3306">
        <v>19.791494372000098</v>
      </c>
      <c r="R3306">
        <v>27.4</v>
      </c>
      <c r="T3306" s="340" t="str">
        <f t="shared" si="152"/>
        <v>2012AllSexAllEth22Hanging, strangulation and suffocation</v>
      </c>
      <c r="U3306">
        <v>2012</v>
      </c>
      <c r="V3306" t="s">
        <v>17</v>
      </c>
      <c r="W3306" t="s">
        <v>27</v>
      </c>
      <c r="X3306">
        <v>22</v>
      </c>
      <c r="Y3306" t="s">
        <v>43</v>
      </c>
      <c r="Z3306">
        <v>128</v>
      </c>
      <c r="AA3306">
        <v>148</v>
      </c>
      <c r="AB3306">
        <v>86.5</v>
      </c>
    </row>
    <row r="3307" spans="10:28">
      <c r="J3307" s="340" t="str">
        <f t="shared" si="151"/>
        <v>2012FemaleMaori224</v>
      </c>
      <c r="K3307">
        <v>2012</v>
      </c>
      <c r="L3307" t="s">
        <v>8</v>
      </c>
      <c r="M3307" t="s">
        <v>18</v>
      </c>
      <c r="N3307">
        <v>22</v>
      </c>
      <c r="O3307">
        <v>4</v>
      </c>
      <c r="P3307">
        <v>6</v>
      </c>
      <c r="Q3307">
        <v>40.120024397885601</v>
      </c>
      <c r="R3307">
        <v>32.1</v>
      </c>
      <c r="T3307" s="340" t="str">
        <f t="shared" si="152"/>
        <v>2012AllSexAllEth23Hanging, strangulation and suffocation</v>
      </c>
      <c r="U3307">
        <v>2012</v>
      </c>
      <c r="V3307" t="s">
        <v>17</v>
      </c>
      <c r="W3307" t="s">
        <v>27</v>
      </c>
      <c r="X3307">
        <v>23</v>
      </c>
      <c r="Y3307" t="s">
        <v>43</v>
      </c>
      <c r="Z3307">
        <v>111</v>
      </c>
      <c r="AA3307">
        <v>186</v>
      </c>
      <c r="AB3307">
        <v>59.7</v>
      </c>
    </row>
    <row r="3308" spans="10:28">
      <c r="J3308" s="340" t="str">
        <f t="shared" si="151"/>
        <v>2012FemaleMaori225</v>
      </c>
      <c r="K3308">
        <v>2012</v>
      </c>
      <c r="L3308" t="s">
        <v>8</v>
      </c>
      <c r="M3308" t="s">
        <v>18</v>
      </c>
      <c r="N3308">
        <v>22</v>
      </c>
      <c r="O3308">
        <v>5</v>
      </c>
      <c r="P3308">
        <v>12</v>
      </c>
      <c r="Q3308">
        <v>45.184044146977598</v>
      </c>
      <c r="R3308">
        <v>25.6</v>
      </c>
      <c r="T3308" s="340" t="str">
        <f t="shared" si="152"/>
        <v>2012AllSexAllEth24Hanging, strangulation and suffocation</v>
      </c>
      <c r="U3308">
        <v>2012</v>
      </c>
      <c r="V3308" t="s">
        <v>17</v>
      </c>
      <c r="W3308" t="s">
        <v>27</v>
      </c>
      <c r="X3308">
        <v>24</v>
      </c>
      <c r="Y3308" t="s">
        <v>43</v>
      </c>
      <c r="Z3308">
        <v>72</v>
      </c>
      <c r="AA3308">
        <v>147</v>
      </c>
      <c r="AB3308">
        <v>49</v>
      </c>
    </row>
    <row r="3309" spans="10:28">
      <c r="J3309" s="340" t="str">
        <f t="shared" si="151"/>
        <v>2012FemaleMaori231</v>
      </c>
      <c r="K3309">
        <v>2012</v>
      </c>
      <c r="L3309" t="s">
        <v>8</v>
      </c>
      <c r="M3309" t="s">
        <v>18</v>
      </c>
      <c r="N3309">
        <v>23</v>
      </c>
      <c r="O3309">
        <v>1</v>
      </c>
      <c r="P3309">
        <v>0</v>
      </c>
      <c r="Q3309">
        <v>0</v>
      </c>
      <c r="T3309" s="340" t="str">
        <f t="shared" si="152"/>
        <v>2012AllSexAllEth25Hanging, strangulation and suffocation</v>
      </c>
      <c r="U3309">
        <v>2012</v>
      </c>
      <c r="V3309" t="s">
        <v>17</v>
      </c>
      <c r="W3309" t="s">
        <v>27</v>
      </c>
      <c r="X3309">
        <v>25</v>
      </c>
      <c r="Y3309" t="s">
        <v>43</v>
      </c>
      <c r="Z3309">
        <v>23</v>
      </c>
      <c r="AA3309">
        <v>57</v>
      </c>
      <c r="AB3309">
        <v>40.4</v>
      </c>
    </row>
    <row r="3310" spans="10:28">
      <c r="J3310" s="340" t="str">
        <f t="shared" si="151"/>
        <v>2012FemaleMaori232</v>
      </c>
      <c r="K3310">
        <v>2012</v>
      </c>
      <c r="L3310" t="s">
        <v>8</v>
      </c>
      <c r="M3310" t="s">
        <v>18</v>
      </c>
      <c r="N3310">
        <v>23</v>
      </c>
      <c r="O3310">
        <v>2</v>
      </c>
      <c r="P3310">
        <v>2</v>
      </c>
      <c r="Q3310">
        <v>18.7384381384154</v>
      </c>
      <c r="R3310">
        <v>26</v>
      </c>
      <c r="T3310" s="340" t="str">
        <f t="shared" si="152"/>
        <v>2012AllSexAllEth22Jumping from a high place</v>
      </c>
      <c r="U3310">
        <v>2012</v>
      </c>
      <c r="V3310" t="s">
        <v>17</v>
      </c>
      <c r="W3310" t="s">
        <v>27</v>
      </c>
      <c r="X3310">
        <v>22</v>
      </c>
      <c r="Y3310" t="s">
        <v>44</v>
      </c>
      <c r="Z3310">
        <v>6</v>
      </c>
      <c r="AA3310">
        <v>148</v>
      </c>
      <c r="AB3310">
        <v>4.0999999999999996</v>
      </c>
    </row>
    <row r="3311" spans="10:28">
      <c r="J3311" s="340" t="str">
        <f t="shared" si="151"/>
        <v>2012FemaleMaori233</v>
      </c>
      <c r="K3311">
        <v>2012</v>
      </c>
      <c r="L3311" t="s">
        <v>8</v>
      </c>
      <c r="M3311" t="s">
        <v>18</v>
      </c>
      <c r="N3311">
        <v>23</v>
      </c>
      <c r="O3311">
        <v>3</v>
      </c>
      <c r="P3311">
        <v>0</v>
      </c>
      <c r="Q3311">
        <v>0</v>
      </c>
      <c r="T3311" s="340" t="str">
        <f t="shared" si="152"/>
        <v>2012AllSexAllEth23Jumping from a high place</v>
      </c>
      <c r="U3311">
        <v>2012</v>
      </c>
      <c r="V3311" t="s">
        <v>17</v>
      </c>
      <c r="W3311" t="s">
        <v>27</v>
      </c>
      <c r="X3311">
        <v>23</v>
      </c>
      <c r="Y3311" t="s">
        <v>44</v>
      </c>
      <c r="Z3311">
        <v>4</v>
      </c>
      <c r="AA3311">
        <v>186</v>
      </c>
      <c r="AB3311">
        <v>2.2000000000000002</v>
      </c>
    </row>
    <row r="3312" spans="10:28">
      <c r="J3312" s="340" t="str">
        <f t="shared" si="151"/>
        <v>2012FemaleMaori234</v>
      </c>
      <c r="K3312">
        <v>2012</v>
      </c>
      <c r="L3312" t="s">
        <v>8</v>
      </c>
      <c r="M3312" t="s">
        <v>18</v>
      </c>
      <c r="N3312">
        <v>23</v>
      </c>
      <c r="O3312">
        <v>4</v>
      </c>
      <c r="P3312">
        <v>5</v>
      </c>
      <c r="Q3312">
        <v>23.980418456725999</v>
      </c>
      <c r="R3312">
        <v>21</v>
      </c>
      <c r="T3312" s="340" t="str">
        <f t="shared" si="152"/>
        <v>2012AllSexAllEth24Jumping from a high place</v>
      </c>
      <c r="U3312">
        <v>2012</v>
      </c>
      <c r="V3312" t="s">
        <v>17</v>
      </c>
      <c r="W3312" t="s">
        <v>27</v>
      </c>
      <c r="X3312">
        <v>24</v>
      </c>
      <c r="Y3312" t="s">
        <v>44</v>
      </c>
      <c r="Z3312">
        <v>4</v>
      </c>
      <c r="AA3312">
        <v>147</v>
      </c>
      <c r="AB3312">
        <v>2.7</v>
      </c>
    </row>
    <row r="3313" spans="10:28">
      <c r="J3313" s="340" t="str">
        <f t="shared" si="151"/>
        <v>2012FemaleMaori235</v>
      </c>
      <c r="K3313">
        <v>2012</v>
      </c>
      <c r="L3313" t="s">
        <v>8</v>
      </c>
      <c r="M3313" t="s">
        <v>18</v>
      </c>
      <c r="N3313">
        <v>23</v>
      </c>
      <c r="O3313">
        <v>5</v>
      </c>
      <c r="P3313">
        <v>2</v>
      </c>
      <c r="Q3313">
        <v>5.5465025702047503</v>
      </c>
      <c r="R3313">
        <v>7.7</v>
      </c>
      <c r="T3313" s="340" t="str">
        <f t="shared" si="152"/>
        <v>2012AllSexAllEth25Jumping from a high place</v>
      </c>
      <c r="U3313">
        <v>2012</v>
      </c>
      <c r="V3313" t="s">
        <v>17</v>
      </c>
      <c r="W3313" t="s">
        <v>27</v>
      </c>
      <c r="X3313">
        <v>25</v>
      </c>
      <c r="Y3313" t="s">
        <v>44</v>
      </c>
      <c r="Z3313">
        <v>2</v>
      </c>
      <c r="AA3313">
        <v>57</v>
      </c>
      <c r="AB3313">
        <v>3.5</v>
      </c>
    </row>
    <row r="3314" spans="10:28">
      <c r="J3314" s="340" t="str">
        <f t="shared" si="151"/>
        <v>2012FemaleMaori241</v>
      </c>
      <c r="K3314">
        <v>2012</v>
      </c>
      <c r="L3314" t="s">
        <v>8</v>
      </c>
      <c r="M3314" t="s">
        <v>18</v>
      </c>
      <c r="N3314">
        <v>24</v>
      </c>
      <c r="O3314">
        <v>1</v>
      </c>
      <c r="P3314">
        <v>0</v>
      </c>
      <c r="Q3314">
        <v>0</v>
      </c>
      <c r="T3314" s="340" t="str">
        <f t="shared" si="152"/>
        <v>2012AllSexAllEth23Other</v>
      </c>
      <c r="U3314">
        <v>2012</v>
      </c>
      <c r="V3314" t="s">
        <v>17</v>
      </c>
      <c r="W3314" t="s">
        <v>27</v>
      </c>
      <c r="X3314">
        <v>23</v>
      </c>
      <c r="Y3314" t="s">
        <v>45</v>
      </c>
      <c r="Z3314">
        <v>11</v>
      </c>
      <c r="AA3314">
        <v>186</v>
      </c>
      <c r="AB3314">
        <v>5.9</v>
      </c>
    </row>
    <row r="3315" spans="10:28">
      <c r="J3315" s="340" t="str">
        <f t="shared" si="151"/>
        <v>2012FemaleMaori242</v>
      </c>
      <c r="K3315">
        <v>2012</v>
      </c>
      <c r="L3315" t="s">
        <v>8</v>
      </c>
      <c r="M3315" t="s">
        <v>18</v>
      </c>
      <c r="N3315">
        <v>24</v>
      </c>
      <c r="O3315">
        <v>2</v>
      </c>
      <c r="P3315">
        <v>0</v>
      </c>
      <c r="Q3315">
        <v>0</v>
      </c>
      <c r="T3315" s="340" t="str">
        <f t="shared" si="152"/>
        <v>2012AllSexAllEth24Other</v>
      </c>
      <c r="U3315">
        <v>2012</v>
      </c>
      <c r="V3315" t="s">
        <v>17</v>
      </c>
      <c r="W3315" t="s">
        <v>27</v>
      </c>
      <c r="X3315">
        <v>24</v>
      </c>
      <c r="Y3315" t="s">
        <v>45</v>
      </c>
      <c r="Z3315">
        <v>6</v>
      </c>
      <c r="AA3315">
        <v>147</v>
      </c>
      <c r="AB3315">
        <v>4.0999999999999996</v>
      </c>
    </row>
    <row r="3316" spans="10:28">
      <c r="J3316" s="340" t="str">
        <f t="shared" si="151"/>
        <v>2012FemaleMaori243</v>
      </c>
      <c r="K3316">
        <v>2012</v>
      </c>
      <c r="L3316" t="s">
        <v>8</v>
      </c>
      <c r="M3316" t="s">
        <v>18</v>
      </c>
      <c r="N3316">
        <v>24</v>
      </c>
      <c r="O3316">
        <v>3</v>
      </c>
      <c r="P3316">
        <v>0</v>
      </c>
      <c r="Q3316">
        <v>0</v>
      </c>
      <c r="T3316" s="340" t="str">
        <f t="shared" si="152"/>
        <v>2012AllSexAllEth25Other</v>
      </c>
      <c r="U3316">
        <v>2012</v>
      </c>
      <c r="V3316" t="s">
        <v>17</v>
      </c>
      <c r="W3316" t="s">
        <v>27</v>
      </c>
      <c r="X3316">
        <v>25</v>
      </c>
      <c r="Y3316" t="s">
        <v>45</v>
      </c>
      <c r="Z3316">
        <v>2</v>
      </c>
      <c r="AA3316">
        <v>57</v>
      </c>
      <c r="AB3316">
        <v>3.5</v>
      </c>
    </row>
    <row r="3317" spans="10:28">
      <c r="J3317" s="340" t="str">
        <f t="shared" si="151"/>
        <v>2012FemaleMaori244</v>
      </c>
      <c r="K3317">
        <v>2012</v>
      </c>
      <c r="L3317" t="s">
        <v>8</v>
      </c>
      <c r="M3317" t="s">
        <v>18</v>
      </c>
      <c r="N3317">
        <v>24</v>
      </c>
      <c r="O3317">
        <v>4</v>
      </c>
      <c r="P3317">
        <v>1</v>
      </c>
      <c r="Q3317">
        <v>6.8188668447845702</v>
      </c>
      <c r="R3317">
        <v>13.4</v>
      </c>
      <c r="T3317" s="340" t="str">
        <f t="shared" si="152"/>
        <v>2012AllSexAllEth22Poisoning by gases and vapours</v>
      </c>
      <c r="U3317">
        <v>2012</v>
      </c>
      <c r="V3317" t="s">
        <v>17</v>
      </c>
      <c r="W3317" t="s">
        <v>27</v>
      </c>
      <c r="X3317">
        <v>22</v>
      </c>
      <c r="Y3317" t="s">
        <v>46</v>
      </c>
      <c r="Z3317">
        <v>2</v>
      </c>
      <c r="AA3317">
        <v>148</v>
      </c>
      <c r="AB3317">
        <v>1.4</v>
      </c>
    </row>
    <row r="3318" spans="10:28">
      <c r="J3318" s="340" t="str">
        <f t="shared" si="151"/>
        <v>2012FemaleMaori245</v>
      </c>
      <c r="K3318">
        <v>2012</v>
      </c>
      <c r="L3318" t="s">
        <v>8</v>
      </c>
      <c r="M3318" t="s">
        <v>18</v>
      </c>
      <c r="N3318">
        <v>24</v>
      </c>
      <c r="O3318">
        <v>5</v>
      </c>
      <c r="P3318">
        <v>0</v>
      </c>
      <c r="Q3318">
        <v>0</v>
      </c>
      <c r="T3318" s="340" t="str">
        <f t="shared" si="152"/>
        <v>2012AllSexAllEth23Poisoning by gases and vapours</v>
      </c>
      <c r="U3318">
        <v>2012</v>
      </c>
      <c r="V3318" t="s">
        <v>17</v>
      </c>
      <c r="W3318" t="s">
        <v>27</v>
      </c>
      <c r="X3318">
        <v>23</v>
      </c>
      <c r="Y3318" t="s">
        <v>46</v>
      </c>
      <c r="Z3318">
        <v>19</v>
      </c>
      <c r="AA3318">
        <v>186</v>
      </c>
      <c r="AB3318">
        <v>10.199999999999999</v>
      </c>
    </row>
    <row r="3319" spans="10:28">
      <c r="J3319" s="340" t="str">
        <f t="shared" si="151"/>
        <v>2012FemaleMaori251</v>
      </c>
      <c r="K3319">
        <v>2012</v>
      </c>
      <c r="L3319" t="s">
        <v>8</v>
      </c>
      <c r="M3319" t="s">
        <v>18</v>
      </c>
      <c r="N3319">
        <v>25</v>
      </c>
      <c r="O3319">
        <v>1</v>
      </c>
      <c r="P3319">
        <v>0</v>
      </c>
      <c r="Q3319">
        <v>0</v>
      </c>
      <c r="T3319" s="340" t="str">
        <f t="shared" si="152"/>
        <v>2012AllSexAllEth24Poisoning by gases and vapours</v>
      </c>
      <c r="U3319">
        <v>2012</v>
      </c>
      <c r="V3319" t="s">
        <v>17</v>
      </c>
      <c r="W3319" t="s">
        <v>27</v>
      </c>
      <c r="X3319">
        <v>24</v>
      </c>
      <c r="Y3319" t="s">
        <v>46</v>
      </c>
      <c r="Z3319">
        <v>16</v>
      </c>
      <c r="AA3319">
        <v>147</v>
      </c>
      <c r="AB3319">
        <v>10.9</v>
      </c>
    </row>
    <row r="3320" spans="10:28">
      <c r="J3320" s="340" t="str">
        <f t="shared" si="151"/>
        <v>2012FemaleMaori252</v>
      </c>
      <c r="K3320">
        <v>2012</v>
      </c>
      <c r="L3320" t="s">
        <v>8</v>
      </c>
      <c r="M3320" t="s">
        <v>18</v>
      </c>
      <c r="N3320">
        <v>25</v>
      </c>
      <c r="O3320">
        <v>2</v>
      </c>
      <c r="P3320">
        <v>0</v>
      </c>
      <c r="Q3320">
        <v>0</v>
      </c>
      <c r="T3320" s="340" t="str">
        <f t="shared" si="152"/>
        <v>2012AllSexAllEth25Poisoning by gases and vapours</v>
      </c>
      <c r="U3320">
        <v>2012</v>
      </c>
      <c r="V3320" t="s">
        <v>17</v>
      </c>
      <c r="W3320" t="s">
        <v>27</v>
      </c>
      <c r="X3320">
        <v>25</v>
      </c>
      <c r="Y3320" t="s">
        <v>46</v>
      </c>
      <c r="Z3320">
        <v>6</v>
      </c>
      <c r="AA3320">
        <v>57</v>
      </c>
      <c r="AB3320">
        <v>10.5</v>
      </c>
    </row>
    <row r="3321" spans="10:28">
      <c r="J3321" s="340" t="str">
        <f t="shared" si="151"/>
        <v>2012FemaleMaori253</v>
      </c>
      <c r="K3321">
        <v>2012</v>
      </c>
      <c r="L3321" t="s">
        <v>8</v>
      </c>
      <c r="M3321" t="s">
        <v>18</v>
      </c>
      <c r="N3321">
        <v>25</v>
      </c>
      <c r="O3321">
        <v>3</v>
      </c>
      <c r="P3321">
        <v>0</v>
      </c>
      <c r="Q3321">
        <v>0</v>
      </c>
      <c r="T3321" s="340" t="str">
        <f t="shared" si="152"/>
        <v>2012AllSexAllEth21Poisoning by solids and liquids</v>
      </c>
      <c r="U3321">
        <v>2012</v>
      </c>
      <c r="V3321" t="s">
        <v>17</v>
      </c>
      <c r="W3321" t="s">
        <v>27</v>
      </c>
      <c r="X3321">
        <v>21</v>
      </c>
      <c r="Y3321" t="s">
        <v>47</v>
      </c>
      <c r="Z3321">
        <v>1</v>
      </c>
      <c r="AA3321">
        <v>11</v>
      </c>
      <c r="AB3321">
        <v>9.1</v>
      </c>
    </row>
    <row r="3322" spans="10:28">
      <c r="J3322" s="340" t="str">
        <f t="shared" si="151"/>
        <v>2012FemaleMaori254</v>
      </c>
      <c r="K3322">
        <v>2012</v>
      </c>
      <c r="L3322" t="s">
        <v>8</v>
      </c>
      <c r="M3322" t="s">
        <v>18</v>
      </c>
      <c r="N3322">
        <v>25</v>
      </c>
      <c r="O3322">
        <v>4</v>
      </c>
      <c r="P3322">
        <v>0</v>
      </c>
      <c r="Q3322">
        <v>0</v>
      </c>
      <c r="T3322" s="340" t="str">
        <f t="shared" si="152"/>
        <v>2012AllSexAllEth22Poisoning by solids and liquids</v>
      </c>
      <c r="U3322">
        <v>2012</v>
      </c>
      <c r="V3322" t="s">
        <v>17</v>
      </c>
      <c r="W3322" t="s">
        <v>27</v>
      </c>
      <c r="X3322">
        <v>22</v>
      </c>
      <c r="Y3322" t="s">
        <v>47</v>
      </c>
      <c r="Z3322">
        <v>3</v>
      </c>
      <c r="AA3322">
        <v>148</v>
      </c>
      <c r="AB3322">
        <v>2</v>
      </c>
    </row>
    <row r="3323" spans="10:28">
      <c r="J3323" s="340" t="str">
        <f t="shared" si="151"/>
        <v>2012FemaleMaori255</v>
      </c>
      <c r="K3323">
        <v>2012</v>
      </c>
      <c r="L3323" t="s">
        <v>8</v>
      </c>
      <c r="M3323" t="s">
        <v>18</v>
      </c>
      <c r="N3323">
        <v>25</v>
      </c>
      <c r="O3323">
        <v>5</v>
      </c>
      <c r="P3323">
        <v>0</v>
      </c>
      <c r="Q3323">
        <v>0</v>
      </c>
      <c r="T3323" s="340" t="str">
        <f t="shared" si="152"/>
        <v>2012AllSexAllEth23Poisoning by solids and liquids</v>
      </c>
      <c r="U3323">
        <v>2012</v>
      </c>
      <c r="V3323" t="s">
        <v>17</v>
      </c>
      <c r="W3323" t="s">
        <v>27</v>
      </c>
      <c r="X3323">
        <v>23</v>
      </c>
      <c r="Y3323" t="s">
        <v>47</v>
      </c>
      <c r="Z3323">
        <v>22</v>
      </c>
      <c r="AA3323">
        <v>186</v>
      </c>
      <c r="AB3323">
        <v>11.8</v>
      </c>
    </row>
    <row r="3324" spans="10:28">
      <c r="J3324" s="340" t="str">
        <f t="shared" si="151"/>
        <v>2012FemaleNon-Maori211</v>
      </c>
      <c r="K3324">
        <v>2012</v>
      </c>
      <c r="L3324" t="s">
        <v>8</v>
      </c>
      <c r="M3324" t="s">
        <v>19</v>
      </c>
      <c r="N3324">
        <v>21</v>
      </c>
      <c r="O3324">
        <v>1</v>
      </c>
      <c r="P3324">
        <v>0</v>
      </c>
      <c r="Q3324">
        <v>0</v>
      </c>
      <c r="T3324" s="340" t="str">
        <f t="shared" si="152"/>
        <v>2012AllSexAllEth24Poisoning by solids and liquids</v>
      </c>
      <c r="U3324">
        <v>2012</v>
      </c>
      <c r="V3324" t="s">
        <v>17</v>
      </c>
      <c r="W3324" t="s">
        <v>27</v>
      </c>
      <c r="X3324">
        <v>24</v>
      </c>
      <c r="Y3324" t="s">
        <v>47</v>
      </c>
      <c r="Z3324">
        <v>27</v>
      </c>
      <c r="AA3324">
        <v>147</v>
      </c>
      <c r="AB3324">
        <v>18.399999999999999</v>
      </c>
    </row>
    <row r="3325" spans="10:28">
      <c r="J3325" s="340" t="str">
        <f t="shared" si="151"/>
        <v>2012FemaleNon-Maori212</v>
      </c>
      <c r="K3325">
        <v>2012</v>
      </c>
      <c r="L3325" t="s">
        <v>8</v>
      </c>
      <c r="M3325" t="s">
        <v>19</v>
      </c>
      <c r="N3325">
        <v>21</v>
      </c>
      <c r="O3325">
        <v>2</v>
      </c>
      <c r="P3325">
        <v>1</v>
      </c>
      <c r="Q3325">
        <v>1.41250663708072</v>
      </c>
      <c r="R3325">
        <v>2.8</v>
      </c>
      <c r="T3325" s="340" t="str">
        <f t="shared" si="152"/>
        <v>2012AllSexAllEth25Poisoning by solids and liquids</v>
      </c>
      <c r="U3325">
        <v>2012</v>
      </c>
      <c r="V3325" t="s">
        <v>17</v>
      </c>
      <c r="W3325" t="s">
        <v>27</v>
      </c>
      <c r="X3325">
        <v>25</v>
      </c>
      <c r="Y3325" t="s">
        <v>47</v>
      </c>
      <c r="Z3325">
        <v>11</v>
      </c>
      <c r="AA3325">
        <v>57</v>
      </c>
      <c r="AB3325">
        <v>19.3</v>
      </c>
    </row>
    <row r="3326" spans="10:28">
      <c r="J3326" s="340" t="str">
        <f t="shared" si="151"/>
        <v>2012FemaleNon-Maori213</v>
      </c>
      <c r="K3326">
        <v>2012</v>
      </c>
      <c r="L3326" t="s">
        <v>8</v>
      </c>
      <c r="M3326" t="s">
        <v>19</v>
      </c>
      <c r="N3326">
        <v>21</v>
      </c>
      <c r="O3326">
        <v>3</v>
      </c>
      <c r="P3326">
        <v>0</v>
      </c>
      <c r="Q3326">
        <v>0</v>
      </c>
      <c r="T3326" s="340" t="str">
        <f t="shared" si="152"/>
        <v>2012AllSexAllEth23Sharp object</v>
      </c>
      <c r="U3326">
        <v>2012</v>
      </c>
      <c r="V3326" t="s">
        <v>17</v>
      </c>
      <c r="W3326" t="s">
        <v>27</v>
      </c>
      <c r="X3326">
        <v>23</v>
      </c>
      <c r="Y3326" t="s">
        <v>48</v>
      </c>
      <c r="Z3326">
        <v>6</v>
      </c>
      <c r="AA3326">
        <v>186</v>
      </c>
      <c r="AB3326">
        <v>3.2</v>
      </c>
    </row>
    <row r="3327" spans="10:28">
      <c r="J3327" s="340" t="str">
        <f t="shared" si="151"/>
        <v>2012FemaleNon-Maori214</v>
      </c>
      <c r="K3327">
        <v>2012</v>
      </c>
      <c r="L3327" t="s">
        <v>8</v>
      </c>
      <c r="M3327" t="s">
        <v>19</v>
      </c>
      <c r="N3327">
        <v>21</v>
      </c>
      <c r="O3327">
        <v>4</v>
      </c>
      <c r="P3327">
        <v>0</v>
      </c>
      <c r="Q3327">
        <v>0</v>
      </c>
      <c r="T3327" s="340" t="str">
        <f t="shared" si="152"/>
        <v>2012AllSexAllEth24Sharp object</v>
      </c>
      <c r="U3327">
        <v>2012</v>
      </c>
      <c r="V3327" t="s">
        <v>17</v>
      </c>
      <c r="W3327" t="s">
        <v>27</v>
      </c>
      <c r="X3327">
        <v>24</v>
      </c>
      <c r="Y3327" t="s">
        <v>48</v>
      </c>
      <c r="Z3327">
        <v>4</v>
      </c>
      <c r="AA3327">
        <v>147</v>
      </c>
      <c r="AB3327">
        <v>2.7</v>
      </c>
    </row>
    <row r="3328" spans="10:28">
      <c r="J3328" s="340" t="str">
        <f t="shared" si="151"/>
        <v>2012FemaleNon-Maori215</v>
      </c>
      <c r="K3328">
        <v>2012</v>
      </c>
      <c r="L3328" t="s">
        <v>8</v>
      </c>
      <c r="M3328" t="s">
        <v>19</v>
      </c>
      <c r="N3328">
        <v>21</v>
      </c>
      <c r="O3328">
        <v>5</v>
      </c>
      <c r="P3328">
        <v>1</v>
      </c>
      <c r="Q3328">
        <v>1.74821959995597</v>
      </c>
      <c r="R3328">
        <v>3.4</v>
      </c>
      <c r="T3328" s="340" t="str">
        <f t="shared" si="152"/>
        <v>2012AllSexAllEth25Sharp object</v>
      </c>
      <c r="U3328">
        <v>2012</v>
      </c>
      <c r="V3328" t="s">
        <v>17</v>
      </c>
      <c r="W3328" t="s">
        <v>27</v>
      </c>
      <c r="X3328">
        <v>25</v>
      </c>
      <c r="Y3328" t="s">
        <v>48</v>
      </c>
      <c r="Z3328">
        <v>3</v>
      </c>
      <c r="AA3328">
        <v>57</v>
      </c>
      <c r="AB3328">
        <v>5.3</v>
      </c>
    </row>
    <row r="3329" spans="10:28">
      <c r="J3329" s="340" t="str">
        <f t="shared" si="151"/>
        <v>2012FemaleNon-Maori221</v>
      </c>
      <c r="K3329">
        <v>2012</v>
      </c>
      <c r="L3329" t="s">
        <v>8</v>
      </c>
      <c r="M3329" t="s">
        <v>19</v>
      </c>
      <c r="N3329">
        <v>22</v>
      </c>
      <c r="O3329">
        <v>1</v>
      </c>
      <c r="P3329">
        <v>0</v>
      </c>
      <c r="Q3329">
        <v>0</v>
      </c>
      <c r="T3329" s="340" t="str">
        <f t="shared" si="152"/>
        <v>2012AllSexAllEth23Submersion (drowning)</v>
      </c>
      <c r="U3329">
        <v>2012</v>
      </c>
      <c r="V3329" t="s">
        <v>17</v>
      </c>
      <c r="W3329" t="s">
        <v>27</v>
      </c>
      <c r="X3329">
        <v>23</v>
      </c>
      <c r="Y3329" t="s">
        <v>49</v>
      </c>
      <c r="Z3329">
        <v>2</v>
      </c>
      <c r="AA3329">
        <v>186</v>
      </c>
      <c r="AB3329">
        <v>1.1000000000000001</v>
      </c>
    </row>
    <row r="3330" spans="10:28">
      <c r="J3330" s="340" t="str">
        <f t="shared" si="151"/>
        <v>2012FemaleNon-Maori222</v>
      </c>
      <c r="K3330">
        <v>2012</v>
      </c>
      <c r="L3330" t="s">
        <v>8</v>
      </c>
      <c r="M3330" t="s">
        <v>19</v>
      </c>
      <c r="N3330">
        <v>22</v>
      </c>
      <c r="O3330">
        <v>2</v>
      </c>
      <c r="P3330">
        <v>3</v>
      </c>
      <c r="Q3330">
        <v>6.3536086058839496</v>
      </c>
      <c r="R3330">
        <v>7.2</v>
      </c>
      <c r="T3330" s="340" t="str">
        <f t="shared" si="152"/>
        <v>2012AllSexAllEth24Submersion (drowning)</v>
      </c>
      <c r="U3330">
        <v>2012</v>
      </c>
      <c r="V3330" t="s">
        <v>17</v>
      </c>
      <c r="W3330" t="s">
        <v>27</v>
      </c>
      <c r="X3330">
        <v>24</v>
      </c>
      <c r="Y3330" t="s">
        <v>49</v>
      </c>
      <c r="Z3330">
        <v>1</v>
      </c>
      <c r="AA3330">
        <v>147</v>
      </c>
      <c r="AB3330">
        <v>0.7</v>
      </c>
    </row>
    <row r="3331" spans="10:28">
      <c r="J3331" s="340" t="str">
        <f t="shared" si="151"/>
        <v>2012FemaleNon-Maori223</v>
      </c>
      <c r="K3331">
        <v>2012</v>
      </c>
      <c r="L3331" t="s">
        <v>8</v>
      </c>
      <c r="M3331" t="s">
        <v>19</v>
      </c>
      <c r="N3331">
        <v>22</v>
      </c>
      <c r="O3331">
        <v>3</v>
      </c>
      <c r="P3331">
        <v>3</v>
      </c>
      <c r="Q3331">
        <v>6.3272651750907896</v>
      </c>
      <c r="R3331">
        <v>7.2</v>
      </c>
      <c r="T3331" s="340" t="str">
        <f t="shared" si="152"/>
        <v>2012AllSexAllEth25Submersion (drowning)</v>
      </c>
      <c r="U3331">
        <v>2012</v>
      </c>
      <c r="V3331" t="s">
        <v>17</v>
      </c>
      <c r="W3331" t="s">
        <v>27</v>
      </c>
      <c r="X3331">
        <v>25</v>
      </c>
      <c r="Y3331" t="s">
        <v>49</v>
      </c>
      <c r="Z3331">
        <v>2</v>
      </c>
      <c r="AA3331">
        <v>57</v>
      </c>
      <c r="AB3331">
        <v>3.5</v>
      </c>
    </row>
    <row r="3332" spans="10:28">
      <c r="J3332" s="340" t="str">
        <f t="shared" ref="J3332:J3395" si="153">K3332&amp;L3332&amp;M3332&amp;N3332&amp;O3332</f>
        <v>2012FemaleNon-Maori224</v>
      </c>
      <c r="K3332">
        <v>2012</v>
      </c>
      <c r="L3332" t="s">
        <v>8</v>
      </c>
      <c r="M3332" t="s">
        <v>19</v>
      </c>
      <c r="N3332">
        <v>22</v>
      </c>
      <c r="O3332">
        <v>4</v>
      </c>
      <c r="P3332">
        <v>5</v>
      </c>
      <c r="Q3332">
        <v>9.7834060628481403</v>
      </c>
      <c r="R3332">
        <v>8.6</v>
      </c>
      <c r="T3332" s="340" t="str">
        <f t="shared" si="152"/>
        <v>2012AllSexMaori21Firearms and explosives</v>
      </c>
      <c r="U3332">
        <v>2012</v>
      </c>
      <c r="V3332" t="s">
        <v>17</v>
      </c>
      <c r="W3332" t="s">
        <v>18</v>
      </c>
      <c r="X3332">
        <v>21</v>
      </c>
      <c r="Y3332" t="s">
        <v>42</v>
      </c>
      <c r="Z3332">
        <v>2</v>
      </c>
      <c r="AA3332">
        <v>7</v>
      </c>
      <c r="AB3332">
        <v>28.6</v>
      </c>
    </row>
    <row r="3333" spans="10:28">
      <c r="J3333" s="340" t="str">
        <f t="shared" si="153"/>
        <v>2012FemaleNon-Maori225</v>
      </c>
      <c r="K3333">
        <v>2012</v>
      </c>
      <c r="L3333" t="s">
        <v>8</v>
      </c>
      <c r="M3333" t="s">
        <v>19</v>
      </c>
      <c r="N3333">
        <v>22</v>
      </c>
      <c r="O3333">
        <v>5</v>
      </c>
      <c r="P3333">
        <v>6</v>
      </c>
      <c r="Q3333">
        <v>12.0858804827271</v>
      </c>
      <c r="R3333">
        <v>9.6999999999999993</v>
      </c>
      <c r="T3333" s="340" t="str">
        <f t="shared" ref="T3333:T3396" si="154">U3333&amp;V3333&amp;W3333&amp;X3333&amp;Y3333</f>
        <v>2012AllSexMaori22Firearms and explosives</v>
      </c>
      <c r="U3333">
        <v>2012</v>
      </c>
      <c r="V3333" t="s">
        <v>17</v>
      </c>
      <c r="W3333" t="s">
        <v>18</v>
      </c>
      <c r="X3333">
        <v>22</v>
      </c>
      <c r="Y3333" t="s">
        <v>42</v>
      </c>
      <c r="Z3333">
        <v>2</v>
      </c>
      <c r="AA3333">
        <v>61</v>
      </c>
      <c r="AB3333">
        <v>3.3</v>
      </c>
    </row>
    <row r="3334" spans="10:28">
      <c r="J3334" s="340" t="str">
        <f t="shared" si="153"/>
        <v>2012FemaleNon-Maori231</v>
      </c>
      <c r="K3334">
        <v>2012</v>
      </c>
      <c r="L3334" t="s">
        <v>8</v>
      </c>
      <c r="M3334" t="s">
        <v>19</v>
      </c>
      <c r="N3334">
        <v>23</v>
      </c>
      <c r="O3334">
        <v>1</v>
      </c>
      <c r="P3334">
        <v>4</v>
      </c>
      <c r="Q3334">
        <v>3.7099982262681301</v>
      </c>
      <c r="R3334">
        <v>3.6</v>
      </c>
      <c r="T3334" s="340" t="str">
        <f t="shared" si="154"/>
        <v>2012AllSexMaori24Firearms and explosives</v>
      </c>
      <c r="U3334">
        <v>2012</v>
      </c>
      <c r="V3334" t="s">
        <v>17</v>
      </c>
      <c r="W3334" t="s">
        <v>18</v>
      </c>
      <c r="X3334">
        <v>24</v>
      </c>
      <c r="Y3334" t="s">
        <v>42</v>
      </c>
      <c r="Z3334">
        <v>1</v>
      </c>
      <c r="AA3334">
        <v>10</v>
      </c>
      <c r="AB3334">
        <v>10</v>
      </c>
    </row>
    <row r="3335" spans="10:28">
      <c r="J3335" s="340" t="str">
        <f t="shared" si="153"/>
        <v>2012FemaleNon-Maori232</v>
      </c>
      <c r="K3335">
        <v>2012</v>
      </c>
      <c r="L3335" t="s">
        <v>8</v>
      </c>
      <c r="M3335" t="s">
        <v>19</v>
      </c>
      <c r="N3335">
        <v>23</v>
      </c>
      <c r="O3335">
        <v>2</v>
      </c>
      <c r="P3335">
        <v>3</v>
      </c>
      <c r="Q3335">
        <v>2.6812978155945801</v>
      </c>
      <c r="R3335">
        <v>3</v>
      </c>
      <c r="T3335" s="340" t="str">
        <f t="shared" si="154"/>
        <v>2012AllSexMaori21Hanging, strangulation and suffocation</v>
      </c>
      <c r="U3335">
        <v>2012</v>
      </c>
      <c r="V3335" t="s">
        <v>17</v>
      </c>
      <c r="W3335" t="s">
        <v>18</v>
      </c>
      <c r="X3335">
        <v>21</v>
      </c>
      <c r="Y3335" t="s">
        <v>43</v>
      </c>
      <c r="Z3335">
        <v>5</v>
      </c>
      <c r="AA3335">
        <v>7</v>
      </c>
      <c r="AB3335">
        <v>71.400000000000006</v>
      </c>
    </row>
    <row r="3336" spans="10:28">
      <c r="J3336" s="340" t="str">
        <f t="shared" si="153"/>
        <v>2012FemaleNon-Maori233</v>
      </c>
      <c r="K3336">
        <v>2012</v>
      </c>
      <c r="L3336" t="s">
        <v>8</v>
      </c>
      <c r="M3336" t="s">
        <v>19</v>
      </c>
      <c r="N3336">
        <v>23</v>
      </c>
      <c r="O3336">
        <v>3</v>
      </c>
      <c r="P3336">
        <v>7</v>
      </c>
      <c r="Q3336">
        <v>6.4686326429065</v>
      </c>
      <c r="R3336">
        <v>4.8</v>
      </c>
      <c r="T3336" s="340" t="str">
        <f t="shared" si="154"/>
        <v>2012AllSexMaori22Hanging, strangulation and suffocation</v>
      </c>
      <c r="U3336">
        <v>2012</v>
      </c>
      <c r="V3336" t="s">
        <v>17</v>
      </c>
      <c r="W3336" t="s">
        <v>18</v>
      </c>
      <c r="X3336">
        <v>22</v>
      </c>
      <c r="Y3336" t="s">
        <v>43</v>
      </c>
      <c r="Z3336">
        <v>58</v>
      </c>
      <c r="AA3336">
        <v>61</v>
      </c>
      <c r="AB3336">
        <v>95.1</v>
      </c>
    </row>
    <row r="3337" spans="10:28">
      <c r="J3337" s="340" t="str">
        <f t="shared" si="153"/>
        <v>2012FemaleNon-Maori234</v>
      </c>
      <c r="K3337">
        <v>2012</v>
      </c>
      <c r="L3337" t="s">
        <v>8</v>
      </c>
      <c r="M3337" t="s">
        <v>19</v>
      </c>
      <c r="N3337">
        <v>23</v>
      </c>
      <c r="O3337">
        <v>4</v>
      </c>
      <c r="P3337">
        <v>9</v>
      </c>
      <c r="Q3337">
        <v>9.0816739208332997</v>
      </c>
      <c r="R3337">
        <v>5.9</v>
      </c>
      <c r="T3337" s="340" t="str">
        <f t="shared" si="154"/>
        <v>2012AllSexMaori23Hanging, strangulation and suffocation</v>
      </c>
      <c r="U3337">
        <v>2012</v>
      </c>
      <c r="V3337" t="s">
        <v>17</v>
      </c>
      <c r="W3337" t="s">
        <v>18</v>
      </c>
      <c r="X3337">
        <v>23</v>
      </c>
      <c r="Y3337" t="s">
        <v>43</v>
      </c>
      <c r="Z3337">
        <v>34</v>
      </c>
      <c r="AA3337">
        <v>39</v>
      </c>
      <c r="AB3337">
        <v>87.2</v>
      </c>
    </row>
    <row r="3338" spans="10:28">
      <c r="J3338" s="340" t="str">
        <f t="shared" si="153"/>
        <v>2012FemaleNon-Maori235</v>
      </c>
      <c r="K3338">
        <v>2012</v>
      </c>
      <c r="L3338" t="s">
        <v>8</v>
      </c>
      <c r="M3338" t="s">
        <v>19</v>
      </c>
      <c r="N3338">
        <v>23</v>
      </c>
      <c r="O3338">
        <v>5</v>
      </c>
      <c r="P3338">
        <v>7</v>
      </c>
      <c r="Q3338">
        <v>8.7779255474069</v>
      </c>
      <c r="R3338">
        <v>6.5</v>
      </c>
      <c r="T3338" s="340" t="str">
        <f t="shared" si="154"/>
        <v>2012AllSexMaori24Hanging, strangulation and suffocation</v>
      </c>
      <c r="U3338">
        <v>2012</v>
      </c>
      <c r="V3338" t="s">
        <v>17</v>
      </c>
      <c r="W3338" t="s">
        <v>18</v>
      </c>
      <c r="X3338">
        <v>24</v>
      </c>
      <c r="Y3338" t="s">
        <v>43</v>
      </c>
      <c r="Z3338">
        <v>7</v>
      </c>
      <c r="AA3338">
        <v>10</v>
      </c>
      <c r="AB3338">
        <v>70</v>
      </c>
    </row>
    <row r="3339" spans="10:28">
      <c r="J3339" s="340" t="str">
        <f t="shared" si="153"/>
        <v>2012FemaleNon-Maori241</v>
      </c>
      <c r="K3339">
        <v>2012</v>
      </c>
      <c r="L3339" t="s">
        <v>8</v>
      </c>
      <c r="M3339" t="s">
        <v>19</v>
      </c>
      <c r="N3339">
        <v>24</v>
      </c>
      <c r="O3339">
        <v>1</v>
      </c>
      <c r="P3339">
        <v>4</v>
      </c>
      <c r="Q3339">
        <v>2.9784261562640801</v>
      </c>
      <c r="R3339">
        <v>2.9</v>
      </c>
      <c r="T3339" s="340" t="str">
        <f t="shared" si="154"/>
        <v>2012AllSexMaori25Hanging, strangulation and suffocation</v>
      </c>
      <c r="U3339">
        <v>2012</v>
      </c>
      <c r="V3339" t="s">
        <v>17</v>
      </c>
      <c r="W3339" t="s">
        <v>18</v>
      </c>
      <c r="X3339">
        <v>25</v>
      </c>
      <c r="Y3339" t="s">
        <v>43</v>
      </c>
      <c r="Z3339">
        <v>1</v>
      </c>
      <c r="AA3339">
        <v>1</v>
      </c>
      <c r="AB3339">
        <v>100</v>
      </c>
    </row>
    <row r="3340" spans="10:28">
      <c r="J3340" s="340" t="str">
        <f t="shared" si="153"/>
        <v>2012FemaleNon-Maori242</v>
      </c>
      <c r="K3340">
        <v>2012</v>
      </c>
      <c r="L3340" t="s">
        <v>8</v>
      </c>
      <c r="M3340" t="s">
        <v>19</v>
      </c>
      <c r="N3340">
        <v>24</v>
      </c>
      <c r="O3340">
        <v>2</v>
      </c>
      <c r="P3340">
        <v>10</v>
      </c>
      <c r="Q3340">
        <v>8.4566911671176506</v>
      </c>
      <c r="R3340">
        <v>5.2</v>
      </c>
      <c r="T3340" s="340" t="str">
        <f t="shared" si="154"/>
        <v>2012AllSexMaori22Jumping from a high place</v>
      </c>
      <c r="U3340">
        <v>2012</v>
      </c>
      <c r="V3340" t="s">
        <v>17</v>
      </c>
      <c r="W3340" t="s">
        <v>18</v>
      </c>
      <c r="X3340">
        <v>22</v>
      </c>
      <c r="Y3340" t="s">
        <v>44</v>
      </c>
      <c r="Z3340">
        <v>1</v>
      </c>
      <c r="AA3340">
        <v>61</v>
      </c>
      <c r="AB3340">
        <v>1.6</v>
      </c>
    </row>
    <row r="3341" spans="10:28">
      <c r="J3341" s="340" t="str">
        <f t="shared" si="153"/>
        <v>2012FemaleNon-Maori243</v>
      </c>
      <c r="K3341">
        <v>2012</v>
      </c>
      <c r="L3341" t="s">
        <v>8</v>
      </c>
      <c r="M3341" t="s">
        <v>19</v>
      </c>
      <c r="N3341">
        <v>24</v>
      </c>
      <c r="O3341">
        <v>3</v>
      </c>
      <c r="P3341">
        <v>6</v>
      </c>
      <c r="Q3341">
        <v>5.7630984923849704</v>
      </c>
      <c r="R3341">
        <v>4.5999999999999996</v>
      </c>
      <c r="T3341" s="340" t="str">
        <f t="shared" si="154"/>
        <v>2012AllSexMaori23Other</v>
      </c>
      <c r="U3341">
        <v>2012</v>
      </c>
      <c r="V3341" t="s">
        <v>17</v>
      </c>
      <c r="W3341" t="s">
        <v>18</v>
      </c>
      <c r="X3341">
        <v>23</v>
      </c>
      <c r="Y3341" t="s">
        <v>45</v>
      </c>
      <c r="Z3341">
        <v>2</v>
      </c>
      <c r="AA3341">
        <v>39</v>
      </c>
      <c r="AB3341">
        <v>5.0999999999999996</v>
      </c>
    </row>
    <row r="3342" spans="10:28">
      <c r="J3342" s="340" t="str">
        <f t="shared" si="153"/>
        <v>2012FemaleNon-Maori244</v>
      </c>
      <c r="K3342">
        <v>2012</v>
      </c>
      <c r="L3342" t="s">
        <v>8</v>
      </c>
      <c r="M3342" t="s">
        <v>19</v>
      </c>
      <c r="N3342">
        <v>24</v>
      </c>
      <c r="O3342">
        <v>4</v>
      </c>
      <c r="P3342">
        <v>11</v>
      </c>
      <c r="Q3342">
        <v>12.350172563569201</v>
      </c>
      <c r="R3342">
        <v>7.3</v>
      </c>
      <c r="T3342" s="340" t="str">
        <f t="shared" si="154"/>
        <v>2012AllSexMaori24Poisoning by gases and vapours</v>
      </c>
      <c r="U3342">
        <v>2012</v>
      </c>
      <c r="V3342" t="s">
        <v>17</v>
      </c>
      <c r="W3342" t="s">
        <v>18</v>
      </c>
      <c r="X3342">
        <v>24</v>
      </c>
      <c r="Y3342" t="s">
        <v>46</v>
      </c>
      <c r="Z3342">
        <v>2</v>
      </c>
      <c r="AA3342">
        <v>10</v>
      </c>
      <c r="AB3342">
        <v>20</v>
      </c>
    </row>
    <row r="3343" spans="10:28">
      <c r="J3343" s="340" t="str">
        <f t="shared" si="153"/>
        <v>2012FemaleNon-Maori245</v>
      </c>
      <c r="K3343">
        <v>2012</v>
      </c>
      <c r="L3343" t="s">
        <v>8</v>
      </c>
      <c r="M3343" t="s">
        <v>19</v>
      </c>
      <c r="N3343">
        <v>24</v>
      </c>
      <c r="O3343">
        <v>5</v>
      </c>
      <c r="P3343">
        <v>8</v>
      </c>
      <c r="Q3343">
        <v>11.6760113442811</v>
      </c>
      <c r="R3343">
        <v>8.1</v>
      </c>
      <c r="T3343" s="340" t="str">
        <f t="shared" si="154"/>
        <v>2012AllSexMaori23Poisoning by solids and liquids</v>
      </c>
      <c r="U3343">
        <v>2012</v>
      </c>
      <c r="V3343" t="s">
        <v>17</v>
      </c>
      <c r="W3343" t="s">
        <v>18</v>
      </c>
      <c r="X3343">
        <v>23</v>
      </c>
      <c r="Y3343" t="s">
        <v>47</v>
      </c>
      <c r="Z3343">
        <v>2</v>
      </c>
      <c r="AA3343">
        <v>39</v>
      </c>
      <c r="AB3343">
        <v>5.0999999999999996</v>
      </c>
    </row>
    <row r="3344" spans="10:28">
      <c r="J3344" s="340" t="str">
        <f t="shared" si="153"/>
        <v>2012FemaleNon-Maori251</v>
      </c>
      <c r="K3344">
        <v>2012</v>
      </c>
      <c r="L3344" t="s">
        <v>8</v>
      </c>
      <c r="M3344" t="s">
        <v>19</v>
      </c>
      <c r="N3344">
        <v>25</v>
      </c>
      <c r="O3344">
        <v>1</v>
      </c>
      <c r="P3344">
        <v>0</v>
      </c>
      <c r="Q3344">
        <v>0</v>
      </c>
      <c r="T3344" s="340" t="str">
        <f t="shared" si="154"/>
        <v>2012AllSexMaori23Sharp object</v>
      </c>
      <c r="U3344">
        <v>2012</v>
      </c>
      <c r="V3344" t="s">
        <v>17</v>
      </c>
      <c r="W3344" t="s">
        <v>18</v>
      </c>
      <c r="X3344">
        <v>23</v>
      </c>
      <c r="Y3344" t="s">
        <v>48</v>
      </c>
      <c r="Z3344">
        <v>1</v>
      </c>
      <c r="AA3344">
        <v>39</v>
      </c>
      <c r="AB3344">
        <v>2.6</v>
      </c>
    </row>
    <row r="3345" spans="10:28">
      <c r="J3345" s="340" t="str">
        <f t="shared" si="153"/>
        <v>2012FemaleNon-Maori252</v>
      </c>
      <c r="K3345">
        <v>2012</v>
      </c>
      <c r="L3345" t="s">
        <v>8</v>
      </c>
      <c r="M3345" t="s">
        <v>19</v>
      </c>
      <c r="N3345">
        <v>25</v>
      </c>
      <c r="O3345">
        <v>2</v>
      </c>
      <c r="P3345">
        <v>2</v>
      </c>
      <c r="Q3345">
        <v>3.0782512346201401</v>
      </c>
      <c r="R3345">
        <v>4.3</v>
      </c>
      <c r="T3345" s="340" t="str">
        <f t="shared" si="154"/>
        <v>2012AllSexNon-Maori22Firearms and explosives</v>
      </c>
      <c r="U3345">
        <v>2012</v>
      </c>
      <c r="V3345" t="s">
        <v>17</v>
      </c>
      <c r="W3345" t="s">
        <v>19</v>
      </c>
      <c r="X3345">
        <v>22</v>
      </c>
      <c r="Y3345" t="s">
        <v>42</v>
      </c>
      <c r="Z3345">
        <v>7</v>
      </c>
      <c r="AA3345">
        <v>87</v>
      </c>
      <c r="AB3345">
        <v>8</v>
      </c>
    </row>
    <row r="3346" spans="10:28">
      <c r="J3346" s="340" t="str">
        <f t="shared" si="153"/>
        <v>2012FemaleNon-Maori253</v>
      </c>
      <c r="K3346">
        <v>2012</v>
      </c>
      <c r="L3346" t="s">
        <v>8</v>
      </c>
      <c r="M3346" t="s">
        <v>19</v>
      </c>
      <c r="N3346">
        <v>25</v>
      </c>
      <c r="O3346">
        <v>3</v>
      </c>
      <c r="P3346">
        <v>3</v>
      </c>
      <c r="Q3346">
        <v>4.6329526382867501</v>
      </c>
      <c r="R3346">
        <v>5.2</v>
      </c>
      <c r="T3346" s="340" t="str">
        <f t="shared" si="154"/>
        <v>2012AllSexNon-Maori23Firearms and explosives</v>
      </c>
      <c r="U3346">
        <v>2012</v>
      </c>
      <c r="V3346" t="s">
        <v>17</v>
      </c>
      <c r="W3346" t="s">
        <v>19</v>
      </c>
      <c r="X3346">
        <v>23</v>
      </c>
      <c r="Y3346" t="s">
        <v>42</v>
      </c>
      <c r="Z3346">
        <v>11</v>
      </c>
      <c r="AA3346">
        <v>147</v>
      </c>
      <c r="AB3346">
        <v>7.5</v>
      </c>
    </row>
    <row r="3347" spans="10:28">
      <c r="J3347" s="340" t="str">
        <f t="shared" si="153"/>
        <v>2012FemaleNon-Maori254</v>
      </c>
      <c r="K3347">
        <v>2012</v>
      </c>
      <c r="L3347" t="s">
        <v>8</v>
      </c>
      <c r="M3347" t="s">
        <v>19</v>
      </c>
      <c r="N3347">
        <v>25</v>
      </c>
      <c r="O3347">
        <v>4</v>
      </c>
      <c r="P3347">
        <v>4</v>
      </c>
      <c r="Q3347">
        <v>6.0470212767807903</v>
      </c>
      <c r="R3347">
        <v>5.9</v>
      </c>
      <c r="T3347" s="340" t="str">
        <f t="shared" si="154"/>
        <v>2012AllSexNon-Maori24Firearms and explosives</v>
      </c>
      <c r="U3347">
        <v>2012</v>
      </c>
      <c r="V3347" t="s">
        <v>17</v>
      </c>
      <c r="W3347" t="s">
        <v>19</v>
      </c>
      <c r="X3347">
        <v>24</v>
      </c>
      <c r="Y3347" t="s">
        <v>42</v>
      </c>
      <c r="Z3347">
        <v>16</v>
      </c>
      <c r="AA3347">
        <v>137</v>
      </c>
      <c r="AB3347">
        <v>11.7</v>
      </c>
    </row>
    <row r="3348" spans="10:28">
      <c r="J3348" s="340" t="str">
        <f t="shared" si="153"/>
        <v>2012FemaleNon-Maori255</v>
      </c>
      <c r="K3348">
        <v>2012</v>
      </c>
      <c r="L3348" t="s">
        <v>8</v>
      </c>
      <c r="M3348" t="s">
        <v>19</v>
      </c>
      <c r="N3348">
        <v>25</v>
      </c>
      <c r="O3348">
        <v>5</v>
      </c>
      <c r="P3348">
        <v>4</v>
      </c>
      <c r="Q3348">
        <v>8.3497273098656297</v>
      </c>
      <c r="R3348">
        <v>8.1999999999999993</v>
      </c>
      <c r="T3348" s="340" t="str">
        <f t="shared" si="154"/>
        <v>2012AllSexNon-Maori25Firearms and explosives</v>
      </c>
      <c r="U3348">
        <v>2012</v>
      </c>
      <c r="V3348" t="s">
        <v>17</v>
      </c>
      <c r="W3348" t="s">
        <v>19</v>
      </c>
      <c r="X3348">
        <v>25</v>
      </c>
      <c r="Y3348" t="s">
        <v>42</v>
      </c>
      <c r="Z3348">
        <v>8</v>
      </c>
      <c r="AA3348">
        <v>56</v>
      </c>
      <c r="AB3348">
        <v>14.3</v>
      </c>
    </row>
    <row r="3349" spans="10:28">
      <c r="J3349" s="340" t="str">
        <f t="shared" si="153"/>
        <v>2012MaleAllEth211</v>
      </c>
      <c r="K3349">
        <v>2012</v>
      </c>
      <c r="L3349" t="s">
        <v>20</v>
      </c>
      <c r="M3349" t="s">
        <v>27</v>
      </c>
      <c r="N3349">
        <v>21</v>
      </c>
      <c r="O3349">
        <v>1</v>
      </c>
      <c r="P3349">
        <v>0</v>
      </c>
      <c r="Q3349">
        <v>0</v>
      </c>
      <c r="T3349" s="340" t="str">
        <f t="shared" si="154"/>
        <v>2012AllSexNon-Maori21Hanging, strangulation and suffocation</v>
      </c>
      <c r="U3349">
        <v>2012</v>
      </c>
      <c r="V3349" t="s">
        <v>17</v>
      </c>
      <c r="W3349" t="s">
        <v>19</v>
      </c>
      <c r="X3349">
        <v>21</v>
      </c>
      <c r="Y3349" t="s">
        <v>43</v>
      </c>
      <c r="Z3349">
        <v>3</v>
      </c>
      <c r="AA3349">
        <v>4</v>
      </c>
      <c r="AB3349">
        <v>75</v>
      </c>
    </row>
    <row r="3350" spans="10:28">
      <c r="J3350" s="340" t="str">
        <f t="shared" si="153"/>
        <v>2012MaleAllEth212</v>
      </c>
      <c r="K3350">
        <v>2012</v>
      </c>
      <c r="L3350" t="s">
        <v>20</v>
      </c>
      <c r="M3350" t="s">
        <v>27</v>
      </c>
      <c r="N3350">
        <v>21</v>
      </c>
      <c r="O3350">
        <v>2</v>
      </c>
      <c r="P3350">
        <v>2</v>
      </c>
      <c r="Q3350">
        <v>2.26128778381453</v>
      </c>
      <c r="R3350">
        <v>3.1</v>
      </c>
      <c r="T3350" s="340" t="str">
        <f t="shared" si="154"/>
        <v>2012AllSexNon-Maori22Hanging, strangulation and suffocation</v>
      </c>
      <c r="U3350">
        <v>2012</v>
      </c>
      <c r="V3350" t="s">
        <v>17</v>
      </c>
      <c r="W3350" t="s">
        <v>19</v>
      </c>
      <c r="X3350">
        <v>22</v>
      </c>
      <c r="Y3350" t="s">
        <v>43</v>
      </c>
      <c r="Z3350">
        <v>70</v>
      </c>
      <c r="AA3350">
        <v>87</v>
      </c>
      <c r="AB3350">
        <v>80.5</v>
      </c>
    </row>
    <row r="3351" spans="10:28">
      <c r="J3351" s="340" t="str">
        <f t="shared" si="153"/>
        <v>2012MaleAllEth213</v>
      </c>
      <c r="K3351">
        <v>2012</v>
      </c>
      <c r="L3351" t="s">
        <v>20</v>
      </c>
      <c r="M3351" t="s">
        <v>27</v>
      </c>
      <c r="N3351">
        <v>21</v>
      </c>
      <c r="O3351">
        <v>3</v>
      </c>
      <c r="P3351">
        <v>1</v>
      </c>
      <c r="Q3351">
        <v>1.1562399791846401</v>
      </c>
      <c r="R3351">
        <v>2.2999999999999998</v>
      </c>
      <c r="T3351" s="340" t="str">
        <f t="shared" si="154"/>
        <v>2012AllSexNon-Maori23Hanging, strangulation and suffocation</v>
      </c>
      <c r="U3351">
        <v>2012</v>
      </c>
      <c r="V3351" t="s">
        <v>17</v>
      </c>
      <c r="W3351" t="s">
        <v>19</v>
      </c>
      <c r="X3351">
        <v>23</v>
      </c>
      <c r="Y3351" t="s">
        <v>43</v>
      </c>
      <c r="Z3351">
        <v>77</v>
      </c>
      <c r="AA3351">
        <v>147</v>
      </c>
      <c r="AB3351">
        <v>52.4</v>
      </c>
    </row>
    <row r="3352" spans="10:28">
      <c r="J3352" s="340" t="str">
        <f t="shared" si="153"/>
        <v>2012MaleAllEth214</v>
      </c>
      <c r="K3352">
        <v>2012</v>
      </c>
      <c r="L3352" t="s">
        <v>20</v>
      </c>
      <c r="M3352" t="s">
        <v>27</v>
      </c>
      <c r="N3352">
        <v>21</v>
      </c>
      <c r="O3352">
        <v>4</v>
      </c>
      <c r="P3352">
        <v>2</v>
      </c>
      <c r="Q3352">
        <v>2.28235301220447</v>
      </c>
      <c r="R3352">
        <v>3.2</v>
      </c>
      <c r="T3352" s="340" t="str">
        <f t="shared" si="154"/>
        <v>2012AllSexNon-Maori24Hanging, strangulation and suffocation</v>
      </c>
      <c r="U3352">
        <v>2012</v>
      </c>
      <c r="V3352" t="s">
        <v>17</v>
      </c>
      <c r="W3352" t="s">
        <v>19</v>
      </c>
      <c r="X3352">
        <v>24</v>
      </c>
      <c r="Y3352" t="s">
        <v>43</v>
      </c>
      <c r="Z3352">
        <v>65</v>
      </c>
      <c r="AA3352">
        <v>137</v>
      </c>
      <c r="AB3352">
        <v>47.4</v>
      </c>
    </row>
    <row r="3353" spans="10:28">
      <c r="J3353" s="340" t="str">
        <f t="shared" si="153"/>
        <v>2012MaleAllEth215</v>
      </c>
      <c r="K3353">
        <v>2012</v>
      </c>
      <c r="L3353" t="s">
        <v>20</v>
      </c>
      <c r="M3353" t="s">
        <v>27</v>
      </c>
      <c r="N3353">
        <v>21</v>
      </c>
      <c r="O3353">
        <v>5</v>
      </c>
      <c r="P3353">
        <v>1</v>
      </c>
      <c r="Q3353">
        <v>0.90589015194979206</v>
      </c>
      <c r="R3353">
        <v>1.8</v>
      </c>
      <c r="T3353" s="340" t="str">
        <f t="shared" si="154"/>
        <v>2012AllSexNon-Maori25Hanging, strangulation and suffocation</v>
      </c>
      <c r="U3353">
        <v>2012</v>
      </c>
      <c r="V3353" t="s">
        <v>17</v>
      </c>
      <c r="W3353" t="s">
        <v>19</v>
      </c>
      <c r="X3353">
        <v>25</v>
      </c>
      <c r="Y3353" t="s">
        <v>43</v>
      </c>
      <c r="Z3353">
        <v>22</v>
      </c>
      <c r="AA3353">
        <v>56</v>
      </c>
      <c r="AB3353">
        <v>39.299999999999997</v>
      </c>
    </row>
    <row r="3354" spans="10:28">
      <c r="J3354" s="340" t="str">
        <f t="shared" si="153"/>
        <v>2012MaleAllEth221</v>
      </c>
      <c r="K3354">
        <v>2012</v>
      </c>
      <c r="L3354" t="s">
        <v>20</v>
      </c>
      <c r="M3354" t="s">
        <v>27</v>
      </c>
      <c r="N3354">
        <v>22</v>
      </c>
      <c r="O3354">
        <v>1</v>
      </c>
      <c r="P3354">
        <v>11</v>
      </c>
      <c r="Q3354">
        <v>19.3229449287447</v>
      </c>
      <c r="R3354">
        <v>11.4</v>
      </c>
      <c r="T3354" s="340" t="str">
        <f t="shared" si="154"/>
        <v>2012AllSexNon-Maori22Jumping from a high place</v>
      </c>
      <c r="U3354">
        <v>2012</v>
      </c>
      <c r="V3354" t="s">
        <v>17</v>
      </c>
      <c r="W3354" t="s">
        <v>19</v>
      </c>
      <c r="X3354">
        <v>22</v>
      </c>
      <c r="Y3354" t="s">
        <v>44</v>
      </c>
      <c r="Z3354">
        <v>5</v>
      </c>
      <c r="AA3354">
        <v>87</v>
      </c>
      <c r="AB3354">
        <v>5.7</v>
      </c>
    </row>
    <row r="3355" spans="10:28">
      <c r="J3355" s="340" t="str">
        <f t="shared" si="153"/>
        <v>2012MaleAllEth222</v>
      </c>
      <c r="K3355">
        <v>2012</v>
      </c>
      <c r="L3355" t="s">
        <v>20</v>
      </c>
      <c r="M3355" t="s">
        <v>27</v>
      </c>
      <c r="N3355">
        <v>22</v>
      </c>
      <c r="O3355">
        <v>2</v>
      </c>
      <c r="P3355">
        <v>10</v>
      </c>
      <c r="Q3355">
        <v>17.382841579352299</v>
      </c>
      <c r="R3355">
        <v>10.8</v>
      </c>
      <c r="T3355" s="340" t="str">
        <f t="shared" si="154"/>
        <v>2012AllSexNon-Maori23Jumping from a high place</v>
      </c>
      <c r="U3355">
        <v>2012</v>
      </c>
      <c r="V3355" t="s">
        <v>17</v>
      </c>
      <c r="W3355" t="s">
        <v>19</v>
      </c>
      <c r="X3355">
        <v>23</v>
      </c>
      <c r="Y3355" t="s">
        <v>44</v>
      </c>
      <c r="Z3355">
        <v>4</v>
      </c>
      <c r="AA3355">
        <v>147</v>
      </c>
      <c r="AB3355">
        <v>2.7</v>
      </c>
    </row>
    <row r="3356" spans="10:28">
      <c r="J3356" s="340" t="str">
        <f t="shared" si="153"/>
        <v>2012MaleAllEth223</v>
      </c>
      <c r="K3356">
        <v>2012</v>
      </c>
      <c r="L3356" t="s">
        <v>20</v>
      </c>
      <c r="M3356" t="s">
        <v>27</v>
      </c>
      <c r="N3356">
        <v>22</v>
      </c>
      <c r="O3356">
        <v>3</v>
      </c>
      <c r="P3356">
        <v>25</v>
      </c>
      <c r="Q3356">
        <v>41.270815891296103</v>
      </c>
      <c r="R3356">
        <v>16.2</v>
      </c>
      <c r="T3356" s="340" t="str">
        <f t="shared" si="154"/>
        <v>2012AllSexNon-Maori24Jumping from a high place</v>
      </c>
      <c r="U3356">
        <v>2012</v>
      </c>
      <c r="V3356" t="s">
        <v>17</v>
      </c>
      <c r="W3356" t="s">
        <v>19</v>
      </c>
      <c r="X3356">
        <v>24</v>
      </c>
      <c r="Y3356" t="s">
        <v>44</v>
      </c>
      <c r="Z3356">
        <v>4</v>
      </c>
      <c r="AA3356">
        <v>137</v>
      </c>
      <c r="AB3356">
        <v>2.9</v>
      </c>
    </row>
    <row r="3357" spans="10:28">
      <c r="J3357" s="340" t="str">
        <f t="shared" si="153"/>
        <v>2012MaleAllEth224</v>
      </c>
      <c r="K3357">
        <v>2012</v>
      </c>
      <c r="L3357" t="s">
        <v>20</v>
      </c>
      <c r="M3357" t="s">
        <v>27</v>
      </c>
      <c r="N3357">
        <v>22</v>
      </c>
      <c r="O3357">
        <v>4</v>
      </c>
      <c r="P3357">
        <v>28</v>
      </c>
      <c r="Q3357">
        <v>41.9782376596715</v>
      </c>
      <c r="R3357">
        <v>15.5</v>
      </c>
      <c r="T3357" s="340" t="str">
        <f t="shared" si="154"/>
        <v>2012AllSexNon-Maori25Jumping from a high place</v>
      </c>
      <c r="U3357">
        <v>2012</v>
      </c>
      <c r="V3357" t="s">
        <v>17</v>
      </c>
      <c r="W3357" t="s">
        <v>19</v>
      </c>
      <c r="X3357">
        <v>25</v>
      </c>
      <c r="Y3357" t="s">
        <v>44</v>
      </c>
      <c r="Z3357">
        <v>2</v>
      </c>
      <c r="AA3357">
        <v>56</v>
      </c>
      <c r="AB3357">
        <v>3.6</v>
      </c>
    </row>
    <row r="3358" spans="10:28">
      <c r="J3358" s="340" t="str">
        <f t="shared" si="153"/>
        <v>2012MaleAllEth225</v>
      </c>
      <c r="K3358">
        <v>2012</v>
      </c>
      <c r="L3358" t="s">
        <v>20</v>
      </c>
      <c r="M3358" t="s">
        <v>27</v>
      </c>
      <c r="N3358">
        <v>22</v>
      </c>
      <c r="O3358">
        <v>5</v>
      </c>
      <c r="P3358">
        <v>30</v>
      </c>
      <c r="Q3358">
        <v>40.290998330412499</v>
      </c>
      <c r="R3358">
        <v>14.4</v>
      </c>
      <c r="T3358" s="340" t="str">
        <f t="shared" si="154"/>
        <v>2012AllSexNon-Maori23Other</v>
      </c>
      <c r="U3358">
        <v>2012</v>
      </c>
      <c r="V3358" t="s">
        <v>17</v>
      </c>
      <c r="W3358" t="s">
        <v>19</v>
      </c>
      <c r="X3358">
        <v>23</v>
      </c>
      <c r="Y3358" t="s">
        <v>45</v>
      </c>
      <c r="Z3358">
        <v>9</v>
      </c>
      <c r="AA3358">
        <v>147</v>
      </c>
      <c r="AB3358">
        <v>6.1</v>
      </c>
    </row>
    <row r="3359" spans="10:28">
      <c r="J3359" s="340" t="str">
        <f t="shared" si="153"/>
        <v>2012MaleAllEth231</v>
      </c>
      <c r="K3359">
        <v>2012</v>
      </c>
      <c r="L3359" t="s">
        <v>20</v>
      </c>
      <c r="M3359" t="s">
        <v>27</v>
      </c>
      <c r="N3359">
        <v>23</v>
      </c>
      <c r="O3359">
        <v>1</v>
      </c>
      <c r="P3359">
        <v>15</v>
      </c>
      <c r="Q3359">
        <v>14.5915940285623</v>
      </c>
      <c r="R3359">
        <v>7.4</v>
      </c>
      <c r="T3359" s="340" t="str">
        <f t="shared" si="154"/>
        <v>2012AllSexNon-Maori24Other</v>
      </c>
      <c r="U3359">
        <v>2012</v>
      </c>
      <c r="V3359" t="s">
        <v>17</v>
      </c>
      <c r="W3359" t="s">
        <v>19</v>
      </c>
      <c r="X3359">
        <v>24</v>
      </c>
      <c r="Y3359" t="s">
        <v>45</v>
      </c>
      <c r="Z3359">
        <v>6</v>
      </c>
      <c r="AA3359">
        <v>137</v>
      </c>
      <c r="AB3359">
        <v>4.4000000000000004</v>
      </c>
    </row>
    <row r="3360" spans="10:28">
      <c r="J3360" s="340" t="str">
        <f t="shared" si="153"/>
        <v>2012MaleAllEth232</v>
      </c>
      <c r="K3360">
        <v>2012</v>
      </c>
      <c r="L3360" t="s">
        <v>20</v>
      </c>
      <c r="M3360" t="s">
        <v>27</v>
      </c>
      <c r="N3360">
        <v>23</v>
      </c>
      <c r="O3360">
        <v>2</v>
      </c>
      <c r="P3360">
        <v>22</v>
      </c>
      <c r="Q3360">
        <v>19.631198989009299</v>
      </c>
      <c r="R3360">
        <v>8.1999999999999993</v>
      </c>
      <c r="T3360" s="340" t="str">
        <f t="shared" si="154"/>
        <v>2012AllSexNon-Maori25Other</v>
      </c>
      <c r="U3360">
        <v>2012</v>
      </c>
      <c r="V3360" t="s">
        <v>17</v>
      </c>
      <c r="W3360" t="s">
        <v>19</v>
      </c>
      <c r="X3360">
        <v>25</v>
      </c>
      <c r="Y3360" t="s">
        <v>45</v>
      </c>
      <c r="Z3360">
        <v>2</v>
      </c>
      <c r="AA3360">
        <v>56</v>
      </c>
      <c r="AB3360">
        <v>3.6</v>
      </c>
    </row>
    <row r="3361" spans="10:28">
      <c r="J3361" s="340" t="str">
        <f t="shared" si="153"/>
        <v>2012MaleAllEth233</v>
      </c>
      <c r="K3361">
        <v>2012</v>
      </c>
      <c r="L3361" t="s">
        <v>20</v>
      </c>
      <c r="M3361" t="s">
        <v>27</v>
      </c>
      <c r="N3361">
        <v>23</v>
      </c>
      <c r="O3361">
        <v>3</v>
      </c>
      <c r="P3361">
        <v>31</v>
      </c>
      <c r="Q3361">
        <v>26.835325252923202</v>
      </c>
      <c r="R3361">
        <v>9.4</v>
      </c>
      <c r="T3361" s="340" t="str">
        <f t="shared" si="154"/>
        <v>2012AllSexNon-Maori22Poisoning by gases and vapours</v>
      </c>
      <c r="U3361">
        <v>2012</v>
      </c>
      <c r="V3361" t="s">
        <v>17</v>
      </c>
      <c r="W3361" t="s">
        <v>19</v>
      </c>
      <c r="X3361">
        <v>22</v>
      </c>
      <c r="Y3361" t="s">
        <v>46</v>
      </c>
      <c r="Z3361">
        <v>2</v>
      </c>
      <c r="AA3361">
        <v>87</v>
      </c>
      <c r="AB3361">
        <v>2.2999999999999998</v>
      </c>
    </row>
    <row r="3362" spans="10:28">
      <c r="J3362" s="340" t="str">
        <f t="shared" si="153"/>
        <v>2012MaleAllEth234</v>
      </c>
      <c r="K3362">
        <v>2012</v>
      </c>
      <c r="L3362" t="s">
        <v>20</v>
      </c>
      <c r="M3362" t="s">
        <v>27</v>
      </c>
      <c r="N3362">
        <v>23</v>
      </c>
      <c r="O3362">
        <v>4</v>
      </c>
      <c r="P3362">
        <v>34</v>
      </c>
      <c r="Q3362">
        <v>29.9639286317454</v>
      </c>
      <c r="R3362">
        <v>10.1</v>
      </c>
      <c r="T3362" s="340" t="str">
        <f t="shared" si="154"/>
        <v>2012AllSexNon-Maori23Poisoning by gases and vapours</v>
      </c>
      <c r="U3362">
        <v>2012</v>
      </c>
      <c r="V3362" t="s">
        <v>17</v>
      </c>
      <c r="W3362" t="s">
        <v>19</v>
      </c>
      <c r="X3362">
        <v>23</v>
      </c>
      <c r="Y3362" t="s">
        <v>46</v>
      </c>
      <c r="Z3362">
        <v>19</v>
      </c>
      <c r="AA3362">
        <v>147</v>
      </c>
      <c r="AB3362">
        <v>12.9</v>
      </c>
    </row>
    <row r="3363" spans="10:28">
      <c r="J3363" s="340" t="str">
        <f t="shared" si="153"/>
        <v>2012MaleAllEth235</v>
      </c>
      <c r="K3363">
        <v>2012</v>
      </c>
      <c r="L3363" t="s">
        <v>20</v>
      </c>
      <c r="M3363" t="s">
        <v>27</v>
      </c>
      <c r="N3363">
        <v>23</v>
      </c>
      <c r="O3363">
        <v>5</v>
      </c>
      <c r="P3363">
        <v>35</v>
      </c>
      <c r="Q3363">
        <v>33.6295388197127</v>
      </c>
      <c r="R3363">
        <v>11.1</v>
      </c>
      <c r="T3363" s="340" t="str">
        <f t="shared" si="154"/>
        <v>2012AllSexNon-Maori24Poisoning by gases and vapours</v>
      </c>
      <c r="U3363">
        <v>2012</v>
      </c>
      <c r="V3363" t="s">
        <v>17</v>
      </c>
      <c r="W3363" t="s">
        <v>19</v>
      </c>
      <c r="X3363">
        <v>24</v>
      </c>
      <c r="Y3363" t="s">
        <v>46</v>
      </c>
      <c r="Z3363">
        <v>14</v>
      </c>
      <c r="AA3363">
        <v>137</v>
      </c>
      <c r="AB3363">
        <v>10.199999999999999</v>
      </c>
    </row>
    <row r="3364" spans="10:28">
      <c r="J3364" s="340" t="str">
        <f t="shared" si="153"/>
        <v>2012MaleAllEth241</v>
      </c>
      <c r="K3364">
        <v>2012</v>
      </c>
      <c r="L3364" t="s">
        <v>20</v>
      </c>
      <c r="M3364" t="s">
        <v>27</v>
      </c>
      <c r="N3364">
        <v>24</v>
      </c>
      <c r="O3364">
        <v>1</v>
      </c>
      <c r="P3364">
        <v>13</v>
      </c>
      <c r="Q3364">
        <v>9.6740274506708008</v>
      </c>
      <c r="R3364">
        <v>5.3</v>
      </c>
      <c r="T3364" s="340" t="str">
        <f t="shared" si="154"/>
        <v>2012AllSexNon-Maori25Poisoning by gases and vapours</v>
      </c>
      <c r="U3364">
        <v>2012</v>
      </c>
      <c r="V3364" t="s">
        <v>17</v>
      </c>
      <c r="W3364" t="s">
        <v>19</v>
      </c>
      <c r="X3364">
        <v>25</v>
      </c>
      <c r="Y3364" t="s">
        <v>46</v>
      </c>
      <c r="Z3364">
        <v>6</v>
      </c>
      <c r="AA3364">
        <v>56</v>
      </c>
      <c r="AB3364">
        <v>10.7</v>
      </c>
    </row>
    <row r="3365" spans="10:28">
      <c r="J3365" s="340" t="str">
        <f t="shared" si="153"/>
        <v>2012MaleAllEth242</v>
      </c>
      <c r="K3365">
        <v>2012</v>
      </c>
      <c r="L3365" t="s">
        <v>20</v>
      </c>
      <c r="M3365" t="s">
        <v>27</v>
      </c>
      <c r="N3365">
        <v>24</v>
      </c>
      <c r="O3365">
        <v>2</v>
      </c>
      <c r="P3365">
        <v>17</v>
      </c>
      <c r="Q3365">
        <v>14.260478501868899</v>
      </c>
      <c r="R3365">
        <v>6.8</v>
      </c>
      <c r="T3365" s="340" t="str">
        <f t="shared" si="154"/>
        <v>2012AllSexNon-Maori21Poisoning by solids and liquids</v>
      </c>
      <c r="U3365">
        <v>2012</v>
      </c>
      <c r="V3365" t="s">
        <v>17</v>
      </c>
      <c r="W3365" t="s">
        <v>19</v>
      </c>
      <c r="X3365">
        <v>21</v>
      </c>
      <c r="Y3365" t="s">
        <v>47</v>
      </c>
      <c r="Z3365">
        <v>1</v>
      </c>
      <c r="AA3365">
        <v>4</v>
      </c>
      <c r="AB3365">
        <v>25</v>
      </c>
    </row>
    <row r="3366" spans="10:28">
      <c r="J3366" s="340" t="str">
        <f t="shared" si="153"/>
        <v>2012MaleAllEth243</v>
      </c>
      <c r="K3366">
        <v>2012</v>
      </c>
      <c r="L3366" t="s">
        <v>20</v>
      </c>
      <c r="M3366" t="s">
        <v>27</v>
      </c>
      <c r="N3366">
        <v>24</v>
      </c>
      <c r="O3366">
        <v>3</v>
      </c>
      <c r="P3366">
        <v>26</v>
      </c>
      <c r="Q3366">
        <v>24.217340291727101</v>
      </c>
      <c r="R3366">
        <v>9.3000000000000007</v>
      </c>
      <c r="T3366" s="340" t="str">
        <f t="shared" si="154"/>
        <v>2012AllSexNon-Maori22Poisoning by solids and liquids</v>
      </c>
      <c r="U3366">
        <v>2012</v>
      </c>
      <c r="V3366" t="s">
        <v>17</v>
      </c>
      <c r="W3366" t="s">
        <v>19</v>
      </c>
      <c r="X3366">
        <v>22</v>
      </c>
      <c r="Y3366" t="s">
        <v>47</v>
      </c>
      <c r="Z3366">
        <v>3</v>
      </c>
      <c r="AA3366">
        <v>87</v>
      </c>
      <c r="AB3366">
        <v>3.4</v>
      </c>
    </row>
    <row r="3367" spans="10:28">
      <c r="J3367" s="340" t="str">
        <f t="shared" si="153"/>
        <v>2012MaleAllEth244</v>
      </c>
      <c r="K3367">
        <v>2012</v>
      </c>
      <c r="L3367" t="s">
        <v>20</v>
      </c>
      <c r="M3367" t="s">
        <v>27</v>
      </c>
      <c r="N3367">
        <v>24</v>
      </c>
      <c r="O3367">
        <v>4</v>
      </c>
      <c r="P3367">
        <v>25</v>
      </c>
      <c r="Q3367">
        <v>25.6442943380864</v>
      </c>
      <c r="R3367">
        <v>10.1</v>
      </c>
      <c r="T3367" s="340" t="str">
        <f t="shared" si="154"/>
        <v>2012AllSexNon-Maori23Poisoning by solids and liquids</v>
      </c>
      <c r="U3367">
        <v>2012</v>
      </c>
      <c r="V3367" t="s">
        <v>17</v>
      </c>
      <c r="W3367" t="s">
        <v>19</v>
      </c>
      <c r="X3367">
        <v>23</v>
      </c>
      <c r="Y3367" t="s">
        <v>47</v>
      </c>
      <c r="Z3367">
        <v>20</v>
      </c>
      <c r="AA3367">
        <v>147</v>
      </c>
      <c r="AB3367">
        <v>13.6</v>
      </c>
    </row>
    <row r="3368" spans="10:28">
      <c r="J3368" s="340" t="str">
        <f t="shared" si="153"/>
        <v>2012MaleAllEth245</v>
      </c>
      <c r="K3368">
        <v>2012</v>
      </c>
      <c r="L3368" t="s">
        <v>20</v>
      </c>
      <c r="M3368" t="s">
        <v>27</v>
      </c>
      <c r="N3368">
        <v>24</v>
      </c>
      <c r="O3368">
        <v>5</v>
      </c>
      <c r="P3368">
        <v>21</v>
      </c>
      <c r="Q3368">
        <v>23.595295902741199</v>
      </c>
      <c r="R3368">
        <v>10.1</v>
      </c>
      <c r="T3368" s="340" t="str">
        <f t="shared" si="154"/>
        <v>2012AllSexNon-Maori24Poisoning by solids and liquids</v>
      </c>
      <c r="U3368">
        <v>2012</v>
      </c>
      <c r="V3368" t="s">
        <v>17</v>
      </c>
      <c r="W3368" t="s">
        <v>19</v>
      </c>
      <c r="X3368">
        <v>24</v>
      </c>
      <c r="Y3368" t="s">
        <v>47</v>
      </c>
      <c r="Z3368">
        <v>27</v>
      </c>
      <c r="AA3368">
        <v>137</v>
      </c>
      <c r="AB3368">
        <v>19.7</v>
      </c>
    </row>
    <row r="3369" spans="10:28">
      <c r="J3369" s="340" t="str">
        <f t="shared" si="153"/>
        <v>2012MaleAllEth251</v>
      </c>
      <c r="K3369">
        <v>2012</v>
      </c>
      <c r="L3369" t="s">
        <v>20</v>
      </c>
      <c r="M3369" t="s">
        <v>27</v>
      </c>
      <c r="N3369">
        <v>25</v>
      </c>
      <c r="O3369">
        <v>1</v>
      </c>
      <c r="P3369">
        <v>5</v>
      </c>
      <c r="Q3369">
        <v>8.3379635941752692</v>
      </c>
      <c r="R3369">
        <v>7.3</v>
      </c>
      <c r="T3369" s="340" t="str">
        <f t="shared" si="154"/>
        <v>2012AllSexNon-Maori25Poisoning by solids and liquids</v>
      </c>
      <c r="U3369">
        <v>2012</v>
      </c>
      <c r="V3369" t="s">
        <v>17</v>
      </c>
      <c r="W3369" t="s">
        <v>19</v>
      </c>
      <c r="X3369">
        <v>25</v>
      </c>
      <c r="Y3369" t="s">
        <v>47</v>
      </c>
      <c r="Z3369">
        <v>11</v>
      </c>
      <c r="AA3369">
        <v>56</v>
      </c>
      <c r="AB3369">
        <v>19.600000000000001</v>
      </c>
    </row>
    <row r="3370" spans="10:28">
      <c r="J3370" s="340" t="str">
        <f t="shared" si="153"/>
        <v>2012MaleAllEth252</v>
      </c>
      <c r="K3370">
        <v>2012</v>
      </c>
      <c r="L3370" t="s">
        <v>20</v>
      </c>
      <c r="M3370" t="s">
        <v>27</v>
      </c>
      <c r="N3370">
        <v>25</v>
      </c>
      <c r="O3370">
        <v>2</v>
      </c>
      <c r="P3370">
        <v>12</v>
      </c>
      <c r="Q3370">
        <v>20.2942553879925</v>
      </c>
      <c r="R3370">
        <v>11.5</v>
      </c>
      <c r="T3370" s="340" t="str">
        <f t="shared" si="154"/>
        <v>2012AllSexNon-Maori23Sharp object</v>
      </c>
      <c r="U3370">
        <v>2012</v>
      </c>
      <c r="V3370" t="s">
        <v>17</v>
      </c>
      <c r="W3370" t="s">
        <v>19</v>
      </c>
      <c r="X3370">
        <v>23</v>
      </c>
      <c r="Y3370" t="s">
        <v>48</v>
      </c>
      <c r="Z3370">
        <v>5</v>
      </c>
      <c r="AA3370">
        <v>147</v>
      </c>
      <c r="AB3370">
        <v>3.4</v>
      </c>
    </row>
    <row r="3371" spans="10:28">
      <c r="J3371" s="340" t="str">
        <f t="shared" si="153"/>
        <v>2012MaleAllEth253</v>
      </c>
      <c r="K3371">
        <v>2012</v>
      </c>
      <c r="L3371" t="s">
        <v>20</v>
      </c>
      <c r="M3371" t="s">
        <v>27</v>
      </c>
      <c r="N3371">
        <v>25</v>
      </c>
      <c r="O3371">
        <v>3</v>
      </c>
      <c r="P3371">
        <v>13</v>
      </c>
      <c r="Q3371">
        <v>22.828586111185299</v>
      </c>
      <c r="R3371">
        <v>12.4</v>
      </c>
      <c r="T3371" s="340" t="str">
        <f t="shared" si="154"/>
        <v>2012AllSexNon-Maori24Sharp object</v>
      </c>
      <c r="U3371">
        <v>2012</v>
      </c>
      <c r="V3371" t="s">
        <v>17</v>
      </c>
      <c r="W3371" t="s">
        <v>19</v>
      </c>
      <c r="X3371">
        <v>24</v>
      </c>
      <c r="Y3371" t="s">
        <v>48</v>
      </c>
      <c r="Z3371">
        <v>4</v>
      </c>
      <c r="AA3371">
        <v>137</v>
      </c>
      <c r="AB3371">
        <v>2.9</v>
      </c>
    </row>
    <row r="3372" spans="10:28">
      <c r="J3372" s="340" t="str">
        <f t="shared" si="153"/>
        <v>2012MaleAllEth254</v>
      </c>
      <c r="K3372">
        <v>2012</v>
      </c>
      <c r="L3372" t="s">
        <v>20</v>
      </c>
      <c r="M3372" t="s">
        <v>27</v>
      </c>
      <c r="N3372">
        <v>25</v>
      </c>
      <c r="O3372">
        <v>4</v>
      </c>
      <c r="P3372">
        <v>6</v>
      </c>
      <c r="Q3372">
        <v>10.8583900791937</v>
      </c>
      <c r="R3372">
        <v>8.6999999999999993</v>
      </c>
      <c r="T3372" s="340" t="str">
        <f t="shared" si="154"/>
        <v>2012AllSexNon-Maori25Sharp object</v>
      </c>
      <c r="U3372">
        <v>2012</v>
      </c>
      <c r="V3372" t="s">
        <v>17</v>
      </c>
      <c r="W3372" t="s">
        <v>19</v>
      </c>
      <c r="X3372">
        <v>25</v>
      </c>
      <c r="Y3372" t="s">
        <v>48</v>
      </c>
      <c r="Z3372">
        <v>3</v>
      </c>
      <c r="AA3372">
        <v>56</v>
      </c>
      <c r="AB3372">
        <v>5.4</v>
      </c>
    </row>
    <row r="3373" spans="10:28">
      <c r="J3373" s="340" t="str">
        <f t="shared" si="153"/>
        <v>2012MaleAllEth255</v>
      </c>
      <c r="K3373">
        <v>2012</v>
      </c>
      <c r="L3373" t="s">
        <v>20</v>
      </c>
      <c r="M3373" t="s">
        <v>27</v>
      </c>
      <c r="N3373">
        <v>25</v>
      </c>
      <c r="O3373">
        <v>5</v>
      </c>
      <c r="P3373">
        <v>6</v>
      </c>
      <c r="Q3373">
        <v>13.1431273765626</v>
      </c>
      <c r="R3373">
        <v>10.5</v>
      </c>
      <c r="T3373" s="340" t="str">
        <f t="shared" si="154"/>
        <v>2012AllSexNon-Maori23Submersion (drowning)</v>
      </c>
      <c r="U3373">
        <v>2012</v>
      </c>
      <c r="V3373" t="s">
        <v>17</v>
      </c>
      <c r="W3373" t="s">
        <v>19</v>
      </c>
      <c r="X3373">
        <v>23</v>
      </c>
      <c r="Y3373" t="s">
        <v>49</v>
      </c>
      <c r="Z3373">
        <v>2</v>
      </c>
      <c r="AA3373">
        <v>147</v>
      </c>
      <c r="AB3373">
        <v>1.4</v>
      </c>
    </row>
    <row r="3374" spans="10:28">
      <c r="J3374" s="340" t="str">
        <f t="shared" si="153"/>
        <v>2012MaleMaori211</v>
      </c>
      <c r="K3374">
        <v>2012</v>
      </c>
      <c r="L3374" t="s">
        <v>20</v>
      </c>
      <c r="M3374" t="s">
        <v>18</v>
      </c>
      <c r="N3374">
        <v>21</v>
      </c>
      <c r="O3374">
        <v>1</v>
      </c>
      <c r="P3374">
        <v>0</v>
      </c>
      <c r="Q3374">
        <v>0</v>
      </c>
      <c r="T3374" s="340" t="str">
        <f t="shared" si="154"/>
        <v>2012AllSexNon-Maori24Submersion (drowning)</v>
      </c>
      <c r="U3374">
        <v>2012</v>
      </c>
      <c r="V3374" t="s">
        <v>17</v>
      </c>
      <c r="W3374" t="s">
        <v>19</v>
      </c>
      <c r="X3374">
        <v>24</v>
      </c>
      <c r="Y3374" t="s">
        <v>49</v>
      </c>
      <c r="Z3374">
        <v>1</v>
      </c>
      <c r="AA3374">
        <v>137</v>
      </c>
      <c r="AB3374">
        <v>0.7</v>
      </c>
    </row>
    <row r="3375" spans="10:28">
      <c r="J3375" s="340" t="str">
        <f t="shared" si="153"/>
        <v>2012MaleMaori212</v>
      </c>
      <c r="K3375">
        <v>2012</v>
      </c>
      <c r="L3375" t="s">
        <v>20</v>
      </c>
      <c r="M3375" t="s">
        <v>18</v>
      </c>
      <c r="N3375">
        <v>21</v>
      </c>
      <c r="O3375">
        <v>2</v>
      </c>
      <c r="P3375">
        <v>0</v>
      </c>
      <c r="Q3375">
        <v>0</v>
      </c>
      <c r="T3375" s="340" t="str">
        <f t="shared" si="154"/>
        <v>2012AllSexNon-Maori25Submersion (drowning)</v>
      </c>
      <c r="U3375">
        <v>2012</v>
      </c>
      <c r="V3375" t="s">
        <v>17</v>
      </c>
      <c r="W3375" t="s">
        <v>19</v>
      </c>
      <c r="X3375">
        <v>25</v>
      </c>
      <c r="Y3375" t="s">
        <v>49</v>
      </c>
      <c r="Z3375">
        <v>2</v>
      </c>
      <c r="AA3375">
        <v>56</v>
      </c>
      <c r="AB3375">
        <v>3.6</v>
      </c>
    </row>
    <row r="3376" spans="10:28">
      <c r="J3376" s="340" t="str">
        <f t="shared" si="153"/>
        <v>2012MaleMaori213</v>
      </c>
      <c r="K3376">
        <v>2012</v>
      </c>
      <c r="L3376" t="s">
        <v>20</v>
      </c>
      <c r="M3376" t="s">
        <v>18</v>
      </c>
      <c r="N3376">
        <v>21</v>
      </c>
      <c r="O3376">
        <v>3</v>
      </c>
      <c r="P3376">
        <v>1</v>
      </c>
      <c r="Q3376">
        <v>5.2682636845103099</v>
      </c>
      <c r="R3376">
        <v>10.3</v>
      </c>
      <c r="T3376" s="340" t="str">
        <f t="shared" si="154"/>
        <v>2012FemaleAllEth23Firearms and explosives</v>
      </c>
      <c r="U3376">
        <v>2012</v>
      </c>
      <c r="V3376" t="s">
        <v>8</v>
      </c>
      <c r="W3376" t="s">
        <v>27</v>
      </c>
      <c r="X3376">
        <v>23</v>
      </c>
      <c r="Y3376" t="s">
        <v>42</v>
      </c>
      <c r="Z3376">
        <v>1</v>
      </c>
      <c r="AA3376">
        <v>43</v>
      </c>
      <c r="AB3376">
        <v>2.2999999999999998</v>
      </c>
    </row>
    <row r="3377" spans="10:28">
      <c r="J3377" s="340" t="str">
        <f t="shared" si="153"/>
        <v>2012MaleMaori214</v>
      </c>
      <c r="K3377">
        <v>2012</v>
      </c>
      <c r="L3377" t="s">
        <v>20</v>
      </c>
      <c r="M3377" t="s">
        <v>18</v>
      </c>
      <c r="N3377">
        <v>21</v>
      </c>
      <c r="O3377">
        <v>4</v>
      </c>
      <c r="P3377">
        <v>2</v>
      </c>
      <c r="Q3377">
        <v>7.4660200364473601</v>
      </c>
      <c r="R3377">
        <v>10.3</v>
      </c>
      <c r="T3377" s="340" t="str">
        <f t="shared" si="154"/>
        <v>2012FemaleAllEth24Firearms and explosives</v>
      </c>
      <c r="U3377">
        <v>2012</v>
      </c>
      <c r="V3377" t="s">
        <v>8</v>
      </c>
      <c r="W3377" t="s">
        <v>27</v>
      </c>
      <c r="X3377">
        <v>24</v>
      </c>
      <c r="Y3377" t="s">
        <v>42</v>
      </c>
      <c r="Z3377">
        <v>1</v>
      </c>
      <c r="AA3377">
        <v>42</v>
      </c>
      <c r="AB3377">
        <v>2.4</v>
      </c>
    </row>
    <row r="3378" spans="10:28">
      <c r="J3378" s="340" t="str">
        <f t="shared" si="153"/>
        <v>2012MaleMaori215</v>
      </c>
      <c r="K3378">
        <v>2012</v>
      </c>
      <c r="L3378" t="s">
        <v>20</v>
      </c>
      <c r="M3378" t="s">
        <v>18</v>
      </c>
      <c r="N3378">
        <v>21</v>
      </c>
      <c r="O3378">
        <v>5</v>
      </c>
      <c r="P3378">
        <v>1</v>
      </c>
      <c r="Q3378">
        <v>2.0065689074390201</v>
      </c>
      <c r="R3378">
        <v>3.9</v>
      </c>
      <c r="T3378" s="340" t="str">
        <f t="shared" si="154"/>
        <v>2012FemaleAllEth21Hanging, strangulation and suffocation</v>
      </c>
      <c r="U3378">
        <v>2012</v>
      </c>
      <c r="V3378" t="s">
        <v>8</v>
      </c>
      <c r="W3378" t="s">
        <v>27</v>
      </c>
      <c r="X3378">
        <v>21</v>
      </c>
      <c r="Y3378" t="s">
        <v>43</v>
      </c>
      <c r="Z3378">
        <v>5</v>
      </c>
      <c r="AA3378">
        <v>5</v>
      </c>
      <c r="AB3378">
        <v>100</v>
      </c>
    </row>
    <row r="3379" spans="10:28">
      <c r="J3379" s="340" t="str">
        <f t="shared" si="153"/>
        <v>2012MaleMaori221</v>
      </c>
      <c r="K3379">
        <v>2012</v>
      </c>
      <c r="L3379" t="s">
        <v>20</v>
      </c>
      <c r="M3379" t="s">
        <v>18</v>
      </c>
      <c r="N3379">
        <v>22</v>
      </c>
      <c r="O3379">
        <v>1</v>
      </c>
      <c r="P3379">
        <v>0</v>
      </c>
      <c r="Q3379">
        <v>0</v>
      </c>
      <c r="T3379" s="340" t="str">
        <f t="shared" si="154"/>
        <v>2012FemaleAllEth22Hanging, strangulation and suffocation</v>
      </c>
      <c r="U3379">
        <v>2012</v>
      </c>
      <c r="V3379" t="s">
        <v>8</v>
      </c>
      <c r="W3379" t="s">
        <v>27</v>
      </c>
      <c r="X3379">
        <v>22</v>
      </c>
      <c r="Y3379" t="s">
        <v>43</v>
      </c>
      <c r="Z3379">
        <v>39</v>
      </c>
      <c r="AA3379">
        <v>41</v>
      </c>
      <c r="AB3379">
        <v>95.1</v>
      </c>
    </row>
    <row r="3380" spans="10:28">
      <c r="J3380" s="340" t="str">
        <f t="shared" si="153"/>
        <v>2012MaleMaori222</v>
      </c>
      <c r="K3380">
        <v>2012</v>
      </c>
      <c r="L3380" t="s">
        <v>20</v>
      </c>
      <c r="M3380" t="s">
        <v>18</v>
      </c>
      <c r="N3380">
        <v>22</v>
      </c>
      <c r="O3380">
        <v>2</v>
      </c>
      <c r="P3380">
        <v>2</v>
      </c>
      <c r="Q3380">
        <v>27.444737902983899</v>
      </c>
      <c r="R3380">
        <v>38</v>
      </c>
      <c r="T3380" s="340" t="str">
        <f t="shared" si="154"/>
        <v>2012FemaleAllEth23Hanging, strangulation and suffocation</v>
      </c>
      <c r="U3380">
        <v>2012</v>
      </c>
      <c r="V3380" t="s">
        <v>8</v>
      </c>
      <c r="W3380" t="s">
        <v>27</v>
      </c>
      <c r="X3380">
        <v>23</v>
      </c>
      <c r="Y3380" t="s">
        <v>43</v>
      </c>
      <c r="Z3380">
        <v>21</v>
      </c>
      <c r="AA3380">
        <v>43</v>
      </c>
      <c r="AB3380">
        <v>48.8</v>
      </c>
    </row>
    <row r="3381" spans="10:28">
      <c r="J3381" s="340" t="str">
        <f t="shared" si="153"/>
        <v>2012MaleMaori223</v>
      </c>
      <c r="K3381">
        <v>2012</v>
      </c>
      <c r="L3381" t="s">
        <v>20</v>
      </c>
      <c r="M3381" t="s">
        <v>18</v>
      </c>
      <c r="N3381">
        <v>22</v>
      </c>
      <c r="O3381">
        <v>3</v>
      </c>
      <c r="P3381">
        <v>8</v>
      </c>
      <c r="Q3381">
        <v>76.695234685093894</v>
      </c>
      <c r="R3381">
        <v>53.1</v>
      </c>
      <c r="T3381" s="340" t="str">
        <f t="shared" si="154"/>
        <v>2012FemaleAllEth24Hanging, strangulation and suffocation</v>
      </c>
      <c r="U3381">
        <v>2012</v>
      </c>
      <c r="V3381" t="s">
        <v>8</v>
      </c>
      <c r="W3381" t="s">
        <v>27</v>
      </c>
      <c r="X3381">
        <v>24</v>
      </c>
      <c r="Y3381" t="s">
        <v>43</v>
      </c>
      <c r="Z3381">
        <v>17</v>
      </c>
      <c r="AA3381">
        <v>42</v>
      </c>
      <c r="AB3381">
        <v>40.5</v>
      </c>
    </row>
    <row r="3382" spans="10:28">
      <c r="J3382" s="340" t="str">
        <f t="shared" si="153"/>
        <v>2012MaleMaori224</v>
      </c>
      <c r="K3382">
        <v>2012</v>
      </c>
      <c r="L3382" t="s">
        <v>20</v>
      </c>
      <c r="M3382" t="s">
        <v>18</v>
      </c>
      <c r="N3382">
        <v>22</v>
      </c>
      <c r="O3382">
        <v>4</v>
      </c>
      <c r="P3382">
        <v>10</v>
      </c>
      <c r="Q3382">
        <v>67.876471138304893</v>
      </c>
      <c r="R3382">
        <v>42.1</v>
      </c>
      <c r="T3382" s="340" t="str">
        <f t="shared" si="154"/>
        <v>2012FemaleAllEth25Hanging, strangulation and suffocation</v>
      </c>
      <c r="U3382">
        <v>2012</v>
      </c>
      <c r="V3382" t="s">
        <v>8</v>
      </c>
      <c r="W3382" t="s">
        <v>27</v>
      </c>
      <c r="X3382">
        <v>25</v>
      </c>
      <c r="Y3382" t="s">
        <v>43</v>
      </c>
      <c r="Z3382">
        <v>6</v>
      </c>
      <c r="AA3382">
        <v>14</v>
      </c>
      <c r="AB3382">
        <v>42.9</v>
      </c>
    </row>
    <row r="3383" spans="10:28">
      <c r="J3383" s="340" t="str">
        <f t="shared" si="153"/>
        <v>2012MaleMaori225</v>
      </c>
      <c r="K3383">
        <v>2012</v>
      </c>
      <c r="L3383" t="s">
        <v>20</v>
      </c>
      <c r="M3383" t="s">
        <v>18</v>
      </c>
      <c r="N3383">
        <v>22</v>
      </c>
      <c r="O3383">
        <v>5</v>
      </c>
      <c r="P3383">
        <v>16</v>
      </c>
      <c r="Q3383">
        <v>65.323618675979901</v>
      </c>
      <c r="R3383">
        <v>32</v>
      </c>
      <c r="T3383" s="340" t="str">
        <f t="shared" si="154"/>
        <v>2012FemaleAllEth22Jumping from a high place</v>
      </c>
      <c r="U3383">
        <v>2012</v>
      </c>
      <c r="V3383" t="s">
        <v>8</v>
      </c>
      <c r="W3383" t="s">
        <v>27</v>
      </c>
      <c r="X3383">
        <v>22</v>
      </c>
      <c r="Y3383" t="s">
        <v>44</v>
      </c>
      <c r="Z3383">
        <v>2</v>
      </c>
      <c r="AA3383">
        <v>41</v>
      </c>
      <c r="AB3383">
        <v>4.9000000000000004</v>
      </c>
    </row>
    <row r="3384" spans="10:28">
      <c r="J3384" s="340" t="str">
        <f t="shared" si="153"/>
        <v>2012MaleMaori231</v>
      </c>
      <c r="K3384">
        <v>2012</v>
      </c>
      <c r="L3384" t="s">
        <v>20</v>
      </c>
      <c r="M3384" t="s">
        <v>18</v>
      </c>
      <c r="N3384">
        <v>23</v>
      </c>
      <c r="O3384">
        <v>1</v>
      </c>
      <c r="P3384">
        <v>2</v>
      </c>
      <c r="Q3384">
        <v>27.295487424529799</v>
      </c>
      <c r="R3384">
        <v>37.799999999999997</v>
      </c>
      <c r="T3384" s="340" t="str">
        <f t="shared" si="154"/>
        <v>2012FemaleAllEth23Jumping from a high place</v>
      </c>
      <c r="U3384">
        <v>2012</v>
      </c>
      <c r="V3384" t="s">
        <v>8</v>
      </c>
      <c r="W3384" t="s">
        <v>27</v>
      </c>
      <c r="X3384">
        <v>23</v>
      </c>
      <c r="Y3384" t="s">
        <v>44</v>
      </c>
      <c r="Z3384">
        <v>2</v>
      </c>
      <c r="AA3384">
        <v>43</v>
      </c>
      <c r="AB3384">
        <v>4.7</v>
      </c>
    </row>
    <row r="3385" spans="10:28">
      <c r="J3385" s="340" t="str">
        <f t="shared" si="153"/>
        <v>2012MaleMaori232</v>
      </c>
      <c r="K3385">
        <v>2012</v>
      </c>
      <c r="L3385" t="s">
        <v>20</v>
      </c>
      <c r="M3385" t="s">
        <v>18</v>
      </c>
      <c r="N3385">
        <v>23</v>
      </c>
      <c r="O3385">
        <v>2</v>
      </c>
      <c r="P3385">
        <v>3</v>
      </c>
      <c r="Q3385">
        <v>30.227601507386002</v>
      </c>
      <c r="R3385">
        <v>34.200000000000003</v>
      </c>
      <c r="T3385" s="340" t="str">
        <f t="shared" si="154"/>
        <v>2012FemaleAllEth24Jumping from a high place</v>
      </c>
      <c r="U3385">
        <v>2012</v>
      </c>
      <c r="V3385" t="s">
        <v>8</v>
      </c>
      <c r="W3385" t="s">
        <v>27</v>
      </c>
      <c r="X3385">
        <v>24</v>
      </c>
      <c r="Y3385" t="s">
        <v>44</v>
      </c>
      <c r="Z3385">
        <v>2</v>
      </c>
      <c r="AA3385">
        <v>42</v>
      </c>
      <c r="AB3385">
        <v>4.8</v>
      </c>
    </row>
    <row r="3386" spans="10:28">
      <c r="J3386" s="340" t="str">
        <f t="shared" si="153"/>
        <v>2012MaleMaori233</v>
      </c>
      <c r="K3386">
        <v>2012</v>
      </c>
      <c r="L3386" t="s">
        <v>20</v>
      </c>
      <c r="M3386" t="s">
        <v>18</v>
      </c>
      <c r="N3386">
        <v>23</v>
      </c>
      <c r="O3386">
        <v>3</v>
      </c>
      <c r="P3386">
        <v>5</v>
      </c>
      <c r="Q3386">
        <v>36.267815773579002</v>
      </c>
      <c r="R3386">
        <v>31.8</v>
      </c>
      <c r="T3386" s="340" t="str">
        <f t="shared" si="154"/>
        <v>2012FemaleAllEth25Jumping from a high place</v>
      </c>
      <c r="U3386">
        <v>2012</v>
      </c>
      <c r="V3386" t="s">
        <v>8</v>
      </c>
      <c r="W3386" t="s">
        <v>27</v>
      </c>
      <c r="X3386">
        <v>25</v>
      </c>
      <c r="Y3386" t="s">
        <v>44</v>
      </c>
      <c r="Z3386">
        <v>1</v>
      </c>
      <c r="AA3386">
        <v>14</v>
      </c>
      <c r="AB3386">
        <v>7.1</v>
      </c>
    </row>
    <row r="3387" spans="10:28">
      <c r="J3387" s="340" t="str">
        <f t="shared" si="153"/>
        <v>2012MaleMaori234</v>
      </c>
      <c r="K3387">
        <v>2012</v>
      </c>
      <c r="L3387" t="s">
        <v>20</v>
      </c>
      <c r="M3387" t="s">
        <v>18</v>
      </c>
      <c r="N3387">
        <v>23</v>
      </c>
      <c r="O3387">
        <v>4</v>
      </c>
      <c r="P3387">
        <v>8</v>
      </c>
      <c r="Q3387">
        <v>42.8328696517409</v>
      </c>
      <c r="R3387">
        <v>29.7</v>
      </c>
      <c r="T3387" s="340" t="str">
        <f t="shared" si="154"/>
        <v>2012FemaleAllEth23Other</v>
      </c>
      <c r="U3387">
        <v>2012</v>
      </c>
      <c r="V3387" t="s">
        <v>8</v>
      </c>
      <c r="W3387" t="s">
        <v>27</v>
      </c>
      <c r="X3387">
        <v>23</v>
      </c>
      <c r="Y3387" t="s">
        <v>45</v>
      </c>
      <c r="Z3387">
        <v>2</v>
      </c>
      <c r="AA3387">
        <v>43</v>
      </c>
      <c r="AB3387">
        <v>4.7</v>
      </c>
    </row>
    <row r="3388" spans="10:28">
      <c r="J3388" s="340" t="str">
        <f t="shared" si="153"/>
        <v>2012MaleMaori235</v>
      </c>
      <c r="K3388">
        <v>2012</v>
      </c>
      <c r="L3388" t="s">
        <v>20</v>
      </c>
      <c r="M3388" t="s">
        <v>18</v>
      </c>
      <c r="N3388">
        <v>23</v>
      </c>
      <c r="O3388">
        <v>5</v>
      </c>
      <c r="P3388">
        <v>11</v>
      </c>
      <c r="Q3388">
        <v>39.4421997700777</v>
      </c>
      <c r="R3388">
        <v>23.3</v>
      </c>
      <c r="T3388" s="340" t="str">
        <f t="shared" si="154"/>
        <v>2012FemaleAllEth24Other</v>
      </c>
      <c r="U3388">
        <v>2012</v>
      </c>
      <c r="V3388" t="s">
        <v>8</v>
      </c>
      <c r="W3388" t="s">
        <v>27</v>
      </c>
      <c r="X3388">
        <v>24</v>
      </c>
      <c r="Y3388" t="s">
        <v>45</v>
      </c>
      <c r="Z3388">
        <v>3</v>
      </c>
      <c r="AA3388">
        <v>42</v>
      </c>
      <c r="AB3388">
        <v>7.1</v>
      </c>
    </row>
    <row r="3389" spans="10:28">
      <c r="J3389" s="340" t="str">
        <f t="shared" si="153"/>
        <v>2012MaleMaori241</v>
      </c>
      <c r="K3389">
        <v>2012</v>
      </c>
      <c r="L3389" t="s">
        <v>20</v>
      </c>
      <c r="M3389" t="s">
        <v>18</v>
      </c>
      <c r="N3389">
        <v>24</v>
      </c>
      <c r="O3389">
        <v>1</v>
      </c>
      <c r="P3389">
        <v>0</v>
      </c>
      <c r="Q3389">
        <v>0</v>
      </c>
      <c r="T3389" s="340" t="str">
        <f t="shared" si="154"/>
        <v>2012FemaleAllEth23Poisoning by gases and vapours</v>
      </c>
      <c r="U3389">
        <v>2012</v>
      </c>
      <c r="V3389" t="s">
        <v>8</v>
      </c>
      <c r="W3389" t="s">
        <v>27</v>
      </c>
      <c r="X3389">
        <v>23</v>
      </c>
      <c r="Y3389" t="s">
        <v>46</v>
      </c>
      <c r="Z3389">
        <v>3</v>
      </c>
      <c r="AA3389">
        <v>43</v>
      </c>
      <c r="AB3389">
        <v>7</v>
      </c>
    </row>
    <row r="3390" spans="10:28">
      <c r="J3390" s="340" t="str">
        <f t="shared" si="153"/>
        <v>2012MaleMaori242</v>
      </c>
      <c r="K3390">
        <v>2012</v>
      </c>
      <c r="L3390" t="s">
        <v>20</v>
      </c>
      <c r="M3390" t="s">
        <v>18</v>
      </c>
      <c r="N3390">
        <v>24</v>
      </c>
      <c r="O3390">
        <v>2</v>
      </c>
      <c r="P3390">
        <v>1</v>
      </c>
      <c r="Q3390">
        <v>13.307566882341099</v>
      </c>
      <c r="R3390">
        <v>26.1</v>
      </c>
      <c r="T3390" s="340" t="str">
        <f t="shared" si="154"/>
        <v>2012FemaleAllEth24Poisoning by gases and vapours</v>
      </c>
      <c r="U3390">
        <v>2012</v>
      </c>
      <c r="V3390" t="s">
        <v>8</v>
      </c>
      <c r="W3390" t="s">
        <v>27</v>
      </c>
      <c r="X3390">
        <v>24</v>
      </c>
      <c r="Y3390" t="s">
        <v>46</v>
      </c>
      <c r="Z3390">
        <v>2</v>
      </c>
      <c r="AA3390">
        <v>42</v>
      </c>
      <c r="AB3390">
        <v>4.8</v>
      </c>
    </row>
    <row r="3391" spans="10:28">
      <c r="J3391" s="340" t="str">
        <f t="shared" si="153"/>
        <v>2012MaleMaori243</v>
      </c>
      <c r="K3391">
        <v>2012</v>
      </c>
      <c r="L3391" t="s">
        <v>20</v>
      </c>
      <c r="M3391" t="s">
        <v>18</v>
      </c>
      <c r="N3391">
        <v>24</v>
      </c>
      <c r="O3391">
        <v>3</v>
      </c>
      <c r="P3391">
        <v>1</v>
      </c>
      <c r="Q3391">
        <v>10.327050509440999</v>
      </c>
      <c r="R3391">
        <v>20.2</v>
      </c>
      <c r="T3391" s="340" t="str">
        <f t="shared" si="154"/>
        <v>2012FemaleAllEth25Poisoning by gases and vapours</v>
      </c>
      <c r="U3391">
        <v>2012</v>
      </c>
      <c r="V3391" t="s">
        <v>8</v>
      </c>
      <c r="W3391" t="s">
        <v>27</v>
      </c>
      <c r="X3391">
        <v>25</v>
      </c>
      <c r="Y3391" t="s">
        <v>46</v>
      </c>
      <c r="Z3391">
        <v>1</v>
      </c>
      <c r="AA3391">
        <v>14</v>
      </c>
      <c r="AB3391">
        <v>7.1</v>
      </c>
    </row>
    <row r="3392" spans="10:28">
      <c r="J3392" s="340" t="str">
        <f t="shared" si="153"/>
        <v>2012MaleMaori244</v>
      </c>
      <c r="K3392">
        <v>2012</v>
      </c>
      <c r="L3392" t="s">
        <v>20</v>
      </c>
      <c r="M3392" t="s">
        <v>18</v>
      </c>
      <c r="N3392">
        <v>24</v>
      </c>
      <c r="O3392">
        <v>4</v>
      </c>
      <c r="P3392">
        <v>2</v>
      </c>
      <c r="Q3392">
        <v>15.189644441537499</v>
      </c>
      <c r="R3392">
        <v>21.1</v>
      </c>
      <c r="T3392" s="340" t="str">
        <f t="shared" si="154"/>
        <v>2012FemaleAllEth23Poisoning by solids and liquids</v>
      </c>
      <c r="U3392">
        <v>2012</v>
      </c>
      <c r="V3392" t="s">
        <v>8</v>
      </c>
      <c r="W3392" t="s">
        <v>27</v>
      </c>
      <c r="X3392">
        <v>23</v>
      </c>
      <c r="Y3392" t="s">
        <v>47</v>
      </c>
      <c r="Z3392">
        <v>13</v>
      </c>
      <c r="AA3392">
        <v>43</v>
      </c>
      <c r="AB3392">
        <v>30.2</v>
      </c>
    </row>
    <row r="3393" spans="10:28">
      <c r="J3393" s="340" t="str">
        <f t="shared" si="153"/>
        <v>2012MaleMaori245</v>
      </c>
      <c r="K3393">
        <v>2012</v>
      </c>
      <c r="L3393" t="s">
        <v>20</v>
      </c>
      <c r="M3393" t="s">
        <v>18</v>
      </c>
      <c r="N3393">
        <v>24</v>
      </c>
      <c r="O3393">
        <v>5</v>
      </c>
      <c r="P3393">
        <v>5</v>
      </c>
      <c r="Q3393">
        <v>22.872852467104401</v>
      </c>
      <c r="R3393">
        <v>20</v>
      </c>
      <c r="T3393" s="340" t="str">
        <f t="shared" si="154"/>
        <v>2012FemaleAllEth24Poisoning by solids and liquids</v>
      </c>
      <c r="U3393">
        <v>2012</v>
      </c>
      <c r="V3393" t="s">
        <v>8</v>
      </c>
      <c r="W3393" t="s">
        <v>27</v>
      </c>
      <c r="X3393">
        <v>24</v>
      </c>
      <c r="Y3393" t="s">
        <v>47</v>
      </c>
      <c r="Z3393">
        <v>17</v>
      </c>
      <c r="AA3393">
        <v>42</v>
      </c>
      <c r="AB3393">
        <v>40.5</v>
      </c>
    </row>
    <row r="3394" spans="10:28">
      <c r="J3394" s="340" t="str">
        <f t="shared" si="153"/>
        <v>2012MaleMaori251</v>
      </c>
      <c r="K3394">
        <v>2012</v>
      </c>
      <c r="L3394" t="s">
        <v>20</v>
      </c>
      <c r="M3394" t="s">
        <v>18</v>
      </c>
      <c r="N3394">
        <v>25</v>
      </c>
      <c r="O3394">
        <v>1</v>
      </c>
      <c r="P3394">
        <v>0</v>
      </c>
      <c r="Q3394">
        <v>0</v>
      </c>
      <c r="T3394" s="340" t="str">
        <f t="shared" si="154"/>
        <v>2012FemaleAllEth25Poisoning by solids and liquids</v>
      </c>
      <c r="U3394">
        <v>2012</v>
      </c>
      <c r="V3394" t="s">
        <v>8</v>
      </c>
      <c r="W3394" t="s">
        <v>27</v>
      </c>
      <c r="X3394">
        <v>25</v>
      </c>
      <c r="Y3394" t="s">
        <v>47</v>
      </c>
      <c r="Z3394">
        <v>5</v>
      </c>
      <c r="AA3394">
        <v>14</v>
      </c>
      <c r="AB3394">
        <v>35.700000000000003</v>
      </c>
    </row>
    <row r="3395" spans="10:28">
      <c r="J3395" s="340" t="str">
        <f t="shared" si="153"/>
        <v>2012MaleMaori252</v>
      </c>
      <c r="K3395">
        <v>2012</v>
      </c>
      <c r="L3395" t="s">
        <v>20</v>
      </c>
      <c r="M3395" t="s">
        <v>18</v>
      </c>
      <c r="N3395">
        <v>25</v>
      </c>
      <c r="O3395">
        <v>2</v>
      </c>
      <c r="P3395">
        <v>1</v>
      </c>
      <c r="Q3395">
        <v>56.115588826194802</v>
      </c>
      <c r="R3395">
        <v>110</v>
      </c>
      <c r="T3395" s="340" t="str">
        <f t="shared" si="154"/>
        <v>2012FemaleAllEth23Submersion (drowning)</v>
      </c>
      <c r="U3395">
        <v>2012</v>
      </c>
      <c r="V3395" t="s">
        <v>8</v>
      </c>
      <c r="W3395" t="s">
        <v>27</v>
      </c>
      <c r="X3395">
        <v>23</v>
      </c>
      <c r="Y3395" t="s">
        <v>49</v>
      </c>
      <c r="Z3395">
        <v>1</v>
      </c>
      <c r="AA3395">
        <v>43</v>
      </c>
      <c r="AB3395">
        <v>2.2999999999999998</v>
      </c>
    </row>
    <row r="3396" spans="10:28">
      <c r="J3396" s="340" t="str">
        <f t="shared" ref="J3396:J3459" si="155">K3396&amp;L3396&amp;M3396&amp;N3396&amp;O3396</f>
        <v>2012MaleMaori253</v>
      </c>
      <c r="K3396">
        <v>2012</v>
      </c>
      <c r="L3396" t="s">
        <v>20</v>
      </c>
      <c r="M3396" t="s">
        <v>18</v>
      </c>
      <c r="N3396">
        <v>25</v>
      </c>
      <c r="O3396">
        <v>3</v>
      </c>
      <c r="P3396">
        <v>0</v>
      </c>
      <c r="Q3396">
        <v>0</v>
      </c>
      <c r="T3396" s="340" t="str">
        <f t="shared" si="154"/>
        <v>2012FemaleAllEth25Submersion (drowning)</v>
      </c>
      <c r="U3396">
        <v>2012</v>
      </c>
      <c r="V3396" t="s">
        <v>8</v>
      </c>
      <c r="W3396" t="s">
        <v>27</v>
      </c>
      <c r="X3396">
        <v>25</v>
      </c>
      <c r="Y3396" t="s">
        <v>49</v>
      </c>
      <c r="Z3396">
        <v>1</v>
      </c>
      <c r="AA3396">
        <v>14</v>
      </c>
      <c r="AB3396">
        <v>7.1</v>
      </c>
    </row>
    <row r="3397" spans="10:28">
      <c r="J3397" s="340" t="str">
        <f t="shared" si="155"/>
        <v>2012MaleMaori254</v>
      </c>
      <c r="K3397">
        <v>2012</v>
      </c>
      <c r="L3397" t="s">
        <v>20</v>
      </c>
      <c r="M3397" t="s">
        <v>18</v>
      </c>
      <c r="N3397">
        <v>25</v>
      </c>
      <c r="O3397">
        <v>4</v>
      </c>
      <c r="P3397">
        <v>0</v>
      </c>
      <c r="Q3397">
        <v>0</v>
      </c>
      <c r="T3397" s="340" t="str">
        <f t="shared" ref="T3397:T3460" si="156">U3397&amp;V3397&amp;W3397&amp;X3397&amp;Y3397</f>
        <v>2012FemaleMaori21Hanging, strangulation and suffocation</v>
      </c>
      <c r="U3397">
        <v>2012</v>
      </c>
      <c r="V3397" t="s">
        <v>8</v>
      </c>
      <c r="W3397" t="s">
        <v>18</v>
      </c>
      <c r="X3397">
        <v>21</v>
      </c>
      <c r="Y3397" t="s">
        <v>43</v>
      </c>
      <c r="Z3397">
        <v>3</v>
      </c>
      <c r="AA3397">
        <v>3</v>
      </c>
      <c r="AB3397">
        <v>100</v>
      </c>
    </row>
    <row r="3398" spans="10:28">
      <c r="J3398" s="340" t="str">
        <f t="shared" si="155"/>
        <v>2012MaleMaori255</v>
      </c>
      <c r="K3398">
        <v>2012</v>
      </c>
      <c r="L3398" t="s">
        <v>20</v>
      </c>
      <c r="M3398" t="s">
        <v>18</v>
      </c>
      <c r="N3398">
        <v>25</v>
      </c>
      <c r="O3398">
        <v>5</v>
      </c>
      <c r="P3398">
        <v>0</v>
      </c>
      <c r="Q3398">
        <v>0</v>
      </c>
      <c r="T3398" s="340" t="str">
        <f t="shared" si="156"/>
        <v>2012FemaleMaori22Hanging, strangulation and suffocation</v>
      </c>
      <c r="U3398">
        <v>2012</v>
      </c>
      <c r="V3398" t="s">
        <v>8</v>
      </c>
      <c r="W3398" t="s">
        <v>18</v>
      </c>
      <c r="X3398">
        <v>22</v>
      </c>
      <c r="Y3398" t="s">
        <v>43</v>
      </c>
      <c r="Z3398">
        <v>23</v>
      </c>
      <c r="AA3398">
        <v>24</v>
      </c>
      <c r="AB3398">
        <v>95.8</v>
      </c>
    </row>
    <row r="3399" spans="10:28">
      <c r="J3399" s="340" t="str">
        <f t="shared" si="155"/>
        <v>2012MaleNon-Maori211</v>
      </c>
      <c r="K3399">
        <v>2012</v>
      </c>
      <c r="L3399" t="s">
        <v>20</v>
      </c>
      <c r="M3399" t="s">
        <v>19</v>
      </c>
      <c r="N3399">
        <v>21</v>
      </c>
      <c r="O3399">
        <v>1</v>
      </c>
      <c r="P3399">
        <v>0</v>
      </c>
      <c r="Q3399">
        <v>0</v>
      </c>
      <c r="T3399" s="340" t="str">
        <f t="shared" si="156"/>
        <v>2012FemaleMaori23Hanging, strangulation and suffocation</v>
      </c>
      <c r="U3399">
        <v>2012</v>
      </c>
      <c r="V3399" t="s">
        <v>8</v>
      </c>
      <c r="W3399" t="s">
        <v>18</v>
      </c>
      <c r="X3399">
        <v>23</v>
      </c>
      <c r="Y3399" t="s">
        <v>43</v>
      </c>
      <c r="Z3399">
        <v>8</v>
      </c>
      <c r="AA3399">
        <v>9</v>
      </c>
      <c r="AB3399">
        <v>88.9</v>
      </c>
    </row>
    <row r="3400" spans="10:28">
      <c r="J3400" s="340" t="str">
        <f t="shared" si="155"/>
        <v>2012MaleNon-Maori212</v>
      </c>
      <c r="K3400">
        <v>2012</v>
      </c>
      <c r="L3400" t="s">
        <v>20</v>
      </c>
      <c r="M3400" t="s">
        <v>19</v>
      </c>
      <c r="N3400">
        <v>21</v>
      </c>
      <c r="O3400">
        <v>2</v>
      </c>
      <c r="P3400">
        <v>2</v>
      </c>
      <c r="Q3400">
        <v>2.6734271261033902</v>
      </c>
      <c r="R3400">
        <v>3.7</v>
      </c>
      <c r="T3400" s="340" t="str">
        <f t="shared" si="156"/>
        <v>2012FemaleMaori24Hanging, strangulation and suffocation</v>
      </c>
      <c r="U3400">
        <v>2012</v>
      </c>
      <c r="V3400" t="s">
        <v>8</v>
      </c>
      <c r="W3400" t="s">
        <v>18</v>
      </c>
      <c r="X3400">
        <v>24</v>
      </c>
      <c r="Y3400" t="s">
        <v>43</v>
      </c>
      <c r="Z3400">
        <v>1</v>
      </c>
      <c r="AA3400">
        <v>1</v>
      </c>
      <c r="AB3400">
        <v>100</v>
      </c>
    </row>
    <row r="3401" spans="10:28">
      <c r="J3401" s="340" t="str">
        <f t="shared" si="155"/>
        <v>2012MaleNon-Maori213</v>
      </c>
      <c r="K3401">
        <v>2012</v>
      </c>
      <c r="L3401" t="s">
        <v>20</v>
      </c>
      <c r="M3401" t="s">
        <v>19</v>
      </c>
      <c r="N3401">
        <v>21</v>
      </c>
      <c r="O3401">
        <v>3</v>
      </c>
      <c r="P3401">
        <v>0</v>
      </c>
      <c r="Q3401">
        <v>0</v>
      </c>
      <c r="T3401" s="340" t="str">
        <f t="shared" si="156"/>
        <v>2012FemaleMaori22Jumping from a high place</v>
      </c>
      <c r="U3401">
        <v>2012</v>
      </c>
      <c r="V3401" t="s">
        <v>8</v>
      </c>
      <c r="W3401" t="s">
        <v>18</v>
      </c>
      <c r="X3401">
        <v>22</v>
      </c>
      <c r="Y3401" t="s">
        <v>44</v>
      </c>
      <c r="Z3401">
        <v>1</v>
      </c>
      <c r="AA3401">
        <v>24</v>
      </c>
      <c r="AB3401">
        <v>4.2</v>
      </c>
    </row>
    <row r="3402" spans="10:28">
      <c r="J3402" s="340" t="str">
        <f t="shared" si="155"/>
        <v>2012MaleNon-Maori214</v>
      </c>
      <c r="K3402">
        <v>2012</v>
      </c>
      <c r="L3402" t="s">
        <v>20</v>
      </c>
      <c r="M3402" t="s">
        <v>19</v>
      </c>
      <c r="N3402">
        <v>21</v>
      </c>
      <c r="O3402">
        <v>4</v>
      </c>
      <c r="P3402">
        <v>0</v>
      </c>
      <c r="Q3402">
        <v>0</v>
      </c>
      <c r="T3402" s="340" t="str">
        <f t="shared" si="156"/>
        <v>2012FemaleMaori23Poisoning by solids and liquids</v>
      </c>
      <c r="U3402">
        <v>2012</v>
      </c>
      <c r="V3402" t="s">
        <v>8</v>
      </c>
      <c r="W3402" t="s">
        <v>18</v>
      </c>
      <c r="X3402">
        <v>23</v>
      </c>
      <c r="Y3402" t="s">
        <v>47</v>
      </c>
      <c r="Z3402">
        <v>1</v>
      </c>
      <c r="AA3402">
        <v>9</v>
      </c>
      <c r="AB3402">
        <v>11.1</v>
      </c>
    </row>
    <row r="3403" spans="10:28">
      <c r="J3403" s="340" t="str">
        <f t="shared" si="155"/>
        <v>2012MaleNon-Maori215</v>
      </c>
      <c r="K3403">
        <v>2012</v>
      </c>
      <c r="L3403" t="s">
        <v>20</v>
      </c>
      <c r="M3403" t="s">
        <v>19</v>
      </c>
      <c r="N3403">
        <v>21</v>
      </c>
      <c r="O3403">
        <v>5</v>
      </c>
      <c r="P3403">
        <v>0</v>
      </c>
      <c r="Q3403">
        <v>0</v>
      </c>
      <c r="T3403" s="340" t="str">
        <f t="shared" si="156"/>
        <v>2012FemaleNon-Maori23Firearms and explosives</v>
      </c>
      <c r="U3403">
        <v>2012</v>
      </c>
      <c r="V3403" t="s">
        <v>8</v>
      </c>
      <c r="W3403" t="s">
        <v>19</v>
      </c>
      <c r="X3403">
        <v>23</v>
      </c>
      <c r="Y3403" t="s">
        <v>42</v>
      </c>
      <c r="Z3403">
        <v>1</v>
      </c>
      <c r="AA3403">
        <v>34</v>
      </c>
      <c r="AB3403">
        <v>2.9</v>
      </c>
    </row>
    <row r="3404" spans="10:28">
      <c r="J3404" s="340" t="str">
        <f t="shared" si="155"/>
        <v>2012MaleNon-Maori221</v>
      </c>
      <c r="K3404">
        <v>2012</v>
      </c>
      <c r="L3404" t="s">
        <v>20</v>
      </c>
      <c r="M3404" t="s">
        <v>19</v>
      </c>
      <c r="N3404">
        <v>22</v>
      </c>
      <c r="O3404">
        <v>1</v>
      </c>
      <c r="P3404">
        <v>11</v>
      </c>
      <c r="Q3404">
        <v>21.262361303593501</v>
      </c>
      <c r="R3404">
        <v>12.6</v>
      </c>
      <c r="T3404" s="340" t="str">
        <f t="shared" si="156"/>
        <v>2012FemaleNon-Maori24Firearms and explosives</v>
      </c>
      <c r="U3404">
        <v>2012</v>
      </c>
      <c r="V3404" t="s">
        <v>8</v>
      </c>
      <c r="W3404" t="s">
        <v>19</v>
      </c>
      <c r="X3404">
        <v>24</v>
      </c>
      <c r="Y3404" t="s">
        <v>42</v>
      </c>
      <c r="Z3404">
        <v>1</v>
      </c>
      <c r="AA3404">
        <v>41</v>
      </c>
      <c r="AB3404">
        <v>2.4</v>
      </c>
    </row>
    <row r="3405" spans="10:28">
      <c r="J3405" s="340" t="str">
        <f t="shared" si="155"/>
        <v>2012MaleNon-Maori222</v>
      </c>
      <c r="K3405">
        <v>2012</v>
      </c>
      <c r="L3405" t="s">
        <v>20</v>
      </c>
      <c r="M3405" t="s">
        <v>19</v>
      </c>
      <c r="N3405">
        <v>22</v>
      </c>
      <c r="O3405">
        <v>2</v>
      </c>
      <c r="P3405">
        <v>8</v>
      </c>
      <c r="Q3405">
        <v>15.8907126632083</v>
      </c>
      <c r="R3405">
        <v>11</v>
      </c>
      <c r="T3405" s="340" t="str">
        <f t="shared" si="156"/>
        <v>2012FemaleNon-Maori21Hanging, strangulation and suffocation</v>
      </c>
      <c r="U3405">
        <v>2012</v>
      </c>
      <c r="V3405" t="s">
        <v>8</v>
      </c>
      <c r="W3405" t="s">
        <v>19</v>
      </c>
      <c r="X3405">
        <v>21</v>
      </c>
      <c r="Y3405" t="s">
        <v>43</v>
      </c>
      <c r="Z3405">
        <v>2</v>
      </c>
      <c r="AA3405">
        <v>2</v>
      </c>
      <c r="AB3405">
        <v>100</v>
      </c>
    </row>
    <row r="3406" spans="10:28">
      <c r="J3406" s="340" t="str">
        <f t="shared" si="155"/>
        <v>2012MaleNon-Maori223</v>
      </c>
      <c r="K3406">
        <v>2012</v>
      </c>
      <c r="L3406" t="s">
        <v>20</v>
      </c>
      <c r="M3406" t="s">
        <v>19</v>
      </c>
      <c r="N3406">
        <v>22</v>
      </c>
      <c r="O3406">
        <v>3</v>
      </c>
      <c r="P3406">
        <v>17</v>
      </c>
      <c r="Q3406">
        <v>33.875259517500503</v>
      </c>
      <c r="R3406">
        <v>16.100000000000001</v>
      </c>
      <c r="T3406" s="340" t="str">
        <f t="shared" si="156"/>
        <v>2012FemaleNon-Maori22Hanging, strangulation and suffocation</v>
      </c>
      <c r="U3406">
        <v>2012</v>
      </c>
      <c r="V3406" t="s">
        <v>8</v>
      </c>
      <c r="W3406" t="s">
        <v>19</v>
      </c>
      <c r="X3406">
        <v>22</v>
      </c>
      <c r="Y3406" t="s">
        <v>43</v>
      </c>
      <c r="Z3406">
        <v>16</v>
      </c>
      <c r="AA3406">
        <v>17</v>
      </c>
      <c r="AB3406">
        <v>94.1</v>
      </c>
    </row>
    <row r="3407" spans="10:28">
      <c r="J3407" s="340" t="str">
        <f t="shared" si="155"/>
        <v>2012MaleNon-Maori224</v>
      </c>
      <c r="K3407">
        <v>2012</v>
      </c>
      <c r="L3407" t="s">
        <v>20</v>
      </c>
      <c r="M3407" t="s">
        <v>19</v>
      </c>
      <c r="N3407">
        <v>22</v>
      </c>
      <c r="O3407">
        <v>4</v>
      </c>
      <c r="P3407">
        <v>18</v>
      </c>
      <c r="Q3407">
        <v>34.682004783192099</v>
      </c>
      <c r="R3407">
        <v>16</v>
      </c>
      <c r="T3407" s="340" t="str">
        <f t="shared" si="156"/>
        <v>2012FemaleNon-Maori23Hanging, strangulation and suffocation</v>
      </c>
      <c r="U3407">
        <v>2012</v>
      </c>
      <c r="V3407" t="s">
        <v>8</v>
      </c>
      <c r="W3407" t="s">
        <v>19</v>
      </c>
      <c r="X3407">
        <v>23</v>
      </c>
      <c r="Y3407" t="s">
        <v>43</v>
      </c>
      <c r="Z3407">
        <v>13</v>
      </c>
      <c r="AA3407">
        <v>34</v>
      </c>
      <c r="AB3407">
        <v>38.200000000000003</v>
      </c>
    </row>
    <row r="3408" spans="10:28">
      <c r="J3408" s="340" t="str">
        <f t="shared" si="155"/>
        <v>2012MaleNon-Maori225</v>
      </c>
      <c r="K3408">
        <v>2012</v>
      </c>
      <c r="L3408" t="s">
        <v>20</v>
      </c>
      <c r="M3408" t="s">
        <v>19</v>
      </c>
      <c r="N3408">
        <v>22</v>
      </c>
      <c r="O3408">
        <v>5</v>
      </c>
      <c r="P3408">
        <v>14</v>
      </c>
      <c r="Q3408">
        <v>28.224266276776302</v>
      </c>
      <c r="R3408">
        <v>14.8</v>
      </c>
      <c r="T3408" s="340" t="str">
        <f t="shared" si="156"/>
        <v>2012FemaleNon-Maori24Hanging, strangulation and suffocation</v>
      </c>
      <c r="U3408">
        <v>2012</v>
      </c>
      <c r="V3408" t="s">
        <v>8</v>
      </c>
      <c r="W3408" t="s">
        <v>19</v>
      </c>
      <c r="X3408">
        <v>24</v>
      </c>
      <c r="Y3408" t="s">
        <v>43</v>
      </c>
      <c r="Z3408">
        <v>16</v>
      </c>
      <c r="AA3408">
        <v>41</v>
      </c>
      <c r="AB3408">
        <v>39</v>
      </c>
    </row>
    <row r="3409" spans="10:28">
      <c r="J3409" s="340" t="str">
        <f t="shared" si="155"/>
        <v>2012MaleNon-Maori231</v>
      </c>
      <c r="K3409">
        <v>2012</v>
      </c>
      <c r="L3409" t="s">
        <v>20</v>
      </c>
      <c r="M3409" t="s">
        <v>19</v>
      </c>
      <c r="N3409">
        <v>23</v>
      </c>
      <c r="O3409">
        <v>1</v>
      </c>
      <c r="P3409">
        <v>13</v>
      </c>
      <c r="Q3409">
        <v>13.5616028056735</v>
      </c>
      <c r="R3409">
        <v>7.4</v>
      </c>
      <c r="T3409" s="340" t="str">
        <f t="shared" si="156"/>
        <v>2012FemaleNon-Maori25Hanging, strangulation and suffocation</v>
      </c>
      <c r="U3409">
        <v>2012</v>
      </c>
      <c r="V3409" t="s">
        <v>8</v>
      </c>
      <c r="W3409" t="s">
        <v>19</v>
      </c>
      <c r="X3409">
        <v>25</v>
      </c>
      <c r="Y3409" t="s">
        <v>43</v>
      </c>
      <c r="Z3409">
        <v>6</v>
      </c>
      <c r="AA3409">
        <v>14</v>
      </c>
      <c r="AB3409">
        <v>42.9</v>
      </c>
    </row>
    <row r="3410" spans="10:28">
      <c r="J3410" s="340" t="str">
        <f t="shared" si="155"/>
        <v>2012MaleNon-Maori232</v>
      </c>
      <c r="K3410">
        <v>2012</v>
      </c>
      <c r="L3410" t="s">
        <v>20</v>
      </c>
      <c r="M3410" t="s">
        <v>19</v>
      </c>
      <c r="N3410">
        <v>23</v>
      </c>
      <c r="O3410">
        <v>2</v>
      </c>
      <c r="P3410">
        <v>19</v>
      </c>
      <c r="Q3410">
        <v>18.571820700857199</v>
      </c>
      <c r="R3410">
        <v>8.4</v>
      </c>
      <c r="T3410" s="340" t="str">
        <f t="shared" si="156"/>
        <v>2012FemaleNon-Maori22Jumping from a high place</v>
      </c>
      <c r="U3410">
        <v>2012</v>
      </c>
      <c r="V3410" t="s">
        <v>8</v>
      </c>
      <c r="W3410" t="s">
        <v>19</v>
      </c>
      <c r="X3410">
        <v>22</v>
      </c>
      <c r="Y3410" t="s">
        <v>44</v>
      </c>
      <c r="Z3410">
        <v>1</v>
      </c>
      <c r="AA3410">
        <v>17</v>
      </c>
      <c r="AB3410">
        <v>5.9</v>
      </c>
    </row>
    <row r="3411" spans="10:28">
      <c r="J3411" s="340" t="str">
        <f t="shared" si="155"/>
        <v>2012MaleNon-Maori233</v>
      </c>
      <c r="K3411">
        <v>2012</v>
      </c>
      <c r="L3411" t="s">
        <v>20</v>
      </c>
      <c r="M3411" t="s">
        <v>19</v>
      </c>
      <c r="N3411">
        <v>23</v>
      </c>
      <c r="O3411">
        <v>3</v>
      </c>
      <c r="P3411">
        <v>26</v>
      </c>
      <c r="Q3411">
        <v>25.555174343299399</v>
      </c>
      <c r="R3411">
        <v>9.8000000000000007</v>
      </c>
      <c r="T3411" s="340" t="str">
        <f t="shared" si="156"/>
        <v>2012FemaleNon-Maori23Jumping from a high place</v>
      </c>
      <c r="U3411">
        <v>2012</v>
      </c>
      <c r="V3411" t="s">
        <v>8</v>
      </c>
      <c r="W3411" t="s">
        <v>19</v>
      </c>
      <c r="X3411">
        <v>23</v>
      </c>
      <c r="Y3411" t="s">
        <v>44</v>
      </c>
      <c r="Z3411">
        <v>2</v>
      </c>
      <c r="AA3411">
        <v>34</v>
      </c>
      <c r="AB3411">
        <v>5.9</v>
      </c>
    </row>
    <row r="3412" spans="10:28">
      <c r="J3412" s="340" t="str">
        <f t="shared" si="155"/>
        <v>2012MaleNon-Maori234</v>
      </c>
      <c r="K3412">
        <v>2012</v>
      </c>
      <c r="L3412" t="s">
        <v>20</v>
      </c>
      <c r="M3412" t="s">
        <v>19</v>
      </c>
      <c r="N3412">
        <v>23</v>
      </c>
      <c r="O3412">
        <v>4</v>
      </c>
      <c r="P3412">
        <v>26</v>
      </c>
      <c r="Q3412">
        <v>27.502814325444799</v>
      </c>
      <c r="R3412">
        <v>10.6</v>
      </c>
      <c r="T3412" s="340" t="str">
        <f t="shared" si="156"/>
        <v>2012FemaleNon-Maori24Jumping from a high place</v>
      </c>
      <c r="U3412">
        <v>2012</v>
      </c>
      <c r="V3412" t="s">
        <v>8</v>
      </c>
      <c r="W3412" t="s">
        <v>19</v>
      </c>
      <c r="X3412">
        <v>24</v>
      </c>
      <c r="Y3412" t="s">
        <v>44</v>
      </c>
      <c r="Z3412">
        <v>2</v>
      </c>
      <c r="AA3412">
        <v>41</v>
      </c>
      <c r="AB3412">
        <v>4.9000000000000004</v>
      </c>
    </row>
    <row r="3413" spans="10:28">
      <c r="J3413" s="340" t="str">
        <f t="shared" si="155"/>
        <v>2012MaleNon-Maori235</v>
      </c>
      <c r="K3413">
        <v>2012</v>
      </c>
      <c r="L3413" t="s">
        <v>20</v>
      </c>
      <c r="M3413" t="s">
        <v>19</v>
      </c>
      <c r="N3413">
        <v>23</v>
      </c>
      <c r="O3413">
        <v>5</v>
      </c>
      <c r="P3413">
        <v>24</v>
      </c>
      <c r="Q3413">
        <v>31.655896170781102</v>
      </c>
      <c r="R3413">
        <v>12.7</v>
      </c>
      <c r="T3413" s="340" t="str">
        <f t="shared" si="156"/>
        <v>2012FemaleNon-Maori25Jumping from a high place</v>
      </c>
      <c r="U3413">
        <v>2012</v>
      </c>
      <c r="V3413" t="s">
        <v>8</v>
      </c>
      <c r="W3413" t="s">
        <v>19</v>
      </c>
      <c r="X3413">
        <v>25</v>
      </c>
      <c r="Y3413" t="s">
        <v>44</v>
      </c>
      <c r="Z3413">
        <v>1</v>
      </c>
      <c r="AA3413">
        <v>14</v>
      </c>
      <c r="AB3413">
        <v>7.1</v>
      </c>
    </row>
    <row r="3414" spans="10:28">
      <c r="J3414" s="340" t="str">
        <f t="shared" si="155"/>
        <v>2012MaleNon-Maori241</v>
      </c>
      <c r="K3414">
        <v>2012</v>
      </c>
      <c r="L3414" t="s">
        <v>20</v>
      </c>
      <c r="M3414" t="s">
        <v>19</v>
      </c>
      <c r="N3414">
        <v>24</v>
      </c>
      <c r="O3414">
        <v>1</v>
      </c>
      <c r="P3414">
        <v>13</v>
      </c>
      <c r="Q3414">
        <v>10.091258423402699</v>
      </c>
      <c r="R3414">
        <v>5.5</v>
      </c>
      <c r="T3414" s="340" t="str">
        <f t="shared" si="156"/>
        <v>2012FemaleNon-Maori23Other</v>
      </c>
      <c r="U3414">
        <v>2012</v>
      </c>
      <c r="V3414" t="s">
        <v>8</v>
      </c>
      <c r="W3414" t="s">
        <v>19</v>
      </c>
      <c r="X3414">
        <v>23</v>
      </c>
      <c r="Y3414" t="s">
        <v>45</v>
      </c>
      <c r="Z3414">
        <v>2</v>
      </c>
      <c r="AA3414">
        <v>34</v>
      </c>
      <c r="AB3414">
        <v>5.9</v>
      </c>
    </row>
    <row r="3415" spans="10:28">
      <c r="J3415" s="340" t="str">
        <f t="shared" si="155"/>
        <v>2012MaleNon-Maori242</v>
      </c>
      <c r="K3415">
        <v>2012</v>
      </c>
      <c r="L3415" t="s">
        <v>20</v>
      </c>
      <c r="M3415" t="s">
        <v>19</v>
      </c>
      <c r="N3415">
        <v>24</v>
      </c>
      <c r="O3415">
        <v>2</v>
      </c>
      <c r="P3415">
        <v>16</v>
      </c>
      <c r="Q3415">
        <v>14.2968704549509</v>
      </c>
      <c r="R3415">
        <v>7</v>
      </c>
      <c r="T3415" s="340" t="str">
        <f t="shared" si="156"/>
        <v>2012FemaleNon-Maori24Other</v>
      </c>
      <c r="U3415">
        <v>2012</v>
      </c>
      <c r="V3415" t="s">
        <v>8</v>
      </c>
      <c r="W3415" t="s">
        <v>19</v>
      </c>
      <c r="X3415">
        <v>24</v>
      </c>
      <c r="Y3415" t="s">
        <v>45</v>
      </c>
      <c r="Z3415">
        <v>3</v>
      </c>
      <c r="AA3415">
        <v>41</v>
      </c>
      <c r="AB3415">
        <v>7.3</v>
      </c>
    </row>
    <row r="3416" spans="10:28">
      <c r="J3416" s="340" t="str">
        <f t="shared" si="155"/>
        <v>2012MaleNon-Maori243</v>
      </c>
      <c r="K3416">
        <v>2012</v>
      </c>
      <c r="L3416" t="s">
        <v>20</v>
      </c>
      <c r="M3416" t="s">
        <v>19</v>
      </c>
      <c r="N3416">
        <v>24</v>
      </c>
      <c r="O3416">
        <v>3</v>
      </c>
      <c r="P3416">
        <v>25</v>
      </c>
      <c r="Q3416">
        <v>25.568519840966101</v>
      </c>
      <c r="R3416">
        <v>10</v>
      </c>
      <c r="T3416" s="340" t="str">
        <f t="shared" si="156"/>
        <v>2012FemaleNon-Maori23Poisoning by gases and vapours</v>
      </c>
      <c r="U3416">
        <v>2012</v>
      </c>
      <c r="V3416" t="s">
        <v>8</v>
      </c>
      <c r="W3416" t="s">
        <v>19</v>
      </c>
      <c r="X3416">
        <v>23</v>
      </c>
      <c r="Y3416" t="s">
        <v>46</v>
      </c>
      <c r="Z3416">
        <v>3</v>
      </c>
      <c r="AA3416">
        <v>34</v>
      </c>
      <c r="AB3416">
        <v>8.8000000000000007</v>
      </c>
    </row>
    <row r="3417" spans="10:28">
      <c r="J3417" s="340" t="str">
        <f t="shared" si="155"/>
        <v>2012MaleNon-Maori244</v>
      </c>
      <c r="K3417">
        <v>2012</v>
      </c>
      <c r="L3417" t="s">
        <v>20</v>
      </c>
      <c r="M3417" t="s">
        <v>19</v>
      </c>
      <c r="N3417">
        <v>24</v>
      </c>
      <c r="O3417">
        <v>4</v>
      </c>
      <c r="P3417">
        <v>23</v>
      </c>
      <c r="Q3417">
        <v>27.320050243413199</v>
      </c>
      <c r="R3417">
        <v>11.2</v>
      </c>
      <c r="T3417" s="340" t="str">
        <f t="shared" si="156"/>
        <v>2012FemaleNon-Maori24Poisoning by gases and vapours</v>
      </c>
      <c r="U3417">
        <v>2012</v>
      </c>
      <c r="V3417" t="s">
        <v>8</v>
      </c>
      <c r="W3417" t="s">
        <v>19</v>
      </c>
      <c r="X3417">
        <v>24</v>
      </c>
      <c r="Y3417" t="s">
        <v>46</v>
      </c>
      <c r="Z3417">
        <v>2</v>
      </c>
      <c r="AA3417">
        <v>41</v>
      </c>
      <c r="AB3417">
        <v>4.9000000000000004</v>
      </c>
    </row>
    <row r="3418" spans="10:28">
      <c r="J3418" s="340" t="str">
        <f t="shared" si="155"/>
        <v>2012MaleNon-Maori245</v>
      </c>
      <c r="K3418">
        <v>2012</v>
      </c>
      <c r="L3418" t="s">
        <v>20</v>
      </c>
      <c r="M3418" t="s">
        <v>19</v>
      </c>
      <c r="N3418">
        <v>24</v>
      </c>
      <c r="O3418">
        <v>5</v>
      </c>
      <c r="P3418">
        <v>16</v>
      </c>
      <c r="Q3418">
        <v>24.063947990033</v>
      </c>
      <c r="R3418">
        <v>11.8</v>
      </c>
      <c r="T3418" s="340" t="str">
        <f t="shared" si="156"/>
        <v>2012FemaleNon-Maori25Poisoning by gases and vapours</v>
      </c>
      <c r="U3418">
        <v>2012</v>
      </c>
      <c r="V3418" t="s">
        <v>8</v>
      </c>
      <c r="W3418" t="s">
        <v>19</v>
      </c>
      <c r="X3418">
        <v>25</v>
      </c>
      <c r="Y3418" t="s">
        <v>46</v>
      </c>
      <c r="Z3418">
        <v>1</v>
      </c>
      <c r="AA3418">
        <v>14</v>
      </c>
      <c r="AB3418">
        <v>7.1</v>
      </c>
    </row>
    <row r="3419" spans="10:28">
      <c r="J3419" s="340" t="str">
        <f t="shared" si="155"/>
        <v>2012MaleNon-Maori251</v>
      </c>
      <c r="K3419">
        <v>2012</v>
      </c>
      <c r="L3419" t="s">
        <v>20</v>
      </c>
      <c r="M3419" t="s">
        <v>19</v>
      </c>
      <c r="N3419">
        <v>25</v>
      </c>
      <c r="O3419">
        <v>1</v>
      </c>
      <c r="P3419">
        <v>5</v>
      </c>
      <c r="Q3419">
        <v>8.5096316209715894</v>
      </c>
      <c r="R3419">
        <v>7.5</v>
      </c>
      <c r="T3419" s="340" t="str">
        <f t="shared" si="156"/>
        <v>2012FemaleNon-Maori23Poisoning by solids and liquids</v>
      </c>
      <c r="U3419">
        <v>2012</v>
      </c>
      <c r="V3419" t="s">
        <v>8</v>
      </c>
      <c r="W3419" t="s">
        <v>19</v>
      </c>
      <c r="X3419">
        <v>23</v>
      </c>
      <c r="Y3419" t="s">
        <v>47</v>
      </c>
      <c r="Z3419">
        <v>12</v>
      </c>
      <c r="AA3419">
        <v>34</v>
      </c>
      <c r="AB3419">
        <v>35.299999999999997</v>
      </c>
    </row>
    <row r="3420" spans="10:28">
      <c r="J3420" s="340" t="str">
        <f t="shared" si="155"/>
        <v>2012MaleNon-Maori252</v>
      </c>
      <c r="K3420">
        <v>2012</v>
      </c>
      <c r="L3420" t="s">
        <v>20</v>
      </c>
      <c r="M3420" t="s">
        <v>19</v>
      </c>
      <c r="N3420">
        <v>25</v>
      </c>
      <c r="O3420">
        <v>2</v>
      </c>
      <c r="P3420">
        <v>11</v>
      </c>
      <c r="Q3420">
        <v>19.155717666465598</v>
      </c>
      <c r="R3420">
        <v>11.3</v>
      </c>
      <c r="T3420" s="340" t="str">
        <f t="shared" si="156"/>
        <v>2012FemaleNon-Maori24Poisoning by solids and liquids</v>
      </c>
      <c r="U3420">
        <v>2012</v>
      </c>
      <c r="V3420" t="s">
        <v>8</v>
      </c>
      <c r="W3420" t="s">
        <v>19</v>
      </c>
      <c r="X3420">
        <v>24</v>
      </c>
      <c r="Y3420" t="s">
        <v>47</v>
      </c>
      <c r="Z3420">
        <v>17</v>
      </c>
      <c r="AA3420">
        <v>41</v>
      </c>
      <c r="AB3420">
        <v>41.5</v>
      </c>
    </row>
    <row r="3421" spans="10:28">
      <c r="J3421" s="340" t="str">
        <f t="shared" si="155"/>
        <v>2012MaleNon-Maori253</v>
      </c>
      <c r="K3421">
        <v>2012</v>
      </c>
      <c r="L3421" t="s">
        <v>20</v>
      </c>
      <c r="M3421" t="s">
        <v>19</v>
      </c>
      <c r="N3421">
        <v>25</v>
      </c>
      <c r="O3421">
        <v>3</v>
      </c>
      <c r="P3421">
        <v>13</v>
      </c>
      <c r="Q3421">
        <v>23.837793526647001</v>
      </c>
      <c r="R3421">
        <v>13</v>
      </c>
      <c r="T3421" s="340" t="str">
        <f t="shared" si="156"/>
        <v>2012FemaleNon-Maori25Poisoning by solids and liquids</v>
      </c>
      <c r="U3421">
        <v>2012</v>
      </c>
      <c r="V3421" t="s">
        <v>8</v>
      </c>
      <c r="W3421" t="s">
        <v>19</v>
      </c>
      <c r="X3421">
        <v>25</v>
      </c>
      <c r="Y3421" t="s">
        <v>47</v>
      </c>
      <c r="Z3421">
        <v>5</v>
      </c>
      <c r="AA3421">
        <v>14</v>
      </c>
      <c r="AB3421">
        <v>35.700000000000003</v>
      </c>
    </row>
    <row r="3422" spans="10:28">
      <c r="J3422" s="340" t="str">
        <f t="shared" si="155"/>
        <v>2012MaleNon-Maori254</v>
      </c>
      <c r="K3422">
        <v>2012</v>
      </c>
      <c r="L3422" t="s">
        <v>20</v>
      </c>
      <c r="M3422" t="s">
        <v>19</v>
      </c>
      <c r="N3422">
        <v>25</v>
      </c>
      <c r="O3422">
        <v>4</v>
      </c>
      <c r="P3422">
        <v>6</v>
      </c>
      <c r="Q3422">
        <v>11.6133693720843</v>
      </c>
      <c r="R3422">
        <v>9.3000000000000007</v>
      </c>
      <c r="T3422" s="340" t="str">
        <f t="shared" si="156"/>
        <v>2012FemaleNon-Maori23Submersion (drowning)</v>
      </c>
      <c r="U3422">
        <v>2012</v>
      </c>
      <c r="V3422" t="s">
        <v>8</v>
      </c>
      <c r="W3422" t="s">
        <v>19</v>
      </c>
      <c r="X3422">
        <v>23</v>
      </c>
      <c r="Y3422" t="s">
        <v>49</v>
      </c>
      <c r="Z3422">
        <v>1</v>
      </c>
      <c r="AA3422">
        <v>34</v>
      </c>
      <c r="AB3422">
        <v>2.9</v>
      </c>
    </row>
    <row r="3423" spans="10:28">
      <c r="J3423" s="340" t="str">
        <f t="shared" si="155"/>
        <v>2012MaleNon-Maori255</v>
      </c>
      <c r="K3423">
        <v>2012</v>
      </c>
      <c r="L3423" t="s">
        <v>20</v>
      </c>
      <c r="M3423" t="s">
        <v>19</v>
      </c>
      <c r="N3423">
        <v>25</v>
      </c>
      <c r="O3423">
        <v>5</v>
      </c>
      <c r="P3423">
        <v>6</v>
      </c>
      <c r="Q3423">
        <v>15.397816219858001</v>
      </c>
      <c r="R3423">
        <v>12.3</v>
      </c>
      <c r="T3423" s="340" t="str">
        <f t="shared" si="156"/>
        <v>2012FemaleNon-Maori25Submersion (drowning)</v>
      </c>
      <c r="U3423">
        <v>2012</v>
      </c>
      <c r="V3423" t="s">
        <v>8</v>
      </c>
      <c r="W3423" t="s">
        <v>19</v>
      </c>
      <c r="X3423">
        <v>25</v>
      </c>
      <c r="Y3423" t="s">
        <v>49</v>
      </c>
      <c r="Z3423">
        <v>1</v>
      </c>
      <c r="AA3423">
        <v>14</v>
      </c>
      <c r="AB3423">
        <v>7.1</v>
      </c>
    </row>
    <row r="3424" spans="10:28">
      <c r="J3424" s="340" t="str">
        <f t="shared" si="155"/>
        <v>2013AllSexAllEth211</v>
      </c>
      <c r="K3424">
        <v>2013</v>
      </c>
      <c r="L3424" t="s">
        <v>17</v>
      </c>
      <c r="M3424" t="s">
        <v>27</v>
      </c>
      <c r="N3424">
        <v>21</v>
      </c>
      <c r="O3424">
        <v>1</v>
      </c>
      <c r="P3424">
        <v>0</v>
      </c>
      <c r="Q3424">
        <v>0</v>
      </c>
      <c r="T3424" s="340" t="str">
        <f t="shared" si="156"/>
        <v>2012MaleAllEth21Firearms and explosives</v>
      </c>
      <c r="U3424">
        <v>2012</v>
      </c>
      <c r="V3424" t="s">
        <v>20</v>
      </c>
      <c r="W3424" t="s">
        <v>27</v>
      </c>
      <c r="X3424">
        <v>21</v>
      </c>
      <c r="Y3424" t="s">
        <v>42</v>
      </c>
      <c r="Z3424">
        <v>2</v>
      </c>
      <c r="AA3424">
        <v>6</v>
      </c>
      <c r="AB3424">
        <v>33.299999999999997</v>
      </c>
    </row>
    <row r="3425" spans="10:28">
      <c r="J3425" s="340" t="str">
        <f t="shared" si="155"/>
        <v>2013AllSexAllEth212</v>
      </c>
      <c r="K3425">
        <v>2013</v>
      </c>
      <c r="L3425" t="s">
        <v>17</v>
      </c>
      <c r="M3425" t="s">
        <v>27</v>
      </c>
      <c r="N3425">
        <v>21</v>
      </c>
      <c r="O3425">
        <v>2</v>
      </c>
      <c r="P3425">
        <v>0</v>
      </c>
      <c r="Q3425">
        <v>0</v>
      </c>
      <c r="T3425" s="340" t="str">
        <f t="shared" si="156"/>
        <v>2012MaleAllEth22Firearms and explosives</v>
      </c>
      <c r="U3425">
        <v>2012</v>
      </c>
      <c r="V3425" t="s">
        <v>20</v>
      </c>
      <c r="W3425" t="s">
        <v>27</v>
      </c>
      <c r="X3425">
        <v>22</v>
      </c>
      <c r="Y3425" t="s">
        <v>42</v>
      </c>
      <c r="Z3425">
        <v>9</v>
      </c>
      <c r="AA3425">
        <v>107</v>
      </c>
      <c r="AB3425">
        <v>8.4</v>
      </c>
    </row>
    <row r="3426" spans="10:28">
      <c r="J3426" s="340" t="str">
        <f t="shared" si="155"/>
        <v>2013AllSexAllEth213</v>
      </c>
      <c r="K3426">
        <v>2013</v>
      </c>
      <c r="L3426" t="s">
        <v>17</v>
      </c>
      <c r="M3426" t="s">
        <v>27</v>
      </c>
      <c r="N3426">
        <v>21</v>
      </c>
      <c r="O3426">
        <v>3</v>
      </c>
      <c r="P3426">
        <v>0</v>
      </c>
      <c r="Q3426">
        <v>0</v>
      </c>
      <c r="T3426" s="340" t="str">
        <f t="shared" si="156"/>
        <v>2012MaleAllEth23Firearms and explosives</v>
      </c>
      <c r="U3426">
        <v>2012</v>
      </c>
      <c r="V3426" t="s">
        <v>20</v>
      </c>
      <c r="W3426" t="s">
        <v>27</v>
      </c>
      <c r="X3426">
        <v>23</v>
      </c>
      <c r="Y3426" t="s">
        <v>42</v>
      </c>
      <c r="Z3426">
        <v>10</v>
      </c>
      <c r="AA3426">
        <v>143</v>
      </c>
      <c r="AB3426">
        <v>7</v>
      </c>
    </row>
    <row r="3427" spans="10:28">
      <c r="J3427" s="340" t="str">
        <f t="shared" si="155"/>
        <v>2013AllSexAllEth214</v>
      </c>
      <c r="K3427">
        <v>2013</v>
      </c>
      <c r="L3427" t="s">
        <v>17</v>
      </c>
      <c r="M3427" t="s">
        <v>27</v>
      </c>
      <c r="N3427">
        <v>21</v>
      </c>
      <c r="O3427">
        <v>4</v>
      </c>
      <c r="P3427">
        <v>0</v>
      </c>
      <c r="Q3427">
        <v>0</v>
      </c>
      <c r="T3427" s="340" t="str">
        <f t="shared" si="156"/>
        <v>2012MaleAllEth24Firearms and explosives</v>
      </c>
      <c r="U3427">
        <v>2012</v>
      </c>
      <c r="V3427" t="s">
        <v>20</v>
      </c>
      <c r="W3427" t="s">
        <v>27</v>
      </c>
      <c r="X3427">
        <v>24</v>
      </c>
      <c r="Y3427" t="s">
        <v>42</v>
      </c>
      <c r="Z3427">
        <v>16</v>
      </c>
      <c r="AA3427">
        <v>105</v>
      </c>
      <c r="AB3427">
        <v>15.2</v>
      </c>
    </row>
    <row r="3428" spans="10:28">
      <c r="J3428" s="340" t="str">
        <f t="shared" si="155"/>
        <v>2013AllSexAllEth215</v>
      </c>
      <c r="K3428">
        <v>2013</v>
      </c>
      <c r="L3428" t="s">
        <v>17</v>
      </c>
      <c r="M3428" t="s">
        <v>27</v>
      </c>
      <c r="N3428">
        <v>21</v>
      </c>
      <c r="O3428">
        <v>5</v>
      </c>
      <c r="P3428">
        <v>2</v>
      </c>
      <c r="Q3428">
        <v>0.93229900785677899</v>
      </c>
      <c r="R3428">
        <v>1.3</v>
      </c>
      <c r="T3428" s="340" t="str">
        <f t="shared" si="156"/>
        <v>2012MaleAllEth25Firearms and explosives</v>
      </c>
      <c r="U3428">
        <v>2012</v>
      </c>
      <c r="V3428" t="s">
        <v>20</v>
      </c>
      <c r="W3428" t="s">
        <v>27</v>
      </c>
      <c r="X3428">
        <v>25</v>
      </c>
      <c r="Y3428" t="s">
        <v>42</v>
      </c>
      <c r="Z3428">
        <v>8</v>
      </c>
      <c r="AA3428">
        <v>43</v>
      </c>
      <c r="AB3428">
        <v>18.600000000000001</v>
      </c>
    </row>
    <row r="3429" spans="10:28">
      <c r="J3429" s="340" t="str">
        <f t="shared" si="155"/>
        <v>2013AllSexAllEth221</v>
      </c>
      <c r="K3429">
        <v>2013</v>
      </c>
      <c r="L3429" t="s">
        <v>17</v>
      </c>
      <c r="M3429" t="s">
        <v>27</v>
      </c>
      <c r="N3429">
        <v>22</v>
      </c>
      <c r="O3429">
        <v>1</v>
      </c>
      <c r="P3429">
        <v>8</v>
      </c>
      <c r="Q3429">
        <v>7.2217854410360403</v>
      </c>
      <c r="R3429">
        <v>5</v>
      </c>
      <c r="T3429" s="340" t="str">
        <f t="shared" si="156"/>
        <v>2012MaleAllEth21Hanging, strangulation and suffocation</v>
      </c>
      <c r="U3429">
        <v>2012</v>
      </c>
      <c r="V3429" t="s">
        <v>20</v>
      </c>
      <c r="W3429" t="s">
        <v>27</v>
      </c>
      <c r="X3429">
        <v>21</v>
      </c>
      <c r="Y3429" t="s">
        <v>43</v>
      </c>
      <c r="Z3429">
        <v>3</v>
      </c>
      <c r="AA3429">
        <v>6</v>
      </c>
      <c r="AB3429">
        <v>50</v>
      </c>
    </row>
    <row r="3430" spans="10:28">
      <c r="J3430" s="340" t="str">
        <f t="shared" si="155"/>
        <v>2013AllSexAllEth222</v>
      </c>
      <c r="K3430">
        <v>2013</v>
      </c>
      <c r="L3430" t="s">
        <v>17</v>
      </c>
      <c r="M3430" t="s">
        <v>27</v>
      </c>
      <c r="N3430">
        <v>22</v>
      </c>
      <c r="O3430">
        <v>2</v>
      </c>
      <c r="P3430">
        <v>11</v>
      </c>
      <c r="Q3430">
        <v>9.8086002178118505</v>
      </c>
      <c r="R3430">
        <v>5.8</v>
      </c>
      <c r="T3430" s="340" t="str">
        <f t="shared" si="156"/>
        <v>2012MaleAllEth22Hanging, strangulation and suffocation</v>
      </c>
      <c r="U3430">
        <v>2012</v>
      </c>
      <c r="V3430" t="s">
        <v>20</v>
      </c>
      <c r="W3430" t="s">
        <v>27</v>
      </c>
      <c r="X3430">
        <v>22</v>
      </c>
      <c r="Y3430" t="s">
        <v>43</v>
      </c>
      <c r="Z3430">
        <v>89</v>
      </c>
      <c r="AA3430">
        <v>107</v>
      </c>
      <c r="AB3430">
        <v>83.2</v>
      </c>
    </row>
    <row r="3431" spans="10:28">
      <c r="J3431" s="340" t="str">
        <f t="shared" si="155"/>
        <v>2013AllSexAllEth223</v>
      </c>
      <c r="K3431">
        <v>2013</v>
      </c>
      <c r="L3431" t="s">
        <v>17</v>
      </c>
      <c r="M3431" t="s">
        <v>27</v>
      </c>
      <c r="N3431">
        <v>22</v>
      </c>
      <c r="O3431">
        <v>3</v>
      </c>
      <c r="P3431">
        <v>17</v>
      </c>
      <c r="Q3431">
        <v>14.305039354457501</v>
      </c>
      <c r="R3431">
        <v>6.8</v>
      </c>
      <c r="T3431" s="340" t="str">
        <f t="shared" si="156"/>
        <v>2012MaleAllEth23Hanging, strangulation and suffocation</v>
      </c>
      <c r="U3431">
        <v>2012</v>
      </c>
      <c r="V3431" t="s">
        <v>20</v>
      </c>
      <c r="W3431" t="s">
        <v>27</v>
      </c>
      <c r="X3431">
        <v>23</v>
      </c>
      <c r="Y3431" t="s">
        <v>43</v>
      </c>
      <c r="Z3431">
        <v>90</v>
      </c>
      <c r="AA3431">
        <v>143</v>
      </c>
      <c r="AB3431">
        <v>62.9</v>
      </c>
    </row>
    <row r="3432" spans="10:28">
      <c r="J3432" s="340" t="str">
        <f t="shared" si="155"/>
        <v>2013AllSexAllEth224</v>
      </c>
      <c r="K3432">
        <v>2013</v>
      </c>
      <c r="L3432" t="s">
        <v>17</v>
      </c>
      <c r="M3432" t="s">
        <v>27</v>
      </c>
      <c r="N3432">
        <v>22</v>
      </c>
      <c r="O3432">
        <v>4</v>
      </c>
      <c r="P3432">
        <v>26</v>
      </c>
      <c r="Q3432">
        <v>19.448647880211901</v>
      </c>
      <c r="R3432">
        <v>7.5</v>
      </c>
      <c r="T3432" s="340" t="str">
        <f t="shared" si="156"/>
        <v>2012MaleAllEth24Hanging, strangulation and suffocation</v>
      </c>
      <c r="U3432">
        <v>2012</v>
      </c>
      <c r="V3432" t="s">
        <v>20</v>
      </c>
      <c r="W3432" t="s">
        <v>27</v>
      </c>
      <c r="X3432">
        <v>24</v>
      </c>
      <c r="Y3432" t="s">
        <v>43</v>
      </c>
      <c r="Z3432">
        <v>55</v>
      </c>
      <c r="AA3432">
        <v>105</v>
      </c>
      <c r="AB3432">
        <v>52.4</v>
      </c>
    </row>
    <row r="3433" spans="10:28">
      <c r="J3433" s="340" t="str">
        <f t="shared" si="155"/>
        <v>2013AllSexAllEth225</v>
      </c>
      <c r="K3433">
        <v>2013</v>
      </c>
      <c r="L3433" t="s">
        <v>17</v>
      </c>
      <c r="M3433" t="s">
        <v>27</v>
      </c>
      <c r="N3433">
        <v>22</v>
      </c>
      <c r="O3433">
        <v>5</v>
      </c>
      <c r="P3433">
        <v>46</v>
      </c>
      <c r="Q3433">
        <v>30.272525876177799</v>
      </c>
      <c r="R3433">
        <v>8.6999999999999993</v>
      </c>
      <c r="T3433" s="340" t="str">
        <f t="shared" si="156"/>
        <v>2012MaleAllEth25Hanging, strangulation and suffocation</v>
      </c>
      <c r="U3433">
        <v>2012</v>
      </c>
      <c r="V3433" t="s">
        <v>20</v>
      </c>
      <c r="W3433" t="s">
        <v>27</v>
      </c>
      <c r="X3433">
        <v>25</v>
      </c>
      <c r="Y3433" t="s">
        <v>43</v>
      </c>
      <c r="Z3433">
        <v>17</v>
      </c>
      <c r="AA3433">
        <v>43</v>
      </c>
      <c r="AB3433">
        <v>39.5</v>
      </c>
    </row>
    <row r="3434" spans="10:28">
      <c r="J3434" s="340" t="str">
        <f t="shared" si="155"/>
        <v>2013AllSexAllEth231</v>
      </c>
      <c r="K3434">
        <v>2013</v>
      </c>
      <c r="L3434" t="s">
        <v>17</v>
      </c>
      <c r="M3434" t="s">
        <v>27</v>
      </c>
      <c r="N3434">
        <v>23</v>
      </c>
      <c r="O3434">
        <v>1</v>
      </c>
      <c r="P3434">
        <v>17</v>
      </c>
      <c r="Q3434">
        <v>7.8428840678284901</v>
      </c>
      <c r="R3434">
        <v>3.7</v>
      </c>
      <c r="T3434" s="340" t="str">
        <f t="shared" si="156"/>
        <v>2012MaleAllEth22Jumping from a high place</v>
      </c>
      <c r="U3434">
        <v>2012</v>
      </c>
      <c r="V3434" t="s">
        <v>20</v>
      </c>
      <c r="W3434" t="s">
        <v>27</v>
      </c>
      <c r="X3434">
        <v>22</v>
      </c>
      <c r="Y3434" t="s">
        <v>44</v>
      </c>
      <c r="Z3434">
        <v>4</v>
      </c>
      <c r="AA3434">
        <v>107</v>
      </c>
      <c r="AB3434">
        <v>3.7</v>
      </c>
    </row>
    <row r="3435" spans="10:28">
      <c r="J3435" s="340" t="str">
        <f t="shared" si="155"/>
        <v>2013AllSexAllEth232</v>
      </c>
      <c r="K3435">
        <v>2013</v>
      </c>
      <c r="L3435" t="s">
        <v>17</v>
      </c>
      <c r="M3435" t="s">
        <v>27</v>
      </c>
      <c r="N3435">
        <v>23</v>
      </c>
      <c r="O3435">
        <v>2</v>
      </c>
      <c r="P3435">
        <v>26</v>
      </c>
      <c r="Q3435">
        <v>11.1265212735501</v>
      </c>
      <c r="R3435">
        <v>4.3</v>
      </c>
      <c r="T3435" s="340" t="str">
        <f t="shared" si="156"/>
        <v>2012MaleAllEth23Jumping from a high place</v>
      </c>
      <c r="U3435">
        <v>2012</v>
      </c>
      <c r="V3435" t="s">
        <v>20</v>
      </c>
      <c r="W3435" t="s">
        <v>27</v>
      </c>
      <c r="X3435">
        <v>23</v>
      </c>
      <c r="Y3435" t="s">
        <v>44</v>
      </c>
      <c r="Z3435">
        <v>2</v>
      </c>
      <c r="AA3435">
        <v>143</v>
      </c>
      <c r="AB3435">
        <v>1.4</v>
      </c>
    </row>
    <row r="3436" spans="10:28">
      <c r="J3436" s="340" t="str">
        <f t="shared" si="155"/>
        <v>2013AllSexAllEth233</v>
      </c>
      <c r="K3436">
        <v>2013</v>
      </c>
      <c r="L3436" t="s">
        <v>17</v>
      </c>
      <c r="M3436" t="s">
        <v>27</v>
      </c>
      <c r="N3436">
        <v>23</v>
      </c>
      <c r="O3436">
        <v>3</v>
      </c>
      <c r="P3436">
        <v>30</v>
      </c>
      <c r="Q3436">
        <v>12.6051108228083</v>
      </c>
      <c r="R3436">
        <v>4.5</v>
      </c>
      <c r="T3436" s="340" t="str">
        <f t="shared" si="156"/>
        <v>2012MaleAllEth24Jumping from a high place</v>
      </c>
      <c r="U3436">
        <v>2012</v>
      </c>
      <c r="V3436" t="s">
        <v>20</v>
      </c>
      <c r="W3436" t="s">
        <v>27</v>
      </c>
      <c r="X3436">
        <v>24</v>
      </c>
      <c r="Y3436" t="s">
        <v>44</v>
      </c>
      <c r="Z3436">
        <v>2</v>
      </c>
      <c r="AA3436">
        <v>105</v>
      </c>
      <c r="AB3436">
        <v>1.9</v>
      </c>
    </row>
    <row r="3437" spans="10:28">
      <c r="J3437" s="340" t="str">
        <f t="shared" si="155"/>
        <v>2013AllSexAllEth234</v>
      </c>
      <c r="K3437">
        <v>2013</v>
      </c>
      <c r="L3437" t="s">
        <v>17</v>
      </c>
      <c r="M3437" t="s">
        <v>27</v>
      </c>
      <c r="N3437">
        <v>23</v>
      </c>
      <c r="O3437">
        <v>4</v>
      </c>
      <c r="P3437">
        <v>32</v>
      </c>
      <c r="Q3437">
        <v>13.727006596395499</v>
      </c>
      <c r="R3437">
        <v>4.8</v>
      </c>
      <c r="T3437" s="340" t="str">
        <f t="shared" si="156"/>
        <v>2012MaleAllEth25Jumping from a high place</v>
      </c>
      <c r="U3437">
        <v>2012</v>
      </c>
      <c r="V3437" t="s">
        <v>20</v>
      </c>
      <c r="W3437" t="s">
        <v>27</v>
      </c>
      <c r="X3437">
        <v>25</v>
      </c>
      <c r="Y3437" t="s">
        <v>44</v>
      </c>
      <c r="Z3437">
        <v>1</v>
      </c>
      <c r="AA3437">
        <v>43</v>
      </c>
      <c r="AB3437">
        <v>2.2999999999999998</v>
      </c>
    </row>
    <row r="3438" spans="10:28">
      <c r="J3438" s="340" t="str">
        <f t="shared" si="155"/>
        <v>2013AllSexAllEth235</v>
      </c>
      <c r="K3438">
        <v>2013</v>
      </c>
      <c r="L3438" t="s">
        <v>17</v>
      </c>
      <c r="M3438" t="s">
        <v>27</v>
      </c>
      <c r="N3438">
        <v>23</v>
      </c>
      <c r="O3438">
        <v>5</v>
      </c>
      <c r="P3438">
        <v>46</v>
      </c>
      <c r="Q3438">
        <v>20.9127707375795</v>
      </c>
      <c r="R3438">
        <v>6</v>
      </c>
      <c r="T3438" s="340" t="str">
        <f t="shared" si="156"/>
        <v>2012MaleAllEth23Other</v>
      </c>
      <c r="U3438">
        <v>2012</v>
      </c>
      <c r="V3438" t="s">
        <v>20</v>
      </c>
      <c r="W3438" t="s">
        <v>27</v>
      </c>
      <c r="X3438">
        <v>23</v>
      </c>
      <c r="Y3438" t="s">
        <v>45</v>
      </c>
      <c r="Z3438">
        <v>9</v>
      </c>
      <c r="AA3438">
        <v>143</v>
      </c>
      <c r="AB3438">
        <v>6.3</v>
      </c>
    </row>
    <row r="3439" spans="10:28">
      <c r="J3439" s="340" t="str">
        <f t="shared" si="155"/>
        <v>2013AllSexAllEth241</v>
      </c>
      <c r="K3439">
        <v>2013</v>
      </c>
      <c r="L3439" t="s">
        <v>17</v>
      </c>
      <c r="M3439" t="s">
        <v>27</v>
      </c>
      <c r="N3439">
        <v>24</v>
      </c>
      <c r="O3439">
        <v>1</v>
      </c>
      <c r="P3439">
        <v>38</v>
      </c>
      <c r="Q3439">
        <v>13.722666242449399</v>
      </c>
      <c r="R3439">
        <v>4.4000000000000004</v>
      </c>
      <c r="T3439" s="340" t="str">
        <f t="shared" si="156"/>
        <v>2012MaleAllEth24Other</v>
      </c>
      <c r="U3439">
        <v>2012</v>
      </c>
      <c r="V3439" t="s">
        <v>20</v>
      </c>
      <c r="W3439" t="s">
        <v>27</v>
      </c>
      <c r="X3439">
        <v>24</v>
      </c>
      <c r="Y3439" t="s">
        <v>45</v>
      </c>
      <c r="Z3439">
        <v>3</v>
      </c>
      <c r="AA3439">
        <v>105</v>
      </c>
      <c r="AB3439">
        <v>2.9</v>
      </c>
    </row>
    <row r="3440" spans="10:28">
      <c r="J3440" s="340" t="str">
        <f t="shared" si="155"/>
        <v>2013AllSexAllEth242</v>
      </c>
      <c r="K3440">
        <v>2013</v>
      </c>
      <c r="L3440" t="s">
        <v>17</v>
      </c>
      <c r="M3440" t="s">
        <v>27</v>
      </c>
      <c r="N3440">
        <v>24</v>
      </c>
      <c r="O3440">
        <v>2</v>
      </c>
      <c r="P3440">
        <v>35</v>
      </c>
      <c r="Q3440">
        <v>14.1523911696958</v>
      </c>
      <c r="R3440">
        <v>4.7</v>
      </c>
      <c r="T3440" s="340" t="str">
        <f t="shared" si="156"/>
        <v>2012MaleAllEth25Other</v>
      </c>
      <c r="U3440">
        <v>2012</v>
      </c>
      <c r="V3440" t="s">
        <v>20</v>
      </c>
      <c r="W3440" t="s">
        <v>27</v>
      </c>
      <c r="X3440">
        <v>25</v>
      </c>
      <c r="Y3440" t="s">
        <v>45</v>
      </c>
      <c r="Z3440">
        <v>2</v>
      </c>
      <c r="AA3440">
        <v>43</v>
      </c>
      <c r="AB3440">
        <v>4.7</v>
      </c>
    </row>
    <row r="3441" spans="10:28">
      <c r="J3441" s="340" t="str">
        <f t="shared" si="155"/>
        <v>2013AllSexAllEth243</v>
      </c>
      <c r="K3441">
        <v>2013</v>
      </c>
      <c r="L3441" t="s">
        <v>17</v>
      </c>
      <c r="M3441" t="s">
        <v>27</v>
      </c>
      <c r="N3441">
        <v>24</v>
      </c>
      <c r="O3441">
        <v>3</v>
      </c>
      <c r="P3441">
        <v>26</v>
      </c>
      <c r="Q3441">
        <v>11.612468791183399</v>
      </c>
      <c r="R3441">
        <v>4.5</v>
      </c>
      <c r="T3441" s="340" t="str">
        <f t="shared" si="156"/>
        <v>2012MaleAllEth22Poisoning by gases and vapours</v>
      </c>
      <c r="U3441">
        <v>2012</v>
      </c>
      <c r="V3441" t="s">
        <v>20</v>
      </c>
      <c r="W3441" t="s">
        <v>27</v>
      </c>
      <c r="X3441">
        <v>22</v>
      </c>
      <c r="Y3441" t="s">
        <v>46</v>
      </c>
      <c r="Z3441">
        <v>2</v>
      </c>
      <c r="AA3441">
        <v>107</v>
      </c>
      <c r="AB3441">
        <v>1.9</v>
      </c>
    </row>
    <row r="3442" spans="10:28">
      <c r="J3442" s="340" t="str">
        <f t="shared" si="155"/>
        <v>2013AllSexAllEth244</v>
      </c>
      <c r="K3442">
        <v>2013</v>
      </c>
      <c r="L3442" t="s">
        <v>17</v>
      </c>
      <c r="M3442" t="s">
        <v>27</v>
      </c>
      <c r="N3442">
        <v>24</v>
      </c>
      <c r="O3442">
        <v>4</v>
      </c>
      <c r="P3442">
        <v>35</v>
      </c>
      <c r="Q3442">
        <v>17.207570453768401</v>
      </c>
      <c r="R3442">
        <v>5.7</v>
      </c>
      <c r="T3442" s="340" t="str">
        <f t="shared" si="156"/>
        <v>2012MaleAllEth23Poisoning by gases and vapours</v>
      </c>
      <c r="U3442">
        <v>2012</v>
      </c>
      <c r="V3442" t="s">
        <v>20</v>
      </c>
      <c r="W3442" t="s">
        <v>27</v>
      </c>
      <c r="X3442">
        <v>23</v>
      </c>
      <c r="Y3442" t="s">
        <v>46</v>
      </c>
      <c r="Z3442">
        <v>16</v>
      </c>
      <c r="AA3442">
        <v>143</v>
      </c>
      <c r="AB3442">
        <v>11.2</v>
      </c>
    </row>
    <row r="3443" spans="10:28">
      <c r="J3443" s="340" t="str">
        <f t="shared" si="155"/>
        <v>2013AllSexAllEth245</v>
      </c>
      <c r="K3443">
        <v>2013</v>
      </c>
      <c r="L3443" t="s">
        <v>17</v>
      </c>
      <c r="M3443" t="s">
        <v>27</v>
      </c>
      <c r="N3443">
        <v>24</v>
      </c>
      <c r="O3443">
        <v>5</v>
      </c>
      <c r="P3443">
        <v>37</v>
      </c>
      <c r="Q3443">
        <v>19.793319766457898</v>
      </c>
      <c r="R3443">
        <v>6.4</v>
      </c>
      <c r="T3443" s="340" t="str">
        <f t="shared" si="156"/>
        <v>2012MaleAllEth24Poisoning by gases and vapours</v>
      </c>
      <c r="U3443">
        <v>2012</v>
      </c>
      <c r="V3443" t="s">
        <v>20</v>
      </c>
      <c r="W3443" t="s">
        <v>27</v>
      </c>
      <c r="X3443">
        <v>24</v>
      </c>
      <c r="Y3443" t="s">
        <v>46</v>
      </c>
      <c r="Z3443">
        <v>14</v>
      </c>
      <c r="AA3443">
        <v>105</v>
      </c>
      <c r="AB3443">
        <v>13.3</v>
      </c>
    </row>
    <row r="3444" spans="10:28">
      <c r="J3444" s="340" t="str">
        <f t="shared" si="155"/>
        <v>2013AllSexAllEth251</v>
      </c>
      <c r="K3444">
        <v>2013</v>
      </c>
      <c r="L3444" t="s">
        <v>17</v>
      </c>
      <c r="M3444" t="s">
        <v>27</v>
      </c>
      <c r="N3444">
        <v>25</v>
      </c>
      <c r="O3444">
        <v>1</v>
      </c>
      <c r="P3444">
        <v>9</v>
      </c>
      <c r="Q3444">
        <v>6.9351193276698302</v>
      </c>
      <c r="R3444">
        <v>4.5</v>
      </c>
      <c r="T3444" s="340" t="str">
        <f t="shared" si="156"/>
        <v>2012MaleAllEth25Poisoning by gases and vapours</v>
      </c>
      <c r="U3444">
        <v>2012</v>
      </c>
      <c r="V3444" t="s">
        <v>20</v>
      </c>
      <c r="W3444" t="s">
        <v>27</v>
      </c>
      <c r="X3444">
        <v>25</v>
      </c>
      <c r="Y3444" t="s">
        <v>46</v>
      </c>
      <c r="Z3444">
        <v>5</v>
      </c>
      <c r="AA3444">
        <v>43</v>
      </c>
      <c r="AB3444">
        <v>11.6</v>
      </c>
    </row>
    <row r="3445" spans="10:28">
      <c r="J3445" s="340" t="str">
        <f t="shared" si="155"/>
        <v>2013AllSexAllEth252</v>
      </c>
      <c r="K3445">
        <v>2013</v>
      </c>
      <c r="L3445" t="s">
        <v>17</v>
      </c>
      <c r="M3445" t="s">
        <v>27</v>
      </c>
      <c r="N3445">
        <v>25</v>
      </c>
      <c r="O3445">
        <v>2</v>
      </c>
      <c r="P3445">
        <v>11</v>
      </c>
      <c r="Q3445">
        <v>8.4105504861635794</v>
      </c>
      <c r="R3445">
        <v>5</v>
      </c>
      <c r="T3445" s="340" t="str">
        <f t="shared" si="156"/>
        <v>2012MaleAllEth21Poisoning by solids and liquids</v>
      </c>
      <c r="U3445">
        <v>2012</v>
      </c>
      <c r="V3445" t="s">
        <v>20</v>
      </c>
      <c r="W3445" t="s">
        <v>27</v>
      </c>
      <c r="X3445">
        <v>21</v>
      </c>
      <c r="Y3445" t="s">
        <v>47</v>
      </c>
      <c r="Z3445">
        <v>1</v>
      </c>
      <c r="AA3445">
        <v>6</v>
      </c>
      <c r="AB3445">
        <v>16.7</v>
      </c>
    </row>
    <row r="3446" spans="10:28">
      <c r="J3446" s="340" t="str">
        <f t="shared" si="155"/>
        <v>2013AllSexAllEth253</v>
      </c>
      <c r="K3446">
        <v>2013</v>
      </c>
      <c r="L3446" t="s">
        <v>17</v>
      </c>
      <c r="M3446" t="s">
        <v>27</v>
      </c>
      <c r="N3446">
        <v>25</v>
      </c>
      <c r="O3446">
        <v>3</v>
      </c>
      <c r="P3446">
        <v>24</v>
      </c>
      <c r="Q3446">
        <v>18.580178916540699</v>
      </c>
      <c r="R3446">
        <v>7.4</v>
      </c>
      <c r="T3446" s="340" t="str">
        <f t="shared" si="156"/>
        <v>2012MaleAllEth22Poisoning by solids and liquids</v>
      </c>
      <c r="U3446">
        <v>2012</v>
      </c>
      <c r="V3446" t="s">
        <v>20</v>
      </c>
      <c r="W3446" t="s">
        <v>27</v>
      </c>
      <c r="X3446">
        <v>22</v>
      </c>
      <c r="Y3446" t="s">
        <v>47</v>
      </c>
      <c r="Z3446">
        <v>3</v>
      </c>
      <c r="AA3446">
        <v>107</v>
      </c>
      <c r="AB3446">
        <v>2.8</v>
      </c>
    </row>
    <row r="3447" spans="10:28">
      <c r="J3447" s="340" t="str">
        <f t="shared" si="155"/>
        <v>2013AllSexAllEth254</v>
      </c>
      <c r="K3447">
        <v>2013</v>
      </c>
      <c r="L3447" t="s">
        <v>17</v>
      </c>
      <c r="M3447" t="s">
        <v>27</v>
      </c>
      <c r="N3447">
        <v>25</v>
      </c>
      <c r="O3447">
        <v>4</v>
      </c>
      <c r="P3447">
        <v>6</v>
      </c>
      <c r="Q3447">
        <v>4.6041006591166402</v>
      </c>
      <c r="R3447">
        <v>3.7</v>
      </c>
      <c r="T3447" s="340" t="str">
        <f t="shared" si="156"/>
        <v>2012MaleAllEth23Poisoning by solids and liquids</v>
      </c>
      <c r="U3447">
        <v>2012</v>
      </c>
      <c r="V3447" t="s">
        <v>20</v>
      </c>
      <c r="W3447" t="s">
        <v>27</v>
      </c>
      <c r="X3447">
        <v>23</v>
      </c>
      <c r="Y3447" t="s">
        <v>47</v>
      </c>
      <c r="Z3447">
        <v>9</v>
      </c>
      <c r="AA3447">
        <v>143</v>
      </c>
      <c r="AB3447">
        <v>6.3</v>
      </c>
    </row>
    <row r="3448" spans="10:28">
      <c r="J3448" s="340" t="str">
        <f t="shared" si="155"/>
        <v>2013AllSexAllEth255</v>
      </c>
      <c r="K3448">
        <v>2013</v>
      </c>
      <c r="L3448" t="s">
        <v>17</v>
      </c>
      <c r="M3448" t="s">
        <v>27</v>
      </c>
      <c r="N3448">
        <v>25</v>
      </c>
      <c r="O3448">
        <v>5</v>
      </c>
      <c r="P3448">
        <v>3</v>
      </c>
      <c r="Q3448">
        <v>2.8310017031853301</v>
      </c>
      <c r="R3448">
        <v>3.2</v>
      </c>
      <c r="T3448" s="340" t="str">
        <f t="shared" si="156"/>
        <v>2012MaleAllEth24Poisoning by solids and liquids</v>
      </c>
      <c r="U3448">
        <v>2012</v>
      </c>
      <c r="V3448" t="s">
        <v>20</v>
      </c>
      <c r="W3448" t="s">
        <v>27</v>
      </c>
      <c r="X3448">
        <v>24</v>
      </c>
      <c r="Y3448" t="s">
        <v>47</v>
      </c>
      <c r="Z3448">
        <v>10</v>
      </c>
      <c r="AA3448">
        <v>105</v>
      </c>
      <c r="AB3448">
        <v>9.5</v>
      </c>
    </row>
    <row r="3449" spans="10:28">
      <c r="J3449" s="340" t="str">
        <f t="shared" si="155"/>
        <v>2013AllSexMaori211</v>
      </c>
      <c r="K3449">
        <v>2013</v>
      </c>
      <c r="L3449" t="s">
        <v>17</v>
      </c>
      <c r="M3449" t="s">
        <v>18</v>
      </c>
      <c r="N3449">
        <v>21</v>
      </c>
      <c r="O3449">
        <v>1</v>
      </c>
      <c r="P3449">
        <v>0</v>
      </c>
      <c r="Q3449">
        <v>0</v>
      </c>
      <c r="T3449" s="340" t="str">
        <f t="shared" si="156"/>
        <v>2012MaleAllEth25Poisoning by solids and liquids</v>
      </c>
      <c r="U3449">
        <v>2012</v>
      </c>
      <c r="V3449" t="s">
        <v>20</v>
      </c>
      <c r="W3449" t="s">
        <v>27</v>
      </c>
      <c r="X3449">
        <v>25</v>
      </c>
      <c r="Y3449" t="s">
        <v>47</v>
      </c>
      <c r="Z3449">
        <v>6</v>
      </c>
      <c r="AA3449">
        <v>43</v>
      </c>
      <c r="AB3449">
        <v>14</v>
      </c>
    </row>
    <row r="3450" spans="10:28">
      <c r="J3450" s="340" t="str">
        <f t="shared" si="155"/>
        <v>2013AllSexMaori212</v>
      </c>
      <c r="K3450">
        <v>2013</v>
      </c>
      <c r="L3450" t="s">
        <v>17</v>
      </c>
      <c r="M3450" t="s">
        <v>18</v>
      </c>
      <c r="N3450">
        <v>21</v>
      </c>
      <c r="O3450">
        <v>2</v>
      </c>
      <c r="P3450">
        <v>0</v>
      </c>
      <c r="Q3450">
        <v>0</v>
      </c>
      <c r="T3450" s="340" t="str">
        <f t="shared" si="156"/>
        <v>2012MaleAllEth23Sharp object</v>
      </c>
      <c r="U3450">
        <v>2012</v>
      </c>
      <c r="V3450" t="s">
        <v>20</v>
      </c>
      <c r="W3450" t="s">
        <v>27</v>
      </c>
      <c r="X3450">
        <v>23</v>
      </c>
      <c r="Y3450" t="s">
        <v>48</v>
      </c>
      <c r="Z3450">
        <v>6</v>
      </c>
      <c r="AA3450">
        <v>143</v>
      </c>
      <c r="AB3450">
        <v>4.2</v>
      </c>
    </row>
    <row r="3451" spans="10:28">
      <c r="J3451" s="340" t="str">
        <f t="shared" si="155"/>
        <v>2013AllSexMaori213</v>
      </c>
      <c r="K3451">
        <v>2013</v>
      </c>
      <c r="L3451" t="s">
        <v>17</v>
      </c>
      <c r="M3451" t="s">
        <v>18</v>
      </c>
      <c r="N3451">
        <v>21</v>
      </c>
      <c r="O3451">
        <v>3</v>
      </c>
      <c r="P3451">
        <v>0</v>
      </c>
      <c r="Q3451">
        <v>0</v>
      </c>
      <c r="T3451" s="340" t="str">
        <f t="shared" si="156"/>
        <v>2012MaleAllEth24Sharp object</v>
      </c>
      <c r="U3451">
        <v>2012</v>
      </c>
      <c r="V3451" t="s">
        <v>20</v>
      </c>
      <c r="W3451" t="s">
        <v>27</v>
      </c>
      <c r="X3451">
        <v>24</v>
      </c>
      <c r="Y3451" t="s">
        <v>48</v>
      </c>
      <c r="Z3451">
        <v>4</v>
      </c>
      <c r="AA3451">
        <v>105</v>
      </c>
      <c r="AB3451">
        <v>3.8</v>
      </c>
    </row>
    <row r="3452" spans="10:28">
      <c r="J3452" s="340" t="str">
        <f t="shared" si="155"/>
        <v>2013AllSexMaori214</v>
      </c>
      <c r="K3452">
        <v>2013</v>
      </c>
      <c r="L3452" t="s">
        <v>17</v>
      </c>
      <c r="M3452" t="s">
        <v>18</v>
      </c>
      <c r="N3452">
        <v>21</v>
      </c>
      <c r="O3452">
        <v>4</v>
      </c>
      <c r="P3452">
        <v>0</v>
      </c>
      <c r="Q3452">
        <v>0</v>
      </c>
      <c r="T3452" s="340" t="str">
        <f t="shared" si="156"/>
        <v>2012MaleAllEth25Sharp object</v>
      </c>
      <c r="U3452">
        <v>2012</v>
      </c>
      <c r="V3452" t="s">
        <v>20</v>
      </c>
      <c r="W3452" t="s">
        <v>27</v>
      </c>
      <c r="X3452">
        <v>25</v>
      </c>
      <c r="Y3452" t="s">
        <v>48</v>
      </c>
      <c r="Z3452">
        <v>3</v>
      </c>
      <c r="AA3452">
        <v>43</v>
      </c>
      <c r="AB3452">
        <v>7</v>
      </c>
    </row>
    <row r="3453" spans="10:28">
      <c r="J3453" s="340" t="str">
        <f t="shared" si="155"/>
        <v>2013AllSexMaori215</v>
      </c>
      <c r="K3453">
        <v>2013</v>
      </c>
      <c r="L3453" t="s">
        <v>17</v>
      </c>
      <c r="M3453" t="s">
        <v>18</v>
      </c>
      <c r="N3453">
        <v>21</v>
      </c>
      <c r="O3453">
        <v>5</v>
      </c>
      <c r="P3453">
        <v>1</v>
      </c>
      <c r="Q3453">
        <v>1.0297040000106701</v>
      </c>
      <c r="R3453">
        <v>2</v>
      </c>
      <c r="T3453" s="340" t="str">
        <f t="shared" si="156"/>
        <v>2012MaleAllEth23Submersion (drowning)</v>
      </c>
      <c r="U3453">
        <v>2012</v>
      </c>
      <c r="V3453" t="s">
        <v>20</v>
      </c>
      <c r="W3453" t="s">
        <v>27</v>
      </c>
      <c r="X3453">
        <v>23</v>
      </c>
      <c r="Y3453" t="s">
        <v>49</v>
      </c>
      <c r="Z3453">
        <v>1</v>
      </c>
      <c r="AA3453">
        <v>143</v>
      </c>
      <c r="AB3453">
        <v>0.7</v>
      </c>
    </row>
    <row r="3454" spans="10:28">
      <c r="J3454" s="340" t="str">
        <f t="shared" si="155"/>
        <v>2013AllSexMaori221</v>
      </c>
      <c r="K3454">
        <v>2013</v>
      </c>
      <c r="L3454" t="s">
        <v>17</v>
      </c>
      <c r="M3454" t="s">
        <v>18</v>
      </c>
      <c r="N3454">
        <v>22</v>
      </c>
      <c r="O3454">
        <v>1</v>
      </c>
      <c r="P3454">
        <v>1</v>
      </c>
      <c r="Q3454">
        <v>9.2896763072345703</v>
      </c>
      <c r="R3454">
        <v>18.2</v>
      </c>
      <c r="T3454" s="340" t="str">
        <f t="shared" si="156"/>
        <v>2012MaleAllEth24Submersion (drowning)</v>
      </c>
      <c r="U3454">
        <v>2012</v>
      </c>
      <c r="V3454" t="s">
        <v>20</v>
      </c>
      <c r="W3454" t="s">
        <v>27</v>
      </c>
      <c r="X3454">
        <v>24</v>
      </c>
      <c r="Y3454" t="s">
        <v>49</v>
      </c>
      <c r="Z3454">
        <v>1</v>
      </c>
      <c r="AA3454">
        <v>105</v>
      </c>
      <c r="AB3454">
        <v>1</v>
      </c>
    </row>
    <row r="3455" spans="10:28">
      <c r="J3455" s="340" t="str">
        <f t="shared" si="155"/>
        <v>2013AllSexMaori222</v>
      </c>
      <c r="K3455">
        <v>2013</v>
      </c>
      <c r="L3455" t="s">
        <v>17</v>
      </c>
      <c r="M3455" t="s">
        <v>18</v>
      </c>
      <c r="N3455">
        <v>22</v>
      </c>
      <c r="O3455">
        <v>2</v>
      </c>
      <c r="P3455">
        <v>2</v>
      </c>
      <c r="Q3455">
        <v>13.9507243933179</v>
      </c>
      <c r="R3455">
        <v>19.3</v>
      </c>
      <c r="T3455" s="340" t="str">
        <f t="shared" si="156"/>
        <v>2012MaleAllEth25Submersion (drowning)</v>
      </c>
      <c r="U3455">
        <v>2012</v>
      </c>
      <c r="V3455" t="s">
        <v>20</v>
      </c>
      <c r="W3455" t="s">
        <v>27</v>
      </c>
      <c r="X3455">
        <v>25</v>
      </c>
      <c r="Y3455" t="s">
        <v>49</v>
      </c>
      <c r="Z3455">
        <v>1</v>
      </c>
      <c r="AA3455">
        <v>43</v>
      </c>
      <c r="AB3455">
        <v>2.2999999999999998</v>
      </c>
    </row>
    <row r="3456" spans="10:28">
      <c r="J3456" s="340" t="str">
        <f t="shared" si="155"/>
        <v>2013AllSexMaori223</v>
      </c>
      <c r="K3456">
        <v>2013</v>
      </c>
      <c r="L3456" t="s">
        <v>17</v>
      </c>
      <c r="M3456" t="s">
        <v>18</v>
      </c>
      <c r="N3456">
        <v>22</v>
      </c>
      <c r="O3456">
        <v>3</v>
      </c>
      <c r="P3456">
        <v>5</v>
      </c>
      <c r="Q3456">
        <v>24.005034185946698</v>
      </c>
      <c r="R3456">
        <v>21</v>
      </c>
      <c r="T3456" s="340" t="str">
        <f t="shared" si="156"/>
        <v>2012MaleMaori21Firearms and explosives</v>
      </c>
      <c r="U3456">
        <v>2012</v>
      </c>
      <c r="V3456" t="s">
        <v>20</v>
      </c>
      <c r="W3456" t="s">
        <v>18</v>
      </c>
      <c r="X3456">
        <v>21</v>
      </c>
      <c r="Y3456" t="s">
        <v>42</v>
      </c>
      <c r="Z3456">
        <v>2</v>
      </c>
      <c r="AA3456">
        <v>4</v>
      </c>
      <c r="AB3456">
        <v>50</v>
      </c>
    </row>
    <row r="3457" spans="10:28">
      <c r="J3457" s="340" t="str">
        <f t="shared" si="155"/>
        <v>2013AllSexMaori224</v>
      </c>
      <c r="K3457">
        <v>2013</v>
      </c>
      <c r="L3457" t="s">
        <v>17</v>
      </c>
      <c r="M3457" t="s">
        <v>18</v>
      </c>
      <c r="N3457">
        <v>22</v>
      </c>
      <c r="O3457">
        <v>4</v>
      </c>
      <c r="P3457">
        <v>16</v>
      </c>
      <c r="Q3457">
        <v>53.186278354048</v>
      </c>
      <c r="R3457">
        <v>26.1</v>
      </c>
      <c r="T3457" s="340" t="str">
        <f t="shared" si="156"/>
        <v>2012MaleMaori22Firearms and explosives</v>
      </c>
      <c r="U3457">
        <v>2012</v>
      </c>
      <c r="V3457" t="s">
        <v>20</v>
      </c>
      <c r="W3457" t="s">
        <v>18</v>
      </c>
      <c r="X3457">
        <v>22</v>
      </c>
      <c r="Y3457" t="s">
        <v>42</v>
      </c>
      <c r="Z3457">
        <v>2</v>
      </c>
      <c r="AA3457">
        <v>37</v>
      </c>
      <c r="AB3457">
        <v>5.4</v>
      </c>
    </row>
    <row r="3458" spans="10:28">
      <c r="J3458" s="340" t="str">
        <f t="shared" si="155"/>
        <v>2013AllSexMaori225</v>
      </c>
      <c r="K3458">
        <v>2013</v>
      </c>
      <c r="L3458" t="s">
        <v>17</v>
      </c>
      <c r="M3458" t="s">
        <v>18</v>
      </c>
      <c r="N3458">
        <v>22</v>
      </c>
      <c r="O3458">
        <v>5</v>
      </c>
      <c r="P3458">
        <v>25</v>
      </c>
      <c r="Q3458">
        <v>48.316390623956998</v>
      </c>
      <c r="R3458">
        <v>18.899999999999999</v>
      </c>
      <c r="T3458" s="340" t="str">
        <f t="shared" si="156"/>
        <v>2012MaleMaori24Firearms and explosives</v>
      </c>
      <c r="U3458">
        <v>2012</v>
      </c>
      <c r="V3458" t="s">
        <v>20</v>
      </c>
      <c r="W3458" t="s">
        <v>18</v>
      </c>
      <c r="X3458">
        <v>24</v>
      </c>
      <c r="Y3458" t="s">
        <v>42</v>
      </c>
      <c r="Z3458">
        <v>1</v>
      </c>
      <c r="AA3458">
        <v>9</v>
      </c>
      <c r="AB3458">
        <v>11.1</v>
      </c>
    </row>
    <row r="3459" spans="10:28">
      <c r="J3459" s="340" t="str">
        <f t="shared" si="155"/>
        <v>2013AllSexMaori231</v>
      </c>
      <c r="K3459">
        <v>2013</v>
      </c>
      <c r="L3459" t="s">
        <v>17</v>
      </c>
      <c r="M3459" t="s">
        <v>18</v>
      </c>
      <c r="N3459">
        <v>23</v>
      </c>
      <c r="O3459">
        <v>1</v>
      </c>
      <c r="P3459">
        <v>1</v>
      </c>
      <c r="Q3459">
        <v>6.7310120843944397</v>
      </c>
      <c r="R3459">
        <v>13.2</v>
      </c>
      <c r="T3459" s="340" t="str">
        <f t="shared" si="156"/>
        <v>2012MaleMaori21Hanging, strangulation and suffocation</v>
      </c>
      <c r="U3459">
        <v>2012</v>
      </c>
      <c r="V3459" t="s">
        <v>20</v>
      </c>
      <c r="W3459" t="s">
        <v>18</v>
      </c>
      <c r="X3459">
        <v>21</v>
      </c>
      <c r="Y3459" t="s">
        <v>43</v>
      </c>
      <c r="Z3459">
        <v>2</v>
      </c>
      <c r="AA3459">
        <v>4</v>
      </c>
      <c r="AB3459">
        <v>50</v>
      </c>
    </row>
    <row r="3460" spans="10:28">
      <c r="J3460" s="340" t="str">
        <f t="shared" ref="J3460:J3523" si="157">K3460&amp;L3460&amp;M3460&amp;N3460&amp;O3460</f>
        <v>2013AllSexMaori232</v>
      </c>
      <c r="K3460">
        <v>2013</v>
      </c>
      <c r="L3460" t="s">
        <v>17</v>
      </c>
      <c r="M3460" t="s">
        <v>18</v>
      </c>
      <c r="N3460">
        <v>23</v>
      </c>
      <c r="O3460">
        <v>2</v>
      </c>
      <c r="P3460">
        <v>7</v>
      </c>
      <c r="Q3460">
        <v>33.9984487127305</v>
      </c>
      <c r="R3460">
        <v>25.2</v>
      </c>
      <c r="T3460" s="340" t="str">
        <f t="shared" si="156"/>
        <v>2012MaleMaori22Hanging, strangulation and suffocation</v>
      </c>
      <c r="U3460">
        <v>2012</v>
      </c>
      <c r="V3460" t="s">
        <v>20</v>
      </c>
      <c r="W3460" t="s">
        <v>18</v>
      </c>
      <c r="X3460">
        <v>22</v>
      </c>
      <c r="Y3460" t="s">
        <v>43</v>
      </c>
      <c r="Z3460">
        <v>35</v>
      </c>
      <c r="AA3460">
        <v>37</v>
      </c>
      <c r="AB3460">
        <v>94.6</v>
      </c>
    </row>
    <row r="3461" spans="10:28">
      <c r="J3461" s="340" t="str">
        <f t="shared" si="157"/>
        <v>2013AllSexMaori233</v>
      </c>
      <c r="K3461">
        <v>2013</v>
      </c>
      <c r="L3461" t="s">
        <v>17</v>
      </c>
      <c r="M3461" t="s">
        <v>18</v>
      </c>
      <c r="N3461">
        <v>23</v>
      </c>
      <c r="O3461">
        <v>3</v>
      </c>
      <c r="P3461">
        <v>4</v>
      </c>
      <c r="Q3461">
        <v>13.9602357370295</v>
      </c>
      <c r="R3461">
        <v>13.7</v>
      </c>
      <c r="T3461" s="340" t="str">
        <f t="shared" ref="T3461:T3524" si="158">U3461&amp;V3461&amp;W3461&amp;X3461&amp;Y3461</f>
        <v>2012MaleMaori23Hanging, strangulation and suffocation</v>
      </c>
      <c r="U3461">
        <v>2012</v>
      </c>
      <c r="V3461" t="s">
        <v>20</v>
      </c>
      <c r="W3461" t="s">
        <v>18</v>
      </c>
      <c r="X3461">
        <v>23</v>
      </c>
      <c r="Y3461" t="s">
        <v>43</v>
      </c>
      <c r="Z3461">
        <v>26</v>
      </c>
      <c r="AA3461">
        <v>30</v>
      </c>
      <c r="AB3461">
        <v>86.7</v>
      </c>
    </row>
    <row r="3462" spans="10:28">
      <c r="J3462" s="340" t="str">
        <f t="shared" si="157"/>
        <v>2013AllSexMaori234</v>
      </c>
      <c r="K3462">
        <v>2013</v>
      </c>
      <c r="L3462" t="s">
        <v>17</v>
      </c>
      <c r="M3462" t="s">
        <v>18</v>
      </c>
      <c r="N3462">
        <v>23</v>
      </c>
      <c r="O3462">
        <v>4</v>
      </c>
      <c r="P3462">
        <v>11</v>
      </c>
      <c r="Q3462">
        <v>27.828608458742099</v>
      </c>
      <c r="R3462">
        <v>16.399999999999999</v>
      </c>
      <c r="T3462" s="340" t="str">
        <f t="shared" si="158"/>
        <v>2012MaleMaori24Hanging, strangulation and suffocation</v>
      </c>
      <c r="U3462">
        <v>2012</v>
      </c>
      <c r="V3462" t="s">
        <v>20</v>
      </c>
      <c r="W3462" t="s">
        <v>18</v>
      </c>
      <c r="X3462">
        <v>24</v>
      </c>
      <c r="Y3462" t="s">
        <v>43</v>
      </c>
      <c r="Z3462">
        <v>6</v>
      </c>
      <c r="AA3462">
        <v>9</v>
      </c>
      <c r="AB3462">
        <v>66.7</v>
      </c>
    </row>
    <row r="3463" spans="10:28">
      <c r="J3463" s="340" t="str">
        <f t="shared" si="157"/>
        <v>2013AllSexMaori235</v>
      </c>
      <c r="K3463">
        <v>2013</v>
      </c>
      <c r="L3463" t="s">
        <v>17</v>
      </c>
      <c r="M3463" t="s">
        <v>18</v>
      </c>
      <c r="N3463">
        <v>23</v>
      </c>
      <c r="O3463">
        <v>5</v>
      </c>
      <c r="P3463">
        <v>20</v>
      </c>
      <c r="Q3463">
        <v>31.260382264808701</v>
      </c>
      <c r="R3463">
        <v>13.7</v>
      </c>
      <c r="T3463" s="340" t="str">
        <f t="shared" si="158"/>
        <v>2012MaleMaori25Hanging, strangulation and suffocation</v>
      </c>
      <c r="U3463">
        <v>2012</v>
      </c>
      <c r="V3463" t="s">
        <v>20</v>
      </c>
      <c r="W3463" t="s">
        <v>18</v>
      </c>
      <c r="X3463">
        <v>25</v>
      </c>
      <c r="Y3463" t="s">
        <v>43</v>
      </c>
      <c r="Z3463">
        <v>1</v>
      </c>
      <c r="AA3463">
        <v>1</v>
      </c>
      <c r="AB3463">
        <v>100</v>
      </c>
    </row>
    <row r="3464" spans="10:28">
      <c r="J3464" s="340" t="str">
        <f t="shared" si="157"/>
        <v>2013AllSexMaori241</v>
      </c>
      <c r="K3464">
        <v>2013</v>
      </c>
      <c r="L3464" t="s">
        <v>17</v>
      </c>
      <c r="M3464" t="s">
        <v>18</v>
      </c>
      <c r="N3464">
        <v>24</v>
      </c>
      <c r="O3464">
        <v>1</v>
      </c>
      <c r="P3464">
        <v>0</v>
      </c>
      <c r="Q3464">
        <v>0</v>
      </c>
      <c r="T3464" s="340" t="str">
        <f t="shared" si="158"/>
        <v>2012MaleMaori23Other</v>
      </c>
      <c r="U3464">
        <v>2012</v>
      </c>
      <c r="V3464" t="s">
        <v>20</v>
      </c>
      <c r="W3464" t="s">
        <v>18</v>
      </c>
      <c r="X3464">
        <v>23</v>
      </c>
      <c r="Y3464" t="s">
        <v>45</v>
      </c>
      <c r="Z3464">
        <v>2</v>
      </c>
      <c r="AA3464">
        <v>30</v>
      </c>
      <c r="AB3464">
        <v>6.7</v>
      </c>
    </row>
    <row r="3465" spans="10:28">
      <c r="J3465" s="340" t="str">
        <f t="shared" si="157"/>
        <v>2013AllSexMaori242</v>
      </c>
      <c r="K3465">
        <v>2013</v>
      </c>
      <c r="L3465" t="s">
        <v>17</v>
      </c>
      <c r="M3465" t="s">
        <v>18</v>
      </c>
      <c r="N3465">
        <v>24</v>
      </c>
      <c r="O3465">
        <v>2</v>
      </c>
      <c r="P3465">
        <v>0</v>
      </c>
      <c r="Q3465">
        <v>0</v>
      </c>
      <c r="T3465" s="340" t="str">
        <f t="shared" si="158"/>
        <v>2012MaleMaori24Poisoning by gases and vapours</v>
      </c>
      <c r="U3465">
        <v>2012</v>
      </c>
      <c r="V3465" t="s">
        <v>20</v>
      </c>
      <c r="W3465" t="s">
        <v>18</v>
      </c>
      <c r="X3465">
        <v>24</v>
      </c>
      <c r="Y3465" t="s">
        <v>46</v>
      </c>
      <c r="Z3465">
        <v>2</v>
      </c>
      <c r="AA3465">
        <v>9</v>
      </c>
      <c r="AB3465">
        <v>22.2</v>
      </c>
    </row>
    <row r="3466" spans="10:28">
      <c r="J3466" s="340" t="str">
        <f t="shared" si="157"/>
        <v>2013AllSexMaori243</v>
      </c>
      <c r="K3466">
        <v>2013</v>
      </c>
      <c r="L3466" t="s">
        <v>17</v>
      </c>
      <c r="M3466" t="s">
        <v>18</v>
      </c>
      <c r="N3466">
        <v>24</v>
      </c>
      <c r="O3466">
        <v>3</v>
      </c>
      <c r="P3466">
        <v>1</v>
      </c>
      <c r="Q3466">
        <v>4.8529122486929204</v>
      </c>
      <c r="R3466">
        <v>9.5</v>
      </c>
      <c r="T3466" s="340" t="str">
        <f t="shared" si="158"/>
        <v>2012MaleMaori23Poisoning by solids and liquids</v>
      </c>
      <c r="U3466">
        <v>2012</v>
      </c>
      <c r="V3466" t="s">
        <v>20</v>
      </c>
      <c r="W3466" t="s">
        <v>18</v>
      </c>
      <c r="X3466">
        <v>23</v>
      </c>
      <c r="Y3466" t="s">
        <v>47</v>
      </c>
      <c r="Z3466">
        <v>1</v>
      </c>
      <c r="AA3466">
        <v>30</v>
      </c>
      <c r="AB3466">
        <v>3.3</v>
      </c>
    </row>
    <row r="3467" spans="10:28">
      <c r="J3467" s="340" t="str">
        <f t="shared" si="157"/>
        <v>2013AllSexMaori244</v>
      </c>
      <c r="K3467">
        <v>2013</v>
      </c>
      <c r="L3467" t="s">
        <v>17</v>
      </c>
      <c r="M3467" t="s">
        <v>18</v>
      </c>
      <c r="N3467">
        <v>24</v>
      </c>
      <c r="O3467">
        <v>4</v>
      </c>
      <c r="P3467">
        <v>1</v>
      </c>
      <c r="Q3467">
        <v>3.4900935307622301</v>
      </c>
      <c r="R3467">
        <v>6.8</v>
      </c>
      <c r="T3467" s="340" t="str">
        <f t="shared" si="158"/>
        <v>2012MaleMaori23Sharp object</v>
      </c>
      <c r="U3467">
        <v>2012</v>
      </c>
      <c r="V3467" t="s">
        <v>20</v>
      </c>
      <c r="W3467" t="s">
        <v>18</v>
      </c>
      <c r="X3467">
        <v>23</v>
      </c>
      <c r="Y3467" t="s">
        <v>48</v>
      </c>
      <c r="Z3467">
        <v>1</v>
      </c>
      <c r="AA3467">
        <v>30</v>
      </c>
      <c r="AB3467">
        <v>3.3</v>
      </c>
    </row>
    <row r="3468" spans="10:28">
      <c r="J3468" s="340" t="str">
        <f t="shared" si="157"/>
        <v>2013AllSexMaori245</v>
      </c>
      <c r="K3468">
        <v>2013</v>
      </c>
      <c r="L3468" t="s">
        <v>17</v>
      </c>
      <c r="M3468" t="s">
        <v>18</v>
      </c>
      <c r="N3468">
        <v>24</v>
      </c>
      <c r="O3468">
        <v>5</v>
      </c>
      <c r="P3468">
        <v>8</v>
      </c>
      <c r="Q3468">
        <v>15.984178164732599</v>
      </c>
      <c r="R3468">
        <v>11.1</v>
      </c>
      <c r="T3468" s="340" t="str">
        <f t="shared" si="158"/>
        <v>2012MaleNon-Maori22Firearms and explosives</v>
      </c>
      <c r="U3468">
        <v>2012</v>
      </c>
      <c r="V3468" t="s">
        <v>20</v>
      </c>
      <c r="W3468" t="s">
        <v>19</v>
      </c>
      <c r="X3468">
        <v>22</v>
      </c>
      <c r="Y3468" t="s">
        <v>42</v>
      </c>
      <c r="Z3468">
        <v>7</v>
      </c>
      <c r="AA3468">
        <v>70</v>
      </c>
      <c r="AB3468">
        <v>10</v>
      </c>
    </row>
    <row r="3469" spans="10:28">
      <c r="J3469" s="340" t="str">
        <f t="shared" si="157"/>
        <v>2013AllSexMaori251</v>
      </c>
      <c r="K3469">
        <v>2013</v>
      </c>
      <c r="L3469" t="s">
        <v>17</v>
      </c>
      <c r="M3469" t="s">
        <v>18</v>
      </c>
      <c r="N3469">
        <v>25</v>
      </c>
      <c r="O3469">
        <v>1</v>
      </c>
      <c r="P3469">
        <v>0</v>
      </c>
      <c r="Q3469">
        <v>0</v>
      </c>
      <c r="T3469" s="340" t="str">
        <f t="shared" si="158"/>
        <v>2012MaleNon-Maori23Firearms and explosives</v>
      </c>
      <c r="U3469">
        <v>2012</v>
      </c>
      <c r="V3469" t="s">
        <v>20</v>
      </c>
      <c r="W3469" t="s">
        <v>19</v>
      </c>
      <c r="X3469">
        <v>23</v>
      </c>
      <c r="Y3469" t="s">
        <v>42</v>
      </c>
      <c r="Z3469">
        <v>10</v>
      </c>
      <c r="AA3469">
        <v>113</v>
      </c>
      <c r="AB3469">
        <v>8.8000000000000007</v>
      </c>
    </row>
    <row r="3470" spans="10:28">
      <c r="J3470" s="340" t="str">
        <f t="shared" si="157"/>
        <v>2013AllSexMaori252</v>
      </c>
      <c r="K3470">
        <v>2013</v>
      </c>
      <c r="L3470" t="s">
        <v>17</v>
      </c>
      <c r="M3470" t="s">
        <v>18</v>
      </c>
      <c r="N3470">
        <v>25</v>
      </c>
      <c r="O3470">
        <v>2</v>
      </c>
      <c r="P3470">
        <v>0</v>
      </c>
      <c r="Q3470">
        <v>0</v>
      </c>
      <c r="T3470" s="340" t="str">
        <f t="shared" si="158"/>
        <v>2012MaleNon-Maori24Firearms and explosives</v>
      </c>
      <c r="U3470">
        <v>2012</v>
      </c>
      <c r="V3470" t="s">
        <v>20</v>
      </c>
      <c r="W3470" t="s">
        <v>19</v>
      </c>
      <c r="X3470">
        <v>24</v>
      </c>
      <c r="Y3470" t="s">
        <v>42</v>
      </c>
      <c r="Z3470">
        <v>15</v>
      </c>
      <c r="AA3470">
        <v>96</v>
      </c>
      <c r="AB3470">
        <v>15.6</v>
      </c>
    </row>
    <row r="3471" spans="10:28">
      <c r="J3471" s="340" t="str">
        <f t="shared" si="157"/>
        <v>2013AllSexMaori253</v>
      </c>
      <c r="K3471">
        <v>2013</v>
      </c>
      <c r="L3471" t="s">
        <v>17</v>
      </c>
      <c r="M3471" t="s">
        <v>18</v>
      </c>
      <c r="N3471">
        <v>25</v>
      </c>
      <c r="O3471">
        <v>3</v>
      </c>
      <c r="P3471">
        <v>0</v>
      </c>
      <c r="Q3471">
        <v>0</v>
      </c>
      <c r="T3471" s="340" t="str">
        <f t="shared" si="158"/>
        <v>2012MaleNon-Maori25Firearms and explosives</v>
      </c>
      <c r="U3471">
        <v>2012</v>
      </c>
      <c r="V3471" t="s">
        <v>20</v>
      </c>
      <c r="W3471" t="s">
        <v>19</v>
      </c>
      <c r="X3471">
        <v>25</v>
      </c>
      <c r="Y3471" t="s">
        <v>42</v>
      </c>
      <c r="Z3471">
        <v>8</v>
      </c>
      <c r="AA3471">
        <v>42</v>
      </c>
      <c r="AB3471">
        <v>19</v>
      </c>
    </row>
    <row r="3472" spans="10:28">
      <c r="J3472" s="340" t="str">
        <f t="shared" si="157"/>
        <v>2013AllSexMaori254</v>
      </c>
      <c r="K3472">
        <v>2013</v>
      </c>
      <c r="L3472" t="s">
        <v>17</v>
      </c>
      <c r="M3472" t="s">
        <v>18</v>
      </c>
      <c r="N3472">
        <v>25</v>
      </c>
      <c r="O3472">
        <v>4</v>
      </c>
      <c r="P3472">
        <v>0</v>
      </c>
      <c r="Q3472">
        <v>0</v>
      </c>
      <c r="T3472" s="340" t="str">
        <f t="shared" si="158"/>
        <v>2012MaleNon-Maori21Hanging, strangulation and suffocation</v>
      </c>
      <c r="U3472">
        <v>2012</v>
      </c>
      <c r="V3472" t="s">
        <v>20</v>
      </c>
      <c r="W3472" t="s">
        <v>19</v>
      </c>
      <c r="X3472">
        <v>21</v>
      </c>
      <c r="Y3472" t="s">
        <v>43</v>
      </c>
      <c r="Z3472">
        <v>1</v>
      </c>
      <c r="AA3472">
        <v>2</v>
      </c>
      <c r="AB3472">
        <v>50</v>
      </c>
    </row>
    <row r="3473" spans="10:28">
      <c r="J3473" s="340" t="str">
        <f t="shared" si="157"/>
        <v>2013AllSexMaori255</v>
      </c>
      <c r="K3473">
        <v>2013</v>
      </c>
      <c r="L3473" t="s">
        <v>17</v>
      </c>
      <c r="M3473" t="s">
        <v>18</v>
      </c>
      <c r="N3473">
        <v>25</v>
      </c>
      <c r="O3473">
        <v>5</v>
      </c>
      <c r="P3473">
        <v>0</v>
      </c>
      <c r="Q3473">
        <v>0</v>
      </c>
      <c r="T3473" s="340" t="str">
        <f t="shared" si="158"/>
        <v>2012MaleNon-Maori22Hanging, strangulation and suffocation</v>
      </c>
      <c r="U3473">
        <v>2012</v>
      </c>
      <c r="V3473" t="s">
        <v>20</v>
      </c>
      <c r="W3473" t="s">
        <v>19</v>
      </c>
      <c r="X3473">
        <v>22</v>
      </c>
      <c r="Y3473" t="s">
        <v>43</v>
      </c>
      <c r="Z3473">
        <v>54</v>
      </c>
      <c r="AA3473">
        <v>70</v>
      </c>
      <c r="AB3473">
        <v>77.099999999999994</v>
      </c>
    </row>
    <row r="3474" spans="10:28">
      <c r="J3474" s="340" t="str">
        <f t="shared" si="157"/>
        <v>2013AllSexNon-Maori211</v>
      </c>
      <c r="K3474">
        <v>2013</v>
      </c>
      <c r="L3474" t="s">
        <v>17</v>
      </c>
      <c r="M3474" t="s">
        <v>19</v>
      </c>
      <c r="N3474">
        <v>21</v>
      </c>
      <c r="O3474">
        <v>1</v>
      </c>
      <c r="P3474">
        <v>0</v>
      </c>
      <c r="Q3474">
        <v>0</v>
      </c>
      <c r="T3474" s="340" t="str">
        <f t="shared" si="158"/>
        <v>2012MaleNon-Maori23Hanging, strangulation and suffocation</v>
      </c>
      <c r="U3474">
        <v>2012</v>
      </c>
      <c r="V3474" t="s">
        <v>20</v>
      </c>
      <c r="W3474" t="s">
        <v>19</v>
      </c>
      <c r="X3474">
        <v>23</v>
      </c>
      <c r="Y3474" t="s">
        <v>43</v>
      </c>
      <c r="Z3474">
        <v>64</v>
      </c>
      <c r="AA3474">
        <v>113</v>
      </c>
      <c r="AB3474">
        <v>56.6</v>
      </c>
    </row>
    <row r="3475" spans="10:28">
      <c r="J3475" s="340" t="str">
        <f t="shared" si="157"/>
        <v>2013AllSexNon-Maori212</v>
      </c>
      <c r="K3475">
        <v>2013</v>
      </c>
      <c r="L3475" t="s">
        <v>17</v>
      </c>
      <c r="M3475" t="s">
        <v>19</v>
      </c>
      <c r="N3475">
        <v>21</v>
      </c>
      <c r="O3475">
        <v>2</v>
      </c>
      <c r="P3475">
        <v>0</v>
      </c>
      <c r="Q3475">
        <v>0</v>
      </c>
      <c r="T3475" s="340" t="str">
        <f t="shared" si="158"/>
        <v>2012MaleNon-Maori24Hanging, strangulation and suffocation</v>
      </c>
      <c r="U3475">
        <v>2012</v>
      </c>
      <c r="V3475" t="s">
        <v>20</v>
      </c>
      <c r="W3475" t="s">
        <v>19</v>
      </c>
      <c r="X3475">
        <v>24</v>
      </c>
      <c r="Y3475" t="s">
        <v>43</v>
      </c>
      <c r="Z3475">
        <v>49</v>
      </c>
      <c r="AA3475">
        <v>96</v>
      </c>
      <c r="AB3475">
        <v>51</v>
      </c>
    </row>
    <row r="3476" spans="10:28">
      <c r="J3476" s="340" t="str">
        <f t="shared" si="157"/>
        <v>2013AllSexNon-Maori213</v>
      </c>
      <c r="K3476">
        <v>2013</v>
      </c>
      <c r="L3476" t="s">
        <v>17</v>
      </c>
      <c r="M3476" t="s">
        <v>19</v>
      </c>
      <c r="N3476">
        <v>21</v>
      </c>
      <c r="O3476">
        <v>3</v>
      </c>
      <c r="P3476">
        <v>0</v>
      </c>
      <c r="Q3476">
        <v>0</v>
      </c>
      <c r="T3476" s="340" t="str">
        <f t="shared" si="158"/>
        <v>2012MaleNon-Maori25Hanging, strangulation and suffocation</v>
      </c>
      <c r="U3476">
        <v>2012</v>
      </c>
      <c r="V3476" t="s">
        <v>20</v>
      </c>
      <c r="W3476" t="s">
        <v>19</v>
      </c>
      <c r="X3476">
        <v>25</v>
      </c>
      <c r="Y3476" t="s">
        <v>43</v>
      </c>
      <c r="Z3476">
        <v>16</v>
      </c>
      <c r="AA3476">
        <v>42</v>
      </c>
      <c r="AB3476">
        <v>38.1</v>
      </c>
    </row>
    <row r="3477" spans="10:28">
      <c r="J3477" s="340" t="str">
        <f t="shared" si="157"/>
        <v>2013AllSexNon-Maori214</v>
      </c>
      <c r="K3477">
        <v>2013</v>
      </c>
      <c r="L3477" t="s">
        <v>17</v>
      </c>
      <c r="M3477" t="s">
        <v>19</v>
      </c>
      <c r="N3477">
        <v>21</v>
      </c>
      <c r="O3477">
        <v>4</v>
      </c>
      <c r="P3477">
        <v>0</v>
      </c>
      <c r="Q3477">
        <v>0</v>
      </c>
      <c r="T3477" s="340" t="str">
        <f t="shared" si="158"/>
        <v>2012MaleNon-Maori22Jumping from a high place</v>
      </c>
      <c r="U3477">
        <v>2012</v>
      </c>
      <c r="V3477" t="s">
        <v>20</v>
      </c>
      <c r="W3477" t="s">
        <v>19</v>
      </c>
      <c r="X3477">
        <v>22</v>
      </c>
      <c r="Y3477" t="s">
        <v>44</v>
      </c>
      <c r="Z3477">
        <v>4</v>
      </c>
      <c r="AA3477">
        <v>70</v>
      </c>
      <c r="AB3477">
        <v>5.7</v>
      </c>
    </row>
    <row r="3478" spans="10:28">
      <c r="J3478" s="340" t="str">
        <f t="shared" si="157"/>
        <v>2013AllSexNon-Maori215</v>
      </c>
      <c r="K3478">
        <v>2013</v>
      </c>
      <c r="L3478" t="s">
        <v>17</v>
      </c>
      <c r="M3478" t="s">
        <v>19</v>
      </c>
      <c r="N3478">
        <v>21</v>
      </c>
      <c r="O3478">
        <v>5</v>
      </c>
      <c r="P3478">
        <v>1</v>
      </c>
      <c r="Q3478">
        <v>0.85180847804584103</v>
      </c>
      <c r="R3478">
        <v>1.7</v>
      </c>
      <c r="T3478" s="340" t="str">
        <f t="shared" si="158"/>
        <v>2012MaleNon-Maori23Jumping from a high place</v>
      </c>
      <c r="U3478">
        <v>2012</v>
      </c>
      <c r="V3478" t="s">
        <v>20</v>
      </c>
      <c r="W3478" t="s">
        <v>19</v>
      </c>
      <c r="X3478">
        <v>23</v>
      </c>
      <c r="Y3478" t="s">
        <v>44</v>
      </c>
      <c r="Z3478">
        <v>2</v>
      </c>
      <c r="AA3478">
        <v>113</v>
      </c>
      <c r="AB3478">
        <v>1.8</v>
      </c>
    </row>
    <row r="3479" spans="10:28">
      <c r="J3479" s="340" t="str">
        <f t="shared" si="157"/>
        <v>2013AllSexNon-Maori221</v>
      </c>
      <c r="K3479">
        <v>2013</v>
      </c>
      <c r="L3479" t="s">
        <v>17</v>
      </c>
      <c r="M3479" t="s">
        <v>19</v>
      </c>
      <c r="N3479">
        <v>22</v>
      </c>
      <c r="O3479">
        <v>1</v>
      </c>
      <c r="P3479">
        <v>7</v>
      </c>
      <c r="Q3479">
        <v>6.9992802905108098</v>
      </c>
      <c r="R3479">
        <v>5.2</v>
      </c>
      <c r="T3479" s="340" t="str">
        <f t="shared" si="158"/>
        <v>2012MaleNon-Maori24Jumping from a high place</v>
      </c>
      <c r="U3479">
        <v>2012</v>
      </c>
      <c r="V3479" t="s">
        <v>20</v>
      </c>
      <c r="W3479" t="s">
        <v>19</v>
      </c>
      <c r="X3479">
        <v>24</v>
      </c>
      <c r="Y3479" t="s">
        <v>44</v>
      </c>
      <c r="Z3479">
        <v>2</v>
      </c>
      <c r="AA3479">
        <v>96</v>
      </c>
      <c r="AB3479">
        <v>2.1</v>
      </c>
    </row>
    <row r="3480" spans="10:28">
      <c r="J3480" s="340" t="str">
        <f t="shared" si="157"/>
        <v>2013AllSexNon-Maori222</v>
      </c>
      <c r="K3480">
        <v>2013</v>
      </c>
      <c r="L3480" t="s">
        <v>17</v>
      </c>
      <c r="M3480" t="s">
        <v>19</v>
      </c>
      <c r="N3480">
        <v>22</v>
      </c>
      <c r="O3480">
        <v>2</v>
      </c>
      <c r="P3480">
        <v>9</v>
      </c>
      <c r="Q3480">
        <v>9.2034307738674492</v>
      </c>
      <c r="R3480">
        <v>6</v>
      </c>
      <c r="T3480" s="340" t="str">
        <f t="shared" si="158"/>
        <v>2012MaleNon-Maori25Jumping from a high place</v>
      </c>
      <c r="U3480">
        <v>2012</v>
      </c>
      <c r="V3480" t="s">
        <v>20</v>
      </c>
      <c r="W3480" t="s">
        <v>19</v>
      </c>
      <c r="X3480">
        <v>25</v>
      </c>
      <c r="Y3480" t="s">
        <v>44</v>
      </c>
      <c r="Z3480">
        <v>1</v>
      </c>
      <c r="AA3480">
        <v>42</v>
      </c>
      <c r="AB3480">
        <v>2.4</v>
      </c>
    </row>
    <row r="3481" spans="10:28">
      <c r="J3481" s="340" t="str">
        <f t="shared" si="157"/>
        <v>2013AllSexNon-Maori223</v>
      </c>
      <c r="K3481">
        <v>2013</v>
      </c>
      <c r="L3481" t="s">
        <v>17</v>
      </c>
      <c r="M3481" t="s">
        <v>19</v>
      </c>
      <c r="N3481">
        <v>22</v>
      </c>
      <c r="O3481">
        <v>3</v>
      </c>
      <c r="P3481">
        <v>12</v>
      </c>
      <c r="Q3481">
        <v>12.2436639003531</v>
      </c>
      <c r="R3481">
        <v>6.9</v>
      </c>
      <c r="T3481" s="340" t="str">
        <f t="shared" si="158"/>
        <v>2012MaleNon-Maori23Other</v>
      </c>
      <c r="U3481">
        <v>2012</v>
      </c>
      <c r="V3481" t="s">
        <v>20</v>
      </c>
      <c r="W3481" t="s">
        <v>19</v>
      </c>
      <c r="X3481">
        <v>23</v>
      </c>
      <c r="Y3481" t="s">
        <v>45</v>
      </c>
      <c r="Z3481">
        <v>7</v>
      </c>
      <c r="AA3481">
        <v>113</v>
      </c>
      <c r="AB3481">
        <v>6.2</v>
      </c>
    </row>
    <row r="3482" spans="10:28">
      <c r="J3482" s="340" t="str">
        <f t="shared" si="157"/>
        <v>2013AllSexNon-Maori224</v>
      </c>
      <c r="K3482">
        <v>2013</v>
      </c>
      <c r="L3482" t="s">
        <v>17</v>
      </c>
      <c r="M3482" t="s">
        <v>19</v>
      </c>
      <c r="N3482">
        <v>22</v>
      </c>
      <c r="O3482">
        <v>4</v>
      </c>
      <c r="P3482">
        <v>10</v>
      </c>
      <c r="Q3482">
        <v>9.6541318906508504</v>
      </c>
      <c r="R3482">
        <v>6</v>
      </c>
      <c r="T3482" s="340" t="str">
        <f t="shared" si="158"/>
        <v>2012MaleNon-Maori24Other</v>
      </c>
      <c r="U3482">
        <v>2012</v>
      </c>
      <c r="V3482" t="s">
        <v>20</v>
      </c>
      <c r="W3482" t="s">
        <v>19</v>
      </c>
      <c r="X3482">
        <v>24</v>
      </c>
      <c r="Y3482" t="s">
        <v>45</v>
      </c>
      <c r="Z3482">
        <v>3</v>
      </c>
      <c r="AA3482">
        <v>96</v>
      </c>
      <c r="AB3482">
        <v>3.1</v>
      </c>
    </row>
    <row r="3483" spans="10:28">
      <c r="J3483" s="340" t="str">
        <f t="shared" si="157"/>
        <v>2013AllSexNon-Maori225</v>
      </c>
      <c r="K3483">
        <v>2013</v>
      </c>
      <c r="L3483" t="s">
        <v>17</v>
      </c>
      <c r="M3483" t="s">
        <v>19</v>
      </c>
      <c r="N3483">
        <v>22</v>
      </c>
      <c r="O3483">
        <v>5</v>
      </c>
      <c r="P3483">
        <v>21</v>
      </c>
      <c r="Q3483">
        <v>20.957539326414398</v>
      </c>
      <c r="R3483">
        <v>9</v>
      </c>
      <c r="T3483" s="340" t="str">
        <f t="shared" si="158"/>
        <v>2012MaleNon-Maori25Other</v>
      </c>
      <c r="U3483">
        <v>2012</v>
      </c>
      <c r="V3483" t="s">
        <v>20</v>
      </c>
      <c r="W3483" t="s">
        <v>19</v>
      </c>
      <c r="X3483">
        <v>25</v>
      </c>
      <c r="Y3483" t="s">
        <v>45</v>
      </c>
      <c r="Z3483">
        <v>2</v>
      </c>
      <c r="AA3483">
        <v>42</v>
      </c>
      <c r="AB3483">
        <v>4.8</v>
      </c>
    </row>
    <row r="3484" spans="10:28">
      <c r="J3484" s="340" t="str">
        <f t="shared" si="157"/>
        <v>2013AllSexNon-Maori231</v>
      </c>
      <c r="K3484">
        <v>2013</v>
      </c>
      <c r="L3484" t="s">
        <v>17</v>
      </c>
      <c r="M3484" t="s">
        <v>19</v>
      </c>
      <c r="N3484">
        <v>23</v>
      </c>
      <c r="O3484">
        <v>1</v>
      </c>
      <c r="P3484">
        <v>16</v>
      </c>
      <c r="Q3484">
        <v>7.92482212342117</v>
      </c>
      <c r="R3484">
        <v>3.9</v>
      </c>
      <c r="T3484" s="340" t="str">
        <f t="shared" si="158"/>
        <v>2012MaleNon-Maori22Poisoning by gases and vapours</v>
      </c>
      <c r="U3484">
        <v>2012</v>
      </c>
      <c r="V3484" t="s">
        <v>20</v>
      </c>
      <c r="W3484" t="s">
        <v>19</v>
      </c>
      <c r="X3484">
        <v>22</v>
      </c>
      <c r="Y3484" t="s">
        <v>46</v>
      </c>
      <c r="Z3484">
        <v>2</v>
      </c>
      <c r="AA3484">
        <v>70</v>
      </c>
      <c r="AB3484">
        <v>2.9</v>
      </c>
    </row>
    <row r="3485" spans="10:28">
      <c r="J3485" s="340" t="str">
        <f t="shared" si="157"/>
        <v>2013AllSexNon-Maori232</v>
      </c>
      <c r="K3485">
        <v>2013</v>
      </c>
      <c r="L3485" t="s">
        <v>17</v>
      </c>
      <c r="M3485" t="s">
        <v>19</v>
      </c>
      <c r="N3485">
        <v>23</v>
      </c>
      <c r="O3485">
        <v>2</v>
      </c>
      <c r="P3485">
        <v>19</v>
      </c>
      <c r="Q3485">
        <v>8.9167043340166892</v>
      </c>
      <c r="R3485">
        <v>4</v>
      </c>
      <c r="T3485" s="340" t="str">
        <f t="shared" si="158"/>
        <v>2012MaleNon-Maori23Poisoning by gases and vapours</v>
      </c>
      <c r="U3485">
        <v>2012</v>
      </c>
      <c r="V3485" t="s">
        <v>20</v>
      </c>
      <c r="W3485" t="s">
        <v>19</v>
      </c>
      <c r="X3485">
        <v>23</v>
      </c>
      <c r="Y3485" t="s">
        <v>46</v>
      </c>
      <c r="Z3485">
        <v>16</v>
      </c>
      <c r="AA3485">
        <v>113</v>
      </c>
      <c r="AB3485">
        <v>14.2</v>
      </c>
    </row>
    <row r="3486" spans="10:28">
      <c r="J3486" s="340" t="str">
        <f t="shared" si="157"/>
        <v>2013AllSexNon-Maori233</v>
      </c>
      <c r="K3486">
        <v>2013</v>
      </c>
      <c r="L3486" t="s">
        <v>17</v>
      </c>
      <c r="M3486" t="s">
        <v>19</v>
      </c>
      <c r="N3486">
        <v>23</v>
      </c>
      <c r="O3486">
        <v>3</v>
      </c>
      <c r="P3486">
        <v>26</v>
      </c>
      <c r="Q3486">
        <v>12.4211070517624</v>
      </c>
      <c r="R3486">
        <v>4.8</v>
      </c>
      <c r="T3486" s="340" t="str">
        <f t="shared" si="158"/>
        <v>2012MaleNon-Maori24Poisoning by gases and vapours</v>
      </c>
      <c r="U3486">
        <v>2012</v>
      </c>
      <c r="V3486" t="s">
        <v>20</v>
      </c>
      <c r="W3486" t="s">
        <v>19</v>
      </c>
      <c r="X3486">
        <v>24</v>
      </c>
      <c r="Y3486" t="s">
        <v>46</v>
      </c>
      <c r="Z3486">
        <v>12</v>
      </c>
      <c r="AA3486">
        <v>96</v>
      </c>
      <c r="AB3486">
        <v>12.5</v>
      </c>
    </row>
    <row r="3487" spans="10:28">
      <c r="J3487" s="340" t="str">
        <f t="shared" si="157"/>
        <v>2013AllSexNon-Maori234</v>
      </c>
      <c r="K3487">
        <v>2013</v>
      </c>
      <c r="L3487" t="s">
        <v>17</v>
      </c>
      <c r="M3487" t="s">
        <v>19</v>
      </c>
      <c r="N3487">
        <v>23</v>
      </c>
      <c r="O3487">
        <v>4</v>
      </c>
      <c r="P3487">
        <v>21</v>
      </c>
      <c r="Q3487">
        <v>10.846440553566801</v>
      </c>
      <c r="R3487">
        <v>4.5999999999999996</v>
      </c>
      <c r="T3487" s="340" t="str">
        <f t="shared" si="158"/>
        <v>2012MaleNon-Maori25Poisoning by gases and vapours</v>
      </c>
      <c r="U3487">
        <v>2012</v>
      </c>
      <c r="V3487" t="s">
        <v>20</v>
      </c>
      <c r="W3487" t="s">
        <v>19</v>
      </c>
      <c r="X3487">
        <v>25</v>
      </c>
      <c r="Y3487" t="s">
        <v>46</v>
      </c>
      <c r="Z3487">
        <v>5</v>
      </c>
      <c r="AA3487">
        <v>42</v>
      </c>
      <c r="AB3487">
        <v>11.9</v>
      </c>
    </row>
    <row r="3488" spans="10:28">
      <c r="J3488" s="340" t="str">
        <f t="shared" si="157"/>
        <v>2013AllSexNon-Maori235</v>
      </c>
      <c r="K3488">
        <v>2013</v>
      </c>
      <c r="L3488" t="s">
        <v>17</v>
      </c>
      <c r="M3488" t="s">
        <v>19</v>
      </c>
      <c r="N3488">
        <v>23</v>
      </c>
      <c r="O3488">
        <v>5</v>
      </c>
      <c r="P3488">
        <v>26</v>
      </c>
      <c r="Q3488">
        <v>16.6670415811314</v>
      </c>
      <c r="R3488">
        <v>6.4</v>
      </c>
      <c r="T3488" s="340" t="str">
        <f t="shared" si="158"/>
        <v>2012MaleNon-Maori21Poisoning by solids and liquids</v>
      </c>
      <c r="U3488">
        <v>2012</v>
      </c>
      <c r="V3488" t="s">
        <v>20</v>
      </c>
      <c r="W3488" t="s">
        <v>19</v>
      </c>
      <c r="X3488">
        <v>21</v>
      </c>
      <c r="Y3488" t="s">
        <v>47</v>
      </c>
      <c r="Z3488">
        <v>1</v>
      </c>
      <c r="AA3488">
        <v>2</v>
      </c>
      <c r="AB3488">
        <v>50</v>
      </c>
    </row>
    <row r="3489" spans="10:28">
      <c r="J3489" s="340" t="str">
        <f t="shared" si="157"/>
        <v>2013AllSexNon-Maori241</v>
      </c>
      <c r="K3489">
        <v>2013</v>
      </c>
      <c r="L3489" t="s">
        <v>17</v>
      </c>
      <c r="M3489" t="s">
        <v>19</v>
      </c>
      <c r="N3489">
        <v>24</v>
      </c>
      <c r="O3489">
        <v>1</v>
      </c>
      <c r="P3489">
        <v>38</v>
      </c>
      <c r="Q3489">
        <v>14.370873980095</v>
      </c>
      <c r="R3489">
        <v>4.5999999999999996</v>
      </c>
      <c r="T3489" s="340" t="str">
        <f t="shared" si="158"/>
        <v>2012MaleNon-Maori22Poisoning by solids and liquids</v>
      </c>
      <c r="U3489">
        <v>2012</v>
      </c>
      <c r="V3489" t="s">
        <v>20</v>
      </c>
      <c r="W3489" t="s">
        <v>19</v>
      </c>
      <c r="X3489">
        <v>22</v>
      </c>
      <c r="Y3489" t="s">
        <v>47</v>
      </c>
      <c r="Z3489">
        <v>3</v>
      </c>
      <c r="AA3489">
        <v>70</v>
      </c>
      <c r="AB3489">
        <v>4.3</v>
      </c>
    </row>
    <row r="3490" spans="10:28">
      <c r="J3490" s="340" t="str">
        <f t="shared" si="157"/>
        <v>2013AllSexNon-Maori242</v>
      </c>
      <c r="K3490">
        <v>2013</v>
      </c>
      <c r="L3490" t="s">
        <v>17</v>
      </c>
      <c r="M3490" t="s">
        <v>19</v>
      </c>
      <c r="N3490">
        <v>24</v>
      </c>
      <c r="O3490">
        <v>2</v>
      </c>
      <c r="P3490">
        <v>35</v>
      </c>
      <c r="Q3490">
        <v>15.1083463503675</v>
      </c>
      <c r="R3490">
        <v>5</v>
      </c>
      <c r="T3490" s="340" t="str">
        <f t="shared" si="158"/>
        <v>2012MaleNon-Maori23Poisoning by solids and liquids</v>
      </c>
      <c r="U3490">
        <v>2012</v>
      </c>
      <c r="V3490" t="s">
        <v>20</v>
      </c>
      <c r="W3490" t="s">
        <v>19</v>
      </c>
      <c r="X3490">
        <v>23</v>
      </c>
      <c r="Y3490" t="s">
        <v>47</v>
      </c>
      <c r="Z3490">
        <v>8</v>
      </c>
      <c r="AA3490">
        <v>113</v>
      </c>
      <c r="AB3490">
        <v>7.1</v>
      </c>
    </row>
    <row r="3491" spans="10:28">
      <c r="J3491" s="340" t="str">
        <f t="shared" si="157"/>
        <v>2013AllSexNon-Maori243</v>
      </c>
      <c r="K3491">
        <v>2013</v>
      </c>
      <c r="L3491" t="s">
        <v>17</v>
      </c>
      <c r="M3491" t="s">
        <v>19</v>
      </c>
      <c r="N3491">
        <v>24</v>
      </c>
      <c r="O3491">
        <v>3</v>
      </c>
      <c r="P3491">
        <v>25</v>
      </c>
      <c r="Q3491">
        <v>12.2981627288944</v>
      </c>
      <c r="R3491">
        <v>4.8</v>
      </c>
      <c r="T3491" s="340" t="str">
        <f t="shared" si="158"/>
        <v>2012MaleNon-Maori24Poisoning by solids and liquids</v>
      </c>
      <c r="U3491">
        <v>2012</v>
      </c>
      <c r="V3491" t="s">
        <v>20</v>
      </c>
      <c r="W3491" t="s">
        <v>19</v>
      </c>
      <c r="X3491">
        <v>24</v>
      </c>
      <c r="Y3491" t="s">
        <v>47</v>
      </c>
      <c r="Z3491">
        <v>10</v>
      </c>
      <c r="AA3491">
        <v>96</v>
      </c>
      <c r="AB3491">
        <v>10.4</v>
      </c>
    </row>
    <row r="3492" spans="10:28">
      <c r="J3492" s="340" t="str">
        <f t="shared" si="157"/>
        <v>2013AllSexNon-Maori244</v>
      </c>
      <c r="K3492">
        <v>2013</v>
      </c>
      <c r="L3492" t="s">
        <v>17</v>
      </c>
      <c r="M3492" t="s">
        <v>19</v>
      </c>
      <c r="N3492">
        <v>24</v>
      </c>
      <c r="O3492">
        <v>4</v>
      </c>
      <c r="P3492">
        <v>34</v>
      </c>
      <c r="Q3492">
        <v>19.460496294607399</v>
      </c>
      <c r="R3492">
        <v>6.5</v>
      </c>
      <c r="T3492" s="340" t="str">
        <f t="shared" si="158"/>
        <v>2012MaleNon-Maori25Poisoning by solids and liquids</v>
      </c>
      <c r="U3492">
        <v>2012</v>
      </c>
      <c r="V3492" t="s">
        <v>20</v>
      </c>
      <c r="W3492" t="s">
        <v>19</v>
      </c>
      <c r="X3492">
        <v>25</v>
      </c>
      <c r="Y3492" t="s">
        <v>47</v>
      </c>
      <c r="Z3492">
        <v>6</v>
      </c>
      <c r="AA3492">
        <v>42</v>
      </c>
      <c r="AB3492">
        <v>14.3</v>
      </c>
    </row>
    <row r="3493" spans="10:28">
      <c r="J3493" s="340" t="str">
        <f t="shared" si="157"/>
        <v>2013AllSexNon-Maori245</v>
      </c>
      <c r="K3493">
        <v>2013</v>
      </c>
      <c r="L3493" t="s">
        <v>17</v>
      </c>
      <c r="M3493" t="s">
        <v>19</v>
      </c>
      <c r="N3493">
        <v>24</v>
      </c>
      <c r="O3493">
        <v>5</v>
      </c>
      <c r="P3493">
        <v>29</v>
      </c>
      <c r="Q3493">
        <v>21.1886205739807</v>
      </c>
      <c r="R3493">
        <v>7.7</v>
      </c>
      <c r="T3493" s="340" t="str">
        <f t="shared" si="158"/>
        <v>2012MaleNon-Maori23Sharp object</v>
      </c>
      <c r="U3493">
        <v>2012</v>
      </c>
      <c r="V3493" t="s">
        <v>20</v>
      </c>
      <c r="W3493" t="s">
        <v>19</v>
      </c>
      <c r="X3493">
        <v>23</v>
      </c>
      <c r="Y3493" t="s">
        <v>48</v>
      </c>
      <c r="Z3493">
        <v>5</v>
      </c>
      <c r="AA3493">
        <v>113</v>
      </c>
      <c r="AB3493">
        <v>4.4000000000000004</v>
      </c>
    </row>
    <row r="3494" spans="10:28">
      <c r="J3494" s="340" t="str">
        <f t="shared" si="157"/>
        <v>2013AllSexNon-Maori251</v>
      </c>
      <c r="K3494">
        <v>2013</v>
      </c>
      <c r="L3494" t="s">
        <v>17</v>
      </c>
      <c r="M3494" t="s">
        <v>19</v>
      </c>
      <c r="N3494">
        <v>25</v>
      </c>
      <c r="O3494">
        <v>1</v>
      </c>
      <c r="P3494">
        <v>9</v>
      </c>
      <c r="Q3494">
        <v>7.0852106014893197</v>
      </c>
      <c r="R3494">
        <v>4.5999999999999996</v>
      </c>
      <c r="T3494" s="340" t="str">
        <f t="shared" si="158"/>
        <v>2012MaleNon-Maori24Sharp object</v>
      </c>
      <c r="U3494">
        <v>2012</v>
      </c>
      <c r="V3494" t="s">
        <v>20</v>
      </c>
      <c r="W3494" t="s">
        <v>19</v>
      </c>
      <c r="X3494">
        <v>24</v>
      </c>
      <c r="Y3494" t="s">
        <v>48</v>
      </c>
      <c r="Z3494">
        <v>4</v>
      </c>
      <c r="AA3494">
        <v>96</v>
      </c>
      <c r="AB3494">
        <v>4.2</v>
      </c>
    </row>
    <row r="3495" spans="10:28">
      <c r="J3495" s="340" t="str">
        <f t="shared" si="157"/>
        <v>2013AllSexNon-Maori252</v>
      </c>
      <c r="K3495">
        <v>2013</v>
      </c>
      <c r="L3495" t="s">
        <v>17</v>
      </c>
      <c r="M3495" t="s">
        <v>19</v>
      </c>
      <c r="N3495">
        <v>25</v>
      </c>
      <c r="O3495">
        <v>2</v>
      </c>
      <c r="P3495">
        <v>11</v>
      </c>
      <c r="Q3495">
        <v>8.6637380503798802</v>
      </c>
      <c r="R3495">
        <v>5.0999999999999996</v>
      </c>
      <c r="T3495" s="340" t="str">
        <f t="shared" si="158"/>
        <v>2012MaleNon-Maori25Sharp object</v>
      </c>
      <c r="U3495">
        <v>2012</v>
      </c>
      <c r="V3495" t="s">
        <v>20</v>
      </c>
      <c r="W3495" t="s">
        <v>19</v>
      </c>
      <c r="X3495">
        <v>25</v>
      </c>
      <c r="Y3495" t="s">
        <v>48</v>
      </c>
      <c r="Z3495">
        <v>3</v>
      </c>
      <c r="AA3495">
        <v>42</v>
      </c>
      <c r="AB3495">
        <v>7.1</v>
      </c>
    </row>
    <row r="3496" spans="10:28">
      <c r="J3496" s="340" t="str">
        <f t="shared" si="157"/>
        <v>2013AllSexNon-Maori253</v>
      </c>
      <c r="K3496">
        <v>2013</v>
      </c>
      <c r="L3496" t="s">
        <v>17</v>
      </c>
      <c r="M3496" t="s">
        <v>19</v>
      </c>
      <c r="N3496">
        <v>25</v>
      </c>
      <c r="O3496">
        <v>3</v>
      </c>
      <c r="P3496">
        <v>24</v>
      </c>
      <c r="Q3496">
        <v>19.422309257811701</v>
      </c>
      <c r="R3496">
        <v>7.8</v>
      </c>
      <c r="T3496" s="340" t="str">
        <f t="shared" si="158"/>
        <v>2012MaleNon-Maori23Submersion (drowning)</v>
      </c>
      <c r="U3496">
        <v>2012</v>
      </c>
      <c r="V3496" t="s">
        <v>20</v>
      </c>
      <c r="W3496" t="s">
        <v>19</v>
      </c>
      <c r="X3496">
        <v>23</v>
      </c>
      <c r="Y3496" t="s">
        <v>49</v>
      </c>
      <c r="Z3496">
        <v>1</v>
      </c>
      <c r="AA3496">
        <v>113</v>
      </c>
      <c r="AB3496">
        <v>0.9</v>
      </c>
    </row>
    <row r="3497" spans="10:28">
      <c r="J3497" s="340" t="str">
        <f t="shared" si="157"/>
        <v>2013AllSexNon-Maori254</v>
      </c>
      <c r="K3497">
        <v>2013</v>
      </c>
      <c r="L3497" t="s">
        <v>17</v>
      </c>
      <c r="M3497" t="s">
        <v>19</v>
      </c>
      <c r="N3497">
        <v>25</v>
      </c>
      <c r="O3497">
        <v>4</v>
      </c>
      <c r="P3497">
        <v>6</v>
      </c>
      <c r="Q3497">
        <v>4.9230776207092903</v>
      </c>
      <c r="R3497">
        <v>3.9</v>
      </c>
      <c r="T3497" s="340" t="str">
        <f t="shared" si="158"/>
        <v>2012MaleNon-Maori24Submersion (drowning)</v>
      </c>
      <c r="U3497">
        <v>2012</v>
      </c>
      <c r="V3497" t="s">
        <v>20</v>
      </c>
      <c r="W3497" t="s">
        <v>19</v>
      </c>
      <c r="X3497">
        <v>24</v>
      </c>
      <c r="Y3497" t="s">
        <v>49</v>
      </c>
      <c r="Z3497">
        <v>1</v>
      </c>
      <c r="AA3497">
        <v>96</v>
      </c>
      <c r="AB3497">
        <v>1</v>
      </c>
    </row>
    <row r="3498" spans="10:28">
      <c r="J3498" s="340" t="str">
        <f t="shared" si="157"/>
        <v>2013AllSexNon-Maori255</v>
      </c>
      <c r="K3498">
        <v>2013</v>
      </c>
      <c r="L3498" t="s">
        <v>17</v>
      </c>
      <c r="M3498" t="s">
        <v>19</v>
      </c>
      <c r="N3498">
        <v>25</v>
      </c>
      <c r="O3498">
        <v>5</v>
      </c>
      <c r="P3498">
        <v>3</v>
      </c>
      <c r="Q3498">
        <v>3.3298260945235598</v>
      </c>
      <c r="R3498">
        <v>3.8</v>
      </c>
      <c r="T3498" s="340" t="str">
        <f t="shared" si="158"/>
        <v>2012MaleNon-Maori25Submersion (drowning)</v>
      </c>
      <c r="U3498">
        <v>2012</v>
      </c>
      <c r="V3498" t="s">
        <v>20</v>
      </c>
      <c r="W3498" t="s">
        <v>19</v>
      </c>
      <c r="X3498">
        <v>25</v>
      </c>
      <c r="Y3498" t="s">
        <v>49</v>
      </c>
      <c r="Z3498">
        <v>1</v>
      </c>
      <c r="AA3498">
        <v>42</v>
      </c>
      <c r="AB3498">
        <v>2.4</v>
      </c>
    </row>
    <row r="3499" spans="10:28">
      <c r="J3499" s="340" t="str">
        <f t="shared" si="157"/>
        <v>2013FemaleAllEth211</v>
      </c>
      <c r="K3499">
        <v>2013</v>
      </c>
      <c r="L3499" t="s">
        <v>8</v>
      </c>
      <c r="M3499" t="s">
        <v>27</v>
      </c>
      <c r="N3499">
        <v>21</v>
      </c>
      <c r="O3499">
        <v>1</v>
      </c>
      <c r="P3499">
        <v>0</v>
      </c>
      <c r="Q3499">
        <v>0</v>
      </c>
      <c r="T3499" s="340" t="str">
        <f t="shared" si="158"/>
        <v>2013AllSexAllEth22Firearms and explosives</v>
      </c>
      <c r="U3499">
        <v>2013</v>
      </c>
      <c r="V3499" t="s">
        <v>17</v>
      </c>
      <c r="W3499" t="s">
        <v>27</v>
      </c>
      <c r="X3499">
        <v>22</v>
      </c>
      <c r="Y3499" t="s">
        <v>42</v>
      </c>
      <c r="Z3499">
        <v>6</v>
      </c>
      <c r="AA3499">
        <v>111</v>
      </c>
      <c r="AB3499">
        <v>5.4</v>
      </c>
    </row>
    <row r="3500" spans="10:28">
      <c r="J3500" s="340" t="str">
        <f t="shared" si="157"/>
        <v>2013FemaleAllEth212</v>
      </c>
      <c r="K3500">
        <v>2013</v>
      </c>
      <c r="L3500" t="s">
        <v>8</v>
      </c>
      <c r="M3500" t="s">
        <v>27</v>
      </c>
      <c r="N3500">
        <v>21</v>
      </c>
      <c r="O3500">
        <v>2</v>
      </c>
      <c r="P3500">
        <v>0</v>
      </c>
      <c r="Q3500">
        <v>0</v>
      </c>
      <c r="T3500" s="340" t="str">
        <f t="shared" si="158"/>
        <v>2013AllSexAllEth23Firearms and explosives</v>
      </c>
      <c r="U3500">
        <v>2013</v>
      </c>
      <c r="V3500" t="s">
        <v>17</v>
      </c>
      <c r="W3500" t="s">
        <v>27</v>
      </c>
      <c r="X3500">
        <v>23</v>
      </c>
      <c r="Y3500" t="s">
        <v>42</v>
      </c>
      <c r="Z3500">
        <v>6</v>
      </c>
      <c r="AA3500">
        <v>161</v>
      </c>
      <c r="AB3500">
        <v>3.7</v>
      </c>
    </row>
    <row r="3501" spans="10:28">
      <c r="J3501" s="340" t="str">
        <f t="shared" si="157"/>
        <v>2013FemaleAllEth213</v>
      </c>
      <c r="K3501">
        <v>2013</v>
      </c>
      <c r="L3501" t="s">
        <v>8</v>
      </c>
      <c r="M3501" t="s">
        <v>27</v>
      </c>
      <c r="N3501">
        <v>21</v>
      </c>
      <c r="O3501">
        <v>3</v>
      </c>
      <c r="P3501">
        <v>0</v>
      </c>
      <c r="Q3501">
        <v>0</v>
      </c>
      <c r="T3501" s="340" t="str">
        <f t="shared" si="158"/>
        <v>2013AllSexAllEth24Firearms and explosives</v>
      </c>
      <c r="U3501">
        <v>2013</v>
      </c>
      <c r="V3501" t="s">
        <v>17</v>
      </c>
      <c r="W3501" t="s">
        <v>27</v>
      </c>
      <c r="X3501">
        <v>24</v>
      </c>
      <c r="Y3501" t="s">
        <v>42</v>
      </c>
      <c r="Z3501">
        <v>21</v>
      </c>
      <c r="AA3501">
        <v>183</v>
      </c>
      <c r="AB3501">
        <v>11.5</v>
      </c>
    </row>
    <row r="3502" spans="10:28">
      <c r="J3502" s="340" t="str">
        <f t="shared" si="157"/>
        <v>2013FemaleAllEth214</v>
      </c>
      <c r="K3502">
        <v>2013</v>
      </c>
      <c r="L3502" t="s">
        <v>8</v>
      </c>
      <c r="M3502" t="s">
        <v>27</v>
      </c>
      <c r="N3502">
        <v>21</v>
      </c>
      <c r="O3502">
        <v>4</v>
      </c>
      <c r="P3502">
        <v>0</v>
      </c>
      <c r="Q3502">
        <v>0</v>
      </c>
      <c r="T3502" s="340" t="str">
        <f t="shared" si="158"/>
        <v>2013AllSexAllEth25Firearms and explosives</v>
      </c>
      <c r="U3502">
        <v>2013</v>
      </c>
      <c r="V3502" t="s">
        <v>17</v>
      </c>
      <c r="W3502" t="s">
        <v>27</v>
      </c>
      <c r="X3502">
        <v>25</v>
      </c>
      <c r="Y3502" t="s">
        <v>42</v>
      </c>
      <c r="Z3502">
        <v>15</v>
      </c>
      <c r="AA3502">
        <v>56</v>
      </c>
      <c r="AB3502">
        <v>26.8</v>
      </c>
    </row>
    <row r="3503" spans="10:28">
      <c r="J3503" s="340" t="str">
        <f t="shared" si="157"/>
        <v>2013FemaleAllEth215</v>
      </c>
      <c r="K3503">
        <v>2013</v>
      </c>
      <c r="L3503" t="s">
        <v>8</v>
      </c>
      <c r="M3503" t="s">
        <v>27</v>
      </c>
      <c r="N3503">
        <v>21</v>
      </c>
      <c r="O3503">
        <v>5</v>
      </c>
      <c r="P3503">
        <v>2</v>
      </c>
      <c r="Q3503">
        <v>1.9169461863313799</v>
      </c>
      <c r="R3503">
        <v>2.7</v>
      </c>
      <c r="T3503" s="340" t="str">
        <f t="shared" si="158"/>
        <v>2013AllSexAllEth21Hanging, strangulation and suffocation</v>
      </c>
      <c r="U3503">
        <v>2013</v>
      </c>
      <c r="V3503" t="s">
        <v>17</v>
      </c>
      <c r="W3503" t="s">
        <v>27</v>
      </c>
      <c r="X3503">
        <v>21</v>
      </c>
      <c r="Y3503" t="s">
        <v>43</v>
      </c>
      <c r="Z3503">
        <v>1</v>
      </c>
      <c r="AA3503">
        <v>2</v>
      </c>
      <c r="AB3503">
        <v>50</v>
      </c>
    </row>
    <row r="3504" spans="10:28">
      <c r="J3504" s="340" t="str">
        <f t="shared" si="157"/>
        <v>2013FemaleAllEth221</v>
      </c>
      <c r="K3504">
        <v>2013</v>
      </c>
      <c r="L3504" t="s">
        <v>8</v>
      </c>
      <c r="M3504" t="s">
        <v>27</v>
      </c>
      <c r="N3504">
        <v>22</v>
      </c>
      <c r="O3504">
        <v>1</v>
      </c>
      <c r="P3504">
        <v>0</v>
      </c>
      <c r="Q3504">
        <v>0</v>
      </c>
      <c r="T3504" s="340" t="str">
        <f t="shared" si="158"/>
        <v>2013AllSexAllEth22Hanging, strangulation and suffocation</v>
      </c>
      <c r="U3504">
        <v>2013</v>
      </c>
      <c r="V3504" t="s">
        <v>17</v>
      </c>
      <c r="W3504" t="s">
        <v>27</v>
      </c>
      <c r="X3504">
        <v>22</v>
      </c>
      <c r="Y3504" t="s">
        <v>43</v>
      </c>
      <c r="Z3504">
        <v>91</v>
      </c>
      <c r="AA3504">
        <v>111</v>
      </c>
      <c r="AB3504">
        <v>82</v>
      </c>
    </row>
    <row r="3505" spans="10:28">
      <c r="J3505" s="340" t="str">
        <f t="shared" si="157"/>
        <v>2013FemaleAllEth222</v>
      </c>
      <c r="K3505">
        <v>2013</v>
      </c>
      <c r="L3505" t="s">
        <v>8</v>
      </c>
      <c r="M3505" t="s">
        <v>27</v>
      </c>
      <c r="N3505">
        <v>22</v>
      </c>
      <c r="O3505">
        <v>2</v>
      </c>
      <c r="P3505">
        <v>4</v>
      </c>
      <c r="Q3505">
        <v>7.40017972588333</v>
      </c>
      <c r="R3505">
        <v>7.3</v>
      </c>
      <c r="T3505" s="340" t="str">
        <f t="shared" si="158"/>
        <v>2013AllSexAllEth23Hanging, strangulation and suffocation</v>
      </c>
      <c r="U3505">
        <v>2013</v>
      </c>
      <c r="V3505" t="s">
        <v>17</v>
      </c>
      <c r="W3505" t="s">
        <v>27</v>
      </c>
      <c r="X3505">
        <v>23</v>
      </c>
      <c r="Y3505" t="s">
        <v>43</v>
      </c>
      <c r="Z3505">
        <v>109</v>
      </c>
      <c r="AA3505">
        <v>161</v>
      </c>
      <c r="AB3505">
        <v>67.7</v>
      </c>
    </row>
    <row r="3506" spans="10:28">
      <c r="J3506" s="340" t="str">
        <f t="shared" si="157"/>
        <v>2013FemaleAllEth223</v>
      </c>
      <c r="K3506">
        <v>2013</v>
      </c>
      <c r="L3506" t="s">
        <v>8</v>
      </c>
      <c r="M3506" t="s">
        <v>27</v>
      </c>
      <c r="N3506">
        <v>22</v>
      </c>
      <c r="O3506">
        <v>3</v>
      </c>
      <c r="P3506">
        <v>5</v>
      </c>
      <c r="Q3506">
        <v>8.6738693524011392</v>
      </c>
      <c r="R3506">
        <v>7.6</v>
      </c>
      <c r="T3506" s="340" t="str">
        <f t="shared" si="158"/>
        <v>2013AllSexAllEth24Hanging, strangulation and suffocation</v>
      </c>
      <c r="U3506">
        <v>2013</v>
      </c>
      <c r="V3506" t="s">
        <v>17</v>
      </c>
      <c r="W3506" t="s">
        <v>27</v>
      </c>
      <c r="X3506">
        <v>24</v>
      </c>
      <c r="Y3506" t="s">
        <v>43</v>
      </c>
      <c r="Z3506">
        <v>71</v>
      </c>
      <c r="AA3506">
        <v>183</v>
      </c>
      <c r="AB3506">
        <v>38.799999999999997</v>
      </c>
    </row>
    <row r="3507" spans="10:28">
      <c r="J3507" s="340" t="str">
        <f t="shared" si="157"/>
        <v>2013FemaleAllEth224</v>
      </c>
      <c r="K3507">
        <v>2013</v>
      </c>
      <c r="L3507" t="s">
        <v>8</v>
      </c>
      <c r="M3507" t="s">
        <v>27</v>
      </c>
      <c r="N3507">
        <v>22</v>
      </c>
      <c r="O3507">
        <v>4</v>
      </c>
      <c r="P3507">
        <v>13</v>
      </c>
      <c r="Q3507">
        <v>19.6143250639293</v>
      </c>
      <c r="R3507">
        <v>10.7</v>
      </c>
      <c r="T3507" s="340" t="str">
        <f t="shared" si="158"/>
        <v>2013AllSexAllEth25Hanging, strangulation and suffocation</v>
      </c>
      <c r="U3507">
        <v>2013</v>
      </c>
      <c r="V3507" t="s">
        <v>17</v>
      </c>
      <c r="W3507" t="s">
        <v>27</v>
      </c>
      <c r="X3507">
        <v>25</v>
      </c>
      <c r="Y3507" t="s">
        <v>43</v>
      </c>
      <c r="Z3507">
        <v>21</v>
      </c>
      <c r="AA3507">
        <v>56</v>
      </c>
      <c r="AB3507">
        <v>37.5</v>
      </c>
    </row>
    <row r="3508" spans="10:28">
      <c r="J3508" s="340" t="str">
        <f t="shared" si="157"/>
        <v>2013FemaleAllEth225</v>
      </c>
      <c r="K3508">
        <v>2013</v>
      </c>
      <c r="L3508" t="s">
        <v>8</v>
      </c>
      <c r="M3508" t="s">
        <v>27</v>
      </c>
      <c r="N3508">
        <v>22</v>
      </c>
      <c r="O3508">
        <v>5</v>
      </c>
      <c r="P3508">
        <v>16</v>
      </c>
      <c r="Q3508">
        <v>20.8489526463065</v>
      </c>
      <c r="R3508">
        <v>10.199999999999999</v>
      </c>
      <c r="T3508" s="340" t="str">
        <f t="shared" si="158"/>
        <v>2013AllSexAllEth22Jumping from a high place</v>
      </c>
      <c r="U3508">
        <v>2013</v>
      </c>
      <c r="V3508" t="s">
        <v>17</v>
      </c>
      <c r="W3508" t="s">
        <v>27</v>
      </c>
      <c r="X3508">
        <v>22</v>
      </c>
      <c r="Y3508" t="s">
        <v>44</v>
      </c>
      <c r="Z3508">
        <v>2</v>
      </c>
      <c r="AA3508">
        <v>111</v>
      </c>
      <c r="AB3508">
        <v>1.8</v>
      </c>
    </row>
    <row r="3509" spans="10:28">
      <c r="J3509" s="340" t="str">
        <f t="shared" si="157"/>
        <v>2013FemaleAllEth231</v>
      </c>
      <c r="K3509">
        <v>2013</v>
      </c>
      <c r="L3509" t="s">
        <v>8</v>
      </c>
      <c r="M3509" t="s">
        <v>27</v>
      </c>
      <c r="N3509">
        <v>23</v>
      </c>
      <c r="O3509">
        <v>1</v>
      </c>
      <c r="P3509">
        <v>6</v>
      </c>
      <c r="Q3509">
        <v>5.2453345098366304</v>
      </c>
      <c r="R3509">
        <v>4.2</v>
      </c>
      <c r="T3509" s="340" t="str">
        <f t="shared" si="158"/>
        <v>2013AllSexAllEth23Jumping from a high place</v>
      </c>
      <c r="U3509">
        <v>2013</v>
      </c>
      <c r="V3509" t="s">
        <v>17</v>
      </c>
      <c r="W3509" t="s">
        <v>27</v>
      </c>
      <c r="X3509">
        <v>23</v>
      </c>
      <c r="Y3509" t="s">
        <v>44</v>
      </c>
      <c r="Z3509">
        <v>3</v>
      </c>
      <c r="AA3509">
        <v>161</v>
      </c>
      <c r="AB3509">
        <v>1.9</v>
      </c>
    </row>
    <row r="3510" spans="10:28">
      <c r="J3510" s="340" t="str">
        <f t="shared" si="157"/>
        <v>2013FemaleAllEth232</v>
      </c>
      <c r="K3510">
        <v>2013</v>
      </c>
      <c r="L3510" t="s">
        <v>8</v>
      </c>
      <c r="M3510" t="s">
        <v>27</v>
      </c>
      <c r="N3510">
        <v>23</v>
      </c>
      <c r="O3510">
        <v>2</v>
      </c>
      <c r="P3510">
        <v>7</v>
      </c>
      <c r="Q3510">
        <v>5.7414229284004703</v>
      </c>
      <c r="R3510">
        <v>4.3</v>
      </c>
      <c r="T3510" s="340" t="str">
        <f t="shared" si="158"/>
        <v>2013AllSexAllEth24Jumping from a high place</v>
      </c>
      <c r="U3510">
        <v>2013</v>
      </c>
      <c r="V3510" t="s">
        <v>17</v>
      </c>
      <c r="W3510" t="s">
        <v>27</v>
      </c>
      <c r="X3510">
        <v>24</v>
      </c>
      <c r="Y3510" t="s">
        <v>44</v>
      </c>
      <c r="Z3510">
        <v>9</v>
      </c>
      <c r="AA3510">
        <v>183</v>
      </c>
      <c r="AB3510">
        <v>4.9000000000000004</v>
      </c>
    </row>
    <row r="3511" spans="10:28">
      <c r="J3511" s="340" t="str">
        <f t="shared" si="157"/>
        <v>2013FemaleAllEth233</v>
      </c>
      <c r="K3511">
        <v>2013</v>
      </c>
      <c r="L3511" t="s">
        <v>8</v>
      </c>
      <c r="M3511" t="s">
        <v>27</v>
      </c>
      <c r="N3511">
        <v>23</v>
      </c>
      <c r="O3511">
        <v>3</v>
      </c>
      <c r="P3511">
        <v>12</v>
      </c>
      <c r="Q3511">
        <v>9.7766300081995006</v>
      </c>
      <c r="R3511">
        <v>5.5</v>
      </c>
      <c r="T3511" s="340" t="str">
        <f t="shared" si="158"/>
        <v>2013AllSexAllEth21Other</v>
      </c>
      <c r="U3511">
        <v>2013</v>
      </c>
      <c r="V3511" t="s">
        <v>17</v>
      </c>
      <c r="W3511" t="s">
        <v>27</v>
      </c>
      <c r="X3511">
        <v>21</v>
      </c>
      <c r="Y3511" t="s">
        <v>45</v>
      </c>
      <c r="Z3511">
        <v>1</v>
      </c>
      <c r="AA3511">
        <v>2</v>
      </c>
      <c r="AB3511">
        <v>50</v>
      </c>
    </row>
    <row r="3512" spans="10:28">
      <c r="J3512" s="340" t="str">
        <f t="shared" si="157"/>
        <v>2013FemaleAllEth234</v>
      </c>
      <c r="K3512">
        <v>2013</v>
      </c>
      <c r="L3512" t="s">
        <v>8</v>
      </c>
      <c r="M3512" t="s">
        <v>27</v>
      </c>
      <c r="N3512">
        <v>23</v>
      </c>
      <c r="O3512">
        <v>4</v>
      </c>
      <c r="P3512">
        <v>4</v>
      </c>
      <c r="Q3512">
        <v>3.33637157936161</v>
      </c>
      <c r="R3512">
        <v>3.3</v>
      </c>
      <c r="T3512" s="340" t="str">
        <f t="shared" si="158"/>
        <v>2013AllSexAllEth22Other</v>
      </c>
      <c r="U3512">
        <v>2013</v>
      </c>
      <c r="V3512" t="s">
        <v>17</v>
      </c>
      <c r="W3512" t="s">
        <v>27</v>
      </c>
      <c r="X3512">
        <v>22</v>
      </c>
      <c r="Y3512" t="s">
        <v>45</v>
      </c>
      <c r="Z3512">
        <v>1</v>
      </c>
      <c r="AA3512">
        <v>111</v>
      </c>
      <c r="AB3512">
        <v>0.9</v>
      </c>
    </row>
    <row r="3513" spans="10:28">
      <c r="J3513" s="340" t="str">
        <f t="shared" si="157"/>
        <v>2013FemaleAllEth235</v>
      </c>
      <c r="K3513">
        <v>2013</v>
      </c>
      <c r="L3513" t="s">
        <v>8</v>
      </c>
      <c r="M3513" t="s">
        <v>27</v>
      </c>
      <c r="N3513">
        <v>23</v>
      </c>
      <c r="O3513">
        <v>5</v>
      </c>
      <c r="P3513">
        <v>14</v>
      </c>
      <c r="Q3513">
        <v>12.061766549540801</v>
      </c>
      <c r="R3513">
        <v>6.3</v>
      </c>
      <c r="T3513" s="340" t="str">
        <f t="shared" si="158"/>
        <v>2013AllSexAllEth23Other</v>
      </c>
      <c r="U3513">
        <v>2013</v>
      </c>
      <c r="V3513" t="s">
        <v>17</v>
      </c>
      <c r="W3513" t="s">
        <v>27</v>
      </c>
      <c r="X3513">
        <v>23</v>
      </c>
      <c r="Y3513" t="s">
        <v>45</v>
      </c>
      <c r="Z3513">
        <v>5</v>
      </c>
      <c r="AA3513">
        <v>161</v>
      </c>
      <c r="AB3513">
        <v>3.1</v>
      </c>
    </row>
    <row r="3514" spans="10:28">
      <c r="J3514" s="340" t="str">
        <f t="shared" si="157"/>
        <v>2013FemaleAllEth241</v>
      </c>
      <c r="K3514">
        <v>2013</v>
      </c>
      <c r="L3514" t="s">
        <v>8</v>
      </c>
      <c r="M3514" t="s">
        <v>27</v>
      </c>
      <c r="N3514">
        <v>24</v>
      </c>
      <c r="O3514">
        <v>1</v>
      </c>
      <c r="P3514">
        <v>11</v>
      </c>
      <c r="Q3514">
        <v>7.7765038116533596</v>
      </c>
      <c r="R3514">
        <v>4.5999999999999996</v>
      </c>
      <c r="T3514" s="340" t="str">
        <f t="shared" si="158"/>
        <v>2013AllSexAllEth24Other</v>
      </c>
      <c r="U3514">
        <v>2013</v>
      </c>
      <c r="V3514" t="s">
        <v>17</v>
      </c>
      <c r="W3514" t="s">
        <v>27</v>
      </c>
      <c r="X3514">
        <v>24</v>
      </c>
      <c r="Y3514" t="s">
        <v>45</v>
      </c>
      <c r="Z3514">
        <v>11</v>
      </c>
      <c r="AA3514">
        <v>183</v>
      </c>
      <c r="AB3514">
        <v>6</v>
      </c>
    </row>
    <row r="3515" spans="10:28">
      <c r="J3515" s="340" t="str">
        <f t="shared" si="157"/>
        <v>2013FemaleAllEth242</v>
      </c>
      <c r="K3515">
        <v>2013</v>
      </c>
      <c r="L3515" t="s">
        <v>8</v>
      </c>
      <c r="M3515" t="s">
        <v>27</v>
      </c>
      <c r="N3515">
        <v>24</v>
      </c>
      <c r="O3515">
        <v>2</v>
      </c>
      <c r="P3515">
        <v>15</v>
      </c>
      <c r="Q3515">
        <v>11.798920839515899</v>
      </c>
      <c r="R3515">
        <v>6</v>
      </c>
      <c r="T3515" s="340" t="str">
        <f t="shared" si="158"/>
        <v>2013AllSexAllEth25Other</v>
      </c>
      <c r="U3515">
        <v>2013</v>
      </c>
      <c r="V3515" t="s">
        <v>17</v>
      </c>
      <c r="W3515" t="s">
        <v>27</v>
      </c>
      <c r="X3515">
        <v>25</v>
      </c>
      <c r="Y3515" t="s">
        <v>45</v>
      </c>
      <c r="Z3515">
        <v>1</v>
      </c>
      <c r="AA3515">
        <v>56</v>
      </c>
      <c r="AB3515">
        <v>1.8</v>
      </c>
    </row>
    <row r="3516" spans="10:28">
      <c r="J3516" s="340" t="str">
        <f t="shared" si="157"/>
        <v>2013FemaleAllEth243</v>
      </c>
      <c r="K3516">
        <v>2013</v>
      </c>
      <c r="L3516" t="s">
        <v>8</v>
      </c>
      <c r="M3516" t="s">
        <v>27</v>
      </c>
      <c r="N3516">
        <v>24</v>
      </c>
      <c r="O3516">
        <v>3</v>
      </c>
      <c r="P3516">
        <v>4</v>
      </c>
      <c r="Q3516">
        <v>3.4583736384918198</v>
      </c>
      <c r="R3516">
        <v>3.4</v>
      </c>
      <c r="T3516" s="340" t="str">
        <f t="shared" si="158"/>
        <v>2013AllSexAllEth22Poisoning by gases and vapours</v>
      </c>
      <c r="U3516">
        <v>2013</v>
      </c>
      <c r="V3516" t="s">
        <v>17</v>
      </c>
      <c r="W3516" t="s">
        <v>27</v>
      </c>
      <c r="X3516">
        <v>22</v>
      </c>
      <c r="Y3516" t="s">
        <v>46</v>
      </c>
      <c r="Z3516">
        <v>3</v>
      </c>
      <c r="AA3516">
        <v>111</v>
      </c>
      <c r="AB3516">
        <v>2.7</v>
      </c>
    </row>
    <row r="3517" spans="10:28">
      <c r="J3517" s="340" t="str">
        <f t="shared" si="157"/>
        <v>2013FemaleAllEth244</v>
      </c>
      <c r="K3517">
        <v>2013</v>
      </c>
      <c r="L3517" t="s">
        <v>8</v>
      </c>
      <c r="M3517" t="s">
        <v>27</v>
      </c>
      <c r="N3517">
        <v>24</v>
      </c>
      <c r="O3517">
        <v>4</v>
      </c>
      <c r="P3517">
        <v>6</v>
      </c>
      <c r="Q3517">
        <v>5.7070886511796202</v>
      </c>
      <c r="R3517">
        <v>4.5999999999999996</v>
      </c>
      <c r="T3517" s="340" t="str">
        <f t="shared" si="158"/>
        <v>2013AllSexAllEth23Poisoning by gases and vapours</v>
      </c>
      <c r="U3517">
        <v>2013</v>
      </c>
      <c r="V3517" t="s">
        <v>17</v>
      </c>
      <c r="W3517" t="s">
        <v>27</v>
      </c>
      <c r="X3517">
        <v>23</v>
      </c>
      <c r="Y3517" t="s">
        <v>46</v>
      </c>
      <c r="Z3517">
        <v>16</v>
      </c>
      <c r="AA3517">
        <v>161</v>
      </c>
      <c r="AB3517">
        <v>9.9</v>
      </c>
    </row>
    <row r="3518" spans="10:28">
      <c r="J3518" s="340" t="str">
        <f t="shared" si="157"/>
        <v>2013FemaleAllEth245</v>
      </c>
      <c r="K3518">
        <v>2013</v>
      </c>
      <c r="L3518" t="s">
        <v>8</v>
      </c>
      <c r="M3518" t="s">
        <v>27</v>
      </c>
      <c r="N3518">
        <v>24</v>
      </c>
      <c r="O3518">
        <v>5</v>
      </c>
      <c r="P3518">
        <v>13</v>
      </c>
      <c r="Q3518">
        <v>13.372522640885901</v>
      </c>
      <c r="R3518">
        <v>7.3</v>
      </c>
      <c r="T3518" s="340" t="str">
        <f t="shared" si="158"/>
        <v>2013AllSexAllEth24Poisoning by gases and vapours</v>
      </c>
      <c r="U3518">
        <v>2013</v>
      </c>
      <c r="V3518" t="s">
        <v>17</v>
      </c>
      <c r="W3518" t="s">
        <v>27</v>
      </c>
      <c r="X3518">
        <v>24</v>
      </c>
      <c r="Y3518" t="s">
        <v>46</v>
      </c>
      <c r="Z3518">
        <v>23</v>
      </c>
      <c r="AA3518">
        <v>183</v>
      </c>
      <c r="AB3518">
        <v>12.6</v>
      </c>
    </row>
    <row r="3519" spans="10:28">
      <c r="J3519" s="340" t="str">
        <f t="shared" si="157"/>
        <v>2013FemaleAllEth251</v>
      </c>
      <c r="K3519">
        <v>2013</v>
      </c>
      <c r="L3519" t="s">
        <v>8</v>
      </c>
      <c r="M3519" t="s">
        <v>27</v>
      </c>
      <c r="N3519">
        <v>25</v>
      </c>
      <c r="O3519">
        <v>1</v>
      </c>
      <c r="P3519">
        <v>2</v>
      </c>
      <c r="Q3519">
        <v>2.9767843579902999</v>
      </c>
      <c r="R3519">
        <v>4.0999999999999996</v>
      </c>
      <c r="T3519" s="340" t="str">
        <f t="shared" si="158"/>
        <v>2013AllSexAllEth25Poisoning by gases and vapours</v>
      </c>
      <c r="U3519">
        <v>2013</v>
      </c>
      <c r="V3519" t="s">
        <v>17</v>
      </c>
      <c r="W3519" t="s">
        <v>27</v>
      </c>
      <c r="X3519">
        <v>25</v>
      </c>
      <c r="Y3519" t="s">
        <v>46</v>
      </c>
      <c r="Z3519">
        <v>3</v>
      </c>
      <c r="AA3519">
        <v>56</v>
      </c>
      <c r="AB3519">
        <v>5.4</v>
      </c>
    </row>
    <row r="3520" spans="10:28">
      <c r="J3520" s="340" t="str">
        <f t="shared" si="157"/>
        <v>2013FemaleAllEth252</v>
      </c>
      <c r="K3520">
        <v>2013</v>
      </c>
      <c r="L3520" t="s">
        <v>8</v>
      </c>
      <c r="M3520" t="s">
        <v>27</v>
      </c>
      <c r="N3520">
        <v>25</v>
      </c>
      <c r="O3520">
        <v>2</v>
      </c>
      <c r="P3520">
        <v>2</v>
      </c>
      <c r="Q3520">
        <v>2.89311280723261</v>
      </c>
      <c r="R3520">
        <v>4</v>
      </c>
      <c r="T3520" s="340" t="str">
        <f t="shared" si="158"/>
        <v>2013AllSexAllEth22Poisoning by solids and liquids</v>
      </c>
      <c r="U3520">
        <v>2013</v>
      </c>
      <c r="V3520" t="s">
        <v>17</v>
      </c>
      <c r="W3520" t="s">
        <v>27</v>
      </c>
      <c r="X3520">
        <v>22</v>
      </c>
      <c r="Y3520" t="s">
        <v>47</v>
      </c>
      <c r="Z3520">
        <v>5</v>
      </c>
      <c r="AA3520">
        <v>111</v>
      </c>
      <c r="AB3520">
        <v>4.5</v>
      </c>
    </row>
    <row r="3521" spans="10:28">
      <c r="J3521" s="340" t="str">
        <f t="shared" si="157"/>
        <v>2013FemaleAllEth253</v>
      </c>
      <c r="K3521">
        <v>2013</v>
      </c>
      <c r="L3521" t="s">
        <v>8</v>
      </c>
      <c r="M3521" t="s">
        <v>27</v>
      </c>
      <c r="N3521">
        <v>25</v>
      </c>
      <c r="O3521">
        <v>3</v>
      </c>
      <c r="P3521">
        <v>4</v>
      </c>
      <c r="Q3521">
        <v>5.72765779976696</v>
      </c>
      <c r="R3521">
        <v>5.6</v>
      </c>
      <c r="T3521" s="340" t="str">
        <f t="shared" si="158"/>
        <v>2013AllSexAllEth23Poisoning by solids and liquids</v>
      </c>
      <c r="U3521">
        <v>2013</v>
      </c>
      <c r="V3521" t="s">
        <v>17</v>
      </c>
      <c r="W3521" t="s">
        <v>27</v>
      </c>
      <c r="X3521">
        <v>23</v>
      </c>
      <c r="Y3521" t="s">
        <v>47</v>
      </c>
      <c r="Z3521">
        <v>17</v>
      </c>
      <c r="AA3521">
        <v>161</v>
      </c>
      <c r="AB3521">
        <v>10.6</v>
      </c>
    </row>
    <row r="3522" spans="10:28">
      <c r="J3522" s="340" t="str">
        <f t="shared" si="157"/>
        <v>2013FemaleAllEth254</v>
      </c>
      <c r="K3522">
        <v>2013</v>
      </c>
      <c r="L3522" t="s">
        <v>8</v>
      </c>
      <c r="M3522" t="s">
        <v>27</v>
      </c>
      <c r="N3522">
        <v>25</v>
      </c>
      <c r="O3522">
        <v>4</v>
      </c>
      <c r="P3522">
        <v>0</v>
      </c>
      <c r="Q3522">
        <v>0</v>
      </c>
      <c r="T3522" s="340" t="str">
        <f t="shared" si="158"/>
        <v>2013AllSexAllEth24Poisoning by solids and liquids</v>
      </c>
      <c r="U3522">
        <v>2013</v>
      </c>
      <c r="V3522" t="s">
        <v>17</v>
      </c>
      <c r="W3522" t="s">
        <v>27</v>
      </c>
      <c r="X3522">
        <v>24</v>
      </c>
      <c r="Y3522" t="s">
        <v>47</v>
      </c>
      <c r="Z3522">
        <v>35</v>
      </c>
      <c r="AA3522">
        <v>183</v>
      </c>
      <c r="AB3522">
        <v>19.100000000000001</v>
      </c>
    </row>
    <row r="3523" spans="10:28">
      <c r="J3523" s="340" t="str">
        <f t="shared" si="157"/>
        <v>2013FemaleAllEth255</v>
      </c>
      <c r="K3523">
        <v>2013</v>
      </c>
      <c r="L3523" t="s">
        <v>8</v>
      </c>
      <c r="M3523" t="s">
        <v>27</v>
      </c>
      <c r="N3523">
        <v>25</v>
      </c>
      <c r="O3523">
        <v>5</v>
      </c>
      <c r="P3523">
        <v>0</v>
      </c>
      <c r="Q3523">
        <v>0</v>
      </c>
      <c r="T3523" s="340" t="str">
        <f t="shared" si="158"/>
        <v>2013AllSexAllEth25Poisoning by solids and liquids</v>
      </c>
      <c r="U3523">
        <v>2013</v>
      </c>
      <c r="V3523" t="s">
        <v>17</v>
      </c>
      <c r="W3523" t="s">
        <v>27</v>
      </c>
      <c r="X3523">
        <v>25</v>
      </c>
      <c r="Y3523" t="s">
        <v>47</v>
      </c>
      <c r="Z3523">
        <v>12</v>
      </c>
      <c r="AA3523">
        <v>56</v>
      </c>
      <c r="AB3523">
        <v>21.4</v>
      </c>
    </row>
    <row r="3524" spans="10:28">
      <c r="J3524" s="340" t="str">
        <f t="shared" ref="J3524:J3587" si="159">K3524&amp;L3524&amp;M3524&amp;N3524&amp;O3524</f>
        <v>2013FemaleMaori211</v>
      </c>
      <c r="K3524">
        <v>2013</v>
      </c>
      <c r="L3524" t="s">
        <v>8</v>
      </c>
      <c r="M3524" t="s">
        <v>18</v>
      </c>
      <c r="N3524">
        <v>21</v>
      </c>
      <c r="O3524">
        <v>1</v>
      </c>
      <c r="P3524">
        <v>0</v>
      </c>
      <c r="Q3524">
        <v>0</v>
      </c>
      <c r="T3524" s="340" t="str">
        <f t="shared" si="158"/>
        <v>2013AllSexAllEth23Sharp object</v>
      </c>
      <c r="U3524">
        <v>2013</v>
      </c>
      <c r="V3524" t="s">
        <v>17</v>
      </c>
      <c r="W3524" t="s">
        <v>27</v>
      </c>
      <c r="X3524">
        <v>23</v>
      </c>
      <c r="Y3524" t="s">
        <v>48</v>
      </c>
      <c r="Z3524">
        <v>3</v>
      </c>
      <c r="AA3524">
        <v>161</v>
      </c>
      <c r="AB3524">
        <v>1.9</v>
      </c>
    </row>
    <row r="3525" spans="10:28">
      <c r="J3525" s="340" t="str">
        <f t="shared" si="159"/>
        <v>2013FemaleMaori212</v>
      </c>
      <c r="K3525">
        <v>2013</v>
      </c>
      <c r="L3525" t="s">
        <v>8</v>
      </c>
      <c r="M3525" t="s">
        <v>18</v>
      </c>
      <c r="N3525">
        <v>21</v>
      </c>
      <c r="O3525">
        <v>2</v>
      </c>
      <c r="P3525">
        <v>0</v>
      </c>
      <c r="Q3525">
        <v>0</v>
      </c>
      <c r="T3525" s="340" t="str">
        <f t="shared" ref="T3525:T3588" si="160">U3525&amp;V3525&amp;W3525&amp;X3525&amp;Y3525</f>
        <v>2013AllSexAllEth24Sharp object</v>
      </c>
      <c r="U3525">
        <v>2013</v>
      </c>
      <c r="V3525" t="s">
        <v>17</v>
      </c>
      <c r="W3525" t="s">
        <v>27</v>
      </c>
      <c r="X3525">
        <v>24</v>
      </c>
      <c r="Y3525" t="s">
        <v>48</v>
      </c>
      <c r="Z3525">
        <v>6</v>
      </c>
      <c r="AA3525">
        <v>183</v>
      </c>
      <c r="AB3525">
        <v>3.3</v>
      </c>
    </row>
    <row r="3526" spans="10:28">
      <c r="J3526" s="340" t="str">
        <f t="shared" si="159"/>
        <v>2013FemaleMaori213</v>
      </c>
      <c r="K3526">
        <v>2013</v>
      </c>
      <c r="L3526" t="s">
        <v>8</v>
      </c>
      <c r="M3526" t="s">
        <v>18</v>
      </c>
      <c r="N3526">
        <v>21</v>
      </c>
      <c r="O3526">
        <v>3</v>
      </c>
      <c r="P3526">
        <v>0</v>
      </c>
      <c r="Q3526">
        <v>0</v>
      </c>
      <c r="T3526" s="340" t="str">
        <f t="shared" si="160"/>
        <v>2013AllSexAllEth25Sharp object</v>
      </c>
      <c r="U3526">
        <v>2013</v>
      </c>
      <c r="V3526" t="s">
        <v>17</v>
      </c>
      <c r="W3526" t="s">
        <v>27</v>
      </c>
      <c r="X3526">
        <v>25</v>
      </c>
      <c r="Y3526" t="s">
        <v>48</v>
      </c>
      <c r="Z3526">
        <v>1</v>
      </c>
      <c r="AA3526">
        <v>56</v>
      </c>
      <c r="AB3526">
        <v>1.8</v>
      </c>
    </row>
    <row r="3527" spans="10:28">
      <c r="J3527" s="340" t="str">
        <f t="shared" si="159"/>
        <v>2013FemaleMaori214</v>
      </c>
      <c r="K3527">
        <v>2013</v>
      </c>
      <c r="L3527" t="s">
        <v>8</v>
      </c>
      <c r="M3527" t="s">
        <v>18</v>
      </c>
      <c r="N3527">
        <v>21</v>
      </c>
      <c r="O3527">
        <v>4</v>
      </c>
      <c r="P3527">
        <v>0</v>
      </c>
      <c r="Q3527">
        <v>0</v>
      </c>
      <c r="T3527" s="340" t="str">
        <f t="shared" si="160"/>
        <v>2013AllSexAllEth22Submersion (drowning)</v>
      </c>
      <c r="U3527">
        <v>2013</v>
      </c>
      <c r="V3527" t="s">
        <v>17</v>
      </c>
      <c r="W3527" t="s">
        <v>27</v>
      </c>
      <c r="X3527">
        <v>22</v>
      </c>
      <c r="Y3527" t="s">
        <v>49</v>
      </c>
      <c r="Z3527">
        <v>3</v>
      </c>
      <c r="AA3527">
        <v>111</v>
      </c>
      <c r="AB3527">
        <v>2.7</v>
      </c>
    </row>
    <row r="3528" spans="10:28">
      <c r="J3528" s="340" t="str">
        <f t="shared" si="159"/>
        <v>2013FemaleMaori215</v>
      </c>
      <c r="K3528">
        <v>2013</v>
      </c>
      <c r="L3528" t="s">
        <v>8</v>
      </c>
      <c r="M3528" t="s">
        <v>18</v>
      </c>
      <c r="N3528">
        <v>21</v>
      </c>
      <c r="O3528">
        <v>5</v>
      </c>
      <c r="P3528">
        <v>1</v>
      </c>
      <c r="Q3528">
        <v>2.1206033227483001</v>
      </c>
      <c r="R3528">
        <v>4.2</v>
      </c>
      <c r="T3528" s="340" t="str">
        <f t="shared" si="160"/>
        <v>2013AllSexAllEth23Submersion (drowning)</v>
      </c>
      <c r="U3528">
        <v>2013</v>
      </c>
      <c r="V3528" t="s">
        <v>17</v>
      </c>
      <c r="W3528" t="s">
        <v>27</v>
      </c>
      <c r="X3528">
        <v>23</v>
      </c>
      <c r="Y3528" t="s">
        <v>49</v>
      </c>
      <c r="Z3528">
        <v>2</v>
      </c>
      <c r="AA3528">
        <v>161</v>
      </c>
      <c r="AB3528">
        <v>1.2</v>
      </c>
    </row>
    <row r="3529" spans="10:28">
      <c r="J3529" s="340" t="str">
        <f t="shared" si="159"/>
        <v>2013FemaleMaori221</v>
      </c>
      <c r="K3529">
        <v>2013</v>
      </c>
      <c r="L3529" t="s">
        <v>8</v>
      </c>
      <c r="M3529" t="s">
        <v>18</v>
      </c>
      <c r="N3529">
        <v>22</v>
      </c>
      <c r="O3529">
        <v>1</v>
      </c>
      <c r="P3529">
        <v>0</v>
      </c>
      <c r="Q3529">
        <v>0</v>
      </c>
      <c r="T3529" s="340" t="str">
        <f t="shared" si="160"/>
        <v>2013AllSexAllEth24Submersion (drowning)</v>
      </c>
      <c r="U3529">
        <v>2013</v>
      </c>
      <c r="V3529" t="s">
        <v>17</v>
      </c>
      <c r="W3529" t="s">
        <v>27</v>
      </c>
      <c r="X3529">
        <v>24</v>
      </c>
      <c r="Y3529" t="s">
        <v>49</v>
      </c>
      <c r="Z3529">
        <v>7</v>
      </c>
      <c r="AA3529">
        <v>183</v>
      </c>
      <c r="AB3529">
        <v>3.8</v>
      </c>
    </row>
    <row r="3530" spans="10:28">
      <c r="J3530" s="340" t="str">
        <f t="shared" si="159"/>
        <v>2013FemaleMaori222</v>
      </c>
      <c r="K3530">
        <v>2013</v>
      </c>
      <c r="L3530" t="s">
        <v>8</v>
      </c>
      <c r="M3530" t="s">
        <v>18</v>
      </c>
      <c r="N3530">
        <v>22</v>
      </c>
      <c r="O3530">
        <v>2</v>
      </c>
      <c r="P3530">
        <v>1</v>
      </c>
      <c r="Q3530">
        <v>14.442966166659099</v>
      </c>
      <c r="R3530">
        <v>28.3</v>
      </c>
      <c r="T3530" s="340" t="str">
        <f t="shared" si="160"/>
        <v>2013AllSexAllEth25Submersion (drowning)</v>
      </c>
      <c r="U3530">
        <v>2013</v>
      </c>
      <c r="V3530" t="s">
        <v>17</v>
      </c>
      <c r="W3530" t="s">
        <v>27</v>
      </c>
      <c r="X3530">
        <v>25</v>
      </c>
      <c r="Y3530" t="s">
        <v>49</v>
      </c>
      <c r="Z3530">
        <v>3</v>
      </c>
      <c r="AA3530">
        <v>56</v>
      </c>
      <c r="AB3530">
        <v>5.4</v>
      </c>
    </row>
    <row r="3531" spans="10:28">
      <c r="J3531" s="340" t="str">
        <f t="shared" si="159"/>
        <v>2013FemaleMaori223</v>
      </c>
      <c r="K3531">
        <v>2013</v>
      </c>
      <c r="L3531" t="s">
        <v>8</v>
      </c>
      <c r="M3531" t="s">
        <v>18</v>
      </c>
      <c r="N3531">
        <v>22</v>
      </c>
      <c r="O3531">
        <v>3</v>
      </c>
      <c r="P3531">
        <v>1</v>
      </c>
      <c r="Q3531">
        <v>9.8081977385925807</v>
      </c>
      <c r="R3531">
        <v>19.2</v>
      </c>
      <c r="T3531" s="340" t="str">
        <f t="shared" si="160"/>
        <v>2013AllSexMaori22Firearms and explosives</v>
      </c>
      <c r="U3531">
        <v>2013</v>
      </c>
      <c r="V3531" t="s">
        <v>17</v>
      </c>
      <c r="W3531" t="s">
        <v>18</v>
      </c>
      <c r="X3531">
        <v>22</v>
      </c>
      <c r="Y3531" t="s">
        <v>42</v>
      </c>
      <c r="Z3531">
        <v>2</v>
      </c>
      <c r="AA3531">
        <v>49</v>
      </c>
      <c r="AB3531">
        <v>4.0999999999999996</v>
      </c>
    </row>
    <row r="3532" spans="10:28">
      <c r="J3532" s="340" t="str">
        <f t="shared" si="159"/>
        <v>2013FemaleMaori224</v>
      </c>
      <c r="K3532">
        <v>2013</v>
      </c>
      <c r="L3532" t="s">
        <v>8</v>
      </c>
      <c r="M3532" t="s">
        <v>18</v>
      </c>
      <c r="N3532">
        <v>22</v>
      </c>
      <c r="O3532">
        <v>4</v>
      </c>
      <c r="P3532">
        <v>8</v>
      </c>
      <c r="Q3532">
        <v>53.0215245193301</v>
      </c>
      <c r="R3532">
        <v>36.700000000000003</v>
      </c>
      <c r="T3532" s="340" t="str">
        <f t="shared" si="160"/>
        <v>2013AllSexMaori21Hanging, strangulation and suffocation</v>
      </c>
      <c r="U3532">
        <v>2013</v>
      </c>
      <c r="V3532" t="s">
        <v>17</v>
      </c>
      <c r="W3532" t="s">
        <v>18</v>
      </c>
      <c r="X3532">
        <v>21</v>
      </c>
      <c r="Y3532" t="s">
        <v>43</v>
      </c>
      <c r="Z3532">
        <v>1</v>
      </c>
      <c r="AA3532">
        <v>1</v>
      </c>
      <c r="AB3532">
        <v>100</v>
      </c>
    </row>
    <row r="3533" spans="10:28">
      <c r="J3533" s="340" t="str">
        <f t="shared" si="159"/>
        <v>2013FemaleMaori225</v>
      </c>
      <c r="K3533">
        <v>2013</v>
      </c>
      <c r="L3533" t="s">
        <v>8</v>
      </c>
      <c r="M3533" t="s">
        <v>18</v>
      </c>
      <c r="N3533">
        <v>22</v>
      </c>
      <c r="O3533">
        <v>5</v>
      </c>
      <c r="P3533">
        <v>10</v>
      </c>
      <c r="Q3533">
        <v>37.320972034967298</v>
      </c>
      <c r="R3533">
        <v>23.1</v>
      </c>
      <c r="T3533" s="340" t="str">
        <f t="shared" si="160"/>
        <v>2013AllSexMaori22Hanging, strangulation and suffocation</v>
      </c>
      <c r="U3533">
        <v>2013</v>
      </c>
      <c r="V3533" t="s">
        <v>17</v>
      </c>
      <c r="W3533" t="s">
        <v>18</v>
      </c>
      <c r="X3533">
        <v>22</v>
      </c>
      <c r="Y3533" t="s">
        <v>43</v>
      </c>
      <c r="Z3533">
        <v>42</v>
      </c>
      <c r="AA3533">
        <v>49</v>
      </c>
      <c r="AB3533">
        <v>85.7</v>
      </c>
    </row>
    <row r="3534" spans="10:28">
      <c r="J3534" s="340" t="str">
        <f t="shared" si="159"/>
        <v>2013FemaleMaori231</v>
      </c>
      <c r="K3534">
        <v>2013</v>
      </c>
      <c r="L3534" t="s">
        <v>8</v>
      </c>
      <c r="M3534" t="s">
        <v>18</v>
      </c>
      <c r="N3534">
        <v>23</v>
      </c>
      <c r="O3534">
        <v>1</v>
      </c>
      <c r="P3534">
        <v>0</v>
      </c>
      <c r="Q3534">
        <v>0</v>
      </c>
      <c r="T3534" s="340" t="str">
        <f t="shared" si="160"/>
        <v>2013AllSexMaori23Hanging, strangulation and suffocation</v>
      </c>
      <c r="U3534">
        <v>2013</v>
      </c>
      <c r="V3534" t="s">
        <v>17</v>
      </c>
      <c r="W3534" t="s">
        <v>18</v>
      </c>
      <c r="X3534">
        <v>23</v>
      </c>
      <c r="Y3534" t="s">
        <v>43</v>
      </c>
      <c r="Z3534">
        <v>34</v>
      </c>
      <c r="AA3534">
        <v>44</v>
      </c>
      <c r="AB3534">
        <v>77.3</v>
      </c>
    </row>
    <row r="3535" spans="10:28">
      <c r="J3535" s="340" t="str">
        <f t="shared" si="159"/>
        <v>2013FemaleMaori232</v>
      </c>
      <c r="K3535">
        <v>2013</v>
      </c>
      <c r="L3535" t="s">
        <v>8</v>
      </c>
      <c r="M3535" t="s">
        <v>18</v>
      </c>
      <c r="N3535">
        <v>23</v>
      </c>
      <c r="O3535">
        <v>2</v>
      </c>
      <c r="P3535">
        <v>2</v>
      </c>
      <c r="Q3535">
        <v>18.667957009336401</v>
      </c>
      <c r="R3535">
        <v>25.9</v>
      </c>
      <c r="T3535" s="340" t="str">
        <f t="shared" si="160"/>
        <v>2013AllSexMaori24Hanging, strangulation and suffocation</v>
      </c>
      <c r="U3535">
        <v>2013</v>
      </c>
      <c r="V3535" t="s">
        <v>17</v>
      </c>
      <c r="W3535" t="s">
        <v>18</v>
      </c>
      <c r="X3535">
        <v>24</v>
      </c>
      <c r="Y3535" t="s">
        <v>43</v>
      </c>
      <c r="Z3535">
        <v>7</v>
      </c>
      <c r="AA3535">
        <v>10</v>
      </c>
      <c r="AB3535">
        <v>70</v>
      </c>
    </row>
    <row r="3536" spans="10:28">
      <c r="J3536" s="340" t="str">
        <f t="shared" si="159"/>
        <v>2013FemaleMaori233</v>
      </c>
      <c r="K3536">
        <v>2013</v>
      </c>
      <c r="L3536" t="s">
        <v>8</v>
      </c>
      <c r="M3536" t="s">
        <v>18</v>
      </c>
      <c r="N3536">
        <v>23</v>
      </c>
      <c r="O3536">
        <v>3</v>
      </c>
      <c r="P3536">
        <v>2</v>
      </c>
      <c r="Q3536">
        <v>13.3734966989902</v>
      </c>
      <c r="R3536">
        <v>18.5</v>
      </c>
      <c r="T3536" s="340" t="str">
        <f t="shared" si="160"/>
        <v>2013AllSexMaori22Jumping from a high place</v>
      </c>
      <c r="U3536">
        <v>2013</v>
      </c>
      <c r="V3536" t="s">
        <v>17</v>
      </c>
      <c r="W3536" t="s">
        <v>18</v>
      </c>
      <c r="X3536">
        <v>22</v>
      </c>
      <c r="Y3536" t="s">
        <v>44</v>
      </c>
      <c r="Z3536">
        <v>2</v>
      </c>
      <c r="AA3536">
        <v>49</v>
      </c>
      <c r="AB3536">
        <v>4.0999999999999996</v>
      </c>
    </row>
    <row r="3537" spans="10:28">
      <c r="J3537" s="340" t="str">
        <f t="shared" si="159"/>
        <v>2013FemaleMaori234</v>
      </c>
      <c r="K3537">
        <v>2013</v>
      </c>
      <c r="L3537" t="s">
        <v>8</v>
      </c>
      <c r="M3537" t="s">
        <v>18</v>
      </c>
      <c r="N3537">
        <v>23</v>
      </c>
      <c r="O3537">
        <v>4</v>
      </c>
      <c r="P3537">
        <v>3</v>
      </c>
      <c r="Q3537">
        <v>14.321907129587901</v>
      </c>
      <c r="R3537">
        <v>16.2</v>
      </c>
      <c r="T3537" s="340" t="str">
        <f t="shared" si="160"/>
        <v>2013AllSexMaori22Other</v>
      </c>
      <c r="U3537">
        <v>2013</v>
      </c>
      <c r="V3537" t="s">
        <v>17</v>
      </c>
      <c r="W3537" t="s">
        <v>18</v>
      </c>
      <c r="X3537">
        <v>22</v>
      </c>
      <c r="Y3537" t="s">
        <v>45</v>
      </c>
      <c r="Z3537">
        <v>1</v>
      </c>
      <c r="AA3537">
        <v>49</v>
      </c>
      <c r="AB3537">
        <v>2</v>
      </c>
    </row>
    <row r="3538" spans="10:28">
      <c r="J3538" s="340" t="str">
        <f t="shared" si="159"/>
        <v>2013FemaleMaori235</v>
      </c>
      <c r="K3538">
        <v>2013</v>
      </c>
      <c r="L3538" t="s">
        <v>8</v>
      </c>
      <c r="M3538" t="s">
        <v>18</v>
      </c>
      <c r="N3538">
        <v>23</v>
      </c>
      <c r="O3538">
        <v>5</v>
      </c>
      <c r="P3538">
        <v>6</v>
      </c>
      <c r="Q3538">
        <v>16.555349476076799</v>
      </c>
      <c r="R3538">
        <v>13.2</v>
      </c>
      <c r="T3538" s="340" t="str">
        <f t="shared" si="160"/>
        <v>2013AllSexMaori23Other</v>
      </c>
      <c r="U3538">
        <v>2013</v>
      </c>
      <c r="V3538" t="s">
        <v>17</v>
      </c>
      <c r="W3538" t="s">
        <v>18</v>
      </c>
      <c r="X3538">
        <v>23</v>
      </c>
      <c r="Y3538" t="s">
        <v>45</v>
      </c>
      <c r="Z3538">
        <v>2</v>
      </c>
      <c r="AA3538">
        <v>44</v>
      </c>
      <c r="AB3538">
        <v>4.5</v>
      </c>
    </row>
    <row r="3539" spans="10:28">
      <c r="J3539" s="340" t="str">
        <f t="shared" si="159"/>
        <v>2013FemaleMaori241</v>
      </c>
      <c r="K3539">
        <v>2013</v>
      </c>
      <c r="L3539" t="s">
        <v>8</v>
      </c>
      <c r="M3539" t="s">
        <v>18</v>
      </c>
      <c r="N3539">
        <v>24</v>
      </c>
      <c r="O3539">
        <v>1</v>
      </c>
      <c r="P3539">
        <v>0</v>
      </c>
      <c r="Q3539">
        <v>0</v>
      </c>
      <c r="T3539" s="340" t="str">
        <f t="shared" si="160"/>
        <v>2013AllSexMaori23Poisoning by gases and vapours</v>
      </c>
      <c r="U3539">
        <v>2013</v>
      </c>
      <c r="V3539" t="s">
        <v>17</v>
      </c>
      <c r="W3539" t="s">
        <v>18</v>
      </c>
      <c r="X3539">
        <v>23</v>
      </c>
      <c r="Y3539" t="s">
        <v>46</v>
      </c>
      <c r="Z3539">
        <v>5</v>
      </c>
      <c r="AA3539">
        <v>44</v>
      </c>
      <c r="AB3539">
        <v>11.4</v>
      </c>
    </row>
    <row r="3540" spans="10:28">
      <c r="J3540" s="340" t="str">
        <f t="shared" si="159"/>
        <v>2013FemaleMaori242</v>
      </c>
      <c r="K3540">
        <v>2013</v>
      </c>
      <c r="L3540" t="s">
        <v>8</v>
      </c>
      <c r="M3540" t="s">
        <v>18</v>
      </c>
      <c r="N3540">
        <v>24</v>
      </c>
      <c r="O3540">
        <v>2</v>
      </c>
      <c r="P3540">
        <v>0</v>
      </c>
      <c r="Q3540">
        <v>0</v>
      </c>
      <c r="T3540" s="340" t="str">
        <f t="shared" si="160"/>
        <v>2013AllSexMaori22Poisoning by solids and liquids</v>
      </c>
      <c r="U3540">
        <v>2013</v>
      </c>
      <c r="V3540" t="s">
        <v>17</v>
      </c>
      <c r="W3540" t="s">
        <v>18</v>
      </c>
      <c r="X3540">
        <v>22</v>
      </c>
      <c r="Y3540" t="s">
        <v>47</v>
      </c>
      <c r="Z3540">
        <v>2</v>
      </c>
      <c r="AA3540">
        <v>49</v>
      </c>
      <c r="AB3540">
        <v>4.0999999999999996</v>
      </c>
    </row>
    <row r="3541" spans="10:28">
      <c r="J3541" s="340" t="str">
        <f t="shared" si="159"/>
        <v>2013FemaleMaori243</v>
      </c>
      <c r="K3541">
        <v>2013</v>
      </c>
      <c r="L3541" t="s">
        <v>8</v>
      </c>
      <c r="M3541" t="s">
        <v>18</v>
      </c>
      <c r="N3541">
        <v>24</v>
      </c>
      <c r="O3541">
        <v>3</v>
      </c>
      <c r="P3541">
        <v>1</v>
      </c>
      <c r="Q3541">
        <v>9.4085047243188598</v>
      </c>
      <c r="R3541">
        <v>18.399999999999999</v>
      </c>
      <c r="T3541" s="340" t="str">
        <f t="shared" si="160"/>
        <v>2013AllSexMaori23Poisoning by solids and liquids</v>
      </c>
      <c r="U3541">
        <v>2013</v>
      </c>
      <c r="V3541" t="s">
        <v>17</v>
      </c>
      <c r="W3541" t="s">
        <v>18</v>
      </c>
      <c r="X3541">
        <v>23</v>
      </c>
      <c r="Y3541" t="s">
        <v>47</v>
      </c>
      <c r="Z3541">
        <v>2</v>
      </c>
      <c r="AA3541">
        <v>44</v>
      </c>
      <c r="AB3541">
        <v>4.5</v>
      </c>
    </row>
    <row r="3542" spans="10:28">
      <c r="J3542" s="340" t="str">
        <f t="shared" si="159"/>
        <v>2013FemaleMaori244</v>
      </c>
      <c r="K3542">
        <v>2013</v>
      </c>
      <c r="L3542" t="s">
        <v>8</v>
      </c>
      <c r="M3542" t="s">
        <v>18</v>
      </c>
      <c r="N3542">
        <v>24</v>
      </c>
      <c r="O3542">
        <v>4</v>
      </c>
      <c r="P3542">
        <v>0</v>
      </c>
      <c r="Q3542">
        <v>0</v>
      </c>
      <c r="T3542" s="340" t="str">
        <f t="shared" si="160"/>
        <v>2013AllSexMaori24Poisoning by solids and liquids</v>
      </c>
      <c r="U3542">
        <v>2013</v>
      </c>
      <c r="V3542" t="s">
        <v>17</v>
      </c>
      <c r="W3542" t="s">
        <v>18</v>
      </c>
      <c r="X3542">
        <v>24</v>
      </c>
      <c r="Y3542" t="s">
        <v>47</v>
      </c>
      <c r="Z3542">
        <v>2</v>
      </c>
      <c r="AA3542">
        <v>10</v>
      </c>
      <c r="AB3542">
        <v>20</v>
      </c>
    </row>
    <row r="3543" spans="10:28">
      <c r="J3543" s="340" t="str">
        <f t="shared" si="159"/>
        <v>2013FemaleMaori245</v>
      </c>
      <c r="K3543">
        <v>2013</v>
      </c>
      <c r="L3543" t="s">
        <v>8</v>
      </c>
      <c r="M3543" t="s">
        <v>18</v>
      </c>
      <c r="N3543">
        <v>24</v>
      </c>
      <c r="O3543">
        <v>5</v>
      </c>
      <c r="P3543">
        <v>4</v>
      </c>
      <c r="Q3543">
        <v>14.507170059245</v>
      </c>
      <c r="R3543">
        <v>14.2</v>
      </c>
      <c r="T3543" s="340" t="str">
        <f t="shared" si="160"/>
        <v>2013AllSexMaori23Sharp object</v>
      </c>
      <c r="U3543">
        <v>2013</v>
      </c>
      <c r="V3543" t="s">
        <v>17</v>
      </c>
      <c r="W3543" t="s">
        <v>18</v>
      </c>
      <c r="X3543">
        <v>23</v>
      </c>
      <c r="Y3543" t="s">
        <v>48</v>
      </c>
      <c r="Z3543">
        <v>1</v>
      </c>
      <c r="AA3543">
        <v>44</v>
      </c>
      <c r="AB3543">
        <v>2.2999999999999998</v>
      </c>
    </row>
    <row r="3544" spans="10:28">
      <c r="J3544" s="340" t="str">
        <f t="shared" si="159"/>
        <v>2013FemaleMaori251</v>
      </c>
      <c r="K3544">
        <v>2013</v>
      </c>
      <c r="L3544" t="s">
        <v>8</v>
      </c>
      <c r="M3544" t="s">
        <v>18</v>
      </c>
      <c r="N3544">
        <v>25</v>
      </c>
      <c r="O3544">
        <v>1</v>
      </c>
      <c r="P3544">
        <v>0</v>
      </c>
      <c r="Q3544">
        <v>0</v>
      </c>
      <c r="T3544" s="340" t="str">
        <f t="shared" si="160"/>
        <v>2013AllSexMaori24Sharp object</v>
      </c>
      <c r="U3544">
        <v>2013</v>
      </c>
      <c r="V3544" t="s">
        <v>17</v>
      </c>
      <c r="W3544" t="s">
        <v>18</v>
      </c>
      <c r="X3544">
        <v>24</v>
      </c>
      <c r="Y3544" t="s">
        <v>48</v>
      </c>
      <c r="Z3544">
        <v>1</v>
      </c>
      <c r="AA3544">
        <v>10</v>
      </c>
      <c r="AB3544">
        <v>10</v>
      </c>
    </row>
    <row r="3545" spans="10:28">
      <c r="J3545" s="340" t="str">
        <f t="shared" si="159"/>
        <v>2013FemaleMaori252</v>
      </c>
      <c r="K3545">
        <v>2013</v>
      </c>
      <c r="L3545" t="s">
        <v>8</v>
      </c>
      <c r="M3545" t="s">
        <v>18</v>
      </c>
      <c r="N3545">
        <v>25</v>
      </c>
      <c r="O3545">
        <v>2</v>
      </c>
      <c r="P3545">
        <v>0</v>
      </c>
      <c r="Q3545">
        <v>0</v>
      </c>
      <c r="T3545" s="340" t="str">
        <f t="shared" si="160"/>
        <v>2013AllSexNon-Maori22Firearms and explosives</v>
      </c>
      <c r="U3545">
        <v>2013</v>
      </c>
      <c r="V3545" t="s">
        <v>17</v>
      </c>
      <c r="W3545" t="s">
        <v>19</v>
      </c>
      <c r="X3545">
        <v>22</v>
      </c>
      <c r="Y3545" t="s">
        <v>42</v>
      </c>
      <c r="Z3545">
        <v>4</v>
      </c>
      <c r="AA3545">
        <v>62</v>
      </c>
      <c r="AB3545">
        <v>6.5</v>
      </c>
    </row>
    <row r="3546" spans="10:28">
      <c r="J3546" s="340" t="str">
        <f t="shared" si="159"/>
        <v>2013FemaleMaori253</v>
      </c>
      <c r="K3546">
        <v>2013</v>
      </c>
      <c r="L3546" t="s">
        <v>8</v>
      </c>
      <c r="M3546" t="s">
        <v>18</v>
      </c>
      <c r="N3546">
        <v>25</v>
      </c>
      <c r="O3546">
        <v>3</v>
      </c>
      <c r="P3546">
        <v>0</v>
      </c>
      <c r="Q3546">
        <v>0</v>
      </c>
      <c r="T3546" s="340" t="str">
        <f t="shared" si="160"/>
        <v>2013AllSexNon-Maori23Firearms and explosives</v>
      </c>
      <c r="U3546">
        <v>2013</v>
      </c>
      <c r="V3546" t="s">
        <v>17</v>
      </c>
      <c r="W3546" t="s">
        <v>19</v>
      </c>
      <c r="X3546">
        <v>23</v>
      </c>
      <c r="Y3546" t="s">
        <v>42</v>
      </c>
      <c r="Z3546">
        <v>6</v>
      </c>
      <c r="AA3546">
        <v>117</v>
      </c>
      <c r="AB3546">
        <v>5.0999999999999996</v>
      </c>
    </row>
    <row r="3547" spans="10:28">
      <c r="J3547" s="340" t="str">
        <f t="shared" si="159"/>
        <v>2013FemaleMaori254</v>
      </c>
      <c r="K3547">
        <v>2013</v>
      </c>
      <c r="L3547" t="s">
        <v>8</v>
      </c>
      <c r="M3547" t="s">
        <v>18</v>
      </c>
      <c r="N3547">
        <v>25</v>
      </c>
      <c r="O3547">
        <v>4</v>
      </c>
      <c r="P3547">
        <v>0</v>
      </c>
      <c r="Q3547">
        <v>0</v>
      </c>
      <c r="T3547" s="340" t="str">
        <f t="shared" si="160"/>
        <v>2013AllSexNon-Maori24Firearms and explosives</v>
      </c>
      <c r="U3547">
        <v>2013</v>
      </c>
      <c r="V3547" t="s">
        <v>17</v>
      </c>
      <c r="W3547" t="s">
        <v>19</v>
      </c>
      <c r="X3547">
        <v>24</v>
      </c>
      <c r="Y3547" t="s">
        <v>42</v>
      </c>
      <c r="Z3547">
        <v>21</v>
      </c>
      <c r="AA3547">
        <v>173</v>
      </c>
      <c r="AB3547">
        <v>12.1</v>
      </c>
    </row>
    <row r="3548" spans="10:28">
      <c r="J3548" s="340" t="str">
        <f t="shared" si="159"/>
        <v>2013FemaleMaori255</v>
      </c>
      <c r="K3548">
        <v>2013</v>
      </c>
      <c r="L3548" t="s">
        <v>8</v>
      </c>
      <c r="M3548" t="s">
        <v>18</v>
      </c>
      <c r="N3548">
        <v>25</v>
      </c>
      <c r="O3548">
        <v>5</v>
      </c>
      <c r="P3548">
        <v>0</v>
      </c>
      <c r="Q3548">
        <v>0</v>
      </c>
      <c r="T3548" s="340" t="str">
        <f t="shared" si="160"/>
        <v>2013AllSexNon-Maori25Firearms and explosives</v>
      </c>
      <c r="U3548">
        <v>2013</v>
      </c>
      <c r="V3548" t="s">
        <v>17</v>
      </c>
      <c r="W3548" t="s">
        <v>19</v>
      </c>
      <c r="X3548">
        <v>25</v>
      </c>
      <c r="Y3548" t="s">
        <v>42</v>
      </c>
      <c r="Z3548">
        <v>15</v>
      </c>
      <c r="AA3548">
        <v>56</v>
      </c>
      <c r="AB3548">
        <v>26.8</v>
      </c>
    </row>
    <row r="3549" spans="10:28">
      <c r="J3549" s="340" t="str">
        <f t="shared" si="159"/>
        <v>2013FemaleNon-Maori211</v>
      </c>
      <c r="K3549">
        <v>2013</v>
      </c>
      <c r="L3549" t="s">
        <v>8</v>
      </c>
      <c r="M3549" t="s">
        <v>19</v>
      </c>
      <c r="N3549">
        <v>21</v>
      </c>
      <c r="O3549">
        <v>1</v>
      </c>
      <c r="P3549">
        <v>0</v>
      </c>
      <c r="Q3549">
        <v>0</v>
      </c>
      <c r="T3549" s="340" t="str">
        <f t="shared" si="160"/>
        <v>2013AllSexNon-Maori22Hanging, strangulation and suffocation</v>
      </c>
      <c r="U3549">
        <v>2013</v>
      </c>
      <c r="V3549" t="s">
        <v>17</v>
      </c>
      <c r="W3549" t="s">
        <v>19</v>
      </c>
      <c r="X3549">
        <v>22</v>
      </c>
      <c r="Y3549" t="s">
        <v>43</v>
      </c>
      <c r="Z3549">
        <v>49</v>
      </c>
      <c r="AA3549">
        <v>62</v>
      </c>
      <c r="AB3549">
        <v>79</v>
      </c>
    </row>
    <row r="3550" spans="10:28">
      <c r="J3550" s="340" t="str">
        <f t="shared" si="159"/>
        <v>2013FemaleNon-Maori212</v>
      </c>
      <c r="K3550">
        <v>2013</v>
      </c>
      <c r="L3550" t="s">
        <v>8</v>
      </c>
      <c r="M3550" t="s">
        <v>19</v>
      </c>
      <c r="N3550">
        <v>21</v>
      </c>
      <c r="O3550">
        <v>2</v>
      </c>
      <c r="P3550">
        <v>0</v>
      </c>
      <c r="Q3550">
        <v>0</v>
      </c>
      <c r="T3550" s="340" t="str">
        <f t="shared" si="160"/>
        <v>2013AllSexNon-Maori23Hanging, strangulation and suffocation</v>
      </c>
      <c r="U3550">
        <v>2013</v>
      </c>
      <c r="V3550" t="s">
        <v>17</v>
      </c>
      <c r="W3550" t="s">
        <v>19</v>
      </c>
      <c r="X3550">
        <v>23</v>
      </c>
      <c r="Y3550" t="s">
        <v>43</v>
      </c>
      <c r="Z3550">
        <v>75</v>
      </c>
      <c r="AA3550">
        <v>117</v>
      </c>
      <c r="AB3550">
        <v>64.099999999999994</v>
      </c>
    </row>
    <row r="3551" spans="10:28">
      <c r="J3551" s="340" t="str">
        <f t="shared" si="159"/>
        <v>2013FemaleNon-Maori213</v>
      </c>
      <c r="K3551">
        <v>2013</v>
      </c>
      <c r="L3551" t="s">
        <v>8</v>
      </c>
      <c r="M3551" t="s">
        <v>19</v>
      </c>
      <c r="N3551">
        <v>21</v>
      </c>
      <c r="O3551">
        <v>3</v>
      </c>
      <c r="P3551">
        <v>0</v>
      </c>
      <c r="Q3551">
        <v>0</v>
      </c>
      <c r="T3551" s="340" t="str">
        <f t="shared" si="160"/>
        <v>2013AllSexNon-Maori24Hanging, strangulation and suffocation</v>
      </c>
      <c r="U3551">
        <v>2013</v>
      </c>
      <c r="V3551" t="s">
        <v>17</v>
      </c>
      <c r="W3551" t="s">
        <v>19</v>
      </c>
      <c r="X3551">
        <v>24</v>
      </c>
      <c r="Y3551" t="s">
        <v>43</v>
      </c>
      <c r="Z3551">
        <v>64</v>
      </c>
      <c r="AA3551">
        <v>173</v>
      </c>
      <c r="AB3551">
        <v>37</v>
      </c>
    </row>
    <row r="3552" spans="10:28">
      <c r="J3552" s="340" t="str">
        <f t="shared" si="159"/>
        <v>2013FemaleNon-Maori214</v>
      </c>
      <c r="K3552">
        <v>2013</v>
      </c>
      <c r="L3552" t="s">
        <v>8</v>
      </c>
      <c r="M3552" t="s">
        <v>19</v>
      </c>
      <c r="N3552">
        <v>21</v>
      </c>
      <c r="O3552">
        <v>4</v>
      </c>
      <c r="P3552">
        <v>0</v>
      </c>
      <c r="Q3552">
        <v>0</v>
      </c>
      <c r="T3552" s="340" t="str">
        <f t="shared" si="160"/>
        <v>2013AllSexNon-Maori25Hanging, strangulation and suffocation</v>
      </c>
      <c r="U3552">
        <v>2013</v>
      </c>
      <c r="V3552" t="s">
        <v>17</v>
      </c>
      <c r="W3552" t="s">
        <v>19</v>
      </c>
      <c r="X3552">
        <v>25</v>
      </c>
      <c r="Y3552" t="s">
        <v>43</v>
      </c>
      <c r="Z3552">
        <v>21</v>
      </c>
      <c r="AA3552">
        <v>56</v>
      </c>
      <c r="AB3552">
        <v>37.5</v>
      </c>
    </row>
    <row r="3553" spans="10:28">
      <c r="J3553" s="340" t="str">
        <f t="shared" si="159"/>
        <v>2013FemaleNon-Maori215</v>
      </c>
      <c r="K3553">
        <v>2013</v>
      </c>
      <c r="L3553" t="s">
        <v>8</v>
      </c>
      <c r="M3553" t="s">
        <v>19</v>
      </c>
      <c r="N3553">
        <v>21</v>
      </c>
      <c r="O3553">
        <v>5</v>
      </c>
      <c r="P3553">
        <v>1</v>
      </c>
      <c r="Q3553">
        <v>1.74952817725688</v>
      </c>
      <c r="R3553">
        <v>3.4</v>
      </c>
      <c r="T3553" s="340" t="str">
        <f t="shared" si="160"/>
        <v>2013AllSexNon-Maori23Jumping from a high place</v>
      </c>
      <c r="U3553">
        <v>2013</v>
      </c>
      <c r="V3553" t="s">
        <v>17</v>
      </c>
      <c r="W3553" t="s">
        <v>19</v>
      </c>
      <c r="X3553">
        <v>23</v>
      </c>
      <c r="Y3553" t="s">
        <v>44</v>
      </c>
      <c r="Z3553">
        <v>3</v>
      </c>
      <c r="AA3553">
        <v>117</v>
      </c>
      <c r="AB3553">
        <v>2.6</v>
      </c>
    </row>
    <row r="3554" spans="10:28">
      <c r="J3554" s="340" t="str">
        <f t="shared" si="159"/>
        <v>2013FemaleNon-Maori221</v>
      </c>
      <c r="K3554">
        <v>2013</v>
      </c>
      <c r="L3554" t="s">
        <v>8</v>
      </c>
      <c r="M3554" t="s">
        <v>19</v>
      </c>
      <c r="N3554">
        <v>22</v>
      </c>
      <c r="O3554">
        <v>1</v>
      </c>
      <c r="P3554">
        <v>0</v>
      </c>
      <c r="Q3554">
        <v>0</v>
      </c>
      <c r="T3554" s="340" t="str">
        <f t="shared" si="160"/>
        <v>2013AllSexNon-Maori24Jumping from a high place</v>
      </c>
      <c r="U3554">
        <v>2013</v>
      </c>
      <c r="V3554" t="s">
        <v>17</v>
      </c>
      <c r="W3554" t="s">
        <v>19</v>
      </c>
      <c r="X3554">
        <v>24</v>
      </c>
      <c r="Y3554" t="s">
        <v>44</v>
      </c>
      <c r="Z3554">
        <v>9</v>
      </c>
      <c r="AA3554">
        <v>173</v>
      </c>
      <c r="AB3554">
        <v>5.2</v>
      </c>
    </row>
    <row r="3555" spans="10:28">
      <c r="J3555" s="340" t="str">
        <f t="shared" si="159"/>
        <v>2013FemaleNon-Maori222</v>
      </c>
      <c r="K3555">
        <v>2013</v>
      </c>
      <c r="L3555" t="s">
        <v>8</v>
      </c>
      <c r="M3555" t="s">
        <v>19</v>
      </c>
      <c r="N3555">
        <v>22</v>
      </c>
      <c r="O3555">
        <v>2</v>
      </c>
      <c r="P3555">
        <v>3</v>
      </c>
      <c r="Q3555">
        <v>6.3627739913974999</v>
      </c>
      <c r="R3555">
        <v>7.2</v>
      </c>
      <c r="T3555" s="340" t="str">
        <f t="shared" si="160"/>
        <v>2013AllSexNon-Maori21Other</v>
      </c>
      <c r="U3555">
        <v>2013</v>
      </c>
      <c r="V3555" t="s">
        <v>17</v>
      </c>
      <c r="W3555" t="s">
        <v>19</v>
      </c>
      <c r="X3555">
        <v>21</v>
      </c>
      <c r="Y3555" t="s">
        <v>45</v>
      </c>
      <c r="Z3555">
        <v>1</v>
      </c>
      <c r="AA3555">
        <v>1</v>
      </c>
      <c r="AB3555">
        <v>100</v>
      </c>
    </row>
    <row r="3556" spans="10:28">
      <c r="J3556" s="340" t="str">
        <f t="shared" si="159"/>
        <v>2013FemaleNon-Maori223</v>
      </c>
      <c r="K3556">
        <v>2013</v>
      </c>
      <c r="L3556" t="s">
        <v>8</v>
      </c>
      <c r="M3556" t="s">
        <v>19</v>
      </c>
      <c r="N3556">
        <v>22</v>
      </c>
      <c r="O3556">
        <v>3</v>
      </c>
      <c r="P3556">
        <v>4</v>
      </c>
      <c r="Q3556">
        <v>8.4317619122777199</v>
      </c>
      <c r="R3556">
        <v>8.3000000000000007</v>
      </c>
      <c r="T3556" s="340" t="str">
        <f t="shared" si="160"/>
        <v>2013AllSexNon-Maori23Other</v>
      </c>
      <c r="U3556">
        <v>2013</v>
      </c>
      <c r="V3556" t="s">
        <v>17</v>
      </c>
      <c r="W3556" t="s">
        <v>19</v>
      </c>
      <c r="X3556">
        <v>23</v>
      </c>
      <c r="Y3556" t="s">
        <v>45</v>
      </c>
      <c r="Z3556">
        <v>3</v>
      </c>
      <c r="AA3556">
        <v>117</v>
      </c>
      <c r="AB3556">
        <v>2.6</v>
      </c>
    </row>
    <row r="3557" spans="10:28">
      <c r="J3557" s="340" t="str">
        <f t="shared" si="159"/>
        <v>2013FemaleNon-Maori224</v>
      </c>
      <c r="K3557">
        <v>2013</v>
      </c>
      <c r="L3557" t="s">
        <v>8</v>
      </c>
      <c r="M3557" t="s">
        <v>19</v>
      </c>
      <c r="N3557">
        <v>22</v>
      </c>
      <c r="O3557">
        <v>4</v>
      </c>
      <c r="P3557">
        <v>5</v>
      </c>
      <c r="Q3557">
        <v>9.7653737253342907</v>
      </c>
      <c r="R3557">
        <v>8.6</v>
      </c>
      <c r="T3557" s="340" t="str">
        <f t="shared" si="160"/>
        <v>2013AllSexNon-Maori24Other</v>
      </c>
      <c r="U3557">
        <v>2013</v>
      </c>
      <c r="V3557" t="s">
        <v>17</v>
      </c>
      <c r="W3557" t="s">
        <v>19</v>
      </c>
      <c r="X3557">
        <v>24</v>
      </c>
      <c r="Y3557" t="s">
        <v>45</v>
      </c>
      <c r="Z3557">
        <v>11</v>
      </c>
      <c r="AA3557">
        <v>173</v>
      </c>
      <c r="AB3557">
        <v>6.4</v>
      </c>
    </row>
    <row r="3558" spans="10:28">
      <c r="J3558" s="340" t="str">
        <f t="shared" si="159"/>
        <v>2013FemaleNon-Maori225</v>
      </c>
      <c r="K3558">
        <v>2013</v>
      </c>
      <c r="L3558" t="s">
        <v>8</v>
      </c>
      <c r="M3558" t="s">
        <v>19</v>
      </c>
      <c r="N3558">
        <v>22</v>
      </c>
      <c r="O3558">
        <v>5</v>
      </c>
      <c r="P3558">
        <v>6</v>
      </c>
      <c r="Q3558">
        <v>12.007089513155901</v>
      </c>
      <c r="R3558">
        <v>9.6</v>
      </c>
      <c r="T3558" s="340" t="str">
        <f t="shared" si="160"/>
        <v>2013AllSexNon-Maori25Other</v>
      </c>
      <c r="U3558">
        <v>2013</v>
      </c>
      <c r="V3558" t="s">
        <v>17</v>
      </c>
      <c r="W3558" t="s">
        <v>19</v>
      </c>
      <c r="X3558">
        <v>25</v>
      </c>
      <c r="Y3558" t="s">
        <v>45</v>
      </c>
      <c r="Z3558">
        <v>1</v>
      </c>
      <c r="AA3558">
        <v>56</v>
      </c>
      <c r="AB3558">
        <v>1.8</v>
      </c>
    </row>
    <row r="3559" spans="10:28">
      <c r="J3559" s="340" t="str">
        <f t="shared" si="159"/>
        <v>2013FemaleNon-Maori231</v>
      </c>
      <c r="K3559">
        <v>2013</v>
      </c>
      <c r="L3559" t="s">
        <v>8</v>
      </c>
      <c r="M3559" t="s">
        <v>19</v>
      </c>
      <c r="N3559">
        <v>23</v>
      </c>
      <c r="O3559">
        <v>1</v>
      </c>
      <c r="P3559">
        <v>6</v>
      </c>
      <c r="Q3559">
        <v>5.6166488795329501</v>
      </c>
      <c r="R3559">
        <v>4.5</v>
      </c>
      <c r="T3559" s="340" t="str">
        <f t="shared" si="160"/>
        <v>2013AllSexNon-Maori22Poisoning by gases and vapours</v>
      </c>
      <c r="U3559">
        <v>2013</v>
      </c>
      <c r="V3559" t="s">
        <v>17</v>
      </c>
      <c r="W3559" t="s">
        <v>19</v>
      </c>
      <c r="X3559">
        <v>22</v>
      </c>
      <c r="Y3559" t="s">
        <v>46</v>
      </c>
      <c r="Z3559">
        <v>3</v>
      </c>
      <c r="AA3559">
        <v>62</v>
      </c>
      <c r="AB3559">
        <v>4.8</v>
      </c>
    </row>
    <row r="3560" spans="10:28">
      <c r="J3560" s="340" t="str">
        <f t="shared" si="159"/>
        <v>2013FemaleNon-Maori232</v>
      </c>
      <c r="K3560">
        <v>2013</v>
      </c>
      <c r="L3560" t="s">
        <v>8</v>
      </c>
      <c r="M3560" t="s">
        <v>19</v>
      </c>
      <c r="N3560">
        <v>23</v>
      </c>
      <c r="O3560">
        <v>2</v>
      </c>
      <c r="P3560">
        <v>5</v>
      </c>
      <c r="Q3560">
        <v>4.49609389162186</v>
      </c>
      <c r="R3560">
        <v>3.9</v>
      </c>
      <c r="T3560" s="340" t="str">
        <f t="shared" si="160"/>
        <v>2013AllSexNon-Maori23Poisoning by gases and vapours</v>
      </c>
      <c r="U3560">
        <v>2013</v>
      </c>
      <c r="V3560" t="s">
        <v>17</v>
      </c>
      <c r="W3560" t="s">
        <v>19</v>
      </c>
      <c r="X3560">
        <v>23</v>
      </c>
      <c r="Y3560" t="s">
        <v>46</v>
      </c>
      <c r="Z3560">
        <v>11</v>
      </c>
      <c r="AA3560">
        <v>117</v>
      </c>
      <c r="AB3560">
        <v>9.4</v>
      </c>
    </row>
    <row r="3561" spans="10:28">
      <c r="J3561" s="340" t="str">
        <f t="shared" si="159"/>
        <v>2013FemaleNon-Maori233</v>
      </c>
      <c r="K3561">
        <v>2013</v>
      </c>
      <c r="L3561" t="s">
        <v>8</v>
      </c>
      <c r="M3561" t="s">
        <v>19</v>
      </c>
      <c r="N3561">
        <v>23</v>
      </c>
      <c r="O3561">
        <v>3</v>
      </c>
      <c r="P3561">
        <v>10</v>
      </c>
      <c r="Q3561">
        <v>9.2775836347375602</v>
      </c>
      <c r="R3561">
        <v>5.8</v>
      </c>
      <c r="T3561" s="340" t="str">
        <f t="shared" si="160"/>
        <v>2013AllSexNon-Maori24Poisoning by gases and vapours</v>
      </c>
      <c r="U3561">
        <v>2013</v>
      </c>
      <c r="V3561" t="s">
        <v>17</v>
      </c>
      <c r="W3561" t="s">
        <v>19</v>
      </c>
      <c r="X3561">
        <v>24</v>
      </c>
      <c r="Y3561" t="s">
        <v>46</v>
      </c>
      <c r="Z3561">
        <v>23</v>
      </c>
      <c r="AA3561">
        <v>173</v>
      </c>
      <c r="AB3561">
        <v>13.3</v>
      </c>
    </row>
    <row r="3562" spans="10:28">
      <c r="J3562" s="340" t="str">
        <f t="shared" si="159"/>
        <v>2013FemaleNon-Maori234</v>
      </c>
      <c r="K3562">
        <v>2013</v>
      </c>
      <c r="L3562" t="s">
        <v>8</v>
      </c>
      <c r="M3562" t="s">
        <v>19</v>
      </c>
      <c r="N3562">
        <v>23</v>
      </c>
      <c r="O3562">
        <v>4</v>
      </c>
      <c r="P3562">
        <v>1</v>
      </c>
      <c r="Q3562">
        <v>1.0104795215325</v>
      </c>
      <c r="R3562">
        <v>2</v>
      </c>
      <c r="T3562" s="340" t="str">
        <f t="shared" si="160"/>
        <v>2013AllSexNon-Maori25Poisoning by gases and vapours</v>
      </c>
      <c r="U3562">
        <v>2013</v>
      </c>
      <c r="V3562" t="s">
        <v>17</v>
      </c>
      <c r="W3562" t="s">
        <v>19</v>
      </c>
      <c r="X3562">
        <v>25</v>
      </c>
      <c r="Y3562" t="s">
        <v>46</v>
      </c>
      <c r="Z3562">
        <v>3</v>
      </c>
      <c r="AA3562">
        <v>56</v>
      </c>
      <c r="AB3562">
        <v>5.4</v>
      </c>
    </row>
    <row r="3563" spans="10:28">
      <c r="J3563" s="340" t="str">
        <f t="shared" si="159"/>
        <v>2013FemaleNon-Maori235</v>
      </c>
      <c r="K3563">
        <v>2013</v>
      </c>
      <c r="L3563" t="s">
        <v>8</v>
      </c>
      <c r="M3563" t="s">
        <v>19</v>
      </c>
      <c r="N3563">
        <v>23</v>
      </c>
      <c r="O3563">
        <v>5</v>
      </c>
      <c r="P3563">
        <v>8</v>
      </c>
      <c r="Q3563">
        <v>10.0184687652304</v>
      </c>
      <c r="R3563">
        <v>6.9</v>
      </c>
      <c r="T3563" s="340" t="str">
        <f t="shared" si="160"/>
        <v>2013AllSexNon-Maori22Poisoning by solids and liquids</v>
      </c>
      <c r="U3563">
        <v>2013</v>
      </c>
      <c r="V3563" t="s">
        <v>17</v>
      </c>
      <c r="W3563" t="s">
        <v>19</v>
      </c>
      <c r="X3563">
        <v>22</v>
      </c>
      <c r="Y3563" t="s">
        <v>47</v>
      </c>
      <c r="Z3563">
        <v>3</v>
      </c>
      <c r="AA3563">
        <v>62</v>
      </c>
      <c r="AB3563">
        <v>4.8</v>
      </c>
    </row>
    <row r="3564" spans="10:28">
      <c r="J3564" s="340" t="str">
        <f t="shared" si="159"/>
        <v>2013FemaleNon-Maori241</v>
      </c>
      <c r="K3564">
        <v>2013</v>
      </c>
      <c r="L3564" t="s">
        <v>8</v>
      </c>
      <c r="M3564" t="s">
        <v>19</v>
      </c>
      <c r="N3564">
        <v>24</v>
      </c>
      <c r="O3564">
        <v>1</v>
      </c>
      <c r="P3564">
        <v>11</v>
      </c>
      <c r="Q3564">
        <v>8.1371811787656192</v>
      </c>
      <c r="R3564">
        <v>4.8</v>
      </c>
      <c r="T3564" s="340" t="str">
        <f t="shared" si="160"/>
        <v>2013AllSexNon-Maori23Poisoning by solids and liquids</v>
      </c>
      <c r="U3564">
        <v>2013</v>
      </c>
      <c r="V3564" t="s">
        <v>17</v>
      </c>
      <c r="W3564" t="s">
        <v>19</v>
      </c>
      <c r="X3564">
        <v>23</v>
      </c>
      <c r="Y3564" t="s">
        <v>47</v>
      </c>
      <c r="Z3564">
        <v>15</v>
      </c>
      <c r="AA3564">
        <v>117</v>
      </c>
      <c r="AB3564">
        <v>12.8</v>
      </c>
    </row>
    <row r="3565" spans="10:28">
      <c r="J3565" s="340" t="str">
        <f t="shared" si="159"/>
        <v>2013FemaleNon-Maori242</v>
      </c>
      <c r="K3565">
        <v>2013</v>
      </c>
      <c r="L3565" t="s">
        <v>8</v>
      </c>
      <c r="M3565" t="s">
        <v>19</v>
      </c>
      <c r="N3565">
        <v>24</v>
      </c>
      <c r="O3565">
        <v>2</v>
      </c>
      <c r="P3565">
        <v>15</v>
      </c>
      <c r="Q3565">
        <v>12.5841701866718</v>
      </c>
      <c r="R3565">
        <v>6.4</v>
      </c>
      <c r="T3565" s="340" t="str">
        <f t="shared" si="160"/>
        <v>2013AllSexNon-Maori24Poisoning by solids and liquids</v>
      </c>
      <c r="U3565">
        <v>2013</v>
      </c>
      <c r="V3565" t="s">
        <v>17</v>
      </c>
      <c r="W3565" t="s">
        <v>19</v>
      </c>
      <c r="X3565">
        <v>24</v>
      </c>
      <c r="Y3565" t="s">
        <v>47</v>
      </c>
      <c r="Z3565">
        <v>33</v>
      </c>
      <c r="AA3565">
        <v>173</v>
      </c>
      <c r="AB3565">
        <v>19.100000000000001</v>
      </c>
    </row>
    <row r="3566" spans="10:28">
      <c r="J3566" s="340" t="str">
        <f t="shared" si="159"/>
        <v>2013FemaleNon-Maori243</v>
      </c>
      <c r="K3566">
        <v>2013</v>
      </c>
      <c r="L3566" t="s">
        <v>8</v>
      </c>
      <c r="M3566" t="s">
        <v>19</v>
      </c>
      <c r="N3566">
        <v>24</v>
      </c>
      <c r="O3566">
        <v>3</v>
      </c>
      <c r="P3566">
        <v>3</v>
      </c>
      <c r="Q3566">
        <v>2.8567315772138402</v>
      </c>
      <c r="R3566">
        <v>3.2</v>
      </c>
      <c r="T3566" s="340" t="str">
        <f t="shared" si="160"/>
        <v>2013AllSexNon-Maori25Poisoning by solids and liquids</v>
      </c>
      <c r="U3566">
        <v>2013</v>
      </c>
      <c r="V3566" t="s">
        <v>17</v>
      </c>
      <c r="W3566" t="s">
        <v>19</v>
      </c>
      <c r="X3566">
        <v>25</v>
      </c>
      <c r="Y3566" t="s">
        <v>47</v>
      </c>
      <c r="Z3566">
        <v>12</v>
      </c>
      <c r="AA3566">
        <v>56</v>
      </c>
      <c r="AB3566">
        <v>21.4</v>
      </c>
    </row>
    <row r="3567" spans="10:28">
      <c r="J3567" s="340" t="str">
        <f t="shared" si="159"/>
        <v>2013FemaleNon-Maori244</v>
      </c>
      <c r="K3567">
        <v>2013</v>
      </c>
      <c r="L3567" t="s">
        <v>8</v>
      </c>
      <c r="M3567" t="s">
        <v>19</v>
      </c>
      <c r="N3567">
        <v>24</v>
      </c>
      <c r="O3567">
        <v>4</v>
      </c>
      <c r="P3567">
        <v>6</v>
      </c>
      <c r="Q3567">
        <v>6.6665795236234002</v>
      </c>
      <c r="R3567">
        <v>5.3</v>
      </c>
      <c r="T3567" s="340" t="str">
        <f t="shared" si="160"/>
        <v>2013AllSexNon-Maori23Sharp object</v>
      </c>
      <c r="U3567">
        <v>2013</v>
      </c>
      <c r="V3567" t="s">
        <v>17</v>
      </c>
      <c r="W3567" t="s">
        <v>19</v>
      </c>
      <c r="X3567">
        <v>23</v>
      </c>
      <c r="Y3567" t="s">
        <v>48</v>
      </c>
      <c r="Z3567">
        <v>2</v>
      </c>
      <c r="AA3567">
        <v>117</v>
      </c>
      <c r="AB3567">
        <v>1.7</v>
      </c>
    </row>
    <row r="3568" spans="10:28">
      <c r="J3568" s="340" t="str">
        <f t="shared" si="159"/>
        <v>2013FemaleNon-Maori245</v>
      </c>
      <c r="K3568">
        <v>2013</v>
      </c>
      <c r="L3568" t="s">
        <v>8</v>
      </c>
      <c r="M3568" t="s">
        <v>19</v>
      </c>
      <c r="N3568">
        <v>24</v>
      </c>
      <c r="O3568">
        <v>5</v>
      </c>
      <c r="P3568">
        <v>9</v>
      </c>
      <c r="Q3568">
        <v>12.9237157020072</v>
      </c>
      <c r="R3568">
        <v>8.4</v>
      </c>
      <c r="T3568" s="340" t="str">
        <f t="shared" si="160"/>
        <v>2013AllSexNon-Maori24Sharp object</v>
      </c>
      <c r="U3568">
        <v>2013</v>
      </c>
      <c r="V3568" t="s">
        <v>17</v>
      </c>
      <c r="W3568" t="s">
        <v>19</v>
      </c>
      <c r="X3568">
        <v>24</v>
      </c>
      <c r="Y3568" t="s">
        <v>48</v>
      </c>
      <c r="Z3568">
        <v>5</v>
      </c>
      <c r="AA3568">
        <v>173</v>
      </c>
      <c r="AB3568">
        <v>2.9</v>
      </c>
    </row>
    <row r="3569" spans="10:28">
      <c r="J3569" s="340" t="str">
        <f t="shared" si="159"/>
        <v>2013FemaleNon-Maori251</v>
      </c>
      <c r="K3569">
        <v>2013</v>
      </c>
      <c r="L3569" t="s">
        <v>8</v>
      </c>
      <c r="M3569" t="s">
        <v>19</v>
      </c>
      <c r="N3569">
        <v>25</v>
      </c>
      <c r="O3569">
        <v>1</v>
      </c>
      <c r="P3569">
        <v>2</v>
      </c>
      <c r="Q3569">
        <v>3.0400053058929601</v>
      </c>
      <c r="R3569">
        <v>4.2</v>
      </c>
      <c r="T3569" s="340" t="str">
        <f t="shared" si="160"/>
        <v>2013AllSexNon-Maori25Sharp object</v>
      </c>
      <c r="U3569">
        <v>2013</v>
      </c>
      <c r="V3569" t="s">
        <v>17</v>
      </c>
      <c r="W3569" t="s">
        <v>19</v>
      </c>
      <c r="X3569">
        <v>25</v>
      </c>
      <c r="Y3569" t="s">
        <v>48</v>
      </c>
      <c r="Z3569">
        <v>1</v>
      </c>
      <c r="AA3569">
        <v>56</v>
      </c>
      <c r="AB3569">
        <v>1.8</v>
      </c>
    </row>
    <row r="3570" spans="10:28">
      <c r="J3570" s="340" t="str">
        <f t="shared" si="159"/>
        <v>2013FemaleNon-Maori252</v>
      </c>
      <c r="K3570">
        <v>2013</v>
      </c>
      <c r="L3570" t="s">
        <v>8</v>
      </c>
      <c r="M3570" t="s">
        <v>19</v>
      </c>
      <c r="N3570">
        <v>25</v>
      </c>
      <c r="O3570">
        <v>2</v>
      </c>
      <c r="P3570">
        <v>2</v>
      </c>
      <c r="Q3570">
        <v>2.9753794928377899</v>
      </c>
      <c r="R3570">
        <v>4.0999999999999996</v>
      </c>
      <c r="T3570" s="340" t="str">
        <f t="shared" si="160"/>
        <v>2013AllSexNon-Maori22Submersion (drowning)</v>
      </c>
      <c r="U3570">
        <v>2013</v>
      </c>
      <c r="V3570" t="s">
        <v>17</v>
      </c>
      <c r="W3570" t="s">
        <v>19</v>
      </c>
      <c r="X3570">
        <v>22</v>
      </c>
      <c r="Y3570" t="s">
        <v>49</v>
      </c>
      <c r="Z3570">
        <v>3</v>
      </c>
      <c r="AA3570">
        <v>62</v>
      </c>
      <c r="AB3570">
        <v>4.8</v>
      </c>
    </row>
    <row r="3571" spans="10:28">
      <c r="J3571" s="340" t="str">
        <f t="shared" si="159"/>
        <v>2013FemaleNon-Maori253</v>
      </c>
      <c r="K3571">
        <v>2013</v>
      </c>
      <c r="L3571" t="s">
        <v>8</v>
      </c>
      <c r="M3571" t="s">
        <v>19</v>
      </c>
      <c r="N3571">
        <v>25</v>
      </c>
      <c r="O3571">
        <v>3</v>
      </c>
      <c r="P3571">
        <v>4</v>
      </c>
      <c r="Q3571">
        <v>5.98212909471067</v>
      </c>
      <c r="R3571">
        <v>5.9</v>
      </c>
      <c r="T3571" s="340" t="str">
        <f t="shared" si="160"/>
        <v>2013AllSexNon-Maori23Submersion (drowning)</v>
      </c>
      <c r="U3571">
        <v>2013</v>
      </c>
      <c r="V3571" t="s">
        <v>17</v>
      </c>
      <c r="W3571" t="s">
        <v>19</v>
      </c>
      <c r="X3571">
        <v>23</v>
      </c>
      <c r="Y3571" t="s">
        <v>49</v>
      </c>
      <c r="Z3571">
        <v>2</v>
      </c>
      <c r="AA3571">
        <v>117</v>
      </c>
      <c r="AB3571">
        <v>1.7</v>
      </c>
    </row>
    <row r="3572" spans="10:28">
      <c r="J3572" s="340" t="str">
        <f t="shared" si="159"/>
        <v>2013FemaleNon-Maori254</v>
      </c>
      <c r="K3572">
        <v>2013</v>
      </c>
      <c r="L3572" t="s">
        <v>8</v>
      </c>
      <c r="M3572" t="s">
        <v>19</v>
      </c>
      <c r="N3572">
        <v>25</v>
      </c>
      <c r="O3572">
        <v>4</v>
      </c>
      <c r="P3572">
        <v>0</v>
      </c>
      <c r="Q3572">
        <v>0</v>
      </c>
      <c r="T3572" s="340" t="str">
        <f t="shared" si="160"/>
        <v>2013AllSexNon-Maori24Submersion (drowning)</v>
      </c>
      <c r="U3572">
        <v>2013</v>
      </c>
      <c r="V3572" t="s">
        <v>17</v>
      </c>
      <c r="W3572" t="s">
        <v>19</v>
      </c>
      <c r="X3572">
        <v>24</v>
      </c>
      <c r="Y3572" t="s">
        <v>49</v>
      </c>
      <c r="Z3572">
        <v>7</v>
      </c>
      <c r="AA3572">
        <v>173</v>
      </c>
      <c r="AB3572">
        <v>4</v>
      </c>
    </row>
    <row r="3573" spans="10:28">
      <c r="J3573" s="340" t="str">
        <f t="shared" si="159"/>
        <v>2013FemaleNon-Maori255</v>
      </c>
      <c r="K3573">
        <v>2013</v>
      </c>
      <c r="L3573" t="s">
        <v>8</v>
      </c>
      <c r="M3573" t="s">
        <v>19</v>
      </c>
      <c r="N3573">
        <v>25</v>
      </c>
      <c r="O3573">
        <v>5</v>
      </c>
      <c r="P3573">
        <v>0</v>
      </c>
      <c r="Q3573">
        <v>0</v>
      </c>
      <c r="T3573" s="340" t="str">
        <f t="shared" si="160"/>
        <v>2013AllSexNon-Maori25Submersion (drowning)</v>
      </c>
      <c r="U3573">
        <v>2013</v>
      </c>
      <c r="V3573" t="s">
        <v>17</v>
      </c>
      <c r="W3573" t="s">
        <v>19</v>
      </c>
      <c r="X3573">
        <v>25</v>
      </c>
      <c r="Y3573" t="s">
        <v>49</v>
      </c>
      <c r="Z3573">
        <v>3</v>
      </c>
      <c r="AA3573">
        <v>56</v>
      </c>
      <c r="AB3573">
        <v>5.4</v>
      </c>
    </row>
    <row r="3574" spans="10:28">
      <c r="J3574" s="340" t="str">
        <f t="shared" si="159"/>
        <v>2013MaleAllEth211</v>
      </c>
      <c r="K3574">
        <v>2013</v>
      </c>
      <c r="L3574" t="s">
        <v>20</v>
      </c>
      <c r="M3574" t="s">
        <v>27</v>
      </c>
      <c r="N3574">
        <v>21</v>
      </c>
      <c r="O3574">
        <v>1</v>
      </c>
      <c r="P3574">
        <v>0</v>
      </c>
      <c r="Q3574">
        <v>0</v>
      </c>
      <c r="T3574" s="340" t="str">
        <f t="shared" si="160"/>
        <v>2013FemaleAllEth22Firearms and explosives</v>
      </c>
      <c r="U3574">
        <v>2013</v>
      </c>
      <c r="V3574" t="s">
        <v>8</v>
      </c>
      <c r="W3574" t="s">
        <v>27</v>
      </c>
      <c r="X3574">
        <v>22</v>
      </c>
      <c r="Y3574" t="s">
        <v>42</v>
      </c>
      <c r="Z3574">
        <v>1</v>
      </c>
      <c r="AA3574">
        <v>38</v>
      </c>
      <c r="AB3574">
        <v>2.6</v>
      </c>
    </row>
    <row r="3575" spans="10:28">
      <c r="J3575" s="340" t="str">
        <f t="shared" si="159"/>
        <v>2013MaleAllEth212</v>
      </c>
      <c r="K3575">
        <v>2013</v>
      </c>
      <c r="L3575" t="s">
        <v>20</v>
      </c>
      <c r="M3575" t="s">
        <v>27</v>
      </c>
      <c r="N3575">
        <v>21</v>
      </c>
      <c r="O3575">
        <v>2</v>
      </c>
      <c r="P3575">
        <v>0</v>
      </c>
      <c r="Q3575">
        <v>0</v>
      </c>
      <c r="T3575" s="340" t="str">
        <f t="shared" si="160"/>
        <v>2013FemaleAllEth24Firearms and explosives</v>
      </c>
      <c r="U3575">
        <v>2013</v>
      </c>
      <c r="V3575" t="s">
        <v>8</v>
      </c>
      <c r="W3575" t="s">
        <v>27</v>
      </c>
      <c r="X3575">
        <v>24</v>
      </c>
      <c r="Y3575" t="s">
        <v>42</v>
      </c>
      <c r="Z3575">
        <v>1</v>
      </c>
      <c r="AA3575">
        <v>53</v>
      </c>
      <c r="AB3575">
        <v>1.9</v>
      </c>
    </row>
    <row r="3576" spans="10:28">
      <c r="J3576" s="340" t="str">
        <f t="shared" si="159"/>
        <v>2013MaleAllEth213</v>
      </c>
      <c r="K3576">
        <v>2013</v>
      </c>
      <c r="L3576" t="s">
        <v>20</v>
      </c>
      <c r="M3576" t="s">
        <v>27</v>
      </c>
      <c r="N3576">
        <v>21</v>
      </c>
      <c r="O3576">
        <v>3</v>
      </c>
      <c r="P3576">
        <v>0</v>
      </c>
      <c r="Q3576">
        <v>0</v>
      </c>
      <c r="T3576" s="340" t="str">
        <f t="shared" si="160"/>
        <v>2013FemaleAllEth21Hanging, strangulation and suffocation</v>
      </c>
      <c r="U3576">
        <v>2013</v>
      </c>
      <c r="V3576" t="s">
        <v>8</v>
      </c>
      <c r="W3576" t="s">
        <v>27</v>
      </c>
      <c r="X3576">
        <v>21</v>
      </c>
      <c r="Y3576" t="s">
        <v>43</v>
      </c>
      <c r="Z3576">
        <v>1</v>
      </c>
      <c r="AA3576">
        <v>2</v>
      </c>
      <c r="AB3576">
        <v>50</v>
      </c>
    </row>
    <row r="3577" spans="10:28">
      <c r="J3577" s="340" t="str">
        <f t="shared" si="159"/>
        <v>2013MaleAllEth214</v>
      </c>
      <c r="K3577">
        <v>2013</v>
      </c>
      <c r="L3577" t="s">
        <v>20</v>
      </c>
      <c r="M3577" t="s">
        <v>27</v>
      </c>
      <c r="N3577">
        <v>21</v>
      </c>
      <c r="O3577">
        <v>4</v>
      </c>
      <c r="P3577">
        <v>0</v>
      </c>
      <c r="Q3577">
        <v>0</v>
      </c>
      <c r="T3577" s="340" t="str">
        <f t="shared" si="160"/>
        <v>2013FemaleAllEth22Hanging, strangulation and suffocation</v>
      </c>
      <c r="U3577">
        <v>2013</v>
      </c>
      <c r="V3577" t="s">
        <v>8</v>
      </c>
      <c r="W3577" t="s">
        <v>27</v>
      </c>
      <c r="X3577">
        <v>22</v>
      </c>
      <c r="Y3577" t="s">
        <v>43</v>
      </c>
      <c r="Z3577">
        <v>30</v>
      </c>
      <c r="AA3577">
        <v>38</v>
      </c>
      <c r="AB3577">
        <v>78.900000000000006</v>
      </c>
    </row>
    <row r="3578" spans="10:28">
      <c r="J3578" s="340" t="str">
        <f t="shared" si="159"/>
        <v>2013MaleAllEth215</v>
      </c>
      <c r="K3578">
        <v>2013</v>
      </c>
      <c r="L3578" t="s">
        <v>20</v>
      </c>
      <c r="M3578" t="s">
        <v>27</v>
      </c>
      <c r="N3578">
        <v>21</v>
      </c>
      <c r="O3578">
        <v>5</v>
      </c>
      <c r="P3578">
        <v>0</v>
      </c>
      <c r="Q3578">
        <v>0</v>
      </c>
      <c r="T3578" s="340" t="str">
        <f t="shared" si="160"/>
        <v>2013FemaleAllEth23Hanging, strangulation and suffocation</v>
      </c>
      <c r="U3578">
        <v>2013</v>
      </c>
      <c r="V3578" t="s">
        <v>8</v>
      </c>
      <c r="W3578" t="s">
        <v>27</v>
      </c>
      <c r="X3578">
        <v>23</v>
      </c>
      <c r="Y3578" t="s">
        <v>43</v>
      </c>
      <c r="Z3578">
        <v>30</v>
      </c>
      <c r="AA3578">
        <v>47</v>
      </c>
      <c r="AB3578">
        <v>63.8</v>
      </c>
    </row>
    <row r="3579" spans="10:28">
      <c r="J3579" s="340" t="str">
        <f t="shared" si="159"/>
        <v>2013MaleAllEth221</v>
      </c>
      <c r="K3579">
        <v>2013</v>
      </c>
      <c r="L3579" t="s">
        <v>20</v>
      </c>
      <c r="M3579" t="s">
        <v>27</v>
      </c>
      <c r="N3579">
        <v>22</v>
      </c>
      <c r="O3579">
        <v>1</v>
      </c>
      <c r="P3579">
        <v>8</v>
      </c>
      <c r="Q3579">
        <v>13.9291293872063</v>
      </c>
      <c r="R3579">
        <v>9.6999999999999993</v>
      </c>
      <c r="T3579" s="340" t="str">
        <f t="shared" si="160"/>
        <v>2013FemaleAllEth24Hanging, strangulation and suffocation</v>
      </c>
      <c r="U3579">
        <v>2013</v>
      </c>
      <c r="V3579" t="s">
        <v>8</v>
      </c>
      <c r="W3579" t="s">
        <v>27</v>
      </c>
      <c r="X3579">
        <v>24</v>
      </c>
      <c r="Y3579" t="s">
        <v>43</v>
      </c>
      <c r="Z3579">
        <v>19</v>
      </c>
      <c r="AA3579">
        <v>53</v>
      </c>
      <c r="AB3579">
        <v>35.799999999999997</v>
      </c>
    </row>
    <row r="3580" spans="10:28">
      <c r="J3580" s="340" t="str">
        <f t="shared" si="159"/>
        <v>2013MaleAllEth222</v>
      </c>
      <c r="K3580">
        <v>2013</v>
      </c>
      <c r="L3580" t="s">
        <v>20</v>
      </c>
      <c r="M3580" t="s">
        <v>27</v>
      </c>
      <c r="N3580">
        <v>22</v>
      </c>
      <c r="O3580">
        <v>2</v>
      </c>
      <c r="P3580">
        <v>7</v>
      </c>
      <c r="Q3580">
        <v>12.0515742788661</v>
      </c>
      <c r="R3580">
        <v>8.9</v>
      </c>
      <c r="T3580" s="340" t="str">
        <f t="shared" si="160"/>
        <v>2013FemaleAllEth25Hanging, strangulation and suffocation</v>
      </c>
      <c r="U3580">
        <v>2013</v>
      </c>
      <c r="V3580" t="s">
        <v>8</v>
      </c>
      <c r="W3580" t="s">
        <v>27</v>
      </c>
      <c r="X3580">
        <v>25</v>
      </c>
      <c r="Y3580" t="s">
        <v>43</v>
      </c>
      <c r="Z3580">
        <v>2</v>
      </c>
      <c r="AA3580">
        <v>8</v>
      </c>
      <c r="AB3580">
        <v>25</v>
      </c>
    </row>
    <row r="3581" spans="10:28">
      <c r="J3581" s="340" t="str">
        <f t="shared" si="159"/>
        <v>2013MaleAllEth223</v>
      </c>
      <c r="K3581">
        <v>2013</v>
      </c>
      <c r="L3581" t="s">
        <v>20</v>
      </c>
      <c r="M3581" t="s">
        <v>27</v>
      </c>
      <c r="N3581">
        <v>22</v>
      </c>
      <c r="O3581">
        <v>3</v>
      </c>
      <c r="P3581">
        <v>12</v>
      </c>
      <c r="Q3581">
        <v>19.6094970899468</v>
      </c>
      <c r="R3581">
        <v>11.1</v>
      </c>
      <c r="T3581" s="340" t="str">
        <f t="shared" si="160"/>
        <v>2013FemaleAllEth23Jumping from a high place</v>
      </c>
      <c r="U3581">
        <v>2013</v>
      </c>
      <c r="V3581" t="s">
        <v>8</v>
      </c>
      <c r="W3581" t="s">
        <v>27</v>
      </c>
      <c r="X3581">
        <v>23</v>
      </c>
      <c r="Y3581" t="s">
        <v>44</v>
      </c>
      <c r="Z3581">
        <v>1</v>
      </c>
      <c r="AA3581">
        <v>47</v>
      </c>
      <c r="AB3581">
        <v>2.1</v>
      </c>
    </row>
    <row r="3582" spans="10:28">
      <c r="J3582" s="340" t="str">
        <f t="shared" si="159"/>
        <v>2013MaleAllEth224</v>
      </c>
      <c r="K3582">
        <v>2013</v>
      </c>
      <c r="L3582" t="s">
        <v>20</v>
      </c>
      <c r="M3582" t="s">
        <v>27</v>
      </c>
      <c r="N3582">
        <v>22</v>
      </c>
      <c r="O3582">
        <v>4</v>
      </c>
      <c r="P3582">
        <v>13</v>
      </c>
      <c r="Q3582">
        <v>19.288605826541001</v>
      </c>
      <c r="R3582">
        <v>10.5</v>
      </c>
      <c r="T3582" s="340" t="str">
        <f t="shared" si="160"/>
        <v>2013FemaleAllEth24Jumping from a high place</v>
      </c>
      <c r="U3582">
        <v>2013</v>
      </c>
      <c r="V3582" t="s">
        <v>8</v>
      </c>
      <c r="W3582" t="s">
        <v>27</v>
      </c>
      <c r="X3582">
        <v>24</v>
      </c>
      <c r="Y3582" t="s">
        <v>44</v>
      </c>
      <c r="Z3582">
        <v>4</v>
      </c>
      <c r="AA3582">
        <v>53</v>
      </c>
      <c r="AB3582">
        <v>7.5</v>
      </c>
    </row>
    <row r="3583" spans="10:28">
      <c r="J3583" s="340" t="str">
        <f t="shared" si="159"/>
        <v>2013MaleAllEth225</v>
      </c>
      <c r="K3583">
        <v>2013</v>
      </c>
      <c r="L3583" t="s">
        <v>20</v>
      </c>
      <c r="M3583" t="s">
        <v>27</v>
      </c>
      <c r="N3583">
        <v>22</v>
      </c>
      <c r="O3583">
        <v>5</v>
      </c>
      <c r="P3583">
        <v>30</v>
      </c>
      <c r="Q3583">
        <v>39.888015173789903</v>
      </c>
      <c r="R3583">
        <v>14.3</v>
      </c>
      <c r="T3583" s="340" t="str">
        <f t="shared" si="160"/>
        <v>2013FemaleAllEth21Other</v>
      </c>
      <c r="U3583">
        <v>2013</v>
      </c>
      <c r="V3583" t="s">
        <v>8</v>
      </c>
      <c r="W3583" t="s">
        <v>27</v>
      </c>
      <c r="X3583">
        <v>21</v>
      </c>
      <c r="Y3583" t="s">
        <v>45</v>
      </c>
      <c r="Z3583">
        <v>1</v>
      </c>
      <c r="AA3583">
        <v>2</v>
      </c>
      <c r="AB3583">
        <v>50</v>
      </c>
    </row>
    <row r="3584" spans="10:28">
      <c r="J3584" s="340" t="str">
        <f t="shared" si="159"/>
        <v>2013MaleAllEth231</v>
      </c>
      <c r="K3584">
        <v>2013</v>
      </c>
      <c r="L3584" t="s">
        <v>20</v>
      </c>
      <c r="M3584" t="s">
        <v>27</v>
      </c>
      <c r="N3584">
        <v>23</v>
      </c>
      <c r="O3584">
        <v>1</v>
      </c>
      <c r="P3584">
        <v>11</v>
      </c>
      <c r="Q3584">
        <v>10.7451370417633</v>
      </c>
      <c r="R3584">
        <v>6.3</v>
      </c>
      <c r="T3584" s="340" t="str">
        <f t="shared" si="160"/>
        <v>2013FemaleAllEth23Other</v>
      </c>
      <c r="U3584">
        <v>2013</v>
      </c>
      <c r="V3584" t="s">
        <v>8</v>
      </c>
      <c r="W3584" t="s">
        <v>27</v>
      </c>
      <c r="X3584">
        <v>23</v>
      </c>
      <c r="Y3584" t="s">
        <v>45</v>
      </c>
      <c r="Z3584">
        <v>3</v>
      </c>
      <c r="AA3584">
        <v>47</v>
      </c>
      <c r="AB3584">
        <v>6.4</v>
      </c>
    </row>
    <row r="3585" spans="10:28">
      <c r="J3585" s="340" t="str">
        <f t="shared" si="159"/>
        <v>2013MaleAllEth232</v>
      </c>
      <c r="K3585">
        <v>2013</v>
      </c>
      <c r="L3585" t="s">
        <v>20</v>
      </c>
      <c r="M3585" t="s">
        <v>27</v>
      </c>
      <c r="N3585">
        <v>23</v>
      </c>
      <c r="O3585">
        <v>2</v>
      </c>
      <c r="P3585">
        <v>19</v>
      </c>
      <c r="Q3585">
        <v>17.0042051521018</v>
      </c>
      <c r="R3585">
        <v>7.6</v>
      </c>
      <c r="T3585" s="340" t="str">
        <f t="shared" si="160"/>
        <v>2013FemaleAllEth24Other</v>
      </c>
      <c r="U3585">
        <v>2013</v>
      </c>
      <c r="V3585" t="s">
        <v>8</v>
      </c>
      <c r="W3585" t="s">
        <v>27</v>
      </c>
      <c r="X3585">
        <v>24</v>
      </c>
      <c r="Y3585" t="s">
        <v>45</v>
      </c>
      <c r="Z3585">
        <v>2</v>
      </c>
      <c r="AA3585">
        <v>53</v>
      </c>
      <c r="AB3585">
        <v>3.8</v>
      </c>
    </row>
    <row r="3586" spans="10:28">
      <c r="J3586" s="340" t="str">
        <f t="shared" si="159"/>
        <v>2013MaleAllEth233</v>
      </c>
      <c r="K3586">
        <v>2013</v>
      </c>
      <c r="L3586" t="s">
        <v>20</v>
      </c>
      <c r="M3586" t="s">
        <v>27</v>
      </c>
      <c r="N3586">
        <v>23</v>
      </c>
      <c r="O3586">
        <v>3</v>
      </c>
      <c r="P3586">
        <v>18</v>
      </c>
      <c r="Q3586">
        <v>15.6183435323741</v>
      </c>
      <c r="R3586">
        <v>7.2</v>
      </c>
      <c r="T3586" s="340" t="str">
        <f t="shared" si="160"/>
        <v>2013FemaleAllEth23Poisoning by gases and vapours</v>
      </c>
      <c r="U3586">
        <v>2013</v>
      </c>
      <c r="V3586" t="s">
        <v>8</v>
      </c>
      <c r="W3586" t="s">
        <v>27</v>
      </c>
      <c r="X3586">
        <v>23</v>
      </c>
      <c r="Y3586" t="s">
        <v>46</v>
      </c>
      <c r="Z3586">
        <v>3</v>
      </c>
      <c r="AA3586">
        <v>47</v>
      </c>
      <c r="AB3586">
        <v>6.4</v>
      </c>
    </row>
    <row r="3587" spans="10:28">
      <c r="J3587" s="340" t="str">
        <f t="shared" si="159"/>
        <v>2013MaleAllEth234</v>
      </c>
      <c r="K3587">
        <v>2013</v>
      </c>
      <c r="L3587" t="s">
        <v>20</v>
      </c>
      <c r="M3587" t="s">
        <v>27</v>
      </c>
      <c r="N3587">
        <v>23</v>
      </c>
      <c r="O3587">
        <v>4</v>
      </c>
      <c r="P3587">
        <v>28</v>
      </c>
      <c r="Q3587">
        <v>24.7200544809462</v>
      </c>
      <c r="R3587">
        <v>9.1999999999999993</v>
      </c>
      <c r="T3587" s="340" t="str">
        <f t="shared" si="160"/>
        <v>2013FemaleAllEth24Poisoning by gases and vapours</v>
      </c>
      <c r="U3587">
        <v>2013</v>
      </c>
      <c r="V3587" t="s">
        <v>8</v>
      </c>
      <c r="W3587" t="s">
        <v>27</v>
      </c>
      <c r="X3587">
        <v>24</v>
      </c>
      <c r="Y3587" t="s">
        <v>46</v>
      </c>
      <c r="Z3587">
        <v>3</v>
      </c>
      <c r="AA3587">
        <v>53</v>
      </c>
      <c r="AB3587">
        <v>5.7</v>
      </c>
    </row>
    <row r="3588" spans="10:28">
      <c r="J3588" s="340" t="str">
        <f t="shared" ref="J3588:J3651" si="161">K3588&amp;L3588&amp;M3588&amp;N3588&amp;O3588</f>
        <v>2013MaleAllEth235</v>
      </c>
      <c r="K3588">
        <v>2013</v>
      </c>
      <c r="L3588" t="s">
        <v>20</v>
      </c>
      <c r="M3588" t="s">
        <v>27</v>
      </c>
      <c r="N3588">
        <v>23</v>
      </c>
      <c r="O3588">
        <v>5</v>
      </c>
      <c r="P3588">
        <v>32</v>
      </c>
      <c r="Q3588">
        <v>30.800744694105902</v>
      </c>
      <c r="R3588">
        <v>10.7</v>
      </c>
      <c r="T3588" s="340" t="str">
        <f t="shared" si="160"/>
        <v>2013FemaleAllEth22Poisoning by solids and liquids</v>
      </c>
      <c r="U3588">
        <v>2013</v>
      </c>
      <c r="V3588" t="s">
        <v>8</v>
      </c>
      <c r="W3588" t="s">
        <v>27</v>
      </c>
      <c r="X3588">
        <v>22</v>
      </c>
      <c r="Y3588" t="s">
        <v>47</v>
      </c>
      <c r="Z3588">
        <v>4</v>
      </c>
      <c r="AA3588">
        <v>38</v>
      </c>
      <c r="AB3588">
        <v>10.5</v>
      </c>
    </row>
    <row r="3589" spans="10:28">
      <c r="J3589" s="340" t="str">
        <f t="shared" si="161"/>
        <v>2013MaleAllEth241</v>
      </c>
      <c r="K3589">
        <v>2013</v>
      </c>
      <c r="L3589" t="s">
        <v>20</v>
      </c>
      <c r="M3589" t="s">
        <v>27</v>
      </c>
      <c r="N3589">
        <v>24</v>
      </c>
      <c r="O3589">
        <v>1</v>
      </c>
      <c r="P3589">
        <v>27</v>
      </c>
      <c r="Q3589">
        <v>19.932097896688902</v>
      </c>
      <c r="R3589">
        <v>7.5</v>
      </c>
      <c r="T3589" s="340" t="str">
        <f t="shared" ref="T3589:T3652" si="162">U3589&amp;V3589&amp;W3589&amp;X3589&amp;Y3589</f>
        <v>2013FemaleAllEth23Poisoning by solids and liquids</v>
      </c>
      <c r="U3589">
        <v>2013</v>
      </c>
      <c r="V3589" t="s">
        <v>8</v>
      </c>
      <c r="W3589" t="s">
        <v>27</v>
      </c>
      <c r="X3589">
        <v>23</v>
      </c>
      <c r="Y3589" t="s">
        <v>47</v>
      </c>
      <c r="Z3589">
        <v>9</v>
      </c>
      <c r="AA3589">
        <v>47</v>
      </c>
      <c r="AB3589">
        <v>19.100000000000001</v>
      </c>
    </row>
    <row r="3590" spans="10:28">
      <c r="J3590" s="340" t="str">
        <f t="shared" si="161"/>
        <v>2013MaleAllEth242</v>
      </c>
      <c r="K3590">
        <v>2013</v>
      </c>
      <c r="L3590" t="s">
        <v>20</v>
      </c>
      <c r="M3590" t="s">
        <v>27</v>
      </c>
      <c r="N3590">
        <v>24</v>
      </c>
      <c r="O3590">
        <v>2</v>
      </c>
      <c r="P3590">
        <v>20</v>
      </c>
      <c r="Q3590">
        <v>16.642324349295802</v>
      </c>
      <c r="R3590">
        <v>7.3</v>
      </c>
      <c r="T3590" s="340" t="str">
        <f t="shared" si="162"/>
        <v>2013FemaleAllEth24Poisoning by solids and liquids</v>
      </c>
      <c r="U3590">
        <v>2013</v>
      </c>
      <c r="V3590" t="s">
        <v>8</v>
      </c>
      <c r="W3590" t="s">
        <v>27</v>
      </c>
      <c r="X3590">
        <v>24</v>
      </c>
      <c r="Y3590" t="s">
        <v>47</v>
      </c>
      <c r="Z3590">
        <v>19</v>
      </c>
      <c r="AA3590">
        <v>53</v>
      </c>
      <c r="AB3590">
        <v>35.799999999999997</v>
      </c>
    </row>
    <row r="3591" spans="10:28">
      <c r="J3591" s="340" t="str">
        <f t="shared" si="161"/>
        <v>2013MaleAllEth243</v>
      </c>
      <c r="K3591">
        <v>2013</v>
      </c>
      <c r="L3591" t="s">
        <v>20</v>
      </c>
      <c r="M3591" t="s">
        <v>27</v>
      </c>
      <c r="N3591">
        <v>24</v>
      </c>
      <c r="O3591">
        <v>3</v>
      </c>
      <c r="P3591">
        <v>22</v>
      </c>
      <c r="Q3591">
        <v>20.326317589671302</v>
      </c>
      <c r="R3591">
        <v>8.5</v>
      </c>
      <c r="T3591" s="340" t="str">
        <f t="shared" si="162"/>
        <v>2013FemaleAllEth25Poisoning by solids and liquids</v>
      </c>
      <c r="U3591">
        <v>2013</v>
      </c>
      <c r="V3591" t="s">
        <v>8</v>
      </c>
      <c r="W3591" t="s">
        <v>27</v>
      </c>
      <c r="X3591">
        <v>25</v>
      </c>
      <c r="Y3591" t="s">
        <v>47</v>
      </c>
      <c r="Z3591">
        <v>6</v>
      </c>
      <c r="AA3591">
        <v>8</v>
      </c>
      <c r="AB3591">
        <v>75</v>
      </c>
    </row>
    <row r="3592" spans="10:28">
      <c r="J3592" s="340" t="str">
        <f t="shared" si="161"/>
        <v>2013MaleAllEth244</v>
      </c>
      <c r="K3592">
        <v>2013</v>
      </c>
      <c r="L3592" t="s">
        <v>20</v>
      </c>
      <c r="M3592" t="s">
        <v>27</v>
      </c>
      <c r="N3592">
        <v>24</v>
      </c>
      <c r="O3592">
        <v>4</v>
      </c>
      <c r="P3592">
        <v>29</v>
      </c>
      <c r="Q3592">
        <v>29.509131321192001</v>
      </c>
      <c r="R3592">
        <v>10.7</v>
      </c>
      <c r="T3592" s="340" t="str">
        <f t="shared" si="162"/>
        <v>2013FemaleAllEth24Sharp object</v>
      </c>
      <c r="U3592">
        <v>2013</v>
      </c>
      <c r="V3592" t="s">
        <v>8</v>
      </c>
      <c r="W3592" t="s">
        <v>27</v>
      </c>
      <c r="X3592">
        <v>24</v>
      </c>
      <c r="Y3592" t="s">
        <v>48</v>
      </c>
      <c r="Z3592">
        <v>1</v>
      </c>
      <c r="AA3592">
        <v>53</v>
      </c>
      <c r="AB3592">
        <v>1.9</v>
      </c>
    </row>
    <row r="3593" spans="10:28">
      <c r="J3593" s="340" t="str">
        <f t="shared" si="161"/>
        <v>2013MaleAllEth245</v>
      </c>
      <c r="K3593">
        <v>2013</v>
      </c>
      <c r="L3593" t="s">
        <v>20</v>
      </c>
      <c r="M3593" t="s">
        <v>27</v>
      </c>
      <c r="N3593">
        <v>24</v>
      </c>
      <c r="O3593">
        <v>5</v>
      </c>
      <c r="P3593">
        <v>24</v>
      </c>
      <c r="Q3593">
        <v>26.7511219797798</v>
      </c>
      <c r="R3593">
        <v>10.7</v>
      </c>
      <c r="T3593" s="340" t="str">
        <f t="shared" si="162"/>
        <v>2013FemaleAllEth22Submersion (drowning)</v>
      </c>
      <c r="U3593">
        <v>2013</v>
      </c>
      <c r="V3593" t="s">
        <v>8</v>
      </c>
      <c r="W3593" t="s">
        <v>27</v>
      </c>
      <c r="X3593">
        <v>22</v>
      </c>
      <c r="Y3593" t="s">
        <v>49</v>
      </c>
      <c r="Z3593">
        <v>3</v>
      </c>
      <c r="AA3593">
        <v>38</v>
      </c>
      <c r="AB3593">
        <v>7.9</v>
      </c>
    </row>
    <row r="3594" spans="10:28">
      <c r="J3594" s="340" t="str">
        <f t="shared" si="161"/>
        <v>2013MaleAllEth251</v>
      </c>
      <c r="K3594">
        <v>2013</v>
      </c>
      <c r="L3594" t="s">
        <v>20</v>
      </c>
      <c r="M3594" t="s">
        <v>27</v>
      </c>
      <c r="N3594">
        <v>25</v>
      </c>
      <c r="O3594">
        <v>1</v>
      </c>
      <c r="P3594">
        <v>7</v>
      </c>
      <c r="Q3594">
        <v>11.186105910895201</v>
      </c>
      <c r="R3594">
        <v>8.3000000000000007</v>
      </c>
      <c r="T3594" s="340" t="str">
        <f t="shared" si="162"/>
        <v>2013FemaleAllEth23Submersion (drowning)</v>
      </c>
      <c r="U3594">
        <v>2013</v>
      </c>
      <c r="V3594" t="s">
        <v>8</v>
      </c>
      <c r="W3594" t="s">
        <v>27</v>
      </c>
      <c r="X3594">
        <v>23</v>
      </c>
      <c r="Y3594" t="s">
        <v>49</v>
      </c>
      <c r="Z3594">
        <v>1</v>
      </c>
      <c r="AA3594">
        <v>47</v>
      </c>
      <c r="AB3594">
        <v>2.1</v>
      </c>
    </row>
    <row r="3595" spans="10:28">
      <c r="J3595" s="340" t="str">
        <f t="shared" si="161"/>
        <v>2013MaleAllEth252</v>
      </c>
      <c r="K3595">
        <v>2013</v>
      </c>
      <c r="L3595" t="s">
        <v>20</v>
      </c>
      <c r="M3595" t="s">
        <v>27</v>
      </c>
      <c r="N3595">
        <v>25</v>
      </c>
      <c r="O3595">
        <v>2</v>
      </c>
      <c r="P3595">
        <v>9</v>
      </c>
      <c r="Q3595">
        <v>14.6023335934954</v>
      </c>
      <c r="R3595">
        <v>9.5</v>
      </c>
      <c r="T3595" s="340" t="str">
        <f t="shared" si="162"/>
        <v>2013FemaleAllEth24Submersion (drowning)</v>
      </c>
      <c r="U3595">
        <v>2013</v>
      </c>
      <c r="V3595" t="s">
        <v>8</v>
      </c>
      <c r="W3595" t="s">
        <v>27</v>
      </c>
      <c r="X3595">
        <v>24</v>
      </c>
      <c r="Y3595" t="s">
        <v>49</v>
      </c>
      <c r="Z3595">
        <v>4</v>
      </c>
      <c r="AA3595">
        <v>53</v>
      </c>
      <c r="AB3595">
        <v>7.5</v>
      </c>
    </row>
    <row r="3596" spans="10:28">
      <c r="J3596" s="340" t="str">
        <f t="shared" si="161"/>
        <v>2013MaleAllEth253</v>
      </c>
      <c r="K3596">
        <v>2013</v>
      </c>
      <c r="L3596" t="s">
        <v>20</v>
      </c>
      <c r="M3596" t="s">
        <v>27</v>
      </c>
      <c r="N3596">
        <v>25</v>
      </c>
      <c r="O3596">
        <v>3</v>
      </c>
      <c r="P3596">
        <v>20</v>
      </c>
      <c r="Q3596">
        <v>33.718650599658197</v>
      </c>
      <c r="R3596">
        <v>14.8</v>
      </c>
      <c r="T3596" s="340" t="str">
        <f t="shared" si="162"/>
        <v>2013FemaleMaori22Firearms and explosives</v>
      </c>
      <c r="U3596">
        <v>2013</v>
      </c>
      <c r="V3596" t="s">
        <v>8</v>
      </c>
      <c r="W3596" t="s">
        <v>18</v>
      </c>
      <c r="X3596">
        <v>22</v>
      </c>
      <c r="Y3596" t="s">
        <v>42</v>
      </c>
      <c r="Z3596">
        <v>1</v>
      </c>
      <c r="AA3596">
        <v>20</v>
      </c>
      <c r="AB3596">
        <v>5</v>
      </c>
    </row>
    <row r="3597" spans="10:28">
      <c r="J3597" s="340" t="str">
        <f t="shared" si="161"/>
        <v>2013MaleAllEth254</v>
      </c>
      <c r="K3597">
        <v>2013</v>
      </c>
      <c r="L3597" t="s">
        <v>20</v>
      </c>
      <c r="M3597" t="s">
        <v>27</v>
      </c>
      <c r="N3597">
        <v>25</v>
      </c>
      <c r="O3597">
        <v>4</v>
      </c>
      <c r="P3597">
        <v>6</v>
      </c>
      <c r="Q3597">
        <v>10.431627155211199</v>
      </c>
      <c r="R3597">
        <v>8.3000000000000007</v>
      </c>
      <c r="T3597" s="340" t="str">
        <f t="shared" si="162"/>
        <v>2013FemaleMaori21Hanging, strangulation and suffocation</v>
      </c>
      <c r="U3597">
        <v>2013</v>
      </c>
      <c r="V3597" t="s">
        <v>8</v>
      </c>
      <c r="W3597" t="s">
        <v>18</v>
      </c>
      <c r="X3597">
        <v>21</v>
      </c>
      <c r="Y3597" t="s">
        <v>43</v>
      </c>
      <c r="Z3597">
        <v>1</v>
      </c>
      <c r="AA3597">
        <v>1</v>
      </c>
      <c r="AB3597">
        <v>100</v>
      </c>
    </row>
    <row r="3598" spans="10:28">
      <c r="J3598" s="340" t="str">
        <f t="shared" si="161"/>
        <v>2013MaleAllEth255</v>
      </c>
      <c r="K3598">
        <v>2013</v>
      </c>
      <c r="L3598" t="s">
        <v>20</v>
      </c>
      <c r="M3598" t="s">
        <v>27</v>
      </c>
      <c r="N3598">
        <v>25</v>
      </c>
      <c r="O3598">
        <v>5</v>
      </c>
      <c r="P3598">
        <v>3</v>
      </c>
      <c r="Q3598">
        <v>6.3108025796209102</v>
      </c>
      <c r="R3598">
        <v>7.1</v>
      </c>
      <c r="T3598" s="340" t="str">
        <f t="shared" si="162"/>
        <v>2013FemaleMaori22Hanging, strangulation and suffocation</v>
      </c>
      <c r="U3598">
        <v>2013</v>
      </c>
      <c r="V3598" t="s">
        <v>8</v>
      </c>
      <c r="W3598" t="s">
        <v>18</v>
      </c>
      <c r="X3598">
        <v>22</v>
      </c>
      <c r="Y3598" t="s">
        <v>43</v>
      </c>
      <c r="Z3598">
        <v>17</v>
      </c>
      <c r="AA3598">
        <v>20</v>
      </c>
      <c r="AB3598">
        <v>85</v>
      </c>
    </row>
    <row r="3599" spans="10:28">
      <c r="J3599" s="340" t="str">
        <f t="shared" si="161"/>
        <v>2013MaleMaori211</v>
      </c>
      <c r="K3599">
        <v>2013</v>
      </c>
      <c r="L3599" t="s">
        <v>20</v>
      </c>
      <c r="M3599" t="s">
        <v>18</v>
      </c>
      <c r="N3599">
        <v>21</v>
      </c>
      <c r="O3599">
        <v>1</v>
      </c>
      <c r="P3599">
        <v>0</v>
      </c>
      <c r="Q3599">
        <v>0</v>
      </c>
      <c r="T3599" s="340" t="str">
        <f t="shared" si="162"/>
        <v>2013FemaleMaori23Hanging, strangulation and suffocation</v>
      </c>
      <c r="U3599">
        <v>2013</v>
      </c>
      <c r="V3599" t="s">
        <v>8</v>
      </c>
      <c r="W3599" t="s">
        <v>18</v>
      </c>
      <c r="X3599">
        <v>23</v>
      </c>
      <c r="Y3599" t="s">
        <v>43</v>
      </c>
      <c r="Z3599">
        <v>11</v>
      </c>
      <c r="AA3599">
        <v>13</v>
      </c>
      <c r="AB3599">
        <v>84.6</v>
      </c>
    </row>
    <row r="3600" spans="10:28">
      <c r="J3600" s="340" t="str">
        <f t="shared" si="161"/>
        <v>2013MaleMaori212</v>
      </c>
      <c r="K3600">
        <v>2013</v>
      </c>
      <c r="L3600" t="s">
        <v>20</v>
      </c>
      <c r="M3600" t="s">
        <v>18</v>
      </c>
      <c r="N3600">
        <v>21</v>
      </c>
      <c r="O3600">
        <v>2</v>
      </c>
      <c r="P3600">
        <v>0</v>
      </c>
      <c r="Q3600">
        <v>0</v>
      </c>
      <c r="T3600" s="340" t="str">
        <f t="shared" si="162"/>
        <v>2013FemaleMaori24Hanging, strangulation and suffocation</v>
      </c>
      <c r="U3600">
        <v>2013</v>
      </c>
      <c r="V3600" t="s">
        <v>8</v>
      </c>
      <c r="W3600" t="s">
        <v>18</v>
      </c>
      <c r="X3600">
        <v>24</v>
      </c>
      <c r="Y3600" t="s">
        <v>43</v>
      </c>
      <c r="Z3600">
        <v>3</v>
      </c>
      <c r="AA3600">
        <v>5</v>
      </c>
      <c r="AB3600">
        <v>60</v>
      </c>
    </row>
    <row r="3601" spans="10:28">
      <c r="J3601" s="340" t="str">
        <f t="shared" si="161"/>
        <v>2013MaleMaori213</v>
      </c>
      <c r="K3601">
        <v>2013</v>
      </c>
      <c r="L3601" t="s">
        <v>20</v>
      </c>
      <c r="M3601" t="s">
        <v>18</v>
      </c>
      <c r="N3601">
        <v>21</v>
      </c>
      <c r="O3601">
        <v>3</v>
      </c>
      <c r="P3601">
        <v>0</v>
      </c>
      <c r="Q3601">
        <v>0</v>
      </c>
      <c r="T3601" s="340" t="str">
        <f t="shared" si="162"/>
        <v>2013FemaleMaori23Poisoning by gases and vapours</v>
      </c>
      <c r="U3601">
        <v>2013</v>
      </c>
      <c r="V3601" t="s">
        <v>8</v>
      </c>
      <c r="W3601" t="s">
        <v>18</v>
      </c>
      <c r="X3601">
        <v>23</v>
      </c>
      <c r="Y3601" t="s">
        <v>46</v>
      </c>
      <c r="Z3601">
        <v>1</v>
      </c>
      <c r="AA3601">
        <v>13</v>
      </c>
      <c r="AB3601">
        <v>7.7</v>
      </c>
    </row>
    <row r="3602" spans="10:28">
      <c r="J3602" s="340" t="str">
        <f t="shared" si="161"/>
        <v>2013MaleMaori214</v>
      </c>
      <c r="K3602">
        <v>2013</v>
      </c>
      <c r="L3602" t="s">
        <v>20</v>
      </c>
      <c r="M3602" t="s">
        <v>18</v>
      </c>
      <c r="N3602">
        <v>21</v>
      </c>
      <c r="O3602">
        <v>4</v>
      </c>
      <c r="P3602">
        <v>0</v>
      </c>
      <c r="Q3602">
        <v>0</v>
      </c>
      <c r="T3602" s="340" t="str">
        <f t="shared" si="162"/>
        <v>2013FemaleMaori22Poisoning by solids and liquids</v>
      </c>
      <c r="U3602">
        <v>2013</v>
      </c>
      <c r="V3602" t="s">
        <v>8</v>
      </c>
      <c r="W3602" t="s">
        <v>18</v>
      </c>
      <c r="X3602">
        <v>22</v>
      </c>
      <c r="Y3602" t="s">
        <v>47</v>
      </c>
      <c r="Z3602">
        <v>2</v>
      </c>
      <c r="AA3602">
        <v>20</v>
      </c>
      <c r="AB3602">
        <v>10</v>
      </c>
    </row>
    <row r="3603" spans="10:28">
      <c r="J3603" s="340" t="str">
        <f t="shared" si="161"/>
        <v>2013MaleMaori215</v>
      </c>
      <c r="K3603">
        <v>2013</v>
      </c>
      <c r="L3603" t="s">
        <v>20</v>
      </c>
      <c r="M3603" t="s">
        <v>18</v>
      </c>
      <c r="N3603">
        <v>21</v>
      </c>
      <c r="O3603">
        <v>5</v>
      </c>
      <c r="P3603">
        <v>0</v>
      </c>
      <c r="Q3603">
        <v>0</v>
      </c>
      <c r="T3603" s="340" t="str">
        <f t="shared" si="162"/>
        <v>2013FemaleMaori23Poisoning by solids and liquids</v>
      </c>
      <c r="U3603">
        <v>2013</v>
      </c>
      <c r="V3603" t="s">
        <v>8</v>
      </c>
      <c r="W3603" t="s">
        <v>18</v>
      </c>
      <c r="X3603">
        <v>23</v>
      </c>
      <c r="Y3603" t="s">
        <v>47</v>
      </c>
      <c r="Z3603">
        <v>1</v>
      </c>
      <c r="AA3603">
        <v>13</v>
      </c>
      <c r="AB3603">
        <v>7.7</v>
      </c>
    </row>
    <row r="3604" spans="10:28">
      <c r="J3604" s="340" t="str">
        <f t="shared" si="161"/>
        <v>2013MaleMaori221</v>
      </c>
      <c r="K3604">
        <v>2013</v>
      </c>
      <c r="L3604" t="s">
        <v>20</v>
      </c>
      <c r="M3604" t="s">
        <v>18</v>
      </c>
      <c r="N3604">
        <v>22</v>
      </c>
      <c r="O3604">
        <v>1</v>
      </c>
      <c r="P3604">
        <v>1</v>
      </c>
      <c r="Q3604">
        <v>18.0109937357951</v>
      </c>
      <c r="R3604">
        <v>35.299999999999997</v>
      </c>
      <c r="T3604" s="340" t="str">
        <f t="shared" si="162"/>
        <v>2013FemaleMaori24Poisoning by solids and liquids</v>
      </c>
      <c r="U3604">
        <v>2013</v>
      </c>
      <c r="V3604" t="s">
        <v>8</v>
      </c>
      <c r="W3604" t="s">
        <v>18</v>
      </c>
      <c r="X3604">
        <v>24</v>
      </c>
      <c r="Y3604" t="s">
        <v>47</v>
      </c>
      <c r="Z3604">
        <v>2</v>
      </c>
      <c r="AA3604">
        <v>5</v>
      </c>
      <c r="AB3604">
        <v>40</v>
      </c>
    </row>
    <row r="3605" spans="10:28">
      <c r="J3605" s="340" t="str">
        <f t="shared" si="161"/>
        <v>2013MaleMaori222</v>
      </c>
      <c r="K3605">
        <v>2013</v>
      </c>
      <c r="L3605" t="s">
        <v>20</v>
      </c>
      <c r="M3605" t="s">
        <v>18</v>
      </c>
      <c r="N3605">
        <v>22</v>
      </c>
      <c r="O3605">
        <v>2</v>
      </c>
      <c r="P3605">
        <v>1</v>
      </c>
      <c r="Q3605">
        <v>13.4717945490506</v>
      </c>
      <c r="R3605">
        <v>26.4</v>
      </c>
      <c r="T3605" s="340" t="str">
        <f t="shared" si="162"/>
        <v>2013FemaleNon-Maori24Firearms and explosives</v>
      </c>
      <c r="U3605">
        <v>2013</v>
      </c>
      <c r="V3605" t="s">
        <v>8</v>
      </c>
      <c r="W3605" t="s">
        <v>19</v>
      </c>
      <c r="X3605">
        <v>24</v>
      </c>
      <c r="Y3605" t="s">
        <v>42</v>
      </c>
      <c r="Z3605">
        <v>1</v>
      </c>
      <c r="AA3605">
        <v>48</v>
      </c>
      <c r="AB3605">
        <v>2.1</v>
      </c>
    </row>
    <row r="3606" spans="10:28">
      <c r="J3606" s="340" t="str">
        <f t="shared" si="161"/>
        <v>2013MaleMaori223</v>
      </c>
      <c r="K3606">
        <v>2013</v>
      </c>
      <c r="L3606" t="s">
        <v>20</v>
      </c>
      <c r="M3606" t="s">
        <v>18</v>
      </c>
      <c r="N3606">
        <v>22</v>
      </c>
      <c r="O3606">
        <v>3</v>
      </c>
      <c r="P3606">
        <v>4</v>
      </c>
      <c r="Q3606">
        <v>37.649799849216599</v>
      </c>
      <c r="R3606">
        <v>36.9</v>
      </c>
      <c r="T3606" s="340" t="str">
        <f t="shared" si="162"/>
        <v>2013FemaleNon-Maori22Hanging, strangulation and suffocation</v>
      </c>
      <c r="U3606">
        <v>2013</v>
      </c>
      <c r="V3606" t="s">
        <v>8</v>
      </c>
      <c r="W3606" t="s">
        <v>19</v>
      </c>
      <c r="X3606">
        <v>22</v>
      </c>
      <c r="Y3606" t="s">
        <v>43</v>
      </c>
      <c r="Z3606">
        <v>13</v>
      </c>
      <c r="AA3606">
        <v>18</v>
      </c>
      <c r="AB3606">
        <v>72.2</v>
      </c>
    </row>
    <row r="3607" spans="10:28">
      <c r="J3607" s="340" t="str">
        <f t="shared" si="161"/>
        <v>2013MaleMaori224</v>
      </c>
      <c r="K3607">
        <v>2013</v>
      </c>
      <c r="L3607" t="s">
        <v>20</v>
      </c>
      <c r="M3607" t="s">
        <v>18</v>
      </c>
      <c r="N3607">
        <v>22</v>
      </c>
      <c r="O3607">
        <v>4</v>
      </c>
      <c r="P3607">
        <v>8</v>
      </c>
      <c r="Q3607">
        <v>53.3121835743286</v>
      </c>
      <c r="R3607">
        <v>36.9</v>
      </c>
      <c r="T3607" s="340" t="str">
        <f t="shared" si="162"/>
        <v>2013FemaleNon-Maori23Hanging, strangulation and suffocation</v>
      </c>
      <c r="U3607">
        <v>2013</v>
      </c>
      <c r="V3607" t="s">
        <v>8</v>
      </c>
      <c r="W3607" t="s">
        <v>19</v>
      </c>
      <c r="X3607">
        <v>23</v>
      </c>
      <c r="Y3607" t="s">
        <v>43</v>
      </c>
      <c r="Z3607">
        <v>19</v>
      </c>
      <c r="AA3607">
        <v>34</v>
      </c>
      <c r="AB3607">
        <v>55.9</v>
      </c>
    </row>
    <row r="3608" spans="10:28">
      <c r="J3608" s="340" t="str">
        <f t="shared" si="161"/>
        <v>2013MaleMaori225</v>
      </c>
      <c r="K3608">
        <v>2013</v>
      </c>
      <c r="L3608" t="s">
        <v>20</v>
      </c>
      <c r="M3608" t="s">
        <v>18</v>
      </c>
      <c r="N3608">
        <v>22</v>
      </c>
      <c r="O3608">
        <v>5</v>
      </c>
      <c r="P3608">
        <v>15</v>
      </c>
      <c r="Q3608">
        <v>60.120855193427303</v>
      </c>
      <c r="R3608">
        <v>30.4</v>
      </c>
      <c r="T3608" s="340" t="str">
        <f t="shared" si="162"/>
        <v>2013FemaleNon-Maori24Hanging, strangulation and suffocation</v>
      </c>
      <c r="U3608">
        <v>2013</v>
      </c>
      <c r="V3608" t="s">
        <v>8</v>
      </c>
      <c r="W3608" t="s">
        <v>19</v>
      </c>
      <c r="X3608">
        <v>24</v>
      </c>
      <c r="Y3608" t="s">
        <v>43</v>
      </c>
      <c r="Z3608">
        <v>16</v>
      </c>
      <c r="AA3608">
        <v>48</v>
      </c>
      <c r="AB3608">
        <v>33.299999999999997</v>
      </c>
    </row>
    <row r="3609" spans="10:28">
      <c r="J3609" s="340" t="str">
        <f t="shared" si="161"/>
        <v>2013MaleMaori231</v>
      </c>
      <c r="K3609">
        <v>2013</v>
      </c>
      <c r="L3609" t="s">
        <v>20</v>
      </c>
      <c r="M3609" t="s">
        <v>18</v>
      </c>
      <c r="N3609">
        <v>23</v>
      </c>
      <c r="O3609">
        <v>1</v>
      </c>
      <c r="P3609">
        <v>1</v>
      </c>
      <c r="Q3609">
        <v>13.7283242857358</v>
      </c>
      <c r="R3609">
        <v>26.9</v>
      </c>
      <c r="T3609" s="340" t="str">
        <f t="shared" si="162"/>
        <v>2013FemaleNon-Maori25Hanging, strangulation and suffocation</v>
      </c>
      <c r="U3609">
        <v>2013</v>
      </c>
      <c r="V3609" t="s">
        <v>8</v>
      </c>
      <c r="W3609" t="s">
        <v>19</v>
      </c>
      <c r="X3609">
        <v>25</v>
      </c>
      <c r="Y3609" t="s">
        <v>43</v>
      </c>
      <c r="Z3609">
        <v>2</v>
      </c>
      <c r="AA3609">
        <v>8</v>
      </c>
      <c r="AB3609">
        <v>25</v>
      </c>
    </row>
    <row r="3610" spans="10:28">
      <c r="J3610" s="340" t="str">
        <f t="shared" si="161"/>
        <v>2013MaleMaori232</v>
      </c>
      <c r="K3610">
        <v>2013</v>
      </c>
      <c r="L3610" t="s">
        <v>20</v>
      </c>
      <c r="M3610" t="s">
        <v>18</v>
      </c>
      <c r="N3610">
        <v>23</v>
      </c>
      <c r="O3610">
        <v>2</v>
      </c>
      <c r="P3610">
        <v>5</v>
      </c>
      <c r="Q3610">
        <v>50.680530048785101</v>
      </c>
      <c r="R3610">
        <v>44.4</v>
      </c>
      <c r="T3610" s="340" t="str">
        <f t="shared" si="162"/>
        <v>2013FemaleNon-Maori23Jumping from a high place</v>
      </c>
      <c r="U3610">
        <v>2013</v>
      </c>
      <c r="V3610" t="s">
        <v>8</v>
      </c>
      <c r="W3610" t="s">
        <v>19</v>
      </c>
      <c r="X3610">
        <v>23</v>
      </c>
      <c r="Y3610" t="s">
        <v>44</v>
      </c>
      <c r="Z3610">
        <v>1</v>
      </c>
      <c r="AA3610">
        <v>34</v>
      </c>
      <c r="AB3610">
        <v>2.9</v>
      </c>
    </row>
    <row r="3611" spans="10:28">
      <c r="J3611" s="340" t="str">
        <f t="shared" si="161"/>
        <v>2013MaleMaori233</v>
      </c>
      <c r="K3611">
        <v>2013</v>
      </c>
      <c r="L3611" t="s">
        <v>20</v>
      </c>
      <c r="M3611" t="s">
        <v>18</v>
      </c>
      <c r="N3611">
        <v>23</v>
      </c>
      <c r="O3611">
        <v>3</v>
      </c>
      <c r="P3611">
        <v>2</v>
      </c>
      <c r="Q3611">
        <v>14.5900316490421</v>
      </c>
      <c r="R3611">
        <v>20.2</v>
      </c>
      <c r="T3611" s="340" t="str">
        <f t="shared" si="162"/>
        <v>2013FemaleNon-Maori24Jumping from a high place</v>
      </c>
      <c r="U3611">
        <v>2013</v>
      </c>
      <c r="V3611" t="s">
        <v>8</v>
      </c>
      <c r="W3611" t="s">
        <v>19</v>
      </c>
      <c r="X3611">
        <v>24</v>
      </c>
      <c r="Y3611" t="s">
        <v>44</v>
      </c>
      <c r="Z3611">
        <v>4</v>
      </c>
      <c r="AA3611">
        <v>48</v>
      </c>
      <c r="AB3611">
        <v>8.3000000000000007</v>
      </c>
    </row>
    <row r="3612" spans="10:28">
      <c r="J3612" s="340" t="str">
        <f t="shared" si="161"/>
        <v>2013MaleMaori234</v>
      </c>
      <c r="K3612">
        <v>2013</v>
      </c>
      <c r="L3612" t="s">
        <v>20</v>
      </c>
      <c r="M3612" t="s">
        <v>18</v>
      </c>
      <c r="N3612">
        <v>23</v>
      </c>
      <c r="O3612">
        <v>4</v>
      </c>
      <c r="P3612">
        <v>8</v>
      </c>
      <c r="Q3612">
        <v>43.078279459536297</v>
      </c>
      <c r="R3612">
        <v>29.9</v>
      </c>
      <c r="T3612" s="340" t="str">
        <f t="shared" si="162"/>
        <v>2013FemaleNon-Maori21Other</v>
      </c>
      <c r="U3612">
        <v>2013</v>
      </c>
      <c r="V3612" t="s">
        <v>8</v>
      </c>
      <c r="W3612" t="s">
        <v>19</v>
      </c>
      <c r="X3612">
        <v>21</v>
      </c>
      <c r="Y3612" t="s">
        <v>45</v>
      </c>
      <c r="Z3612">
        <v>1</v>
      </c>
      <c r="AA3612">
        <v>1</v>
      </c>
      <c r="AB3612">
        <v>100</v>
      </c>
    </row>
    <row r="3613" spans="10:28">
      <c r="J3613" s="340" t="str">
        <f t="shared" si="161"/>
        <v>2013MaleMaori235</v>
      </c>
      <c r="K3613">
        <v>2013</v>
      </c>
      <c r="L3613" t="s">
        <v>20</v>
      </c>
      <c r="M3613" t="s">
        <v>18</v>
      </c>
      <c r="N3613">
        <v>23</v>
      </c>
      <c r="O3613">
        <v>5</v>
      </c>
      <c r="P3613">
        <v>14</v>
      </c>
      <c r="Q3613">
        <v>50.475486607407497</v>
      </c>
      <c r="R3613">
        <v>26.4</v>
      </c>
      <c r="T3613" s="340" t="str">
        <f t="shared" si="162"/>
        <v>2013FemaleNon-Maori23Other</v>
      </c>
      <c r="U3613">
        <v>2013</v>
      </c>
      <c r="V3613" t="s">
        <v>8</v>
      </c>
      <c r="W3613" t="s">
        <v>19</v>
      </c>
      <c r="X3613">
        <v>23</v>
      </c>
      <c r="Y3613" t="s">
        <v>45</v>
      </c>
      <c r="Z3613">
        <v>3</v>
      </c>
      <c r="AA3613">
        <v>34</v>
      </c>
      <c r="AB3613">
        <v>8.8000000000000007</v>
      </c>
    </row>
    <row r="3614" spans="10:28">
      <c r="J3614" s="340" t="str">
        <f t="shared" si="161"/>
        <v>2013MaleMaori241</v>
      </c>
      <c r="K3614">
        <v>2013</v>
      </c>
      <c r="L3614" t="s">
        <v>20</v>
      </c>
      <c r="M3614" t="s">
        <v>18</v>
      </c>
      <c r="N3614">
        <v>24</v>
      </c>
      <c r="O3614">
        <v>1</v>
      </c>
      <c r="P3614">
        <v>0</v>
      </c>
      <c r="Q3614">
        <v>0</v>
      </c>
      <c r="T3614" s="340" t="str">
        <f t="shared" si="162"/>
        <v>2013FemaleNon-Maori24Other</v>
      </c>
      <c r="U3614">
        <v>2013</v>
      </c>
      <c r="V3614" t="s">
        <v>8</v>
      </c>
      <c r="W3614" t="s">
        <v>19</v>
      </c>
      <c r="X3614">
        <v>24</v>
      </c>
      <c r="Y3614" t="s">
        <v>45</v>
      </c>
      <c r="Z3614">
        <v>2</v>
      </c>
      <c r="AA3614">
        <v>48</v>
      </c>
      <c r="AB3614">
        <v>4.2</v>
      </c>
    </row>
    <row r="3615" spans="10:28">
      <c r="J3615" s="340" t="str">
        <f t="shared" si="161"/>
        <v>2013MaleMaori242</v>
      </c>
      <c r="K3615">
        <v>2013</v>
      </c>
      <c r="L3615" t="s">
        <v>20</v>
      </c>
      <c r="M3615" t="s">
        <v>18</v>
      </c>
      <c r="N3615">
        <v>24</v>
      </c>
      <c r="O3615">
        <v>2</v>
      </c>
      <c r="P3615">
        <v>0</v>
      </c>
      <c r="Q3615">
        <v>0</v>
      </c>
      <c r="T3615" s="340" t="str">
        <f t="shared" si="162"/>
        <v>2013FemaleNon-Maori23Poisoning by gases and vapours</v>
      </c>
      <c r="U3615">
        <v>2013</v>
      </c>
      <c r="V3615" t="s">
        <v>8</v>
      </c>
      <c r="W3615" t="s">
        <v>19</v>
      </c>
      <c r="X3615">
        <v>23</v>
      </c>
      <c r="Y3615" t="s">
        <v>46</v>
      </c>
      <c r="Z3615">
        <v>2</v>
      </c>
      <c r="AA3615">
        <v>34</v>
      </c>
      <c r="AB3615">
        <v>5.9</v>
      </c>
    </row>
    <row r="3616" spans="10:28">
      <c r="J3616" s="340" t="str">
        <f t="shared" si="161"/>
        <v>2013MaleMaori243</v>
      </c>
      <c r="K3616">
        <v>2013</v>
      </c>
      <c r="L3616" t="s">
        <v>20</v>
      </c>
      <c r="M3616" t="s">
        <v>18</v>
      </c>
      <c r="N3616">
        <v>24</v>
      </c>
      <c r="O3616">
        <v>3</v>
      </c>
      <c r="P3616">
        <v>0</v>
      </c>
      <c r="Q3616">
        <v>0</v>
      </c>
      <c r="T3616" s="340" t="str">
        <f t="shared" si="162"/>
        <v>2013FemaleNon-Maori24Poisoning by gases and vapours</v>
      </c>
      <c r="U3616">
        <v>2013</v>
      </c>
      <c r="V3616" t="s">
        <v>8</v>
      </c>
      <c r="W3616" t="s">
        <v>19</v>
      </c>
      <c r="X3616">
        <v>24</v>
      </c>
      <c r="Y3616" t="s">
        <v>46</v>
      </c>
      <c r="Z3616">
        <v>3</v>
      </c>
      <c r="AA3616">
        <v>48</v>
      </c>
      <c r="AB3616">
        <v>6.2</v>
      </c>
    </row>
    <row r="3617" spans="10:28">
      <c r="J3617" s="340" t="str">
        <f t="shared" si="161"/>
        <v>2013MaleMaori244</v>
      </c>
      <c r="K3617">
        <v>2013</v>
      </c>
      <c r="L3617" t="s">
        <v>20</v>
      </c>
      <c r="M3617" t="s">
        <v>18</v>
      </c>
      <c r="N3617">
        <v>24</v>
      </c>
      <c r="O3617">
        <v>4</v>
      </c>
      <c r="P3617">
        <v>1</v>
      </c>
      <c r="Q3617">
        <v>7.3902582107697397</v>
      </c>
      <c r="R3617">
        <v>14.5</v>
      </c>
      <c r="T3617" s="340" t="str">
        <f t="shared" si="162"/>
        <v>2013FemaleNon-Maori22Poisoning by solids and liquids</v>
      </c>
      <c r="U3617">
        <v>2013</v>
      </c>
      <c r="V3617" t="s">
        <v>8</v>
      </c>
      <c r="W3617" t="s">
        <v>19</v>
      </c>
      <c r="X3617">
        <v>22</v>
      </c>
      <c r="Y3617" t="s">
        <v>47</v>
      </c>
      <c r="Z3617">
        <v>2</v>
      </c>
      <c r="AA3617">
        <v>18</v>
      </c>
      <c r="AB3617">
        <v>11.1</v>
      </c>
    </row>
    <row r="3618" spans="10:28">
      <c r="J3618" s="340" t="str">
        <f t="shared" si="161"/>
        <v>2013MaleMaori245</v>
      </c>
      <c r="K3618">
        <v>2013</v>
      </c>
      <c r="L3618" t="s">
        <v>20</v>
      </c>
      <c r="M3618" t="s">
        <v>18</v>
      </c>
      <c r="N3618">
        <v>24</v>
      </c>
      <c r="O3618">
        <v>5</v>
      </c>
      <c r="P3618">
        <v>4</v>
      </c>
      <c r="Q3618">
        <v>17.802365557669599</v>
      </c>
      <c r="R3618">
        <v>17.399999999999999</v>
      </c>
      <c r="T3618" s="340" t="str">
        <f t="shared" si="162"/>
        <v>2013FemaleNon-Maori23Poisoning by solids and liquids</v>
      </c>
      <c r="U3618">
        <v>2013</v>
      </c>
      <c r="V3618" t="s">
        <v>8</v>
      </c>
      <c r="W3618" t="s">
        <v>19</v>
      </c>
      <c r="X3618">
        <v>23</v>
      </c>
      <c r="Y3618" t="s">
        <v>47</v>
      </c>
      <c r="Z3618">
        <v>8</v>
      </c>
      <c r="AA3618">
        <v>34</v>
      </c>
      <c r="AB3618">
        <v>23.5</v>
      </c>
    </row>
    <row r="3619" spans="10:28">
      <c r="J3619" s="340" t="str">
        <f t="shared" si="161"/>
        <v>2013MaleMaori251</v>
      </c>
      <c r="K3619">
        <v>2013</v>
      </c>
      <c r="L3619" t="s">
        <v>20</v>
      </c>
      <c r="M3619" t="s">
        <v>18</v>
      </c>
      <c r="N3619">
        <v>25</v>
      </c>
      <c r="O3619">
        <v>1</v>
      </c>
      <c r="P3619">
        <v>0</v>
      </c>
      <c r="Q3619">
        <v>0</v>
      </c>
      <c r="T3619" s="340" t="str">
        <f t="shared" si="162"/>
        <v>2013FemaleNon-Maori24Poisoning by solids and liquids</v>
      </c>
      <c r="U3619">
        <v>2013</v>
      </c>
      <c r="V3619" t="s">
        <v>8</v>
      </c>
      <c r="W3619" t="s">
        <v>19</v>
      </c>
      <c r="X3619">
        <v>24</v>
      </c>
      <c r="Y3619" t="s">
        <v>47</v>
      </c>
      <c r="Z3619">
        <v>17</v>
      </c>
      <c r="AA3619">
        <v>48</v>
      </c>
      <c r="AB3619">
        <v>35.4</v>
      </c>
    </row>
    <row r="3620" spans="10:28">
      <c r="J3620" s="340" t="str">
        <f t="shared" si="161"/>
        <v>2013MaleMaori252</v>
      </c>
      <c r="K3620">
        <v>2013</v>
      </c>
      <c r="L3620" t="s">
        <v>20</v>
      </c>
      <c r="M3620" t="s">
        <v>18</v>
      </c>
      <c r="N3620">
        <v>25</v>
      </c>
      <c r="O3620">
        <v>2</v>
      </c>
      <c r="P3620">
        <v>0</v>
      </c>
      <c r="Q3620">
        <v>0</v>
      </c>
      <c r="T3620" s="340" t="str">
        <f t="shared" si="162"/>
        <v>2013FemaleNon-Maori25Poisoning by solids and liquids</v>
      </c>
      <c r="U3620">
        <v>2013</v>
      </c>
      <c r="V3620" t="s">
        <v>8</v>
      </c>
      <c r="W3620" t="s">
        <v>19</v>
      </c>
      <c r="X3620">
        <v>25</v>
      </c>
      <c r="Y3620" t="s">
        <v>47</v>
      </c>
      <c r="Z3620">
        <v>6</v>
      </c>
      <c r="AA3620">
        <v>8</v>
      </c>
      <c r="AB3620">
        <v>75</v>
      </c>
    </row>
    <row r="3621" spans="10:28">
      <c r="J3621" s="340" t="str">
        <f t="shared" si="161"/>
        <v>2013MaleMaori253</v>
      </c>
      <c r="K3621">
        <v>2013</v>
      </c>
      <c r="L3621" t="s">
        <v>20</v>
      </c>
      <c r="M3621" t="s">
        <v>18</v>
      </c>
      <c r="N3621">
        <v>25</v>
      </c>
      <c r="O3621">
        <v>3</v>
      </c>
      <c r="P3621">
        <v>0</v>
      </c>
      <c r="Q3621">
        <v>0</v>
      </c>
      <c r="T3621" s="340" t="str">
        <f t="shared" si="162"/>
        <v>2013FemaleNon-Maori24Sharp object</v>
      </c>
      <c r="U3621">
        <v>2013</v>
      </c>
      <c r="V3621" t="s">
        <v>8</v>
      </c>
      <c r="W3621" t="s">
        <v>19</v>
      </c>
      <c r="X3621">
        <v>24</v>
      </c>
      <c r="Y3621" t="s">
        <v>48</v>
      </c>
      <c r="Z3621">
        <v>1</v>
      </c>
      <c r="AA3621">
        <v>48</v>
      </c>
      <c r="AB3621">
        <v>2.1</v>
      </c>
    </row>
    <row r="3622" spans="10:28">
      <c r="J3622" s="340" t="str">
        <f t="shared" si="161"/>
        <v>2013MaleMaori254</v>
      </c>
      <c r="K3622">
        <v>2013</v>
      </c>
      <c r="L3622" t="s">
        <v>20</v>
      </c>
      <c r="M3622" t="s">
        <v>18</v>
      </c>
      <c r="N3622">
        <v>25</v>
      </c>
      <c r="O3622">
        <v>4</v>
      </c>
      <c r="P3622">
        <v>0</v>
      </c>
      <c r="Q3622">
        <v>0</v>
      </c>
      <c r="T3622" s="340" t="str">
        <f t="shared" si="162"/>
        <v>2013FemaleNon-Maori22Submersion (drowning)</v>
      </c>
      <c r="U3622">
        <v>2013</v>
      </c>
      <c r="V3622" t="s">
        <v>8</v>
      </c>
      <c r="W3622" t="s">
        <v>19</v>
      </c>
      <c r="X3622">
        <v>22</v>
      </c>
      <c r="Y3622" t="s">
        <v>49</v>
      </c>
      <c r="Z3622">
        <v>3</v>
      </c>
      <c r="AA3622">
        <v>18</v>
      </c>
      <c r="AB3622">
        <v>16.7</v>
      </c>
    </row>
    <row r="3623" spans="10:28">
      <c r="J3623" s="340" t="str">
        <f t="shared" si="161"/>
        <v>2013MaleMaori255</v>
      </c>
      <c r="K3623">
        <v>2013</v>
      </c>
      <c r="L3623" t="s">
        <v>20</v>
      </c>
      <c r="M3623" t="s">
        <v>18</v>
      </c>
      <c r="N3623">
        <v>25</v>
      </c>
      <c r="O3623">
        <v>5</v>
      </c>
      <c r="P3623">
        <v>0</v>
      </c>
      <c r="Q3623">
        <v>0</v>
      </c>
      <c r="T3623" s="340" t="str">
        <f t="shared" si="162"/>
        <v>2013FemaleNon-Maori23Submersion (drowning)</v>
      </c>
      <c r="U3623">
        <v>2013</v>
      </c>
      <c r="V3623" t="s">
        <v>8</v>
      </c>
      <c r="W3623" t="s">
        <v>19</v>
      </c>
      <c r="X3623">
        <v>23</v>
      </c>
      <c r="Y3623" t="s">
        <v>49</v>
      </c>
      <c r="Z3623">
        <v>1</v>
      </c>
      <c r="AA3623">
        <v>34</v>
      </c>
      <c r="AB3623">
        <v>2.9</v>
      </c>
    </row>
    <row r="3624" spans="10:28">
      <c r="J3624" s="340" t="str">
        <f t="shared" si="161"/>
        <v>2013MaleNon-Maori211</v>
      </c>
      <c r="K3624">
        <v>2013</v>
      </c>
      <c r="L3624" t="s">
        <v>20</v>
      </c>
      <c r="M3624" t="s">
        <v>19</v>
      </c>
      <c r="N3624">
        <v>21</v>
      </c>
      <c r="O3624">
        <v>1</v>
      </c>
      <c r="P3624">
        <v>0</v>
      </c>
      <c r="Q3624">
        <v>0</v>
      </c>
      <c r="T3624" s="340" t="str">
        <f t="shared" si="162"/>
        <v>2013FemaleNon-Maori24Submersion (drowning)</v>
      </c>
      <c r="U3624">
        <v>2013</v>
      </c>
      <c r="V3624" t="s">
        <v>8</v>
      </c>
      <c r="W3624" t="s">
        <v>19</v>
      </c>
      <c r="X3624">
        <v>24</v>
      </c>
      <c r="Y3624" t="s">
        <v>49</v>
      </c>
      <c r="Z3624">
        <v>4</v>
      </c>
      <c r="AA3624">
        <v>48</v>
      </c>
      <c r="AB3624">
        <v>8.3000000000000007</v>
      </c>
    </row>
    <row r="3625" spans="10:28">
      <c r="J3625" s="340" t="str">
        <f t="shared" si="161"/>
        <v>2013MaleNon-Maori212</v>
      </c>
      <c r="K3625">
        <v>2013</v>
      </c>
      <c r="L3625" t="s">
        <v>20</v>
      </c>
      <c r="M3625" t="s">
        <v>19</v>
      </c>
      <c r="N3625">
        <v>21</v>
      </c>
      <c r="O3625">
        <v>2</v>
      </c>
      <c r="P3625">
        <v>0</v>
      </c>
      <c r="Q3625">
        <v>0</v>
      </c>
      <c r="T3625" s="340" t="str">
        <f t="shared" si="162"/>
        <v>2013MaleAllEth22Firearms and explosives</v>
      </c>
      <c r="U3625">
        <v>2013</v>
      </c>
      <c r="V3625" t="s">
        <v>20</v>
      </c>
      <c r="W3625" t="s">
        <v>27</v>
      </c>
      <c r="X3625">
        <v>22</v>
      </c>
      <c r="Y3625" t="s">
        <v>42</v>
      </c>
      <c r="Z3625">
        <v>5</v>
      </c>
      <c r="AA3625">
        <v>73</v>
      </c>
      <c r="AB3625">
        <v>6.8</v>
      </c>
    </row>
    <row r="3626" spans="10:28">
      <c r="J3626" s="340" t="str">
        <f t="shared" si="161"/>
        <v>2013MaleNon-Maori213</v>
      </c>
      <c r="K3626">
        <v>2013</v>
      </c>
      <c r="L3626" t="s">
        <v>20</v>
      </c>
      <c r="M3626" t="s">
        <v>19</v>
      </c>
      <c r="N3626">
        <v>21</v>
      </c>
      <c r="O3626">
        <v>3</v>
      </c>
      <c r="P3626">
        <v>0</v>
      </c>
      <c r="Q3626">
        <v>0</v>
      </c>
      <c r="T3626" s="340" t="str">
        <f t="shared" si="162"/>
        <v>2013MaleAllEth23Firearms and explosives</v>
      </c>
      <c r="U3626">
        <v>2013</v>
      </c>
      <c r="V3626" t="s">
        <v>20</v>
      </c>
      <c r="W3626" t="s">
        <v>27</v>
      </c>
      <c r="X3626">
        <v>23</v>
      </c>
      <c r="Y3626" t="s">
        <v>42</v>
      </c>
      <c r="Z3626">
        <v>6</v>
      </c>
      <c r="AA3626">
        <v>114</v>
      </c>
      <c r="AB3626">
        <v>5.3</v>
      </c>
    </row>
    <row r="3627" spans="10:28">
      <c r="J3627" s="340" t="str">
        <f t="shared" si="161"/>
        <v>2013MaleNon-Maori214</v>
      </c>
      <c r="K3627">
        <v>2013</v>
      </c>
      <c r="L3627" t="s">
        <v>20</v>
      </c>
      <c r="M3627" t="s">
        <v>19</v>
      </c>
      <c r="N3627">
        <v>21</v>
      </c>
      <c r="O3627">
        <v>4</v>
      </c>
      <c r="P3627">
        <v>0</v>
      </c>
      <c r="Q3627">
        <v>0</v>
      </c>
      <c r="T3627" s="340" t="str">
        <f t="shared" si="162"/>
        <v>2013MaleAllEth24Firearms and explosives</v>
      </c>
      <c r="U3627">
        <v>2013</v>
      </c>
      <c r="V3627" t="s">
        <v>20</v>
      </c>
      <c r="W3627" t="s">
        <v>27</v>
      </c>
      <c r="X3627">
        <v>24</v>
      </c>
      <c r="Y3627" t="s">
        <v>42</v>
      </c>
      <c r="Z3627">
        <v>20</v>
      </c>
      <c r="AA3627">
        <v>130</v>
      </c>
      <c r="AB3627">
        <v>15.4</v>
      </c>
    </row>
    <row r="3628" spans="10:28">
      <c r="J3628" s="340" t="str">
        <f t="shared" si="161"/>
        <v>2013MaleNon-Maori215</v>
      </c>
      <c r="K3628">
        <v>2013</v>
      </c>
      <c r="L3628" t="s">
        <v>20</v>
      </c>
      <c r="M3628" t="s">
        <v>19</v>
      </c>
      <c r="N3628">
        <v>21</v>
      </c>
      <c r="O3628">
        <v>5</v>
      </c>
      <c r="P3628">
        <v>0</v>
      </c>
      <c r="Q3628">
        <v>0</v>
      </c>
      <c r="T3628" s="340" t="str">
        <f t="shared" si="162"/>
        <v>2013MaleAllEth25Firearms and explosives</v>
      </c>
      <c r="U3628">
        <v>2013</v>
      </c>
      <c r="V3628" t="s">
        <v>20</v>
      </c>
      <c r="W3628" t="s">
        <v>27</v>
      </c>
      <c r="X3628">
        <v>25</v>
      </c>
      <c r="Y3628" t="s">
        <v>42</v>
      </c>
      <c r="Z3628">
        <v>15</v>
      </c>
      <c r="AA3628">
        <v>48</v>
      </c>
      <c r="AB3628">
        <v>31.2</v>
      </c>
    </row>
    <row r="3629" spans="10:28">
      <c r="J3629" s="340" t="str">
        <f t="shared" si="161"/>
        <v>2013MaleNon-Maori221</v>
      </c>
      <c r="K3629">
        <v>2013</v>
      </c>
      <c r="L3629" t="s">
        <v>20</v>
      </c>
      <c r="M3629" t="s">
        <v>19</v>
      </c>
      <c r="N3629">
        <v>22</v>
      </c>
      <c r="O3629">
        <v>1</v>
      </c>
      <c r="P3629">
        <v>7</v>
      </c>
      <c r="Q3629">
        <v>13.487222049393701</v>
      </c>
      <c r="R3629">
        <v>10</v>
      </c>
      <c r="T3629" s="340" t="str">
        <f t="shared" si="162"/>
        <v>2013MaleAllEth22Hanging, strangulation and suffocation</v>
      </c>
      <c r="U3629">
        <v>2013</v>
      </c>
      <c r="V3629" t="s">
        <v>20</v>
      </c>
      <c r="W3629" t="s">
        <v>27</v>
      </c>
      <c r="X3629">
        <v>22</v>
      </c>
      <c r="Y3629" t="s">
        <v>43</v>
      </c>
      <c r="Z3629">
        <v>61</v>
      </c>
      <c r="AA3629">
        <v>73</v>
      </c>
      <c r="AB3629">
        <v>83.6</v>
      </c>
    </row>
    <row r="3630" spans="10:28">
      <c r="J3630" s="340" t="str">
        <f t="shared" si="161"/>
        <v>2013MaleNon-Maori222</v>
      </c>
      <c r="K3630">
        <v>2013</v>
      </c>
      <c r="L3630" t="s">
        <v>20</v>
      </c>
      <c r="M3630" t="s">
        <v>19</v>
      </c>
      <c r="N3630">
        <v>22</v>
      </c>
      <c r="O3630">
        <v>2</v>
      </c>
      <c r="P3630">
        <v>6</v>
      </c>
      <c r="Q3630">
        <v>11.8459158802389</v>
      </c>
      <c r="R3630">
        <v>9.5</v>
      </c>
      <c r="T3630" s="340" t="str">
        <f t="shared" si="162"/>
        <v>2013MaleAllEth23Hanging, strangulation and suffocation</v>
      </c>
      <c r="U3630">
        <v>2013</v>
      </c>
      <c r="V3630" t="s">
        <v>20</v>
      </c>
      <c r="W3630" t="s">
        <v>27</v>
      </c>
      <c r="X3630">
        <v>23</v>
      </c>
      <c r="Y3630" t="s">
        <v>43</v>
      </c>
      <c r="Z3630">
        <v>79</v>
      </c>
      <c r="AA3630">
        <v>114</v>
      </c>
      <c r="AB3630">
        <v>69.3</v>
      </c>
    </row>
    <row r="3631" spans="10:28">
      <c r="J3631" s="340" t="str">
        <f t="shared" si="161"/>
        <v>2013MaleNon-Maori223</v>
      </c>
      <c r="K3631">
        <v>2013</v>
      </c>
      <c r="L3631" t="s">
        <v>20</v>
      </c>
      <c r="M3631" t="s">
        <v>19</v>
      </c>
      <c r="N3631">
        <v>22</v>
      </c>
      <c r="O3631">
        <v>3</v>
      </c>
      <c r="P3631">
        <v>8</v>
      </c>
      <c r="Q3631">
        <v>15.8195720507707</v>
      </c>
      <c r="R3631">
        <v>11</v>
      </c>
      <c r="T3631" s="340" t="str">
        <f t="shared" si="162"/>
        <v>2013MaleAllEth24Hanging, strangulation and suffocation</v>
      </c>
      <c r="U3631">
        <v>2013</v>
      </c>
      <c r="V3631" t="s">
        <v>20</v>
      </c>
      <c r="W3631" t="s">
        <v>27</v>
      </c>
      <c r="X3631">
        <v>24</v>
      </c>
      <c r="Y3631" t="s">
        <v>43</v>
      </c>
      <c r="Z3631">
        <v>52</v>
      </c>
      <c r="AA3631">
        <v>130</v>
      </c>
      <c r="AB3631">
        <v>40</v>
      </c>
    </row>
    <row r="3632" spans="10:28">
      <c r="J3632" s="340" t="str">
        <f t="shared" si="161"/>
        <v>2013MaleNon-Maori224</v>
      </c>
      <c r="K3632">
        <v>2013</v>
      </c>
      <c r="L3632" t="s">
        <v>20</v>
      </c>
      <c r="M3632" t="s">
        <v>19</v>
      </c>
      <c r="N3632">
        <v>22</v>
      </c>
      <c r="O3632">
        <v>4</v>
      </c>
      <c r="P3632">
        <v>5</v>
      </c>
      <c r="Q3632">
        <v>9.5453922111148692</v>
      </c>
      <c r="R3632">
        <v>8.4</v>
      </c>
      <c r="T3632" s="340" t="str">
        <f t="shared" si="162"/>
        <v>2013MaleAllEth25Hanging, strangulation and suffocation</v>
      </c>
      <c r="U3632">
        <v>2013</v>
      </c>
      <c r="V3632" t="s">
        <v>20</v>
      </c>
      <c r="W3632" t="s">
        <v>27</v>
      </c>
      <c r="X3632">
        <v>25</v>
      </c>
      <c r="Y3632" t="s">
        <v>43</v>
      </c>
      <c r="Z3632">
        <v>19</v>
      </c>
      <c r="AA3632">
        <v>48</v>
      </c>
      <c r="AB3632">
        <v>39.6</v>
      </c>
    </row>
    <row r="3633" spans="10:28">
      <c r="J3633" s="340" t="str">
        <f t="shared" si="161"/>
        <v>2013MaleNon-Maori225</v>
      </c>
      <c r="K3633">
        <v>2013</v>
      </c>
      <c r="L3633" t="s">
        <v>20</v>
      </c>
      <c r="M3633" t="s">
        <v>19</v>
      </c>
      <c r="N3633">
        <v>22</v>
      </c>
      <c r="O3633">
        <v>5</v>
      </c>
      <c r="P3633">
        <v>15</v>
      </c>
      <c r="Q3633">
        <v>29.849513098207101</v>
      </c>
      <c r="R3633">
        <v>15.1</v>
      </c>
      <c r="T3633" s="340" t="str">
        <f t="shared" si="162"/>
        <v>2013MaleAllEth22Jumping from a high place</v>
      </c>
      <c r="U3633">
        <v>2013</v>
      </c>
      <c r="V3633" t="s">
        <v>20</v>
      </c>
      <c r="W3633" t="s">
        <v>27</v>
      </c>
      <c r="X3633">
        <v>22</v>
      </c>
      <c r="Y3633" t="s">
        <v>44</v>
      </c>
      <c r="Z3633">
        <v>2</v>
      </c>
      <c r="AA3633">
        <v>73</v>
      </c>
      <c r="AB3633">
        <v>2.7</v>
      </c>
    </row>
    <row r="3634" spans="10:28">
      <c r="J3634" s="340" t="str">
        <f t="shared" si="161"/>
        <v>2013MaleNon-Maori231</v>
      </c>
      <c r="K3634">
        <v>2013</v>
      </c>
      <c r="L3634" t="s">
        <v>20</v>
      </c>
      <c r="M3634" t="s">
        <v>19</v>
      </c>
      <c r="N3634">
        <v>23</v>
      </c>
      <c r="O3634">
        <v>1</v>
      </c>
      <c r="P3634">
        <v>10</v>
      </c>
      <c r="Q3634">
        <v>10.515596339837399</v>
      </c>
      <c r="R3634">
        <v>6.5</v>
      </c>
      <c r="T3634" s="340" t="str">
        <f t="shared" si="162"/>
        <v>2013MaleAllEth23Jumping from a high place</v>
      </c>
      <c r="U3634">
        <v>2013</v>
      </c>
      <c r="V3634" t="s">
        <v>20</v>
      </c>
      <c r="W3634" t="s">
        <v>27</v>
      </c>
      <c r="X3634">
        <v>23</v>
      </c>
      <c r="Y3634" t="s">
        <v>44</v>
      </c>
      <c r="Z3634">
        <v>2</v>
      </c>
      <c r="AA3634">
        <v>114</v>
      </c>
      <c r="AB3634">
        <v>1.8</v>
      </c>
    </row>
    <row r="3635" spans="10:28">
      <c r="J3635" s="340" t="str">
        <f t="shared" si="161"/>
        <v>2013MaleNon-Maori232</v>
      </c>
      <c r="K3635">
        <v>2013</v>
      </c>
      <c r="L3635" t="s">
        <v>20</v>
      </c>
      <c r="M3635" t="s">
        <v>19</v>
      </c>
      <c r="N3635">
        <v>23</v>
      </c>
      <c r="O3635">
        <v>2</v>
      </c>
      <c r="P3635">
        <v>14</v>
      </c>
      <c r="Q3635">
        <v>13.744339590194</v>
      </c>
      <c r="R3635">
        <v>7.2</v>
      </c>
      <c r="T3635" s="340" t="str">
        <f t="shared" si="162"/>
        <v>2013MaleAllEth24Jumping from a high place</v>
      </c>
      <c r="U3635">
        <v>2013</v>
      </c>
      <c r="V3635" t="s">
        <v>20</v>
      </c>
      <c r="W3635" t="s">
        <v>27</v>
      </c>
      <c r="X3635">
        <v>24</v>
      </c>
      <c r="Y3635" t="s">
        <v>44</v>
      </c>
      <c r="Z3635">
        <v>5</v>
      </c>
      <c r="AA3635">
        <v>130</v>
      </c>
      <c r="AB3635">
        <v>3.8</v>
      </c>
    </row>
    <row r="3636" spans="10:28">
      <c r="J3636" s="340" t="str">
        <f t="shared" si="161"/>
        <v>2013MaleNon-Maori233</v>
      </c>
      <c r="K3636">
        <v>2013</v>
      </c>
      <c r="L3636" t="s">
        <v>20</v>
      </c>
      <c r="M3636" t="s">
        <v>19</v>
      </c>
      <c r="N3636">
        <v>23</v>
      </c>
      <c r="O3636">
        <v>3</v>
      </c>
      <c r="P3636">
        <v>16</v>
      </c>
      <c r="Q3636">
        <v>15.7589670466995</v>
      </c>
      <c r="R3636">
        <v>7.7</v>
      </c>
      <c r="T3636" s="340" t="str">
        <f t="shared" si="162"/>
        <v>2013MaleAllEth22Other</v>
      </c>
      <c r="U3636">
        <v>2013</v>
      </c>
      <c r="V3636" t="s">
        <v>20</v>
      </c>
      <c r="W3636" t="s">
        <v>27</v>
      </c>
      <c r="X3636">
        <v>22</v>
      </c>
      <c r="Y3636" t="s">
        <v>45</v>
      </c>
      <c r="Z3636">
        <v>1</v>
      </c>
      <c r="AA3636">
        <v>73</v>
      </c>
      <c r="AB3636">
        <v>1.4</v>
      </c>
    </row>
    <row r="3637" spans="10:28">
      <c r="J3637" s="340" t="str">
        <f t="shared" si="161"/>
        <v>2013MaleNon-Maori234</v>
      </c>
      <c r="K3637">
        <v>2013</v>
      </c>
      <c r="L3637" t="s">
        <v>20</v>
      </c>
      <c r="M3637" t="s">
        <v>19</v>
      </c>
      <c r="N3637">
        <v>23</v>
      </c>
      <c r="O3637">
        <v>4</v>
      </c>
      <c r="P3637">
        <v>20</v>
      </c>
      <c r="Q3637">
        <v>21.127113290492399</v>
      </c>
      <c r="R3637">
        <v>9.3000000000000007</v>
      </c>
      <c r="T3637" s="340" t="str">
        <f t="shared" si="162"/>
        <v>2013MaleAllEth23Other</v>
      </c>
      <c r="U3637">
        <v>2013</v>
      </c>
      <c r="V3637" t="s">
        <v>20</v>
      </c>
      <c r="W3637" t="s">
        <v>27</v>
      </c>
      <c r="X3637">
        <v>23</v>
      </c>
      <c r="Y3637" t="s">
        <v>45</v>
      </c>
      <c r="Z3637">
        <v>2</v>
      </c>
      <c r="AA3637">
        <v>114</v>
      </c>
      <c r="AB3637">
        <v>1.8</v>
      </c>
    </row>
    <row r="3638" spans="10:28">
      <c r="J3638" s="340" t="str">
        <f t="shared" si="161"/>
        <v>2013MaleNon-Maori235</v>
      </c>
      <c r="K3638">
        <v>2013</v>
      </c>
      <c r="L3638" t="s">
        <v>20</v>
      </c>
      <c r="M3638" t="s">
        <v>19</v>
      </c>
      <c r="N3638">
        <v>23</v>
      </c>
      <c r="O3638">
        <v>5</v>
      </c>
      <c r="P3638">
        <v>18</v>
      </c>
      <c r="Q3638">
        <v>23.639591698213199</v>
      </c>
      <c r="R3638">
        <v>10.9</v>
      </c>
      <c r="T3638" s="340" t="str">
        <f t="shared" si="162"/>
        <v>2013MaleAllEth24Other</v>
      </c>
      <c r="U3638">
        <v>2013</v>
      </c>
      <c r="V3638" t="s">
        <v>20</v>
      </c>
      <c r="W3638" t="s">
        <v>27</v>
      </c>
      <c r="X3638">
        <v>24</v>
      </c>
      <c r="Y3638" t="s">
        <v>45</v>
      </c>
      <c r="Z3638">
        <v>9</v>
      </c>
      <c r="AA3638">
        <v>130</v>
      </c>
      <c r="AB3638">
        <v>6.9</v>
      </c>
    </row>
    <row r="3639" spans="10:28">
      <c r="J3639" s="340" t="str">
        <f t="shared" si="161"/>
        <v>2013MaleNon-Maori241</v>
      </c>
      <c r="K3639">
        <v>2013</v>
      </c>
      <c r="L3639" t="s">
        <v>20</v>
      </c>
      <c r="M3639" t="s">
        <v>19</v>
      </c>
      <c r="N3639">
        <v>24</v>
      </c>
      <c r="O3639">
        <v>1</v>
      </c>
      <c r="P3639">
        <v>27</v>
      </c>
      <c r="Q3639">
        <v>20.8877348412536</v>
      </c>
      <c r="R3639">
        <v>7.9</v>
      </c>
      <c r="T3639" s="340" t="str">
        <f t="shared" si="162"/>
        <v>2013MaleAllEth25Other</v>
      </c>
      <c r="U3639">
        <v>2013</v>
      </c>
      <c r="V3639" t="s">
        <v>20</v>
      </c>
      <c r="W3639" t="s">
        <v>27</v>
      </c>
      <c r="X3639">
        <v>25</v>
      </c>
      <c r="Y3639" t="s">
        <v>45</v>
      </c>
      <c r="Z3639">
        <v>1</v>
      </c>
      <c r="AA3639">
        <v>48</v>
      </c>
      <c r="AB3639">
        <v>2.1</v>
      </c>
    </row>
    <row r="3640" spans="10:28">
      <c r="J3640" s="340" t="str">
        <f t="shared" si="161"/>
        <v>2013MaleNon-Maori242</v>
      </c>
      <c r="K3640">
        <v>2013</v>
      </c>
      <c r="L3640" t="s">
        <v>20</v>
      </c>
      <c r="M3640" t="s">
        <v>19</v>
      </c>
      <c r="N3640">
        <v>24</v>
      </c>
      <c r="O3640">
        <v>2</v>
      </c>
      <c r="P3640">
        <v>20</v>
      </c>
      <c r="Q3640">
        <v>17.788332452989302</v>
      </c>
      <c r="R3640">
        <v>7.8</v>
      </c>
      <c r="T3640" s="340" t="str">
        <f t="shared" si="162"/>
        <v>2013MaleAllEth22Poisoning by gases and vapours</v>
      </c>
      <c r="U3640">
        <v>2013</v>
      </c>
      <c r="V3640" t="s">
        <v>20</v>
      </c>
      <c r="W3640" t="s">
        <v>27</v>
      </c>
      <c r="X3640">
        <v>22</v>
      </c>
      <c r="Y3640" t="s">
        <v>46</v>
      </c>
      <c r="Z3640">
        <v>3</v>
      </c>
      <c r="AA3640">
        <v>73</v>
      </c>
      <c r="AB3640">
        <v>4.0999999999999996</v>
      </c>
    </row>
    <row r="3641" spans="10:28">
      <c r="J3641" s="340" t="str">
        <f t="shared" si="161"/>
        <v>2013MaleNon-Maori243</v>
      </c>
      <c r="K3641">
        <v>2013</v>
      </c>
      <c r="L3641" t="s">
        <v>20</v>
      </c>
      <c r="M3641" t="s">
        <v>19</v>
      </c>
      <c r="N3641">
        <v>24</v>
      </c>
      <c r="O3641">
        <v>3</v>
      </c>
      <c r="P3641">
        <v>22</v>
      </c>
      <c r="Q3641">
        <v>22.383256596286699</v>
      </c>
      <c r="R3641">
        <v>9.4</v>
      </c>
      <c r="T3641" s="340" t="str">
        <f t="shared" si="162"/>
        <v>2013MaleAllEth23Poisoning by gases and vapours</v>
      </c>
      <c r="U3641">
        <v>2013</v>
      </c>
      <c r="V3641" t="s">
        <v>20</v>
      </c>
      <c r="W3641" t="s">
        <v>27</v>
      </c>
      <c r="X3641">
        <v>23</v>
      </c>
      <c r="Y3641" t="s">
        <v>46</v>
      </c>
      <c r="Z3641">
        <v>13</v>
      </c>
      <c r="AA3641">
        <v>114</v>
      </c>
      <c r="AB3641">
        <v>11.4</v>
      </c>
    </row>
    <row r="3642" spans="10:28">
      <c r="J3642" s="340" t="str">
        <f t="shared" si="161"/>
        <v>2013MaleNon-Maori244</v>
      </c>
      <c r="K3642">
        <v>2013</v>
      </c>
      <c r="L3642" t="s">
        <v>20</v>
      </c>
      <c r="M3642" t="s">
        <v>19</v>
      </c>
      <c r="N3642">
        <v>24</v>
      </c>
      <c r="O3642">
        <v>4</v>
      </c>
      <c r="P3642">
        <v>28</v>
      </c>
      <c r="Q3642">
        <v>33.041606474934902</v>
      </c>
      <c r="R3642">
        <v>12.2</v>
      </c>
      <c r="T3642" s="340" t="str">
        <f t="shared" si="162"/>
        <v>2013MaleAllEth24Poisoning by gases and vapours</v>
      </c>
      <c r="U3642">
        <v>2013</v>
      </c>
      <c r="V3642" t="s">
        <v>20</v>
      </c>
      <c r="W3642" t="s">
        <v>27</v>
      </c>
      <c r="X3642">
        <v>24</v>
      </c>
      <c r="Y3642" t="s">
        <v>46</v>
      </c>
      <c r="Z3642">
        <v>20</v>
      </c>
      <c r="AA3642">
        <v>130</v>
      </c>
      <c r="AB3642">
        <v>15.4</v>
      </c>
    </row>
    <row r="3643" spans="10:28">
      <c r="J3643" s="340" t="str">
        <f t="shared" si="161"/>
        <v>2013MaleNon-Maori245</v>
      </c>
      <c r="K3643">
        <v>2013</v>
      </c>
      <c r="L3643" t="s">
        <v>20</v>
      </c>
      <c r="M3643" t="s">
        <v>19</v>
      </c>
      <c r="N3643">
        <v>24</v>
      </c>
      <c r="O3643">
        <v>5</v>
      </c>
      <c r="P3643">
        <v>20</v>
      </c>
      <c r="Q3643">
        <v>29.737611256885</v>
      </c>
      <c r="R3643">
        <v>13</v>
      </c>
      <c r="T3643" s="340" t="str">
        <f t="shared" si="162"/>
        <v>2013MaleAllEth25Poisoning by gases and vapours</v>
      </c>
      <c r="U3643">
        <v>2013</v>
      </c>
      <c r="V3643" t="s">
        <v>20</v>
      </c>
      <c r="W3643" t="s">
        <v>27</v>
      </c>
      <c r="X3643">
        <v>25</v>
      </c>
      <c r="Y3643" t="s">
        <v>46</v>
      </c>
      <c r="Z3643">
        <v>3</v>
      </c>
      <c r="AA3643">
        <v>48</v>
      </c>
      <c r="AB3643">
        <v>6.2</v>
      </c>
    </row>
    <row r="3644" spans="10:28">
      <c r="J3644" s="340" t="str">
        <f t="shared" si="161"/>
        <v>2013MaleNon-Maori251</v>
      </c>
      <c r="K3644">
        <v>2013</v>
      </c>
      <c r="L3644" t="s">
        <v>20</v>
      </c>
      <c r="M3644" t="s">
        <v>19</v>
      </c>
      <c r="N3644">
        <v>25</v>
      </c>
      <c r="O3644">
        <v>1</v>
      </c>
      <c r="P3644">
        <v>7</v>
      </c>
      <c r="Q3644">
        <v>11.435952544127399</v>
      </c>
      <c r="R3644">
        <v>8.5</v>
      </c>
      <c r="T3644" s="340" t="str">
        <f t="shared" si="162"/>
        <v>2013MaleAllEth22Poisoning by solids and liquids</v>
      </c>
      <c r="U3644">
        <v>2013</v>
      </c>
      <c r="V3644" t="s">
        <v>20</v>
      </c>
      <c r="W3644" t="s">
        <v>27</v>
      </c>
      <c r="X3644">
        <v>22</v>
      </c>
      <c r="Y3644" t="s">
        <v>47</v>
      </c>
      <c r="Z3644">
        <v>1</v>
      </c>
      <c r="AA3644">
        <v>73</v>
      </c>
      <c r="AB3644">
        <v>1.4</v>
      </c>
    </row>
    <row r="3645" spans="10:28">
      <c r="J3645" s="340" t="str">
        <f t="shared" si="161"/>
        <v>2013MaleNon-Maori252</v>
      </c>
      <c r="K3645">
        <v>2013</v>
      </c>
      <c r="L3645" t="s">
        <v>20</v>
      </c>
      <c r="M3645" t="s">
        <v>19</v>
      </c>
      <c r="N3645">
        <v>25</v>
      </c>
      <c r="O3645">
        <v>2</v>
      </c>
      <c r="P3645">
        <v>9</v>
      </c>
      <c r="Q3645">
        <v>15.057589668138</v>
      </c>
      <c r="R3645">
        <v>9.8000000000000007</v>
      </c>
      <c r="T3645" s="340" t="str">
        <f t="shared" si="162"/>
        <v>2013MaleAllEth23Poisoning by solids and liquids</v>
      </c>
      <c r="U3645">
        <v>2013</v>
      </c>
      <c r="V3645" t="s">
        <v>20</v>
      </c>
      <c r="W3645" t="s">
        <v>27</v>
      </c>
      <c r="X3645">
        <v>23</v>
      </c>
      <c r="Y3645" t="s">
        <v>47</v>
      </c>
      <c r="Z3645">
        <v>8</v>
      </c>
      <c r="AA3645">
        <v>114</v>
      </c>
      <c r="AB3645">
        <v>7</v>
      </c>
    </row>
    <row r="3646" spans="10:28">
      <c r="J3646" s="340" t="str">
        <f t="shared" si="161"/>
        <v>2013MaleNon-Maori253</v>
      </c>
      <c r="K3646">
        <v>2013</v>
      </c>
      <c r="L3646" t="s">
        <v>20</v>
      </c>
      <c r="M3646" t="s">
        <v>19</v>
      </c>
      <c r="N3646">
        <v>25</v>
      </c>
      <c r="O3646">
        <v>3</v>
      </c>
      <c r="P3646">
        <v>20</v>
      </c>
      <c r="Q3646">
        <v>35.260293552159602</v>
      </c>
      <c r="R3646">
        <v>15.5</v>
      </c>
      <c r="T3646" s="340" t="str">
        <f t="shared" si="162"/>
        <v>2013MaleAllEth24Poisoning by solids and liquids</v>
      </c>
      <c r="U3646">
        <v>2013</v>
      </c>
      <c r="V3646" t="s">
        <v>20</v>
      </c>
      <c r="W3646" t="s">
        <v>27</v>
      </c>
      <c r="X3646">
        <v>24</v>
      </c>
      <c r="Y3646" t="s">
        <v>47</v>
      </c>
      <c r="Z3646">
        <v>16</v>
      </c>
      <c r="AA3646">
        <v>130</v>
      </c>
      <c r="AB3646">
        <v>12.3</v>
      </c>
    </row>
    <row r="3647" spans="10:28">
      <c r="J3647" s="340" t="str">
        <f t="shared" si="161"/>
        <v>2013MaleNon-Maori254</v>
      </c>
      <c r="K3647">
        <v>2013</v>
      </c>
      <c r="L3647" t="s">
        <v>20</v>
      </c>
      <c r="M3647" t="s">
        <v>19</v>
      </c>
      <c r="N3647">
        <v>25</v>
      </c>
      <c r="O3647">
        <v>4</v>
      </c>
      <c r="P3647">
        <v>6</v>
      </c>
      <c r="Q3647">
        <v>11.173558575892701</v>
      </c>
      <c r="R3647">
        <v>8.9</v>
      </c>
      <c r="T3647" s="340" t="str">
        <f t="shared" si="162"/>
        <v>2013MaleAllEth25Poisoning by solids and liquids</v>
      </c>
      <c r="U3647">
        <v>2013</v>
      </c>
      <c r="V3647" t="s">
        <v>20</v>
      </c>
      <c r="W3647" t="s">
        <v>27</v>
      </c>
      <c r="X3647">
        <v>25</v>
      </c>
      <c r="Y3647" t="s">
        <v>47</v>
      </c>
      <c r="Z3647">
        <v>6</v>
      </c>
      <c r="AA3647">
        <v>48</v>
      </c>
      <c r="AB3647">
        <v>12.5</v>
      </c>
    </row>
    <row r="3648" spans="10:28">
      <c r="J3648" s="340" t="str">
        <f t="shared" si="161"/>
        <v>2013MaleNon-Maori255</v>
      </c>
      <c r="K3648">
        <v>2013</v>
      </c>
      <c r="L3648" t="s">
        <v>20</v>
      </c>
      <c r="M3648" t="s">
        <v>19</v>
      </c>
      <c r="N3648">
        <v>25</v>
      </c>
      <c r="O3648">
        <v>5</v>
      </c>
      <c r="P3648">
        <v>3</v>
      </c>
      <c r="Q3648">
        <v>7.3936926164930501</v>
      </c>
      <c r="R3648">
        <v>8.4</v>
      </c>
      <c r="T3648" s="340" t="str">
        <f t="shared" si="162"/>
        <v>2013MaleAllEth23Sharp object</v>
      </c>
      <c r="U3648">
        <v>2013</v>
      </c>
      <c r="V3648" t="s">
        <v>20</v>
      </c>
      <c r="W3648" t="s">
        <v>27</v>
      </c>
      <c r="X3648">
        <v>23</v>
      </c>
      <c r="Y3648" t="s">
        <v>48</v>
      </c>
      <c r="Z3648">
        <v>3</v>
      </c>
      <c r="AA3648">
        <v>114</v>
      </c>
      <c r="AB3648">
        <v>2.6</v>
      </c>
    </row>
    <row r="3649" spans="10:28">
      <c r="J3649" s="340" t="str">
        <f t="shared" si="161"/>
        <v>2014AllSexAllEth211</v>
      </c>
      <c r="K3649">
        <v>2014</v>
      </c>
      <c r="L3649" t="s">
        <v>17</v>
      </c>
      <c r="M3649" t="s">
        <v>27</v>
      </c>
      <c r="N3649">
        <v>21</v>
      </c>
      <c r="O3649">
        <v>1</v>
      </c>
      <c r="P3649">
        <v>1</v>
      </c>
      <c r="Q3649">
        <v>0.54471453376957302</v>
      </c>
      <c r="R3649">
        <v>1.1000000000000001</v>
      </c>
      <c r="T3649" s="340" t="str">
        <f t="shared" si="162"/>
        <v>2013MaleAllEth24Sharp object</v>
      </c>
      <c r="U3649">
        <v>2013</v>
      </c>
      <c r="V3649" t="s">
        <v>20</v>
      </c>
      <c r="W3649" t="s">
        <v>27</v>
      </c>
      <c r="X3649">
        <v>24</v>
      </c>
      <c r="Y3649" t="s">
        <v>48</v>
      </c>
      <c r="Z3649">
        <v>5</v>
      </c>
      <c r="AA3649">
        <v>130</v>
      </c>
      <c r="AB3649">
        <v>3.8</v>
      </c>
    </row>
    <row r="3650" spans="10:28">
      <c r="J3650" s="340" t="str">
        <f t="shared" si="161"/>
        <v>2014AllSexAllEth212</v>
      </c>
      <c r="K3650">
        <v>2014</v>
      </c>
      <c r="L3650" t="s">
        <v>17</v>
      </c>
      <c r="M3650" t="s">
        <v>27</v>
      </c>
      <c r="N3650">
        <v>21</v>
      </c>
      <c r="O3650">
        <v>2</v>
      </c>
      <c r="P3650">
        <v>0</v>
      </c>
      <c r="Q3650">
        <v>0</v>
      </c>
      <c r="T3650" s="340" t="str">
        <f t="shared" si="162"/>
        <v>2013MaleAllEth25Sharp object</v>
      </c>
      <c r="U3650">
        <v>2013</v>
      </c>
      <c r="V3650" t="s">
        <v>20</v>
      </c>
      <c r="W3650" t="s">
        <v>27</v>
      </c>
      <c r="X3650">
        <v>25</v>
      </c>
      <c r="Y3650" t="s">
        <v>48</v>
      </c>
      <c r="Z3650">
        <v>1</v>
      </c>
      <c r="AA3650">
        <v>48</v>
      </c>
      <c r="AB3650">
        <v>2.1</v>
      </c>
    </row>
    <row r="3651" spans="10:28">
      <c r="J3651" s="340" t="str">
        <f t="shared" si="161"/>
        <v>2014AllSexAllEth213</v>
      </c>
      <c r="K3651">
        <v>2014</v>
      </c>
      <c r="L3651" t="s">
        <v>17</v>
      </c>
      <c r="M3651" t="s">
        <v>27</v>
      </c>
      <c r="N3651">
        <v>21</v>
      </c>
      <c r="O3651">
        <v>3</v>
      </c>
      <c r="P3651">
        <v>1</v>
      </c>
      <c r="Q3651">
        <v>0.58992319118607905</v>
      </c>
      <c r="R3651">
        <v>1.2</v>
      </c>
      <c r="T3651" s="340" t="str">
        <f t="shared" si="162"/>
        <v>2013MaleAllEth23Submersion (drowning)</v>
      </c>
      <c r="U3651">
        <v>2013</v>
      </c>
      <c r="V3651" t="s">
        <v>20</v>
      </c>
      <c r="W3651" t="s">
        <v>27</v>
      </c>
      <c r="X3651">
        <v>23</v>
      </c>
      <c r="Y3651" t="s">
        <v>49</v>
      </c>
      <c r="Z3651">
        <v>1</v>
      </c>
      <c r="AA3651">
        <v>114</v>
      </c>
      <c r="AB3651">
        <v>0.9</v>
      </c>
    </row>
    <row r="3652" spans="10:28">
      <c r="J3652" s="340" t="str">
        <f t="shared" ref="J3652:J3715" si="163">K3652&amp;L3652&amp;M3652&amp;N3652&amp;O3652</f>
        <v>2014AllSexAllEth214</v>
      </c>
      <c r="K3652">
        <v>2014</v>
      </c>
      <c r="L3652" t="s">
        <v>17</v>
      </c>
      <c r="M3652" t="s">
        <v>27</v>
      </c>
      <c r="N3652">
        <v>21</v>
      </c>
      <c r="O3652">
        <v>4</v>
      </c>
      <c r="P3652">
        <v>1</v>
      </c>
      <c r="Q3652">
        <v>0.58558751111903995</v>
      </c>
      <c r="R3652">
        <v>1.1000000000000001</v>
      </c>
      <c r="T3652" s="340" t="str">
        <f t="shared" si="162"/>
        <v>2013MaleAllEth24Submersion (drowning)</v>
      </c>
      <c r="U3652">
        <v>2013</v>
      </c>
      <c r="V3652" t="s">
        <v>20</v>
      </c>
      <c r="W3652" t="s">
        <v>27</v>
      </c>
      <c r="X3652">
        <v>24</v>
      </c>
      <c r="Y3652" t="s">
        <v>49</v>
      </c>
      <c r="Z3652">
        <v>3</v>
      </c>
      <c r="AA3652">
        <v>130</v>
      </c>
      <c r="AB3652">
        <v>2.2999999999999998</v>
      </c>
    </row>
    <row r="3653" spans="10:28">
      <c r="J3653" s="340" t="str">
        <f t="shared" si="163"/>
        <v>2014AllSexAllEth215</v>
      </c>
      <c r="K3653">
        <v>2014</v>
      </c>
      <c r="L3653" t="s">
        <v>17</v>
      </c>
      <c r="M3653" t="s">
        <v>27</v>
      </c>
      <c r="N3653">
        <v>21</v>
      </c>
      <c r="O3653">
        <v>5</v>
      </c>
      <c r="P3653">
        <v>2</v>
      </c>
      <c r="Q3653">
        <v>0.93020730188351897</v>
      </c>
      <c r="R3653">
        <v>1.3</v>
      </c>
      <c r="T3653" s="340" t="str">
        <f t="shared" ref="T3653:T3716" si="164">U3653&amp;V3653&amp;W3653&amp;X3653&amp;Y3653</f>
        <v>2013MaleAllEth25Submersion (drowning)</v>
      </c>
      <c r="U3653">
        <v>2013</v>
      </c>
      <c r="V3653" t="s">
        <v>20</v>
      </c>
      <c r="W3653" t="s">
        <v>27</v>
      </c>
      <c r="X3653">
        <v>25</v>
      </c>
      <c r="Y3653" t="s">
        <v>49</v>
      </c>
      <c r="Z3653">
        <v>3</v>
      </c>
      <c r="AA3653">
        <v>48</v>
      </c>
      <c r="AB3653">
        <v>6.2</v>
      </c>
    </row>
    <row r="3654" spans="10:28">
      <c r="J3654" s="340" t="str">
        <f t="shared" si="163"/>
        <v>2014AllSexAllEth221</v>
      </c>
      <c r="K3654">
        <v>2014</v>
      </c>
      <c r="L3654" t="s">
        <v>17</v>
      </c>
      <c r="M3654" t="s">
        <v>27</v>
      </c>
      <c r="N3654">
        <v>22</v>
      </c>
      <c r="O3654">
        <v>1</v>
      </c>
      <c r="P3654">
        <v>11</v>
      </c>
      <c r="Q3654">
        <v>9.7656237803958401</v>
      </c>
      <c r="R3654">
        <v>5.8</v>
      </c>
      <c r="T3654" s="340" t="str">
        <f t="shared" si="164"/>
        <v>2013MaleMaori22Firearms and explosives</v>
      </c>
      <c r="U3654">
        <v>2013</v>
      </c>
      <c r="V3654" t="s">
        <v>20</v>
      </c>
      <c r="W3654" t="s">
        <v>18</v>
      </c>
      <c r="X3654">
        <v>22</v>
      </c>
      <c r="Y3654" t="s">
        <v>42</v>
      </c>
      <c r="Z3654">
        <v>1</v>
      </c>
      <c r="AA3654">
        <v>29</v>
      </c>
      <c r="AB3654">
        <v>3.4</v>
      </c>
    </row>
    <row r="3655" spans="10:28">
      <c r="J3655" s="340" t="str">
        <f t="shared" si="163"/>
        <v>2014AllSexAllEth222</v>
      </c>
      <c r="K3655">
        <v>2014</v>
      </c>
      <c r="L3655" t="s">
        <v>17</v>
      </c>
      <c r="M3655" t="s">
        <v>27</v>
      </c>
      <c r="N3655">
        <v>22</v>
      </c>
      <c r="O3655">
        <v>2</v>
      </c>
      <c r="P3655">
        <v>12</v>
      </c>
      <c r="Q3655">
        <v>10.508134071104299</v>
      </c>
      <c r="R3655">
        <v>5.9</v>
      </c>
      <c r="T3655" s="340" t="str">
        <f t="shared" si="164"/>
        <v>2013MaleMaori22Hanging, strangulation and suffocation</v>
      </c>
      <c r="U3655">
        <v>2013</v>
      </c>
      <c r="V3655" t="s">
        <v>20</v>
      </c>
      <c r="W3655" t="s">
        <v>18</v>
      </c>
      <c r="X3655">
        <v>22</v>
      </c>
      <c r="Y3655" t="s">
        <v>43</v>
      </c>
      <c r="Z3655">
        <v>25</v>
      </c>
      <c r="AA3655">
        <v>29</v>
      </c>
      <c r="AB3655">
        <v>86.2</v>
      </c>
    </row>
    <row r="3656" spans="10:28">
      <c r="J3656" s="340" t="str">
        <f t="shared" si="163"/>
        <v>2014AllSexAllEth223</v>
      </c>
      <c r="K3656">
        <v>2014</v>
      </c>
      <c r="L3656" t="s">
        <v>17</v>
      </c>
      <c r="M3656" t="s">
        <v>27</v>
      </c>
      <c r="N3656">
        <v>22</v>
      </c>
      <c r="O3656">
        <v>3</v>
      </c>
      <c r="P3656">
        <v>18</v>
      </c>
      <c r="Q3656">
        <v>14.856473338669799</v>
      </c>
      <c r="R3656">
        <v>6.9</v>
      </c>
      <c r="T3656" s="340" t="str">
        <f t="shared" si="164"/>
        <v>2013MaleMaori23Hanging, strangulation and suffocation</v>
      </c>
      <c r="U3656">
        <v>2013</v>
      </c>
      <c r="V3656" t="s">
        <v>20</v>
      </c>
      <c r="W3656" t="s">
        <v>18</v>
      </c>
      <c r="X3656">
        <v>23</v>
      </c>
      <c r="Y3656" t="s">
        <v>43</v>
      </c>
      <c r="Z3656">
        <v>23</v>
      </c>
      <c r="AA3656">
        <v>31</v>
      </c>
      <c r="AB3656">
        <v>74.2</v>
      </c>
    </row>
    <row r="3657" spans="10:28">
      <c r="J3657" s="340" t="str">
        <f t="shared" si="163"/>
        <v>2014AllSexAllEth224</v>
      </c>
      <c r="K3657">
        <v>2014</v>
      </c>
      <c r="L3657" t="s">
        <v>17</v>
      </c>
      <c r="M3657" t="s">
        <v>27</v>
      </c>
      <c r="N3657">
        <v>22</v>
      </c>
      <c r="O3657">
        <v>4</v>
      </c>
      <c r="P3657">
        <v>15</v>
      </c>
      <c r="Q3657">
        <v>11.001748481031401</v>
      </c>
      <c r="R3657">
        <v>5.6</v>
      </c>
      <c r="T3657" s="340" t="str">
        <f t="shared" si="164"/>
        <v>2013MaleMaori24Hanging, strangulation and suffocation</v>
      </c>
      <c r="U3657">
        <v>2013</v>
      </c>
      <c r="V3657" t="s">
        <v>20</v>
      </c>
      <c r="W3657" t="s">
        <v>18</v>
      </c>
      <c r="X3657">
        <v>24</v>
      </c>
      <c r="Y3657" t="s">
        <v>43</v>
      </c>
      <c r="Z3657">
        <v>4</v>
      </c>
      <c r="AA3657">
        <v>5</v>
      </c>
      <c r="AB3657">
        <v>80</v>
      </c>
    </row>
    <row r="3658" spans="10:28">
      <c r="J3658" s="340" t="str">
        <f t="shared" si="163"/>
        <v>2014AllSexAllEth225</v>
      </c>
      <c r="K3658">
        <v>2014</v>
      </c>
      <c r="L3658" t="s">
        <v>17</v>
      </c>
      <c r="M3658" t="s">
        <v>27</v>
      </c>
      <c r="N3658">
        <v>22</v>
      </c>
      <c r="O3658">
        <v>5</v>
      </c>
      <c r="P3658">
        <v>31</v>
      </c>
      <c r="Q3658">
        <v>20.013974613699801</v>
      </c>
      <c r="R3658">
        <v>7</v>
      </c>
      <c r="T3658" s="340" t="str">
        <f t="shared" si="164"/>
        <v>2013MaleMaori22Jumping from a high place</v>
      </c>
      <c r="U3658">
        <v>2013</v>
      </c>
      <c r="V3658" t="s">
        <v>20</v>
      </c>
      <c r="W3658" t="s">
        <v>18</v>
      </c>
      <c r="X3658">
        <v>22</v>
      </c>
      <c r="Y3658" t="s">
        <v>44</v>
      </c>
      <c r="Z3658">
        <v>2</v>
      </c>
      <c r="AA3658">
        <v>29</v>
      </c>
      <c r="AB3658">
        <v>6.9</v>
      </c>
    </row>
    <row r="3659" spans="10:28">
      <c r="J3659" s="340" t="str">
        <f t="shared" si="163"/>
        <v>2014AllSexAllEth231</v>
      </c>
      <c r="K3659">
        <v>2014</v>
      </c>
      <c r="L3659" t="s">
        <v>17</v>
      </c>
      <c r="M3659" t="s">
        <v>27</v>
      </c>
      <c r="N3659">
        <v>23</v>
      </c>
      <c r="O3659">
        <v>1</v>
      </c>
      <c r="P3659">
        <v>20</v>
      </c>
      <c r="Q3659">
        <v>9.1534807636980595</v>
      </c>
      <c r="R3659">
        <v>4</v>
      </c>
      <c r="T3659" s="340" t="str">
        <f t="shared" si="164"/>
        <v>2013MaleMaori22Other</v>
      </c>
      <c r="U3659">
        <v>2013</v>
      </c>
      <c r="V3659" t="s">
        <v>20</v>
      </c>
      <c r="W3659" t="s">
        <v>18</v>
      </c>
      <c r="X3659">
        <v>22</v>
      </c>
      <c r="Y3659" t="s">
        <v>45</v>
      </c>
      <c r="Z3659">
        <v>1</v>
      </c>
      <c r="AA3659">
        <v>29</v>
      </c>
      <c r="AB3659">
        <v>3.4</v>
      </c>
    </row>
    <row r="3660" spans="10:28">
      <c r="J3660" s="340" t="str">
        <f t="shared" si="163"/>
        <v>2014AllSexAllEth232</v>
      </c>
      <c r="K3660">
        <v>2014</v>
      </c>
      <c r="L3660" t="s">
        <v>17</v>
      </c>
      <c r="M3660" t="s">
        <v>27</v>
      </c>
      <c r="N3660">
        <v>23</v>
      </c>
      <c r="O3660">
        <v>2</v>
      </c>
      <c r="P3660">
        <v>25</v>
      </c>
      <c r="Q3660">
        <v>10.580746570703401</v>
      </c>
      <c r="R3660">
        <v>4.0999999999999996</v>
      </c>
      <c r="T3660" s="340" t="str">
        <f t="shared" si="164"/>
        <v>2013MaleMaori23Other</v>
      </c>
      <c r="U3660">
        <v>2013</v>
      </c>
      <c r="V3660" t="s">
        <v>20</v>
      </c>
      <c r="W3660" t="s">
        <v>18</v>
      </c>
      <c r="X3660">
        <v>23</v>
      </c>
      <c r="Y3660" t="s">
        <v>45</v>
      </c>
      <c r="Z3660">
        <v>2</v>
      </c>
      <c r="AA3660">
        <v>31</v>
      </c>
      <c r="AB3660">
        <v>6.5</v>
      </c>
    </row>
    <row r="3661" spans="10:28">
      <c r="J3661" s="340" t="str">
        <f t="shared" si="163"/>
        <v>2014AllSexAllEth233</v>
      </c>
      <c r="K3661">
        <v>2014</v>
      </c>
      <c r="L3661" t="s">
        <v>17</v>
      </c>
      <c r="M3661" t="s">
        <v>27</v>
      </c>
      <c r="N3661">
        <v>23</v>
      </c>
      <c r="O3661">
        <v>3</v>
      </c>
      <c r="P3661">
        <v>34</v>
      </c>
      <c r="Q3661">
        <v>14.1023989403629</v>
      </c>
      <c r="R3661">
        <v>4.7</v>
      </c>
      <c r="T3661" s="340" t="str">
        <f t="shared" si="164"/>
        <v>2013MaleMaori23Poisoning by gases and vapours</v>
      </c>
      <c r="U3661">
        <v>2013</v>
      </c>
      <c r="V3661" t="s">
        <v>20</v>
      </c>
      <c r="W3661" t="s">
        <v>18</v>
      </c>
      <c r="X3661">
        <v>23</v>
      </c>
      <c r="Y3661" t="s">
        <v>46</v>
      </c>
      <c r="Z3661">
        <v>4</v>
      </c>
      <c r="AA3661">
        <v>31</v>
      </c>
      <c r="AB3661">
        <v>12.9</v>
      </c>
    </row>
    <row r="3662" spans="10:28">
      <c r="J3662" s="340" t="str">
        <f t="shared" si="163"/>
        <v>2014AllSexAllEth234</v>
      </c>
      <c r="K3662">
        <v>2014</v>
      </c>
      <c r="L3662" t="s">
        <v>17</v>
      </c>
      <c r="M3662" t="s">
        <v>27</v>
      </c>
      <c r="N3662">
        <v>23</v>
      </c>
      <c r="O3662">
        <v>4</v>
      </c>
      <c r="P3662">
        <v>47</v>
      </c>
      <c r="Q3662">
        <v>19.877099220504601</v>
      </c>
      <c r="R3662">
        <v>5.7</v>
      </c>
      <c r="T3662" s="340" t="str">
        <f t="shared" si="164"/>
        <v>2013MaleMaori23Poisoning by solids and liquids</v>
      </c>
      <c r="U3662">
        <v>2013</v>
      </c>
      <c r="V3662" t="s">
        <v>20</v>
      </c>
      <c r="W3662" t="s">
        <v>18</v>
      </c>
      <c r="X3662">
        <v>23</v>
      </c>
      <c r="Y3662" t="s">
        <v>47</v>
      </c>
      <c r="Z3662">
        <v>1</v>
      </c>
      <c r="AA3662">
        <v>31</v>
      </c>
      <c r="AB3662">
        <v>3.2</v>
      </c>
    </row>
    <row r="3663" spans="10:28">
      <c r="J3663" s="340" t="str">
        <f t="shared" si="163"/>
        <v>2014AllSexAllEth235</v>
      </c>
      <c r="K3663">
        <v>2014</v>
      </c>
      <c r="L3663" t="s">
        <v>17</v>
      </c>
      <c r="M3663" t="s">
        <v>27</v>
      </c>
      <c r="N3663">
        <v>23</v>
      </c>
      <c r="O3663">
        <v>5</v>
      </c>
      <c r="P3663">
        <v>58</v>
      </c>
      <c r="Q3663">
        <v>25.9834222562009</v>
      </c>
      <c r="R3663">
        <v>6.7</v>
      </c>
      <c r="T3663" s="340" t="str">
        <f t="shared" si="164"/>
        <v>2013MaleMaori23Sharp object</v>
      </c>
      <c r="U3663">
        <v>2013</v>
      </c>
      <c r="V3663" t="s">
        <v>20</v>
      </c>
      <c r="W3663" t="s">
        <v>18</v>
      </c>
      <c r="X3663">
        <v>23</v>
      </c>
      <c r="Y3663" t="s">
        <v>48</v>
      </c>
      <c r="Z3663">
        <v>1</v>
      </c>
      <c r="AA3663">
        <v>31</v>
      </c>
      <c r="AB3663">
        <v>3.2</v>
      </c>
    </row>
    <row r="3664" spans="10:28">
      <c r="J3664" s="340" t="str">
        <f t="shared" si="163"/>
        <v>2014AllSexAllEth241</v>
      </c>
      <c r="K3664">
        <v>2014</v>
      </c>
      <c r="L3664" t="s">
        <v>17</v>
      </c>
      <c r="M3664" t="s">
        <v>27</v>
      </c>
      <c r="N3664">
        <v>24</v>
      </c>
      <c r="O3664">
        <v>1</v>
      </c>
      <c r="P3664">
        <v>21</v>
      </c>
      <c r="Q3664">
        <v>7.4853703338470501</v>
      </c>
      <c r="R3664">
        <v>3.2</v>
      </c>
      <c r="T3664" s="340" t="str">
        <f t="shared" si="164"/>
        <v>2013MaleMaori24Sharp object</v>
      </c>
      <c r="U3664">
        <v>2013</v>
      </c>
      <c r="V3664" t="s">
        <v>20</v>
      </c>
      <c r="W3664" t="s">
        <v>18</v>
      </c>
      <c r="X3664">
        <v>24</v>
      </c>
      <c r="Y3664" t="s">
        <v>48</v>
      </c>
      <c r="Z3664">
        <v>1</v>
      </c>
      <c r="AA3664">
        <v>5</v>
      </c>
      <c r="AB3664">
        <v>20</v>
      </c>
    </row>
    <row r="3665" spans="10:28">
      <c r="J3665" s="340" t="str">
        <f t="shared" si="163"/>
        <v>2014AllSexAllEth242</v>
      </c>
      <c r="K3665">
        <v>2014</v>
      </c>
      <c r="L3665" t="s">
        <v>17</v>
      </c>
      <c r="M3665" t="s">
        <v>27</v>
      </c>
      <c r="N3665">
        <v>24</v>
      </c>
      <c r="O3665">
        <v>2</v>
      </c>
      <c r="P3665">
        <v>28</v>
      </c>
      <c r="Q3665">
        <v>11.174325986053599</v>
      </c>
      <c r="R3665">
        <v>4.0999999999999996</v>
      </c>
      <c r="T3665" s="340" t="str">
        <f t="shared" si="164"/>
        <v>2013MaleNon-Maori22Firearms and explosives</v>
      </c>
      <c r="U3665">
        <v>2013</v>
      </c>
      <c r="V3665" t="s">
        <v>20</v>
      </c>
      <c r="W3665" t="s">
        <v>19</v>
      </c>
      <c r="X3665">
        <v>22</v>
      </c>
      <c r="Y3665" t="s">
        <v>42</v>
      </c>
      <c r="Z3665">
        <v>4</v>
      </c>
      <c r="AA3665">
        <v>44</v>
      </c>
      <c r="AB3665">
        <v>9.1</v>
      </c>
    </row>
    <row r="3666" spans="10:28">
      <c r="J3666" s="340" t="str">
        <f t="shared" si="163"/>
        <v>2014AllSexAllEth243</v>
      </c>
      <c r="K3666">
        <v>2014</v>
      </c>
      <c r="L3666" t="s">
        <v>17</v>
      </c>
      <c r="M3666" t="s">
        <v>27</v>
      </c>
      <c r="N3666">
        <v>24</v>
      </c>
      <c r="O3666">
        <v>3</v>
      </c>
      <c r="P3666">
        <v>29</v>
      </c>
      <c r="Q3666">
        <v>12.7827877561602</v>
      </c>
      <c r="R3666">
        <v>4.7</v>
      </c>
      <c r="T3666" s="340" t="str">
        <f t="shared" si="164"/>
        <v>2013MaleNon-Maori23Firearms and explosives</v>
      </c>
      <c r="U3666">
        <v>2013</v>
      </c>
      <c r="V3666" t="s">
        <v>20</v>
      </c>
      <c r="W3666" t="s">
        <v>19</v>
      </c>
      <c r="X3666">
        <v>23</v>
      </c>
      <c r="Y3666" t="s">
        <v>42</v>
      </c>
      <c r="Z3666">
        <v>6</v>
      </c>
      <c r="AA3666">
        <v>83</v>
      </c>
      <c r="AB3666">
        <v>7.2</v>
      </c>
    </row>
    <row r="3667" spans="10:28">
      <c r="J3667" s="340" t="str">
        <f t="shared" si="163"/>
        <v>2014AllSexAllEth244</v>
      </c>
      <c r="K3667">
        <v>2014</v>
      </c>
      <c r="L3667" t="s">
        <v>17</v>
      </c>
      <c r="M3667" t="s">
        <v>27</v>
      </c>
      <c r="N3667">
        <v>24</v>
      </c>
      <c r="O3667">
        <v>4</v>
      </c>
      <c r="P3667">
        <v>40</v>
      </c>
      <c r="Q3667">
        <v>19.406573028414101</v>
      </c>
      <c r="R3667">
        <v>6</v>
      </c>
      <c r="T3667" s="340" t="str">
        <f t="shared" si="164"/>
        <v>2013MaleNon-Maori24Firearms and explosives</v>
      </c>
      <c r="U3667">
        <v>2013</v>
      </c>
      <c r="V3667" t="s">
        <v>20</v>
      </c>
      <c r="W3667" t="s">
        <v>19</v>
      </c>
      <c r="X3667">
        <v>24</v>
      </c>
      <c r="Y3667" t="s">
        <v>42</v>
      </c>
      <c r="Z3667">
        <v>20</v>
      </c>
      <c r="AA3667">
        <v>125</v>
      </c>
      <c r="AB3667">
        <v>16</v>
      </c>
    </row>
    <row r="3668" spans="10:28">
      <c r="J3668" s="340" t="str">
        <f t="shared" si="163"/>
        <v>2014AllSexAllEth245</v>
      </c>
      <c r="K3668">
        <v>2014</v>
      </c>
      <c r="L3668" t="s">
        <v>17</v>
      </c>
      <c r="M3668" t="s">
        <v>27</v>
      </c>
      <c r="N3668">
        <v>24</v>
      </c>
      <c r="O3668">
        <v>5</v>
      </c>
      <c r="P3668">
        <v>38</v>
      </c>
      <c r="Q3668">
        <v>20.064911214163399</v>
      </c>
      <c r="R3668">
        <v>6.4</v>
      </c>
      <c r="T3668" s="340" t="str">
        <f t="shared" si="164"/>
        <v>2013MaleNon-Maori25Firearms and explosives</v>
      </c>
      <c r="U3668">
        <v>2013</v>
      </c>
      <c r="V3668" t="s">
        <v>20</v>
      </c>
      <c r="W3668" t="s">
        <v>19</v>
      </c>
      <c r="X3668">
        <v>25</v>
      </c>
      <c r="Y3668" t="s">
        <v>42</v>
      </c>
      <c r="Z3668">
        <v>15</v>
      </c>
      <c r="AA3668">
        <v>48</v>
      </c>
      <c r="AB3668">
        <v>31.2</v>
      </c>
    </row>
    <row r="3669" spans="10:28">
      <c r="J3669" s="340" t="str">
        <f t="shared" si="163"/>
        <v>2014AllSexAllEth251</v>
      </c>
      <c r="K3669">
        <v>2014</v>
      </c>
      <c r="L3669" t="s">
        <v>17</v>
      </c>
      <c r="M3669" t="s">
        <v>27</v>
      </c>
      <c r="N3669">
        <v>25</v>
      </c>
      <c r="O3669">
        <v>1</v>
      </c>
      <c r="P3669">
        <v>10</v>
      </c>
      <c r="Q3669">
        <v>7.4094708277048502</v>
      </c>
      <c r="R3669">
        <v>4.5999999999999996</v>
      </c>
      <c r="T3669" s="340" t="str">
        <f t="shared" si="164"/>
        <v>2013MaleNon-Maori22Hanging, strangulation and suffocation</v>
      </c>
      <c r="U3669">
        <v>2013</v>
      </c>
      <c r="V3669" t="s">
        <v>20</v>
      </c>
      <c r="W3669" t="s">
        <v>19</v>
      </c>
      <c r="X3669">
        <v>22</v>
      </c>
      <c r="Y3669" t="s">
        <v>43</v>
      </c>
      <c r="Z3669">
        <v>36</v>
      </c>
      <c r="AA3669">
        <v>44</v>
      </c>
      <c r="AB3669">
        <v>81.8</v>
      </c>
    </row>
    <row r="3670" spans="10:28">
      <c r="J3670" s="340" t="str">
        <f t="shared" si="163"/>
        <v>2014AllSexAllEth252</v>
      </c>
      <c r="K3670">
        <v>2014</v>
      </c>
      <c r="L3670" t="s">
        <v>17</v>
      </c>
      <c r="M3670" t="s">
        <v>27</v>
      </c>
      <c r="N3670">
        <v>25</v>
      </c>
      <c r="O3670">
        <v>2</v>
      </c>
      <c r="P3670">
        <v>7</v>
      </c>
      <c r="Q3670">
        <v>5.1494834144112698</v>
      </c>
      <c r="R3670">
        <v>3.8</v>
      </c>
      <c r="T3670" s="340" t="str">
        <f t="shared" si="164"/>
        <v>2013MaleNon-Maori23Hanging, strangulation and suffocation</v>
      </c>
      <c r="U3670">
        <v>2013</v>
      </c>
      <c r="V3670" t="s">
        <v>20</v>
      </c>
      <c r="W3670" t="s">
        <v>19</v>
      </c>
      <c r="X3670">
        <v>23</v>
      </c>
      <c r="Y3670" t="s">
        <v>43</v>
      </c>
      <c r="Z3670">
        <v>56</v>
      </c>
      <c r="AA3670">
        <v>83</v>
      </c>
      <c r="AB3670">
        <v>67.5</v>
      </c>
    </row>
    <row r="3671" spans="10:28">
      <c r="J3671" s="340" t="str">
        <f t="shared" si="163"/>
        <v>2014AllSexAllEth253</v>
      </c>
      <c r="K3671">
        <v>2014</v>
      </c>
      <c r="L3671" t="s">
        <v>17</v>
      </c>
      <c r="M3671" t="s">
        <v>27</v>
      </c>
      <c r="N3671">
        <v>25</v>
      </c>
      <c r="O3671">
        <v>3</v>
      </c>
      <c r="P3671">
        <v>12</v>
      </c>
      <c r="Q3671">
        <v>8.9425133850629308</v>
      </c>
      <c r="R3671">
        <v>5.0999999999999996</v>
      </c>
      <c r="T3671" s="340" t="str">
        <f t="shared" si="164"/>
        <v>2013MaleNon-Maori24Hanging, strangulation and suffocation</v>
      </c>
      <c r="U3671">
        <v>2013</v>
      </c>
      <c r="V3671" t="s">
        <v>20</v>
      </c>
      <c r="W3671" t="s">
        <v>19</v>
      </c>
      <c r="X3671">
        <v>24</v>
      </c>
      <c r="Y3671" t="s">
        <v>43</v>
      </c>
      <c r="Z3671">
        <v>48</v>
      </c>
      <c r="AA3671">
        <v>125</v>
      </c>
      <c r="AB3671">
        <v>38.4</v>
      </c>
    </row>
    <row r="3672" spans="10:28">
      <c r="J3672" s="340" t="str">
        <f t="shared" si="163"/>
        <v>2014AllSexAllEth254</v>
      </c>
      <c r="K3672">
        <v>2014</v>
      </c>
      <c r="L3672" t="s">
        <v>17</v>
      </c>
      <c r="M3672" t="s">
        <v>27</v>
      </c>
      <c r="N3672">
        <v>25</v>
      </c>
      <c r="O3672">
        <v>4</v>
      </c>
      <c r="P3672">
        <v>17</v>
      </c>
      <c r="Q3672">
        <v>12.5640601634059</v>
      </c>
      <c r="R3672">
        <v>6</v>
      </c>
      <c r="T3672" s="340" t="str">
        <f t="shared" si="164"/>
        <v>2013MaleNon-Maori25Hanging, strangulation and suffocation</v>
      </c>
      <c r="U3672">
        <v>2013</v>
      </c>
      <c r="V3672" t="s">
        <v>20</v>
      </c>
      <c r="W3672" t="s">
        <v>19</v>
      </c>
      <c r="X3672">
        <v>25</v>
      </c>
      <c r="Y3672" t="s">
        <v>43</v>
      </c>
      <c r="Z3672">
        <v>19</v>
      </c>
      <c r="AA3672">
        <v>48</v>
      </c>
      <c r="AB3672">
        <v>39.6</v>
      </c>
    </row>
    <row r="3673" spans="10:28">
      <c r="J3673" s="340" t="str">
        <f t="shared" si="163"/>
        <v>2014AllSexAllEth255</v>
      </c>
      <c r="K3673">
        <v>2014</v>
      </c>
      <c r="L3673" t="s">
        <v>17</v>
      </c>
      <c r="M3673" t="s">
        <v>27</v>
      </c>
      <c r="N3673">
        <v>25</v>
      </c>
      <c r="O3673">
        <v>5</v>
      </c>
      <c r="P3673">
        <v>13</v>
      </c>
      <c r="Q3673">
        <v>11.811027544716399</v>
      </c>
      <c r="R3673">
        <v>6.4</v>
      </c>
      <c r="T3673" s="340" t="str">
        <f t="shared" si="164"/>
        <v>2013MaleNon-Maori23Jumping from a high place</v>
      </c>
      <c r="U3673">
        <v>2013</v>
      </c>
      <c r="V3673" t="s">
        <v>20</v>
      </c>
      <c r="W3673" t="s">
        <v>19</v>
      </c>
      <c r="X3673">
        <v>23</v>
      </c>
      <c r="Y3673" t="s">
        <v>44</v>
      </c>
      <c r="Z3673">
        <v>2</v>
      </c>
      <c r="AA3673">
        <v>83</v>
      </c>
      <c r="AB3673">
        <v>2.4</v>
      </c>
    </row>
    <row r="3674" spans="10:28">
      <c r="J3674" s="340" t="str">
        <f t="shared" si="163"/>
        <v>2014AllSexMaori211</v>
      </c>
      <c r="K3674">
        <v>2014</v>
      </c>
      <c r="L3674" t="s">
        <v>17</v>
      </c>
      <c r="M3674" t="s">
        <v>18</v>
      </c>
      <c r="N3674">
        <v>21</v>
      </c>
      <c r="O3674">
        <v>1</v>
      </c>
      <c r="P3674">
        <v>0</v>
      </c>
      <c r="Q3674">
        <v>0</v>
      </c>
      <c r="T3674" s="340" t="str">
        <f t="shared" si="164"/>
        <v>2013MaleNon-Maori24Jumping from a high place</v>
      </c>
      <c r="U3674">
        <v>2013</v>
      </c>
      <c r="V3674" t="s">
        <v>20</v>
      </c>
      <c r="W3674" t="s">
        <v>19</v>
      </c>
      <c r="X3674">
        <v>24</v>
      </c>
      <c r="Y3674" t="s">
        <v>44</v>
      </c>
      <c r="Z3674">
        <v>5</v>
      </c>
      <c r="AA3674">
        <v>125</v>
      </c>
      <c r="AB3674">
        <v>4</v>
      </c>
    </row>
    <row r="3675" spans="10:28">
      <c r="J3675" s="340" t="str">
        <f t="shared" si="163"/>
        <v>2014AllSexMaori212</v>
      </c>
      <c r="K3675">
        <v>2014</v>
      </c>
      <c r="L3675" t="s">
        <v>17</v>
      </c>
      <c r="M3675" t="s">
        <v>18</v>
      </c>
      <c r="N3675">
        <v>21</v>
      </c>
      <c r="O3675">
        <v>2</v>
      </c>
      <c r="P3675">
        <v>0</v>
      </c>
      <c r="Q3675">
        <v>0</v>
      </c>
      <c r="T3675" s="340" t="str">
        <f t="shared" si="164"/>
        <v>2013MaleNon-Maori24Other</v>
      </c>
      <c r="U3675">
        <v>2013</v>
      </c>
      <c r="V3675" t="s">
        <v>20</v>
      </c>
      <c r="W3675" t="s">
        <v>19</v>
      </c>
      <c r="X3675">
        <v>24</v>
      </c>
      <c r="Y3675" t="s">
        <v>45</v>
      </c>
      <c r="Z3675">
        <v>9</v>
      </c>
      <c r="AA3675">
        <v>125</v>
      </c>
      <c r="AB3675">
        <v>7.2</v>
      </c>
    </row>
    <row r="3676" spans="10:28">
      <c r="J3676" s="340" t="str">
        <f t="shared" si="163"/>
        <v>2014AllSexMaori213</v>
      </c>
      <c r="K3676">
        <v>2014</v>
      </c>
      <c r="L3676" t="s">
        <v>17</v>
      </c>
      <c r="M3676" t="s">
        <v>18</v>
      </c>
      <c r="N3676">
        <v>21</v>
      </c>
      <c r="O3676">
        <v>3</v>
      </c>
      <c r="P3676">
        <v>0</v>
      </c>
      <c r="Q3676">
        <v>0</v>
      </c>
      <c r="T3676" s="340" t="str">
        <f t="shared" si="164"/>
        <v>2013MaleNon-Maori25Other</v>
      </c>
      <c r="U3676">
        <v>2013</v>
      </c>
      <c r="V3676" t="s">
        <v>20</v>
      </c>
      <c r="W3676" t="s">
        <v>19</v>
      </c>
      <c r="X3676">
        <v>25</v>
      </c>
      <c r="Y3676" t="s">
        <v>45</v>
      </c>
      <c r="Z3676">
        <v>1</v>
      </c>
      <c r="AA3676">
        <v>48</v>
      </c>
      <c r="AB3676">
        <v>2.1</v>
      </c>
    </row>
    <row r="3677" spans="10:28">
      <c r="J3677" s="340" t="str">
        <f t="shared" si="163"/>
        <v>2014AllSexMaori214</v>
      </c>
      <c r="K3677">
        <v>2014</v>
      </c>
      <c r="L3677" t="s">
        <v>17</v>
      </c>
      <c r="M3677" t="s">
        <v>18</v>
      </c>
      <c r="N3677">
        <v>21</v>
      </c>
      <c r="O3677">
        <v>4</v>
      </c>
      <c r="P3677">
        <v>1</v>
      </c>
      <c r="Q3677">
        <v>1.89863432148065</v>
      </c>
      <c r="R3677">
        <v>3.7</v>
      </c>
      <c r="T3677" s="340" t="str">
        <f t="shared" si="164"/>
        <v>2013MaleNon-Maori22Poisoning by gases and vapours</v>
      </c>
      <c r="U3677">
        <v>2013</v>
      </c>
      <c r="V3677" t="s">
        <v>20</v>
      </c>
      <c r="W3677" t="s">
        <v>19</v>
      </c>
      <c r="X3677">
        <v>22</v>
      </c>
      <c r="Y3677" t="s">
        <v>46</v>
      </c>
      <c r="Z3677">
        <v>3</v>
      </c>
      <c r="AA3677">
        <v>44</v>
      </c>
      <c r="AB3677">
        <v>6.8</v>
      </c>
    </row>
    <row r="3678" spans="10:28">
      <c r="J3678" s="340" t="str">
        <f t="shared" si="163"/>
        <v>2014AllSexMaori215</v>
      </c>
      <c r="K3678">
        <v>2014</v>
      </c>
      <c r="L3678" t="s">
        <v>17</v>
      </c>
      <c r="M3678" t="s">
        <v>18</v>
      </c>
      <c r="N3678">
        <v>21</v>
      </c>
      <c r="O3678">
        <v>5</v>
      </c>
      <c r="P3678">
        <v>1</v>
      </c>
      <c r="Q3678">
        <v>1.0169712226124501</v>
      </c>
      <c r="R3678">
        <v>2</v>
      </c>
      <c r="T3678" s="340" t="str">
        <f t="shared" si="164"/>
        <v>2013MaleNon-Maori23Poisoning by gases and vapours</v>
      </c>
      <c r="U3678">
        <v>2013</v>
      </c>
      <c r="V3678" t="s">
        <v>20</v>
      </c>
      <c r="W3678" t="s">
        <v>19</v>
      </c>
      <c r="X3678">
        <v>23</v>
      </c>
      <c r="Y3678" t="s">
        <v>46</v>
      </c>
      <c r="Z3678">
        <v>9</v>
      </c>
      <c r="AA3678">
        <v>83</v>
      </c>
      <c r="AB3678">
        <v>10.8</v>
      </c>
    </row>
    <row r="3679" spans="10:28">
      <c r="J3679" s="340" t="str">
        <f t="shared" si="163"/>
        <v>2014AllSexMaori221</v>
      </c>
      <c r="K3679">
        <v>2014</v>
      </c>
      <c r="L3679" t="s">
        <v>17</v>
      </c>
      <c r="M3679" t="s">
        <v>18</v>
      </c>
      <c r="N3679">
        <v>22</v>
      </c>
      <c r="O3679">
        <v>1</v>
      </c>
      <c r="P3679">
        <v>3</v>
      </c>
      <c r="Q3679">
        <v>27.106164082530299</v>
      </c>
      <c r="R3679">
        <v>30.7</v>
      </c>
      <c r="T3679" s="340" t="str">
        <f t="shared" si="164"/>
        <v>2013MaleNon-Maori24Poisoning by gases and vapours</v>
      </c>
      <c r="U3679">
        <v>2013</v>
      </c>
      <c r="V3679" t="s">
        <v>20</v>
      </c>
      <c r="W3679" t="s">
        <v>19</v>
      </c>
      <c r="X3679">
        <v>24</v>
      </c>
      <c r="Y3679" t="s">
        <v>46</v>
      </c>
      <c r="Z3679">
        <v>20</v>
      </c>
      <c r="AA3679">
        <v>125</v>
      </c>
      <c r="AB3679">
        <v>16</v>
      </c>
    </row>
    <row r="3680" spans="10:28">
      <c r="J3680" s="340" t="str">
        <f t="shared" si="163"/>
        <v>2014AllSexMaori222</v>
      </c>
      <c r="K3680">
        <v>2014</v>
      </c>
      <c r="L3680" t="s">
        <v>17</v>
      </c>
      <c r="M3680" t="s">
        <v>18</v>
      </c>
      <c r="N3680">
        <v>22</v>
      </c>
      <c r="O3680">
        <v>2</v>
      </c>
      <c r="P3680">
        <v>2</v>
      </c>
      <c r="Q3680">
        <v>13.5642375221172</v>
      </c>
      <c r="R3680">
        <v>18.8</v>
      </c>
      <c r="T3680" s="340" t="str">
        <f t="shared" si="164"/>
        <v>2013MaleNon-Maori25Poisoning by gases and vapours</v>
      </c>
      <c r="U3680">
        <v>2013</v>
      </c>
      <c r="V3680" t="s">
        <v>20</v>
      </c>
      <c r="W3680" t="s">
        <v>19</v>
      </c>
      <c r="X3680">
        <v>25</v>
      </c>
      <c r="Y3680" t="s">
        <v>46</v>
      </c>
      <c r="Z3680">
        <v>3</v>
      </c>
      <c r="AA3680">
        <v>48</v>
      </c>
      <c r="AB3680">
        <v>6.2</v>
      </c>
    </row>
    <row r="3681" spans="10:28">
      <c r="J3681" s="340" t="str">
        <f t="shared" si="163"/>
        <v>2014AllSexMaori223</v>
      </c>
      <c r="K3681">
        <v>2014</v>
      </c>
      <c r="L3681" t="s">
        <v>17</v>
      </c>
      <c r="M3681" t="s">
        <v>18</v>
      </c>
      <c r="N3681">
        <v>22</v>
      </c>
      <c r="O3681">
        <v>3</v>
      </c>
      <c r="P3681">
        <v>3</v>
      </c>
      <c r="Q3681">
        <v>13.9994799478616</v>
      </c>
      <c r="R3681">
        <v>15.8</v>
      </c>
      <c r="T3681" s="340" t="str">
        <f t="shared" si="164"/>
        <v>2013MaleNon-Maori22Poisoning by solids and liquids</v>
      </c>
      <c r="U3681">
        <v>2013</v>
      </c>
      <c r="V3681" t="s">
        <v>20</v>
      </c>
      <c r="W3681" t="s">
        <v>19</v>
      </c>
      <c r="X3681">
        <v>22</v>
      </c>
      <c r="Y3681" t="s">
        <v>47</v>
      </c>
      <c r="Z3681">
        <v>1</v>
      </c>
      <c r="AA3681">
        <v>44</v>
      </c>
      <c r="AB3681">
        <v>2.2999999999999998</v>
      </c>
    </row>
    <row r="3682" spans="10:28">
      <c r="J3682" s="340" t="str">
        <f t="shared" si="163"/>
        <v>2014AllSexMaori224</v>
      </c>
      <c r="K3682">
        <v>2014</v>
      </c>
      <c r="L3682" t="s">
        <v>17</v>
      </c>
      <c r="M3682" t="s">
        <v>18</v>
      </c>
      <c r="N3682">
        <v>22</v>
      </c>
      <c r="O3682">
        <v>4</v>
      </c>
      <c r="P3682">
        <v>3</v>
      </c>
      <c r="Q3682">
        <v>9.69308846428825</v>
      </c>
      <c r="R3682">
        <v>11</v>
      </c>
      <c r="T3682" s="340" t="str">
        <f t="shared" si="164"/>
        <v>2013MaleNon-Maori23Poisoning by solids and liquids</v>
      </c>
      <c r="U3682">
        <v>2013</v>
      </c>
      <c r="V3682" t="s">
        <v>20</v>
      </c>
      <c r="W3682" t="s">
        <v>19</v>
      </c>
      <c r="X3682">
        <v>23</v>
      </c>
      <c r="Y3682" t="s">
        <v>47</v>
      </c>
      <c r="Z3682">
        <v>7</v>
      </c>
      <c r="AA3682">
        <v>83</v>
      </c>
      <c r="AB3682">
        <v>8.4</v>
      </c>
    </row>
    <row r="3683" spans="10:28">
      <c r="J3683" s="340" t="str">
        <f t="shared" si="163"/>
        <v>2014AllSexMaori225</v>
      </c>
      <c r="K3683">
        <v>2014</v>
      </c>
      <c r="L3683" t="s">
        <v>17</v>
      </c>
      <c r="M3683" t="s">
        <v>18</v>
      </c>
      <c r="N3683">
        <v>22</v>
      </c>
      <c r="O3683">
        <v>5</v>
      </c>
      <c r="P3683">
        <v>17</v>
      </c>
      <c r="Q3683">
        <v>31.940893982365498</v>
      </c>
      <c r="R3683">
        <v>15.2</v>
      </c>
      <c r="T3683" s="340" t="str">
        <f t="shared" si="164"/>
        <v>2013MaleNon-Maori24Poisoning by solids and liquids</v>
      </c>
      <c r="U3683">
        <v>2013</v>
      </c>
      <c r="V3683" t="s">
        <v>20</v>
      </c>
      <c r="W3683" t="s">
        <v>19</v>
      </c>
      <c r="X3683">
        <v>24</v>
      </c>
      <c r="Y3683" t="s">
        <v>47</v>
      </c>
      <c r="Z3683">
        <v>16</v>
      </c>
      <c r="AA3683">
        <v>125</v>
      </c>
      <c r="AB3683">
        <v>12.8</v>
      </c>
    </row>
    <row r="3684" spans="10:28">
      <c r="J3684" s="340" t="str">
        <f t="shared" si="163"/>
        <v>2014AllSexMaori231</v>
      </c>
      <c r="K3684">
        <v>2014</v>
      </c>
      <c r="L3684" t="s">
        <v>17</v>
      </c>
      <c r="M3684" t="s">
        <v>18</v>
      </c>
      <c r="N3684">
        <v>23</v>
      </c>
      <c r="O3684">
        <v>1</v>
      </c>
      <c r="P3684">
        <v>5</v>
      </c>
      <c r="Q3684">
        <v>33.348653233194703</v>
      </c>
      <c r="R3684">
        <v>29.2</v>
      </c>
      <c r="T3684" s="340" t="str">
        <f t="shared" si="164"/>
        <v>2013MaleNon-Maori25Poisoning by solids and liquids</v>
      </c>
      <c r="U3684">
        <v>2013</v>
      </c>
      <c r="V3684" t="s">
        <v>20</v>
      </c>
      <c r="W3684" t="s">
        <v>19</v>
      </c>
      <c r="X3684">
        <v>25</v>
      </c>
      <c r="Y3684" t="s">
        <v>47</v>
      </c>
      <c r="Z3684">
        <v>6</v>
      </c>
      <c r="AA3684">
        <v>48</v>
      </c>
      <c r="AB3684">
        <v>12.5</v>
      </c>
    </row>
    <row r="3685" spans="10:28">
      <c r="J3685" s="340" t="str">
        <f t="shared" si="163"/>
        <v>2014AllSexMaori232</v>
      </c>
      <c r="K3685">
        <v>2014</v>
      </c>
      <c r="L3685" t="s">
        <v>17</v>
      </c>
      <c r="M3685" t="s">
        <v>18</v>
      </c>
      <c r="N3685">
        <v>23</v>
      </c>
      <c r="O3685">
        <v>2</v>
      </c>
      <c r="P3685">
        <v>2</v>
      </c>
      <c r="Q3685">
        <v>9.6048441702846699</v>
      </c>
      <c r="R3685">
        <v>13.3</v>
      </c>
      <c r="T3685" s="340" t="str">
        <f t="shared" si="164"/>
        <v>2013MaleNon-Maori23Sharp object</v>
      </c>
      <c r="U3685">
        <v>2013</v>
      </c>
      <c r="V3685" t="s">
        <v>20</v>
      </c>
      <c r="W3685" t="s">
        <v>19</v>
      </c>
      <c r="X3685">
        <v>23</v>
      </c>
      <c r="Y3685" t="s">
        <v>48</v>
      </c>
      <c r="Z3685">
        <v>2</v>
      </c>
      <c r="AA3685">
        <v>83</v>
      </c>
      <c r="AB3685">
        <v>2.4</v>
      </c>
    </row>
    <row r="3686" spans="10:28">
      <c r="J3686" s="340" t="str">
        <f t="shared" si="163"/>
        <v>2014AllSexMaori233</v>
      </c>
      <c r="K3686">
        <v>2014</v>
      </c>
      <c r="L3686" t="s">
        <v>17</v>
      </c>
      <c r="M3686" t="s">
        <v>18</v>
      </c>
      <c r="N3686">
        <v>23</v>
      </c>
      <c r="O3686">
        <v>3</v>
      </c>
      <c r="P3686">
        <v>12</v>
      </c>
      <c r="Q3686">
        <v>41.384718462047601</v>
      </c>
      <c r="R3686">
        <v>23.4</v>
      </c>
      <c r="T3686" s="340" t="str">
        <f t="shared" si="164"/>
        <v>2013MaleNon-Maori24Sharp object</v>
      </c>
      <c r="U3686">
        <v>2013</v>
      </c>
      <c r="V3686" t="s">
        <v>20</v>
      </c>
      <c r="W3686" t="s">
        <v>19</v>
      </c>
      <c r="X3686">
        <v>24</v>
      </c>
      <c r="Y3686" t="s">
        <v>48</v>
      </c>
      <c r="Z3686">
        <v>4</v>
      </c>
      <c r="AA3686">
        <v>125</v>
      </c>
      <c r="AB3686">
        <v>3.2</v>
      </c>
    </row>
    <row r="3687" spans="10:28">
      <c r="J3687" s="340" t="str">
        <f t="shared" si="163"/>
        <v>2014AllSexMaori234</v>
      </c>
      <c r="K3687">
        <v>2014</v>
      </c>
      <c r="L3687" t="s">
        <v>17</v>
      </c>
      <c r="M3687" t="s">
        <v>18</v>
      </c>
      <c r="N3687">
        <v>23</v>
      </c>
      <c r="O3687">
        <v>4</v>
      </c>
      <c r="P3687">
        <v>13</v>
      </c>
      <c r="Q3687">
        <v>32.4741475221062</v>
      </c>
      <c r="R3687">
        <v>17.7</v>
      </c>
      <c r="T3687" s="340" t="str">
        <f t="shared" si="164"/>
        <v>2013MaleNon-Maori25Sharp object</v>
      </c>
      <c r="U3687">
        <v>2013</v>
      </c>
      <c r="V3687" t="s">
        <v>20</v>
      </c>
      <c r="W3687" t="s">
        <v>19</v>
      </c>
      <c r="X3687">
        <v>25</v>
      </c>
      <c r="Y3687" t="s">
        <v>48</v>
      </c>
      <c r="Z3687">
        <v>1</v>
      </c>
      <c r="AA3687">
        <v>48</v>
      </c>
      <c r="AB3687">
        <v>2.1</v>
      </c>
    </row>
    <row r="3688" spans="10:28">
      <c r="J3688" s="340" t="str">
        <f t="shared" si="163"/>
        <v>2014AllSexMaori235</v>
      </c>
      <c r="K3688">
        <v>2014</v>
      </c>
      <c r="L3688" t="s">
        <v>17</v>
      </c>
      <c r="M3688" t="s">
        <v>18</v>
      </c>
      <c r="N3688">
        <v>23</v>
      </c>
      <c r="O3688">
        <v>5</v>
      </c>
      <c r="P3688">
        <v>18</v>
      </c>
      <c r="Q3688">
        <v>27.772898396752598</v>
      </c>
      <c r="R3688">
        <v>12.8</v>
      </c>
      <c r="T3688" s="340" t="str">
        <f t="shared" si="164"/>
        <v>2013MaleNon-Maori23Submersion (drowning)</v>
      </c>
      <c r="U3688">
        <v>2013</v>
      </c>
      <c r="V3688" t="s">
        <v>20</v>
      </c>
      <c r="W3688" t="s">
        <v>19</v>
      </c>
      <c r="X3688">
        <v>23</v>
      </c>
      <c r="Y3688" t="s">
        <v>49</v>
      </c>
      <c r="Z3688">
        <v>1</v>
      </c>
      <c r="AA3688">
        <v>83</v>
      </c>
      <c r="AB3688">
        <v>1.2</v>
      </c>
    </row>
    <row r="3689" spans="10:28">
      <c r="J3689" s="340" t="str">
        <f t="shared" si="163"/>
        <v>2014AllSexMaori241</v>
      </c>
      <c r="K3689">
        <v>2014</v>
      </c>
      <c r="L3689" t="s">
        <v>17</v>
      </c>
      <c r="M3689" t="s">
        <v>18</v>
      </c>
      <c r="N3689">
        <v>24</v>
      </c>
      <c r="O3689">
        <v>1</v>
      </c>
      <c r="P3689">
        <v>0</v>
      </c>
      <c r="Q3689">
        <v>0</v>
      </c>
      <c r="T3689" s="340" t="str">
        <f t="shared" si="164"/>
        <v>2013MaleNon-Maori24Submersion (drowning)</v>
      </c>
      <c r="U3689">
        <v>2013</v>
      </c>
      <c r="V3689" t="s">
        <v>20</v>
      </c>
      <c r="W3689" t="s">
        <v>19</v>
      </c>
      <c r="X3689">
        <v>24</v>
      </c>
      <c r="Y3689" t="s">
        <v>49</v>
      </c>
      <c r="Z3689">
        <v>3</v>
      </c>
      <c r="AA3689">
        <v>125</v>
      </c>
      <c r="AB3689">
        <v>2.4</v>
      </c>
    </row>
    <row r="3690" spans="10:28">
      <c r="J3690" s="340" t="str">
        <f t="shared" si="163"/>
        <v>2014AllSexMaori242</v>
      </c>
      <c r="K3690">
        <v>2014</v>
      </c>
      <c r="L3690" t="s">
        <v>17</v>
      </c>
      <c r="M3690" t="s">
        <v>18</v>
      </c>
      <c r="N3690">
        <v>24</v>
      </c>
      <c r="O3690">
        <v>2</v>
      </c>
      <c r="P3690">
        <v>0</v>
      </c>
      <c r="Q3690">
        <v>0</v>
      </c>
      <c r="T3690" s="340" t="str">
        <f t="shared" si="164"/>
        <v>2013MaleNon-Maori25Submersion (drowning)</v>
      </c>
      <c r="U3690">
        <v>2013</v>
      </c>
      <c r="V3690" t="s">
        <v>20</v>
      </c>
      <c r="W3690" t="s">
        <v>19</v>
      </c>
      <c r="X3690">
        <v>25</v>
      </c>
      <c r="Y3690" t="s">
        <v>49</v>
      </c>
      <c r="Z3690">
        <v>3</v>
      </c>
      <c r="AA3690">
        <v>48</v>
      </c>
      <c r="AB3690">
        <v>6.2</v>
      </c>
    </row>
    <row r="3691" spans="10:28">
      <c r="J3691" s="340" t="str">
        <f t="shared" si="163"/>
        <v>2014AllSexMaori243</v>
      </c>
      <c r="K3691">
        <v>2014</v>
      </c>
      <c r="L3691" t="s">
        <v>17</v>
      </c>
      <c r="M3691" t="s">
        <v>18</v>
      </c>
      <c r="N3691">
        <v>24</v>
      </c>
      <c r="O3691">
        <v>3</v>
      </c>
      <c r="P3691">
        <v>3</v>
      </c>
      <c r="Q3691">
        <v>14.169027275523</v>
      </c>
      <c r="R3691">
        <v>16</v>
      </c>
      <c r="T3691" s="340" t="str">
        <f t="shared" si="164"/>
        <v>2014AllSexAllEth21Firearms and explosives</v>
      </c>
      <c r="U3691">
        <v>2014</v>
      </c>
      <c r="V3691" t="s">
        <v>17</v>
      </c>
      <c r="W3691" t="s">
        <v>27</v>
      </c>
      <c r="X3691">
        <v>21</v>
      </c>
      <c r="Y3691" t="s">
        <v>42</v>
      </c>
      <c r="Z3691">
        <v>1</v>
      </c>
      <c r="AA3691">
        <v>6</v>
      </c>
      <c r="AB3691">
        <v>16.7</v>
      </c>
    </row>
    <row r="3692" spans="10:28">
      <c r="J3692" s="340" t="str">
        <f t="shared" si="163"/>
        <v>2014AllSexMaori244</v>
      </c>
      <c r="K3692">
        <v>2014</v>
      </c>
      <c r="L3692" t="s">
        <v>17</v>
      </c>
      <c r="M3692" t="s">
        <v>18</v>
      </c>
      <c r="N3692">
        <v>24</v>
      </c>
      <c r="O3692">
        <v>4</v>
      </c>
      <c r="P3692">
        <v>2</v>
      </c>
      <c r="Q3692">
        <v>6.79269175296551</v>
      </c>
      <c r="R3692">
        <v>9.4</v>
      </c>
      <c r="T3692" s="340" t="str">
        <f t="shared" si="164"/>
        <v>2014AllSexAllEth22Firearms and explosives</v>
      </c>
      <c r="U3692">
        <v>2014</v>
      </c>
      <c r="V3692" t="s">
        <v>17</v>
      </c>
      <c r="W3692" t="s">
        <v>27</v>
      </c>
      <c r="X3692">
        <v>22</v>
      </c>
      <c r="Y3692" t="s">
        <v>42</v>
      </c>
      <c r="Z3692">
        <v>2</v>
      </c>
      <c r="AA3692">
        <v>89</v>
      </c>
      <c r="AB3692">
        <v>2.2000000000000002</v>
      </c>
    </row>
    <row r="3693" spans="10:28">
      <c r="J3693" s="340" t="str">
        <f t="shared" si="163"/>
        <v>2014AllSexMaori245</v>
      </c>
      <c r="K3693">
        <v>2014</v>
      </c>
      <c r="L3693" t="s">
        <v>17</v>
      </c>
      <c r="M3693" t="s">
        <v>18</v>
      </c>
      <c r="N3693">
        <v>24</v>
      </c>
      <c r="O3693">
        <v>5</v>
      </c>
      <c r="P3693">
        <v>5</v>
      </c>
      <c r="Q3693">
        <v>9.72115085554384</v>
      </c>
      <c r="R3693">
        <v>8.5</v>
      </c>
      <c r="T3693" s="340" t="str">
        <f t="shared" si="164"/>
        <v>2014AllSexAllEth23Firearms and explosives</v>
      </c>
      <c r="U3693">
        <v>2014</v>
      </c>
      <c r="V3693" t="s">
        <v>17</v>
      </c>
      <c r="W3693" t="s">
        <v>27</v>
      </c>
      <c r="X3693">
        <v>23</v>
      </c>
      <c r="Y3693" t="s">
        <v>42</v>
      </c>
      <c r="Z3693">
        <v>8</v>
      </c>
      <c r="AA3693">
        <v>190</v>
      </c>
      <c r="AB3693">
        <v>4.2</v>
      </c>
    </row>
    <row r="3694" spans="10:28">
      <c r="J3694" s="340" t="str">
        <f t="shared" si="163"/>
        <v>2014AllSexMaori251</v>
      </c>
      <c r="K3694">
        <v>2014</v>
      </c>
      <c r="L3694" t="s">
        <v>17</v>
      </c>
      <c r="M3694" t="s">
        <v>18</v>
      </c>
      <c r="N3694">
        <v>25</v>
      </c>
      <c r="O3694">
        <v>1</v>
      </c>
      <c r="P3694">
        <v>0</v>
      </c>
      <c r="Q3694">
        <v>0</v>
      </c>
      <c r="T3694" s="340" t="str">
        <f t="shared" si="164"/>
        <v>2014AllSexAllEth24Firearms and explosives</v>
      </c>
      <c r="U3694">
        <v>2014</v>
      </c>
      <c r="V3694" t="s">
        <v>17</v>
      </c>
      <c r="W3694" t="s">
        <v>27</v>
      </c>
      <c r="X3694">
        <v>24</v>
      </c>
      <c r="Y3694" t="s">
        <v>42</v>
      </c>
      <c r="Z3694">
        <v>19</v>
      </c>
      <c r="AA3694">
        <v>165</v>
      </c>
      <c r="AB3694">
        <v>11.5</v>
      </c>
    </row>
    <row r="3695" spans="10:28">
      <c r="J3695" s="340" t="str">
        <f t="shared" si="163"/>
        <v>2014AllSexMaori252</v>
      </c>
      <c r="K3695">
        <v>2014</v>
      </c>
      <c r="L3695" t="s">
        <v>17</v>
      </c>
      <c r="M3695" t="s">
        <v>18</v>
      </c>
      <c r="N3695">
        <v>25</v>
      </c>
      <c r="O3695">
        <v>2</v>
      </c>
      <c r="P3695">
        <v>0</v>
      </c>
      <c r="Q3695">
        <v>0</v>
      </c>
      <c r="T3695" s="340" t="str">
        <f t="shared" si="164"/>
        <v>2014AllSexAllEth25Firearms and explosives</v>
      </c>
      <c r="U3695">
        <v>2014</v>
      </c>
      <c r="V3695" t="s">
        <v>17</v>
      </c>
      <c r="W3695" t="s">
        <v>27</v>
      </c>
      <c r="X3695">
        <v>25</v>
      </c>
      <c r="Y3695" t="s">
        <v>42</v>
      </c>
      <c r="Z3695">
        <v>11</v>
      </c>
      <c r="AA3695">
        <v>60</v>
      </c>
      <c r="AB3695">
        <v>18.3</v>
      </c>
    </row>
    <row r="3696" spans="10:28">
      <c r="J3696" s="340" t="str">
        <f t="shared" si="163"/>
        <v>2014AllSexMaori253</v>
      </c>
      <c r="K3696">
        <v>2014</v>
      </c>
      <c r="L3696" t="s">
        <v>17</v>
      </c>
      <c r="M3696" t="s">
        <v>18</v>
      </c>
      <c r="N3696">
        <v>25</v>
      </c>
      <c r="O3696">
        <v>3</v>
      </c>
      <c r="P3696">
        <v>0</v>
      </c>
      <c r="Q3696">
        <v>0</v>
      </c>
      <c r="T3696" s="340" t="str">
        <f t="shared" si="164"/>
        <v>2014AllSexAllEth21Hanging, strangulation and suffocation</v>
      </c>
      <c r="U3696">
        <v>2014</v>
      </c>
      <c r="V3696" t="s">
        <v>17</v>
      </c>
      <c r="W3696" t="s">
        <v>27</v>
      </c>
      <c r="X3696">
        <v>21</v>
      </c>
      <c r="Y3696" t="s">
        <v>43</v>
      </c>
      <c r="Z3696">
        <v>4</v>
      </c>
      <c r="AA3696">
        <v>6</v>
      </c>
      <c r="AB3696">
        <v>66.7</v>
      </c>
    </row>
    <row r="3697" spans="10:28">
      <c r="J3697" s="340" t="str">
        <f t="shared" si="163"/>
        <v>2014AllSexMaori254</v>
      </c>
      <c r="K3697">
        <v>2014</v>
      </c>
      <c r="L3697" t="s">
        <v>17</v>
      </c>
      <c r="M3697" t="s">
        <v>18</v>
      </c>
      <c r="N3697">
        <v>25</v>
      </c>
      <c r="O3697">
        <v>4</v>
      </c>
      <c r="P3697">
        <v>0</v>
      </c>
      <c r="Q3697">
        <v>0</v>
      </c>
      <c r="T3697" s="340" t="str">
        <f t="shared" si="164"/>
        <v>2014AllSexAllEth22Hanging, strangulation and suffocation</v>
      </c>
      <c r="U3697">
        <v>2014</v>
      </c>
      <c r="V3697" t="s">
        <v>17</v>
      </c>
      <c r="W3697" t="s">
        <v>27</v>
      </c>
      <c r="X3697">
        <v>22</v>
      </c>
      <c r="Y3697" t="s">
        <v>43</v>
      </c>
      <c r="Z3697">
        <v>78</v>
      </c>
      <c r="AA3697">
        <v>89</v>
      </c>
      <c r="AB3697">
        <v>87.6</v>
      </c>
    </row>
    <row r="3698" spans="10:28">
      <c r="J3698" s="340" t="str">
        <f t="shared" si="163"/>
        <v>2014AllSexMaori255</v>
      </c>
      <c r="K3698">
        <v>2014</v>
      </c>
      <c r="L3698" t="s">
        <v>17</v>
      </c>
      <c r="M3698" t="s">
        <v>18</v>
      </c>
      <c r="N3698">
        <v>25</v>
      </c>
      <c r="O3698">
        <v>5</v>
      </c>
      <c r="P3698">
        <v>0</v>
      </c>
      <c r="Q3698">
        <v>0</v>
      </c>
      <c r="T3698" s="340" t="str">
        <f t="shared" si="164"/>
        <v>2014AllSexAllEth23Hanging, strangulation and suffocation</v>
      </c>
      <c r="U3698">
        <v>2014</v>
      </c>
      <c r="V3698" t="s">
        <v>17</v>
      </c>
      <c r="W3698" t="s">
        <v>27</v>
      </c>
      <c r="X3698">
        <v>23</v>
      </c>
      <c r="Y3698" t="s">
        <v>43</v>
      </c>
      <c r="Z3698">
        <v>137</v>
      </c>
      <c r="AA3698">
        <v>190</v>
      </c>
      <c r="AB3698">
        <v>72.099999999999994</v>
      </c>
    </row>
    <row r="3699" spans="10:28">
      <c r="J3699" s="340" t="str">
        <f t="shared" si="163"/>
        <v>2014AllSexNon-Maori211</v>
      </c>
      <c r="K3699">
        <v>2014</v>
      </c>
      <c r="L3699" t="s">
        <v>17</v>
      </c>
      <c r="M3699" t="s">
        <v>19</v>
      </c>
      <c r="N3699">
        <v>21</v>
      </c>
      <c r="O3699">
        <v>1</v>
      </c>
      <c r="P3699">
        <v>1</v>
      </c>
      <c r="Q3699">
        <v>0.61711279622778603</v>
      </c>
      <c r="R3699">
        <v>1.2</v>
      </c>
      <c r="T3699" s="340" t="str">
        <f t="shared" si="164"/>
        <v>2014AllSexAllEth24Hanging, strangulation and suffocation</v>
      </c>
      <c r="U3699">
        <v>2014</v>
      </c>
      <c r="V3699" t="s">
        <v>17</v>
      </c>
      <c r="W3699" t="s">
        <v>27</v>
      </c>
      <c r="X3699">
        <v>24</v>
      </c>
      <c r="Y3699" t="s">
        <v>43</v>
      </c>
      <c r="Z3699">
        <v>68</v>
      </c>
      <c r="AA3699">
        <v>165</v>
      </c>
      <c r="AB3699">
        <v>41.2</v>
      </c>
    </row>
    <row r="3700" spans="10:28">
      <c r="J3700" s="340" t="str">
        <f t="shared" si="163"/>
        <v>2014AllSexNon-Maori212</v>
      </c>
      <c r="K3700">
        <v>2014</v>
      </c>
      <c r="L3700" t="s">
        <v>17</v>
      </c>
      <c r="M3700" t="s">
        <v>19</v>
      </c>
      <c r="N3700">
        <v>21</v>
      </c>
      <c r="O3700">
        <v>2</v>
      </c>
      <c r="P3700">
        <v>0</v>
      </c>
      <c r="Q3700">
        <v>0</v>
      </c>
      <c r="T3700" s="340" t="str">
        <f t="shared" si="164"/>
        <v>2014AllSexAllEth25Hanging, strangulation and suffocation</v>
      </c>
      <c r="U3700">
        <v>2014</v>
      </c>
      <c r="V3700" t="s">
        <v>17</v>
      </c>
      <c r="W3700" t="s">
        <v>27</v>
      </c>
      <c r="X3700">
        <v>25</v>
      </c>
      <c r="Y3700" t="s">
        <v>43</v>
      </c>
      <c r="Z3700">
        <v>24</v>
      </c>
      <c r="AA3700">
        <v>60</v>
      </c>
      <c r="AB3700">
        <v>40</v>
      </c>
    </row>
    <row r="3701" spans="10:28">
      <c r="J3701" s="340" t="str">
        <f t="shared" si="163"/>
        <v>2014AllSexNon-Maori213</v>
      </c>
      <c r="K3701">
        <v>2014</v>
      </c>
      <c r="L3701" t="s">
        <v>17</v>
      </c>
      <c r="M3701" t="s">
        <v>19</v>
      </c>
      <c r="N3701">
        <v>21</v>
      </c>
      <c r="O3701">
        <v>3</v>
      </c>
      <c r="P3701">
        <v>1</v>
      </c>
      <c r="Q3701">
        <v>0.76071873294194503</v>
      </c>
      <c r="R3701">
        <v>1.5</v>
      </c>
      <c r="T3701" s="340" t="str">
        <f t="shared" si="164"/>
        <v>2014AllSexAllEth22Jumping from a high place</v>
      </c>
      <c r="U3701">
        <v>2014</v>
      </c>
      <c r="V3701" t="s">
        <v>17</v>
      </c>
      <c r="W3701" t="s">
        <v>27</v>
      </c>
      <c r="X3701">
        <v>22</v>
      </c>
      <c r="Y3701" t="s">
        <v>44</v>
      </c>
      <c r="Z3701">
        <v>1</v>
      </c>
      <c r="AA3701">
        <v>89</v>
      </c>
      <c r="AB3701">
        <v>1.1000000000000001</v>
      </c>
    </row>
    <row r="3702" spans="10:28">
      <c r="J3702" s="340" t="str">
        <f t="shared" si="163"/>
        <v>2014AllSexNon-Maori214</v>
      </c>
      <c r="K3702">
        <v>2014</v>
      </c>
      <c r="L3702" t="s">
        <v>17</v>
      </c>
      <c r="M3702" t="s">
        <v>19</v>
      </c>
      <c r="N3702">
        <v>21</v>
      </c>
      <c r="O3702">
        <v>4</v>
      </c>
      <c r="P3702">
        <v>0</v>
      </c>
      <c r="Q3702">
        <v>0</v>
      </c>
      <c r="T3702" s="340" t="str">
        <f t="shared" si="164"/>
        <v>2014AllSexAllEth23Jumping from a high place</v>
      </c>
      <c r="U3702">
        <v>2014</v>
      </c>
      <c r="V3702" t="s">
        <v>17</v>
      </c>
      <c r="W3702" t="s">
        <v>27</v>
      </c>
      <c r="X3702">
        <v>23</v>
      </c>
      <c r="Y3702" t="s">
        <v>44</v>
      </c>
      <c r="Z3702">
        <v>6</v>
      </c>
      <c r="AA3702">
        <v>190</v>
      </c>
      <c r="AB3702">
        <v>3.2</v>
      </c>
    </row>
    <row r="3703" spans="10:28">
      <c r="J3703" s="340" t="str">
        <f t="shared" si="163"/>
        <v>2014AllSexNon-Maori215</v>
      </c>
      <c r="K3703">
        <v>2014</v>
      </c>
      <c r="L3703" t="s">
        <v>17</v>
      </c>
      <c r="M3703" t="s">
        <v>19</v>
      </c>
      <c r="N3703">
        <v>21</v>
      </c>
      <c r="O3703">
        <v>5</v>
      </c>
      <c r="P3703">
        <v>1</v>
      </c>
      <c r="Q3703">
        <v>0.85056798308321901</v>
      </c>
      <c r="R3703">
        <v>1.7</v>
      </c>
      <c r="T3703" s="340" t="str">
        <f t="shared" si="164"/>
        <v>2014AllSexAllEth24Jumping from a high place</v>
      </c>
      <c r="U3703">
        <v>2014</v>
      </c>
      <c r="V3703" t="s">
        <v>17</v>
      </c>
      <c r="W3703" t="s">
        <v>27</v>
      </c>
      <c r="X3703">
        <v>24</v>
      </c>
      <c r="Y3703" t="s">
        <v>44</v>
      </c>
      <c r="Z3703">
        <v>7</v>
      </c>
      <c r="AA3703">
        <v>165</v>
      </c>
      <c r="AB3703">
        <v>4.2</v>
      </c>
    </row>
    <row r="3704" spans="10:28">
      <c r="J3704" s="340" t="str">
        <f t="shared" si="163"/>
        <v>2014AllSexNon-Maori221</v>
      </c>
      <c r="K3704">
        <v>2014</v>
      </c>
      <c r="L3704" t="s">
        <v>17</v>
      </c>
      <c r="M3704" t="s">
        <v>19</v>
      </c>
      <c r="N3704">
        <v>22</v>
      </c>
      <c r="O3704">
        <v>1</v>
      </c>
      <c r="P3704">
        <v>8</v>
      </c>
      <c r="Q3704">
        <v>7.8245789240116599</v>
      </c>
      <c r="R3704">
        <v>5.4</v>
      </c>
      <c r="T3704" s="340" t="str">
        <f t="shared" si="164"/>
        <v>2014AllSexAllEth25Jumping from a high place</v>
      </c>
      <c r="U3704">
        <v>2014</v>
      </c>
      <c r="V3704" t="s">
        <v>17</v>
      </c>
      <c r="W3704" t="s">
        <v>27</v>
      </c>
      <c r="X3704">
        <v>25</v>
      </c>
      <c r="Y3704" t="s">
        <v>44</v>
      </c>
      <c r="Z3704">
        <v>1</v>
      </c>
      <c r="AA3704">
        <v>60</v>
      </c>
      <c r="AB3704">
        <v>1.7</v>
      </c>
    </row>
    <row r="3705" spans="10:28">
      <c r="J3705" s="340" t="str">
        <f t="shared" si="163"/>
        <v>2014AllSexNon-Maori222</v>
      </c>
      <c r="K3705">
        <v>2014</v>
      </c>
      <c r="L3705" t="s">
        <v>17</v>
      </c>
      <c r="M3705" t="s">
        <v>19</v>
      </c>
      <c r="N3705">
        <v>22</v>
      </c>
      <c r="O3705">
        <v>2</v>
      </c>
      <c r="P3705">
        <v>10</v>
      </c>
      <c r="Q3705">
        <v>9.9746684421475695</v>
      </c>
      <c r="R3705">
        <v>6.2</v>
      </c>
      <c r="T3705" s="340" t="str">
        <f t="shared" si="164"/>
        <v>2014AllSexAllEth21Other</v>
      </c>
      <c r="U3705">
        <v>2014</v>
      </c>
      <c r="V3705" t="s">
        <v>17</v>
      </c>
      <c r="W3705" t="s">
        <v>27</v>
      </c>
      <c r="X3705">
        <v>21</v>
      </c>
      <c r="Y3705" t="s">
        <v>45</v>
      </c>
      <c r="Z3705">
        <v>1</v>
      </c>
      <c r="AA3705">
        <v>6</v>
      </c>
      <c r="AB3705">
        <v>16.7</v>
      </c>
    </row>
    <row r="3706" spans="10:28">
      <c r="J3706" s="340" t="str">
        <f t="shared" si="163"/>
        <v>2014AllSexNon-Maori223</v>
      </c>
      <c r="K3706">
        <v>2014</v>
      </c>
      <c r="L3706" t="s">
        <v>17</v>
      </c>
      <c r="M3706" t="s">
        <v>19</v>
      </c>
      <c r="N3706">
        <v>22</v>
      </c>
      <c r="O3706">
        <v>3</v>
      </c>
      <c r="P3706">
        <v>15</v>
      </c>
      <c r="Q3706">
        <v>14.886984234080099</v>
      </c>
      <c r="R3706">
        <v>7.5</v>
      </c>
      <c r="T3706" s="340" t="str">
        <f t="shared" si="164"/>
        <v>2014AllSexAllEth22Other</v>
      </c>
      <c r="U3706">
        <v>2014</v>
      </c>
      <c r="V3706" t="s">
        <v>17</v>
      </c>
      <c r="W3706" t="s">
        <v>27</v>
      </c>
      <c r="X3706">
        <v>22</v>
      </c>
      <c r="Y3706" t="s">
        <v>45</v>
      </c>
      <c r="Z3706">
        <v>2</v>
      </c>
      <c r="AA3706">
        <v>89</v>
      </c>
      <c r="AB3706">
        <v>2.2000000000000002</v>
      </c>
    </row>
    <row r="3707" spans="10:28">
      <c r="J3707" s="340" t="str">
        <f t="shared" si="163"/>
        <v>2014AllSexNon-Maori224</v>
      </c>
      <c r="K3707">
        <v>2014</v>
      </c>
      <c r="L3707" t="s">
        <v>17</v>
      </c>
      <c r="M3707" t="s">
        <v>19</v>
      </c>
      <c r="N3707">
        <v>22</v>
      </c>
      <c r="O3707">
        <v>4</v>
      </c>
      <c r="P3707">
        <v>12</v>
      </c>
      <c r="Q3707">
        <v>11.2649124144447</v>
      </c>
      <c r="R3707">
        <v>6.4</v>
      </c>
      <c r="T3707" s="340" t="str">
        <f t="shared" si="164"/>
        <v>2014AllSexAllEth23Other</v>
      </c>
      <c r="U3707">
        <v>2014</v>
      </c>
      <c r="V3707" t="s">
        <v>17</v>
      </c>
      <c r="W3707" t="s">
        <v>27</v>
      </c>
      <c r="X3707">
        <v>23</v>
      </c>
      <c r="Y3707" t="s">
        <v>45</v>
      </c>
      <c r="Z3707">
        <v>2</v>
      </c>
      <c r="AA3707">
        <v>190</v>
      </c>
      <c r="AB3707">
        <v>1.1000000000000001</v>
      </c>
    </row>
    <row r="3708" spans="10:28">
      <c r="J3708" s="340" t="str">
        <f t="shared" si="163"/>
        <v>2014AllSexNon-Maori225</v>
      </c>
      <c r="K3708">
        <v>2014</v>
      </c>
      <c r="L3708" t="s">
        <v>17</v>
      </c>
      <c r="M3708" t="s">
        <v>19</v>
      </c>
      <c r="N3708">
        <v>22</v>
      </c>
      <c r="O3708">
        <v>5</v>
      </c>
      <c r="P3708">
        <v>14</v>
      </c>
      <c r="Q3708">
        <v>13.6023599169426</v>
      </c>
      <c r="R3708">
        <v>7.1</v>
      </c>
      <c r="T3708" s="340" t="str">
        <f t="shared" si="164"/>
        <v>2014AllSexAllEth24Other</v>
      </c>
      <c r="U3708">
        <v>2014</v>
      </c>
      <c r="V3708" t="s">
        <v>17</v>
      </c>
      <c r="W3708" t="s">
        <v>27</v>
      </c>
      <c r="X3708">
        <v>24</v>
      </c>
      <c r="Y3708" t="s">
        <v>45</v>
      </c>
      <c r="Z3708">
        <v>9</v>
      </c>
      <c r="AA3708">
        <v>165</v>
      </c>
      <c r="AB3708">
        <v>5.5</v>
      </c>
    </row>
    <row r="3709" spans="10:28">
      <c r="J3709" s="340" t="str">
        <f t="shared" si="163"/>
        <v>2014AllSexNon-Maori231</v>
      </c>
      <c r="K3709">
        <v>2014</v>
      </c>
      <c r="L3709" t="s">
        <v>17</v>
      </c>
      <c r="M3709" t="s">
        <v>19</v>
      </c>
      <c r="N3709">
        <v>23</v>
      </c>
      <c r="O3709">
        <v>1</v>
      </c>
      <c r="P3709">
        <v>15</v>
      </c>
      <c r="Q3709">
        <v>7.3460219795095201</v>
      </c>
      <c r="R3709">
        <v>3.7</v>
      </c>
      <c r="T3709" s="340" t="str">
        <f t="shared" si="164"/>
        <v>2014AllSexAllEth25Other</v>
      </c>
      <c r="U3709">
        <v>2014</v>
      </c>
      <c r="V3709" t="s">
        <v>17</v>
      </c>
      <c r="W3709" t="s">
        <v>27</v>
      </c>
      <c r="X3709">
        <v>25</v>
      </c>
      <c r="Y3709" t="s">
        <v>45</v>
      </c>
      <c r="Z3709">
        <v>1</v>
      </c>
      <c r="AA3709">
        <v>60</v>
      </c>
      <c r="AB3709">
        <v>1.7</v>
      </c>
    </row>
    <row r="3710" spans="10:28">
      <c r="J3710" s="340" t="str">
        <f t="shared" si="163"/>
        <v>2014AllSexNon-Maori232</v>
      </c>
      <c r="K3710">
        <v>2014</v>
      </c>
      <c r="L3710" t="s">
        <v>17</v>
      </c>
      <c r="M3710" t="s">
        <v>19</v>
      </c>
      <c r="N3710">
        <v>23</v>
      </c>
      <c r="O3710">
        <v>2</v>
      </c>
      <c r="P3710">
        <v>23</v>
      </c>
      <c r="Q3710">
        <v>10.604211876392</v>
      </c>
      <c r="R3710">
        <v>4.3</v>
      </c>
      <c r="T3710" s="340" t="str">
        <f t="shared" si="164"/>
        <v>2014AllSexAllEth22Poisoning by gases and vapours</v>
      </c>
      <c r="U3710">
        <v>2014</v>
      </c>
      <c r="V3710" t="s">
        <v>17</v>
      </c>
      <c r="W3710" t="s">
        <v>27</v>
      </c>
      <c r="X3710">
        <v>22</v>
      </c>
      <c r="Y3710" t="s">
        <v>46</v>
      </c>
      <c r="Z3710">
        <v>3</v>
      </c>
      <c r="AA3710">
        <v>89</v>
      </c>
      <c r="AB3710">
        <v>3.4</v>
      </c>
    </row>
    <row r="3711" spans="10:28">
      <c r="J3711" s="340" t="str">
        <f t="shared" si="163"/>
        <v>2014AllSexNon-Maori233</v>
      </c>
      <c r="K3711">
        <v>2014</v>
      </c>
      <c r="L3711" t="s">
        <v>17</v>
      </c>
      <c r="M3711" t="s">
        <v>19</v>
      </c>
      <c r="N3711">
        <v>23</v>
      </c>
      <c r="O3711">
        <v>3</v>
      </c>
      <c r="P3711">
        <v>22</v>
      </c>
      <c r="Q3711">
        <v>10.284624374760201</v>
      </c>
      <c r="R3711">
        <v>4.3</v>
      </c>
      <c r="T3711" s="340" t="str">
        <f t="shared" si="164"/>
        <v>2014AllSexAllEth23Poisoning by gases and vapours</v>
      </c>
      <c r="U3711">
        <v>2014</v>
      </c>
      <c r="V3711" t="s">
        <v>17</v>
      </c>
      <c r="W3711" t="s">
        <v>27</v>
      </c>
      <c r="X3711">
        <v>23</v>
      </c>
      <c r="Y3711" t="s">
        <v>46</v>
      </c>
      <c r="Z3711">
        <v>15</v>
      </c>
      <c r="AA3711">
        <v>190</v>
      </c>
      <c r="AB3711">
        <v>7.9</v>
      </c>
    </row>
    <row r="3712" spans="10:28">
      <c r="J3712" s="340" t="str">
        <f t="shared" si="163"/>
        <v>2014AllSexNon-Maori234</v>
      </c>
      <c r="K3712">
        <v>2014</v>
      </c>
      <c r="L3712" t="s">
        <v>17</v>
      </c>
      <c r="M3712" t="s">
        <v>19</v>
      </c>
      <c r="N3712">
        <v>23</v>
      </c>
      <c r="O3712">
        <v>4</v>
      </c>
      <c r="P3712">
        <v>34</v>
      </c>
      <c r="Q3712">
        <v>17.131395422994402</v>
      </c>
      <c r="R3712">
        <v>5.8</v>
      </c>
      <c r="T3712" s="340" t="str">
        <f t="shared" si="164"/>
        <v>2014AllSexAllEth24Poisoning by gases and vapours</v>
      </c>
      <c r="U3712">
        <v>2014</v>
      </c>
      <c r="V3712" t="s">
        <v>17</v>
      </c>
      <c r="W3712" t="s">
        <v>27</v>
      </c>
      <c r="X3712">
        <v>24</v>
      </c>
      <c r="Y3712" t="s">
        <v>46</v>
      </c>
      <c r="Z3712">
        <v>18</v>
      </c>
      <c r="AA3712">
        <v>165</v>
      </c>
      <c r="AB3712">
        <v>10.9</v>
      </c>
    </row>
    <row r="3713" spans="10:28">
      <c r="J3713" s="340" t="str">
        <f t="shared" si="163"/>
        <v>2014AllSexNon-Maori235</v>
      </c>
      <c r="K3713">
        <v>2014</v>
      </c>
      <c r="L3713" t="s">
        <v>17</v>
      </c>
      <c r="M3713" t="s">
        <v>19</v>
      </c>
      <c r="N3713">
        <v>23</v>
      </c>
      <c r="O3713">
        <v>5</v>
      </c>
      <c r="P3713">
        <v>40</v>
      </c>
      <c r="Q3713">
        <v>24.991356867986799</v>
      </c>
      <c r="R3713">
        <v>7.7</v>
      </c>
      <c r="T3713" s="340" t="str">
        <f t="shared" si="164"/>
        <v>2014AllSexAllEth25Poisoning by gases and vapours</v>
      </c>
      <c r="U3713">
        <v>2014</v>
      </c>
      <c r="V3713" t="s">
        <v>17</v>
      </c>
      <c r="W3713" t="s">
        <v>27</v>
      </c>
      <c r="X3713">
        <v>25</v>
      </c>
      <c r="Y3713" t="s">
        <v>46</v>
      </c>
      <c r="Z3713">
        <v>5</v>
      </c>
      <c r="AA3713">
        <v>60</v>
      </c>
      <c r="AB3713">
        <v>8.3000000000000007</v>
      </c>
    </row>
    <row r="3714" spans="10:28">
      <c r="J3714" s="340" t="str">
        <f t="shared" si="163"/>
        <v>2014AllSexNon-Maori241</v>
      </c>
      <c r="K3714">
        <v>2014</v>
      </c>
      <c r="L3714" t="s">
        <v>17</v>
      </c>
      <c r="M3714" t="s">
        <v>19</v>
      </c>
      <c r="N3714">
        <v>24</v>
      </c>
      <c r="O3714">
        <v>1</v>
      </c>
      <c r="P3714">
        <v>21</v>
      </c>
      <c r="Q3714">
        <v>7.9233198920864698</v>
      </c>
      <c r="R3714">
        <v>3.4</v>
      </c>
      <c r="T3714" s="340" t="str">
        <f t="shared" si="164"/>
        <v>2014AllSexAllEth22Poisoning by solids and liquids</v>
      </c>
      <c r="U3714">
        <v>2014</v>
      </c>
      <c r="V3714" t="s">
        <v>17</v>
      </c>
      <c r="W3714" t="s">
        <v>27</v>
      </c>
      <c r="X3714">
        <v>22</v>
      </c>
      <c r="Y3714" t="s">
        <v>47</v>
      </c>
      <c r="Z3714">
        <v>1</v>
      </c>
      <c r="AA3714">
        <v>89</v>
      </c>
      <c r="AB3714">
        <v>1.1000000000000001</v>
      </c>
    </row>
    <row r="3715" spans="10:28">
      <c r="J3715" s="340" t="str">
        <f t="shared" si="163"/>
        <v>2014AllSexNon-Maori242</v>
      </c>
      <c r="K3715">
        <v>2014</v>
      </c>
      <c r="L3715" t="s">
        <v>17</v>
      </c>
      <c r="M3715" t="s">
        <v>19</v>
      </c>
      <c r="N3715">
        <v>24</v>
      </c>
      <c r="O3715">
        <v>2</v>
      </c>
      <c r="P3715">
        <v>28</v>
      </c>
      <c r="Q3715">
        <v>12.035050452273399</v>
      </c>
      <c r="R3715">
        <v>4.5</v>
      </c>
      <c r="T3715" s="340" t="str">
        <f t="shared" si="164"/>
        <v>2014AllSexAllEth23Poisoning by solids and liquids</v>
      </c>
      <c r="U3715">
        <v>2014</v>
      </c>
      <c r="V3715" t="s">
        <v>17</v>
      </c>
      <c r="W3715" t="s">
        <v>27</v>
      </c>
      <c r="X3715">
        <v>23</v>
      </c>
      <c r="Y3715" t="s">
        <v>47</v>
      </c>
      <c r="Z3715">
        <v>18</v>
      </c>
      <c r="AA3715">
        <v>190</v>
      </c>
      <c r="AB3715">
        <v>9.5</v>
      </c>
    </row>
    <row r="3716" spans="10:28">
      <c r="J3716" s="340" t="str">
        <f t="shared" ref="J3716:J3779" si="165">K3716&amp;L3716&amp;M3716&amp;N3716&amp;O3716</f>
        <v>2014AllSexNon-Maori243</v>
      </c>
      <c r="K3716">
        <v>2014</v>
      </c>
      <c r="L3716" t="s">
        <v>17</v>
      </c>
      <c r="M3716" t="s">
        <v>19</v>
      </c>
      <c r="N3716">
        <v>24</v>
      </c>
      <c r="O3716">
        <v>3</v>
      </c>
      <c r="P3716">
        <v>26</v>
      </c>
      <c r="Q3716">
        <v>12.726526212803799</v>
      </c>
      <c r="R3716">
        <v>4.9000000000000004</v>
      </c>
      <c r="T3716" s="340" t="str">
        <f t="shared" si="164"/>
        <v>2014AllSexAllEth24Poisoning by solids and liquids</v>
      </c>
      <c r="U3716">
        <v>2014</v>
      </c>
      <c r="V3716" t="s">
        <v>17</v>
      </c>
      <c r="W3716" t="s">
        <v>27</v>
      </c>
      <c r="X3716">
        <v>24</v>
      </c>
      <c r="Y3716" t="s">
        <v>47</v>
      </c>
      <c r="Z3716">
        <v>33</v>
      </c>
      <c r="AA3716">
        <v>165</v>
      </c>
      <c r="AB3716">
        <v>20</v>
      </c>
    </row>
    <row r="3717" spans="10:28">
      <c r="J3717" s="340" t="str">
        <f t="shared" si="165"/>
        <v>2014AllSexNon-Maori244</v>
      </c>
      <c r="K3717">
        <v>2014</v>
      </c>
      <c r="L3717" t="s">
        <v>17</v>
      </c>
      <c r="M3717" t="s">
        <v>19</v>
      </c>
      <c r="N3717">
        <v>24</v>
      </c>
      <c r="O3717">
        <v>4</v>
      </c>
      <c r="P3717">
        <v>38</v>
      </c>
      <c r="Q3717">
        <v>21.6052509158453</v>
      </c>
      <c r="R3717">
        <v>6.9</v>
      </c>
      <c r="T3717" s="340" t="str">
        <f t="shared" ref="T3717:T3780" si="166">U3717&amp;V3717&amp;W3717&amp;X3717&amp;Y3717</f>
        <v>2014AllSexAllEth25Poisoning by solids and liquids</v>
      </c>
      <c r="U3717">
        <v>2014</v>
      </c>
      <c r="V3717" t="s">
        <v>17</v>
      </c>
      <c r="W3717" t="s">
        <v>27</v>
      </c>
      <c r="X3717">
        <v>25</v>
      </c>
      <c r="Y3717" t="s">
        <v>47</v>
      </c>
      <c r="Z3717">
        <v>15</v>
      </c>
      <c r="AA3717">
        <v>60</v>
      </c>
      <c r="AB3717">
        <v>25</v>
      </c>
    </row>
    <row r="3718" spans="10:28">
      <c r="J3718" s="340" t="str">
        <f t="shared" si="165"/>
        <v>2014AllSexNon-Maori245</v>
      </c>
      <c r="K3718">
        <v>2014</v>
      </c>
      <c r="L3718" t="s">
        <v>17</v>
      </c>
      <c r="M3718" t="s">
        <v>19</v>
      </c>
      <c r="N3718">
        <v>24</v>
      </c>
      <c r="O3718">
        <v>5</v>
      </c>
      <c r="P3718">
        <v>33</v>
      </c>
      <c r="Q3718">
        <v>23.8319013037434</v>
      </c>
      <c r="R3718">
        <v>8.1</v>
      </c>
      <c r="T3718" s="340" t="str">
        <f t="shared" si="166"/>
        <v>2014AllSexAllEth22Sharp object</v>
      </c>
      <c r="U3718">
        <v>2014</v>
      </c>
      <c r="V3718" t="s">
        <v>17</v>
      </c>
      <c r="W3718" t="s">
        <v>27</v>
      </c>
      <c r="X3718">
        <v>22</v>
      </c>
      <c r="Y3718" t="s">
        <v>48</v>
      </c>
      <c r="Z3718">
        <v>1</v>
      </c>
      <c r="AA3718">
        <v>89</v>
      </c>
      <c r="AB3718">
        <v>1.1000000000000001</v>
      </c>
    </row>
    <row r="3719" spans="10:28">
      <c r="J3719" s="340" t="str">
        <f t="shared" si="165"/>
        <v>2014AllSexNon-Maori251</v>
      </c>
      <c r="K3719">
        <v>2014</v>
      </c>
      <c r="L3719" t="s">
        <v>17</v>
      </c>
      <c r="M3719" t="s">
        <v>19</v>
      </c>
      <c r="N3719">
        <v>25</v>
      </c>
      <c r="O3719">
        <v>1</v>
      </c>
      <c r="P3719">
        <v>10</v>
      </c>
      <c r="Q3719">
        <v>7.6507182249518602</v>
      </c>
      <c r="R3719">
        <v>4.7</v>
      </c>
      <c r="T3719" s="340" t="str">
        <f t="shared" si="166"/>
        <v>2014AllSexAllEth23Sharp object</v>
      </c>
      <c r="U3719">
        <v>2014</v>
      </c>
      <c r="V3719" t="s">
        <v>17</v>
      </c>
      <c r="W3719" t="s">
        <v>27</v>
      </c>
      <c r="X3719">
        <v>23</v>
      </c>
      <c r="Y3719" t="s">
        <v>48</v>
      </c>
      <c r="Z3719">
        <v>3</v>
      </c>
      <c r="AA3719">
        <v>190</v>
      </c>
      <c r="AB3719">
        <v>1.6</v>
      </c>
    </row>
    <row r="3720" spans="10:28">
      <c r="J3720" s="340" t="str">
        <f t="shared" si="165"/>
        <v>2014AllSexNon-Maori252</v>
      </c>
      <c r="K3720">
        <v>2014</v>
      </c>
      <c r="L3720" t="s">
        <v>17</v>
      </c>
      <c r="M3720" t="s">
        <v>19</v>
      </c>
      <c r="N3720">
        <v>25</v>
      </c>
      <c r="O3720">
        <v>2</v>
      </c>
      <c r="P3720">
        <v>7</v>
      </c>
      <c r="Q3720">
        <v>5.3574976391119904</v>
      </c>
      <c r="R3720">
        <v>4</v>
      </c>
      <c r="T3720" s="340" t="str">
        <f t="shared" si="166"/>
        <v>2014AllSexAllEth24Sharp object</v>
      </c>
      <c r="U3720">
        <v>2014</v>
      </c>
      <c r="V3720" t="s">
        <v>17</v>
      </c>
      <c r="W3720" t="s">
        <v>27</v>
      </c>
      <c r="X3720">
        <v>24</v>
      </c>
      <c r="Y3720" t="s">
        <v>48</v>
      </c>
      <c r="Z3720">
        <v>5</v>
      </c>
      <c r="AA3720">
        <v>165</v>
      </c>
      <c r="AB3720">
        <v>3</v>
      </c>
    </row>
    <row r="3721" spans="10:28">
      <c r="J3721" s="340" t="str">
        <f t="shared" si="165"/>
        <v>2014AllSexNon-Maori253</v>
      </c>
      <c r="K3721">
        <v>2014</v>
      </c>
      <c r="L3721" t="s">
        <v>17</v>
      </c>
      <c r="M3721" t="s">
        <v>19</v>
      </c>
      <c r="N3721">
        <v>25</v>
      </c>
      <c r="O3721">
        <v>3</v>
      </c>
      <c r="P3721">
        <v>12</v>
      </c>
      <c r="Q3721">
        <v>9.4436784620476999</v>
      </c>
      <c r="R3721">
        <v>5.3</v>
      </c>
      <c r="T3721" s="340" t="str">
        <f t="shared" si="166"/>
        <v>2014AllSexAllEth25Sharp object</v>
      </c>
      <c r="U3721">
        <v>2014</v>
      </c>
      <c r="V3721" t="s">
        <v>17</v>
      </c>
      <c r="W3721" t="s">
        <v>27</v>
      </c>
      <c r="X3721">
        <v>25</v>
      </c>
      <c r="Y3721" t="s">
        <v>48</v>
      </c>
      <c r="Z3721">
        <v>1</v>
      </c>
      <c r="AA3721">
        <v>60</v>
      </c>
      <c r="AB3721">
        <v>1.7</v>
      </c>
    </row>
    <row r="3722" spans="10:28">
      <c r="J3722" s="340" t="str">
        <f t="shared" si="165"/>
        <v>2014AllSexNon-Maori254</v>
      </c>
      <c r="K3722">
        <v>2014</v>
      </c>
      <c r="L3722" t="s">
        <v>17</v>
      </c>
      <c r="M3722" t="s">
        <v>19</v>
      </c>
      <c r="N3722">
        <v>25</v>
      </c>
      <c r="O3722">
        <v>4</v>
      </c>
      <c r="P3722">
        <v>17</v>
      </c>
      <c r="Q3722">
        <v>13.5728935953211</v>
      </c>
      <c r="R3722">
        <v>6.5</v>
      </c>
      <c r="T3722" s="340" t="str">
        <f t="shared" si="166"/>
        <v>2014AllSexAllEth22Submersion (drowning)</v>
      </c>
      <c r="U3722">
        <v>2014</v>
      </c>
      <c r="V3722" t="s">
        <v>17</v>
      </c>
      <c r="W3722" t="s">
        <v>27</v>
      </c>
      <c r="X3722">
        <v>22</v>
      </c>
      <c r="Y3722" t="s">
        <v>49</v>
      </c>
      <c r="Z3722">
        <v>1</v>
      </c>
      <c r="AA3722">
        <v>89</v>
      </c>
      <c r="AB3722">
        <v>1.1000000000000001</v>
      </c>
    </row>
    <row r="3723" spans="10:28">
      <c r="J3723" s="340" t="str">
        <f t="shared" si="165"/>
        <v>2014AllSexNon-Maori255</v>
      </c>
      <c r="K3723">
        <v>2014</v>
      </c>
      <c r="L3723" t="s">
        <v>17</v>
      </c>
      <c r="M3723" t="s">
        <v>19</v>
      </c>
      <c r="N3723">
        <v>25</v>
      </c>
      <c r="O3723">
        <v>5</v>
      </c>
      <c r="P3723">
        <v>13</v>
      </c>
      <c r="Q3723">
        <v>13.9988707967208</v>
      </c>
      <c r="R3723">
        <v>7.6</v>
      </c>
      <c r="T3723" s="340" t="str">
        <f t="shared" si="166"/>
        <v>2014AllSexAllEth23Submersion (drowning)</v>
      </c>
      <c r="U3723">
        <v>2014</v>
      </c>
      <c r="V3723" t="s">
        <v>17</v>
      </c>
      <c r="W3723" t="s">
        <v>27</v>
      </c>
      <c r="X3723">
        <v>23</v>
      </c>
      <c r="Y3723" t="s">
        <v>49</v>
      </c>
      <c r="Z3723">
        <v>1</v>
      </c>
      <c r="AA3723">
        <v>190</v>
      </c>
      <c r="AB3723">
        <v>0.5</v>
      </c>
    </row>
    <row r="3724" spans="10:28">
      <c r="J3724" s="340" t="str">
        <f t="shared" si="165"/>
        <v>2014FemaleAllEth211</v>
      </c>
      <c r="K3724">
        <v>2014</v>
      </c>
      <c r="L3724" t="s">
        <v>8</v>
      </c>
      <c r="M3724" t="s">
        <v>27</v>
      </c>
      <c r="N3724">
        <v>21</v>
      </c>
      <c r="O3724">
        <v>1</v>
      </c>
      <c r="P3724">
        <v>1</v>
      </c>
      <c r="Q3724">
        <v>1.1140731606183001</v>
      </c>
      <c r="R3724">
        <v>2.2000000000000002</v>
      </c>
      <c r="T3724" s="340" t="str">
        <f t="shared" si="166"/>
        <v>2014AllSexAllEth24Submersion (drowning)</v>
      </c>
      <c r="U3724">
        <v>2014</v>
      </c>
      <c r="V3724" t="s">
        <v>17</v>
      </c>
      <c r="W3724" t="s">
        <v>27</v>
      </c>
      <c r="X3724">
        <v>24</v>
      </c>
      <c r="Y3724" t="s">
        <v>49</v>
      </c>
      <c r="Z3724">
        <v>6</v>
      </c>
      <c r="AA3724">
        <v>165</v>
      </c>
      <c r="AB3724">
        <v>3.6</v>
      </c>
    </row>
    <row r="3725" spans="10:28">
      <c r="J3725" s="340" t="str">
        <f t="shared" si="165"/>
        <v>2014FemaleAllEth212</v>
      </c>
      <c r="K3725">
        <v>2014</v>
      </c>
      <c r="L3725" t="s">
        <v>8</v>
      </c>
      <c r="M3725" t="s">
        <v>27</v>
      </c>
      <c r="N3725">
        <v>21</v>
      </c>
      <c r="O3725">
        <v>2</v>
      </c>
      <c r="P3725">
        <v>0</v>
      </c>
      <c r="Q3725">
        <v>0</v>
      </c>
      <c r="T3725" s="340" t="str">
        <f t="shared" si="166"/>
        <v>2014AllSexAllEth25Submersion (drowning)</v>
      </c>
      <c r="U3725">
        <v>2014</v>
      </c>
      <c r="V3725" t="s">
        <v>17</v>
      </c>
      <c r="W3725" t="s">
        <v>27</v>
      </c>
      <c r="X3725">
        <v>25</v>
      </c>
      <c r="Y3725" t="s">
        <v>49</v>
      </c>
      <c r="Z3725">
        <v>2</v>
      </c>
      <c r="AA3725">
        <v>60</v>
      </c>
      <c r="AB3725">
        <v>3.3</v>
      </c>
    </row>
    <row r="3726" spans="10:28">
      <c r="J3726" s="340" t="str">
        <f t="shared" si="165"/>
        <v>2014FemaleAllEth213</v>
      </c>
      <c r="K3726">
        <v>2014</v>
      </c>
      <c r="L3726" t="s">
        <v>8</v>
      </c>
      <c r="M3726" t="s">
        <v>27</v>
      </c>
      <c r="N3726">
        <v>21</v>
      </c>
      <c r="O3726">
        <v>3</v>
      </c>
      <c r="P3726">
        <v>1</v>
      </c>
      <c r="Q3726">
        <v>1.2053528862740299</v>
      </c>
      <c r="R3726">
        <v>2.4</v>
      </c>
      <c r="T3726" s="340" t="str">
        <f t="shared" si="166"/>
        <v>2014AllSexMaori24Firearms and explosives</v>
      </c>
      <c r="U3726">
        <v>2014</v>
      </c>
      <c r="V3726" t="s">
        <v>17</v>
      </c>
      <c r="W3726" t="s">
        <v>18</v>
      </c>
      <c r="X3726">
        <v>24</v>
      </c>
      <c r="Y3726" t="s">
        <v>42</v>
      </c>
      <c r="Z3726">
        <v>1</v>
      </c>
      <c r="AA3726">
        <v>11</v>
      </c>
      <c r="AB3726">
        <v>9.1</v>
      </c>
    </row>
    <row r="3727" spans="10:28">
      <c r="J3727" s="340" t="str">
        <f t="shared" si="165"/>
        <v>2014FemaleAllEth214</v>
      </c>
      <c r="K3727">
        <v>2014</v>
      </c>
      <c r="L3727" t="s">
        <v>8</v>
      </c>
      <c r="M3727" t="s">
        <v>27</v>
      </c>
      <c r="N3727">
        <v>21</v>
      </c>
      <c r="O3727">
        <v>4</v>
      </c>
      <c r="P3727">
        <v>0</v>
      </c>
      <c r="Q3727">
        <v>0</v>
      </c>
      <c r="T3727" s="340" t="str">
        <f t="shared" si="166"/>
        <v>2014AllSexMaori21Hanging, strangulation and suffocation</v>
      </c>
      <c r="U3727">
        <v>2014</v>
      </c>
      <c r="V3727" t="s">
        <v>17</v>
      </c>
      <c r="W3727" t="s">
        <v>18</v>
      </c>
      <c r="X3727">
        <v>21</v>
      </c>
      <c r="Y3727" t="s">
        <v>43</v>
      </c>
      <c r="Z3727">
        <v>3</v>
      </c>
      <c r="AA3727">
        <v>3</v>
      </c>
      <c r="AB3727">
        <v>100</v>
      </c>
    </row>
    <row r="3728" spans="10:28">
      <c r="J3728" s="340" t="str">
        <f t="shared" si="165"/>
        <v>2014FemaleAllEth215</v>
      </c>
      <c r="K3728">
        <v>2014</v>
      </c>
      <c r="L3728" t="s">
        <v>8</v>
      </c>
      <c r="M3728" t="s">
        <v>27</v>
      </c>
      <c r="N3728">
        <v>21</v>
      </c>
      <c r="O3728">
        <v>5</v>
      </c>
      <c r="P3728">
        <v>1</v>
      </c>
      <c r="Q3728">
        <v>0.95618103855185399</v>
      </c>
      <c r="R3728">
        <v>1.9</v>
      </c>
      <c r="T3728" s="340" t="str">
        <f t="shared" si="166"/>
        <v>2014AllSexMaori22Hanging, strangulation and suffocation</v>
      </c>
      <c r="U3728">
        <v>2014</v>
      </c>
      <c r="V3728" t="s">
        <v>17</v>
      </c>
      <c r="W3728" t="s">
        <v>18</v>
      </c>
      <c r="X3728">
        <v>22</v>
      </c>
      <c r="Y3728" t="s">
        <v>43</v>
      </c>
      <c r="Z3728">
        <v>26</v>
      </c>
      <c r="AA3728">
        <v>28</v>
      </c>
      <c r="AB3728">
        <v>92.9</v>
      </c>
    </row>
    <row r="3729" spans="10:28">
      <c r="J3729" s="340" t="str">
        <f t="shared" si="165"/>
        <v>2014FemaleAllEth221</v>
      </c>
      <c r="K3729">
        <v>2014</v>
      </c>
      <c r="L3729" t="s">
        <v>8</v>
      </c>
      <c r="M3729" t="s">
        <v>27</v>
      </c>
      <c r="N3729">
        <v>22</v>
      </c>
      <c r="O3729">
        <v>1</v>
      </c>
      <c r="P3729">
        <v>2</v>
      </c>
      <c r="Q3729">
        <v>3.7147613509744</v>
      </c>
      <c r="R3729">
        <v>5.0999999999999996</v>
      </c>
      <c r="T3729" s="340" t="str">
        <f t="shared" si="166"/>
        <v>2014AllSexMaori23Hanging, strangulation and suffocation</v>
      </c>
      <c r="U3729">
        <v>2014</v>
      </c>
      <c r="V3729" t="s">
        <v>17</v>
      </c>
      <c r="W3729" t="s">
        <v>18</v>
      </c>
      <c r="X3729">
        <v>23</v>
      </c>
      <c r="Y3729" t="s">
        <v>43</v>
      </c>
      <c r="Z3729">
        <v>44</v>
      </c>
      <c r="AA3729">
        <v>51</v>
      </c>
      <c r="AB3729">
        <v>86.3</v>
      </c>
    </row>
    <row r="3730" spans="10:28">
      <c r="J3730" s="340" t="str">
        <f t="shared" si="165"/>
        <v>2014FemaleAllEth222</v>
      </c>
      <c r="K3730">
        <v>2014</v>
      </c>
      <c r="L3730" t="s">
        <v>8</v>
      </c>
      <c r="M3730" t="s">
        <v>27</v>
      </c>
      <c r="N3730">
        <v>22</v>
      </c>
      <c r="O3730">
        <v>2</v>
      </c>
      <c r="P3730">
        <v>3</v>
      </c>
      <c r="Q3730">
        <v>5.4925382952640298</v>
      </c>
      <c r="R3730">
        <v>6.2</v>
      </c>
      <c r="T3730" s="340" t="str">
        <f t="shared" si="166"/>
        <v>2014AllSexMaori24Hanging, strangulation and suffocation</v>
      </c>
      <c r="U3730">
        <v>2014</v>
      </c>
      <c r="V3730" t="s">
        <v>17</v>
      </c>
      <c r="W3730" t="s">
        <v>18</v>
      </c>
      <c r="X3730">
        <v>24</v>
      </c>
      <c r="Y3730" t="s">
        <v>43</v>
      </c>
      <c r="Z3730">
        <v>5</v>
      </c>
      <c r="AA3730">
        <v>11</v>
      </c>
      <c r="AB3730">
        <v>45.5</v>
      </c>
    </row>
    <row r="3731" spans="10:28">
      <c r="J3731" s="340" t="str">
        <f t="shared" si="165"/>
        <v>2014FemaleAllEth223</v>
      </c>
      <c r="K3731">
        <v>2014</v>
      </c>
      <c r="L3731" t="s">
        <v>8</v>
      </c>
      <c r="M3731" t="s">
        <v>27</v>
      </c>
      <c r="N3731">
        <v>22</v>
      </c>
      <c r="O3731">
        <v>3</v>
      </c>
      <c r="P3731">
        <v>6</v>
      </c>
      <c r="Q3731">
        <v>10.2891779298957</v>
      </c>
      <c r="R3731">
        <v>8.1999999999999993</v>
      </c>
      <c r="T3731" s="340" t="str">
        <f t="shared" si="166"/>
        <v>2014AllSexMaori24Jumping from a high place</v>
      </c>
      <c r="U3731">
        <v>2014</v>
      </c>
      <c r="V3731" t="s">
        <v>17</v>
      </c>
      <c r="W3731" t="s">
        <v>18</v>
      </c>
      <c r="X3731">
        <v>24</v>
      </c>
      <c r="Y3731" t="s">
        <v>44</v>
      </c>
      <c r="Z3731">
        <v>1</v>
      </c>
      <c r="AA3731">
        <v>11</v>
      </c>
      <c r="AB3731">
        <v>9.1</v>
      </c>
    </row>
    <row r="3732" spans="10:28">
      <c r="J3732" s="340" t="str">
        <f t="shared" si="165"/>
        <v>2014FemaleAllEth224</v>
      </c>
      <c r="K3732">
        <v>2014</v>
      </c>
      <c r="L3732" t="s">
        <v>8</v>
      </c>
      <c r="M3732" t="s">
        <v>27</v>
      </c>
      <c r="N3732">
        <v>22</v>
      </c>
      <c r="O3732">
        <v>4</v>
      </c>
      <c r="P3732">
        <v>2</v>
      </c>
      <c r="Q3732">
        <v>2.98228004279088</v>
      </c>
      <c r="R3732">
        <v>4.0999999999999996</v>
      </c>
      <c r="T3732" s="340" t="str">
        <f t="shared" si="166"/>
        <v>2014AllSexMaori22Other</v>
      </c>
      <c r="U3732">
        <v>2014</v>
      </c>
      <c r="V3732" t="s">
        <v>17</v>
      </c>
      <c r="W3732" t="s">
        <v>18</v>
      </c>
      <c r="X3732">
        <v>22</v>
      </c>
      <c r="Y3732" t="s">
        <v>45</v>
      </c>
      <c r="Z3732">
        <v>1</v>
      </c>
      <c r="AA3732">
        <v>28</v>
      </c>
      <c r="AB3732">
        <v>3.6</v>
      </c>
    </row>
    <row r="3733" spans="10:28">
      <c r="J3733" s="340" t="str">
        <f t="shared" si="165"/>
        <v>2014FemaleAllEth225</v>
      </c>
      <c r="K3733">
        <v>2014</v>
      </c>
      <c r="L3733" t="s">
        <v>8</v>
      </c>
      <c r="M3733" t="s">
        <v>27</v>
      </c>
      <c r="N3733">
        <v>22</v>
      </c>
      <c r="O3733">
        <v>5</v>
      </c>
      <c r="P3733">
        <v>8</v>
      </c>
      <c r="Q3733">
        <v>10.3060284693447</v>
      </c>
      <c r="R3733">
        <v>7.1</v>
      </c>
      <c r="T3733" s="340" t="str">
        <f t="shared" si="166"/>
        <v>2014AllSexMaori24Other</v>
      </c>
      <c r="U3733">
        <v>2014</v>
      </c>
      <c r="V3733" t="s">
        <v>17</v>
      </c>
      <c r="W3733" t="s">
        <v>18</v>
      </c>
      <c r="X3733">
        <v>24</v>
      </c>
      <c r="Y3733" t="s">
        <v>45</v>
      </c>
      <c r="Z3733">
        <v>2</v>
      </c>
      <c r="AA3733">
        <v>11</v>
      </c>
      <c r="AB3733">
        <v>18.2</v>
      </c>
    </row>
    <row r="3734" spans="10:28">
      <c r="J3734" s="340" t="str">
        <f t="shared" si="165"/>
        <v>2014FemaleAllEth231</v>
      </c>
      <c r="K3734">
        <v>2014</v>
      </c>
      <c r="L3734" t="s">
        <v>8</v>
      </c>
      <c r="M3734" t="s">
        <v>27</v>
      </c>
      <c r="N3734">
        <v>23</v>
      </c>
      <c r="O3734">
        <v>1</v>
      </c>
      <c r="P3734">
        <v>4</v>
      </c>
      <c r="Q3734">
        <v>3.4816604913677902</v>
      </c>
      <c r="R3734">
        <v>3.4</v>
      </c>
      <c r="T3734" s="340" t="str">
        <f t="shared" si="166"/>
        <v>2014AllSexMaori23Poisoning by gases and vapours</v>
      </c>
      <c r="U3734">
        <v>2014</v>
      </c>
      <c r="V3734" t="s">
        <v>17</v>
      </c>
      <c r="W3734" t="s">
        <v>18</v>
      </c>
      <c r="X3734">
        <v>23</v>
      </c>
      <c r="Y3734" t="s">
        <v>46</v>
      </c>
      <c r="Z3734">
        <v>2</v>
      </c>
      <c r="AA3734">
        <v>51</v>
      </c>
      <c r="AB3734">
        <v>3.9</v>
      </c>
    </row>
    <row r="3735" spans="10:28">
      <c r="J3735" s="340" t="str">
        <f t="shared" si="165"/>
        <v>2014FemaleAllEth232</v>
      </c>
      <c r="K3735">
        <v>2014</v>
      </c>
      <c r="L3735" t="s">
        <v>8</v>
      </c>
      <c r="M3735" t="s">
        <v>27</v>
      </c>
      <c r="N3735">
        <v>23</v>
      </c>
      <c r="O3735">
        <v>2</v>
      </c>
      <c r="P3735">
        <v>7</v>
      </c>
      <c r="Q3735">
        <v>5.7008381652631099</v>
      </c>
      <c r="R3735">
        <v>4.2</v>
      </c>
      <c r="T3735" s="340" t="str">
        <f t="shared" si="166"/>
        <v>2014AllSexMaori22Poisoning by solids and liquids</v>
      </c>
      <c r="U3735">
        <v>2014</v>
      </c>
      <c r="V3735" t="s">
        <v>17</v>
      </c>
      <c r="W3735" t="s">
        <v>18</v>
      </c>
      <c r="X3735">
        <v>22</v>
      </c>
      <c r="Y3735" t="s">
        <v>47</v>
      </c>
      <c r="Z3735">
        <v>1</v>
      </c>
      <c r="AA3735">
        <v>28</v>
      </c>
      <c r="AB3735">
        <v>3.6</v>
      </c>
    </row>
    <row r="3736" spans="10:28">
      <c r="J3736" s="340" t="str">
        <f t="shared" si="165"/>
        <v>2014FemaleAllEth233</v>
      </c>
      <c r="K3736">
        <v>2014</v>
      </c>
      <c r="L3736" t="s">
        <v>8</v>
      </c>
      <c r="M3736" t="s">
        <v>27</v>
      </c>
      <c r="N3736">
        <v>23</v>
      </c>
      <c r="O3736">
        <v>3</v>
      </c>
      <c r="P3736">
        <v>6</v>
      </c>
      <c r="Q3736">
        <v>4.8455240141953899</v>
      </c>
      <c r="R3736">
        <v>3.9</v>
      </c>
      <c r="T3736" s="340" t="str">
        <f t="shared" si="166"/>
        <v>2014AllSexMaori23Poisoning by solids and liquids</v>
      </c>
      <c r="U3736">
        <v>2014</v>
      </c>
      <c r="V3736" t="s">
        <v>17</v>
      </c>
      <c r="W3736" t="s">
        <v>18</v>
      </c>
      <c r="X3736">
        <v>23</v>
      </c>
      <c r="Y3736" t="s">
        <v>47</v>
      </c>
      <c r="Z3736">
        <v>5</v>
      </c>
      <c r="AA3736">
        <v>51</v>
      </c>
      <c r="AB3736">
        <v>9.8000000000000007</v>
      </c>
    </row>
    <row r="3737" spans="10:28">
      <c r="J3737" s="340" t="str">
        <f t="shared" si="165"/>
        <v>2014FemaleAllEth234</v>
      </c>
      <c r="K3737">
        <v>2014</v>
      </c>
      <c r="L3737" t="s">
        <v>8</v>
      </c>
      <c r="M3737" t="s">
        <v>27</v>
      </c>
      <c r="N3737">
        <v>23</v>
      </c>
      <c r="O3737">
        <v>4</v>
      </c>
      <c r="P3737">
        <v>14</v>
      </c>
      <c r="Q3737">
        <v>11.5617459993138</v>
      </c>
      <c r="R3737">
        <v>6.1</v>
      </c>
      <c r="T3737" s="340" t="str">
        <f t="shared" si="166"/>
        <v>2014AllSexMaori24Poisoning by solids and liquids</v>
      </c>
      <c r="U3737">
        <v>2014</v>
      </c>
      <c r="V3737" t="s">
        <v>17</v>
      </c>
      <c r="W3737" t="s">
        <v>18</v>
      </c>
      <c r="X3737">
        <v>24</v>
      </c>
      <c r="Y3737" t="s">
        <v>47</v>
      </c>
      <c r="Z3737">
        <v>1</v>
      </c>
      <c r="AA3737">
        <v>11</v>
      </c>
      <c r="AB3737">
        <v>9.1</v>
      </c>
    </row>
    <row r="3738" spans="10:28">
      <c r="J3738" s="340" t="str">
        <f t="shared" si="165"/>
        <v>2014FemaleAllEth235</v>
      </c>
      <c r="K3738">
        <v>2014</v>
      </c>
      <c r="L3738" t="s">
        <v>8</v>
      </c>
      <c r="M3738" t="s">
        <v>27</v>
      </c>
      <c r="N3738">
        <v>23</v>
      </c>
      <c r="O3738">
        <v>5</v>
      </c>
      <c r="P3738">
        <v>17</v>
      </c>
      <c r="Q3738">
        <v>14.4929482629096</v>
      </c>
      <c r="R3738">
        <v>6.9</v>
      </c>
      <c r="T3738" s="340" t="str">
        <f t="shared" si="166"/>
        <v>2014AllSexMaori24Submersion (drowning)</v>
      </c>
      <c r="U3738">
        <v>2014</v>
      </c>
      <c r="V3738" t="s">
        <v>17</v>
      </c>
      <c r="W3738" t="s">
        <v>18</v>
      </c>
      <c r="X3738">
        <v>24</v>
      </c>
      <c r="Y3738" t="s">
        <v>49</v>
      </c>
      <c r="Z3738">
        <v>1</v>
      </c>
      <c r="AA3738">
        <v>11</v>
      </c>
      <c r="AB3738">
        <v>9.1</v>
      </c>
    </row>
    <row r="3739" spans="10:28">
      <c r="J3739" s="340" t="str">
        <f t="shared" si="165"/>
        <v>2014FemaleAllEth241</v>
      </c>
      <c r="K3739">
        <v>2014</v>
      </c>
      <c r="L3739" t="s">
        <v>8</v>
      </c>
      <c r="M3739" t="s">
        <v>27</v>
      </c>
      <c r="N3739">
        <v>24</v>
      </c>
      <c r="O3739">
        <v>1</v>
      </c>
      <c r="P3739">
        <v>5</v>
      </c>
      <c r="Q3739">
        <v>3.4839167931281301</v>
      </c>
      <c r="R3739">
        <v>3.1</v>
      </c>
      <c r="T3739" s="340" t="str">
        <f t="shared" si="166"/>
        <v>2014AllSexNon-Maori21Firearms and explosives</v>
      </c>
      <c r="U3739">
        <v>2014</v>
      </c>
      <c r="V3739" t="s">
        <v>17</v>
      </c>
      <c r="W3739" t="s">
        <v>19</v>
      </c>
      <c r="X3739">
        <v>21</v>
      </c>
      <c r="Y3739" t="s">
        <v>42</v>
      </c>
      <c r="Z3739">
        <v>1</v>
      </c>
      <c r="AA3739">
        <v>3</v>
      </c>
      <c r="AB3739">
        <v>33.299999999999997</v>
      </c>
    </row>
    <row r="3740" spans="10:28">
      <c r="J3740" s="340" t="str">
        <f t="shared" si="165"/>
        <v>2014FemaleAllEth242</v>
      </c>
      <c r="K3740">
        <v>2014</v>
      </c>
      <c r="L3740" t="s">
        <v>8</v>
      </c>
      <c r="M3740" t="s">
        <v>27</v>
      </c>
      <c r="N3740">
        <v>24</v>
      </c>
      <c r="O3740">
        <v>2</v>
      </c>
      <c r="P3740">
        <v>11</v>
      </c>
      <c r="Q3740">
        <v>8.5270495140303506</v>
      </c>
      <c r="R3740">
        <v>5</v>
      </c>
      <c r="T3740" s="340" t="str">
        <f t="shared" si="166"/>
        <v>2014AllSexNon-Maori22Firearms and explosives</v>
      </c>
      <c r="U3740">
        <v>2014</v>
      </c>
      <c r="V3740" t="s">
        <v>17</v>
      </c>
      <c r="W3740" t="s">
        <v>19</v>
      </c>
      <c r="X3740">
        <v>22</v>
      </c>
      <c r="Y3740" t="s">
        <v>42</v>
      </c>
      <c r="Z3740">
        <v>2</v>
      </c>
      <c r="AA3740">
        <v>61</v>
      </c>
      <c r="AB3740">
        <v>3.3</v>
      </c>
    </row>
    <row r="3741" spans="10:28">
      <c r="J3741" s="340" t="str">
        <f t="shared" si="165"/>
        <v>2014FemaleAllEth243</v>
      </c>
      <c r="K3741">
        <v>2014</v>
      </c>
      <c r="L3741" t="s">
        <v>8</v>
      </c>
      <c r="M3741" t="s">
        <v>27</v>
      </c>
      <c r="N3741">
        <v>24</v>
      </c>
      <c r="O3741">
        <v>3</v>
      </c>
      <c r="P3741">
        <v>6</v>
      </c>
      <c r="Q3741">
        <v>5.1117684953023499</v>
      </c>
      <c r="R3741">
        <v>4.0999999999999996</v>
      </c>
      <c r="T3741" s="340" t="str">
        <f t="shared" si="166"/>
        <v>2014AllSexNon-Maori23Firearms and explosives</v>
      </c>
      <c r="U3741">
        <v>2014</v>
      </c>
      <c r="V3741" t="s">
        <v>17</v>
      </c>
      <c r="W3741" t="s">
        <v>19</v>
      </c>
      <c r="X3741">
        <v>23</v>
      </c>
      <c r="Y3741" t="s">
        <v>42</v>
      </c>
      <c r="Z3741">
        <v>8</v>
      </c>
      <c r="AA3741">
        <v>139</v>
      </c>
      <c r="AB3741">
        <v>5.8</v>
      </c>
    </row>
    <row r="3742" spans="10:28">
      <c r="J3742" s="340" t="str">
        <f t="shared" si="165"/>
        <v>2014FemaleAllEth244</v>
      </c>
      <c r="K3742">
        <v>2014</v>
      </c>
      <c r="L3742" t="s">
        <v>8</v>
      </c>
      <c r="M3742" t="s">
        <v>27</v>
      </c>
      <c r="N3742">
        <v>24</v>
      </c>
      <c r="O3742">
        <v>4</v>
      </c>
      <c r="P3742">
        <v>10</v>
      </c>
      <c r="Q3742">
        <v>9.3713408577718393</v>
      </c>
      <c r="R3742">
        <v>5.8</v>
      </c>
      <c r="T3742" s="340" t="str">
        <f t="shared" si="166"/>
        <v>2014AllSexNon-Maori24Firearms and explosives</v>
      </c>
      <c r="U3742">
        <v>2014</v>
      </c>
      <c r="V3742" t="s">
        <v>17</v>
      </c>
      <c r="W3742" t="s">
        <v>19</v>
      </c>
      <c r="X3742">
        <v>24</v>
      </c>
      <c r="Y3742" t="s">
        <v>42</v>
      </c>
      <c r="Z3742">
        <v>18</v>
      </c>
      <c r="AA3742">
        <v>154</v>
      </c>
      <c r="AB3742">
        <v>11.7</v>
      </c>
    </row>
    <row r="3743" spans="10:28">
      <c r="J3743" s="340" t="str">
        <f t="shared" si="165"/>
        <v>2014FemaleAllEth245</v>
      </c>
      <c r="K3743">
        <v>2014</v>
      </c>
      <c r="L3743" t="s">
        <v>8</v>
      </c>
      <c r="M3743" t="s">
        <v>27</v>
      </c>
      <c r="N3743">
        <v>24</v>
      </c>
      <c r="O3743">
        <v>5</v>
      </c>
      <c r="P3743">
        <v>12</v>
      </c>
      <c r="Q3743">
        <v>12.165721136433501</v>
      </c>
      <c r="R3743">
        <v>6.9</v>
      </c>
      <c r="T3743" s="340" t="str">
        <f t="shared" si="166"/>
        <v>2014AllSexNon-Maori25Firearms and explosives</v>
      </c>
      <c r="U3743">
        <v>2014</v>
      </c>
      <c r="V3743" t="s">
        <v>17</v>
      </c>
      <c r="W3743" t="s">
        <v>19</v>
      </c>
      <c r="X3743">
        <v>25</v>
      </c>
      <c r="Y3743" t="s">
        <v>42</v>
      </c>
      <c r="Z3743">
        <v>11</v>
      </c>
      <c r="AA3743">
        <v>60</v>
      </c>
      <c r="AB3743">
        <v>18.3</v>
      </c>
    </row>
    <row r="3744" spans="10:28">
      <c r="J3744" s="340" t="str">
        <f t="shared" si="165"/>
        <v>2014FemaleAllEth251</v>
      </c>
      <c r="K3744">
        <v>2014</v>
      </c>
      <c r="L3744" t="s">
        <v>8</v>
      </c>
      <c r="M3744" t="s">
        <v>27</v>
      </c>
      <c r="N3744">
        <v>25</v>
      </c>
      <c r="O3744">
        <v>1</v>
      </c>
      <c r="P3744">
        <v>2</v>
      </c>
      <c r="Q3744">
        <v>2.8702853755560498</v>
      </c>
      <c r="R3744">
        <v>4</v>
      </c>
      <c r="T3744" s="340" t="str">
        <f t="shared" si="166"/>
        <v>2014AllSexNon-Maori21Hanging, strangulation and suffocation</v>
      </c>
      <c r="U3744">
        <v>2014</v>
      </c>
      <c r="V3744" t="s">
        <v>17</v>
      </c>
      <c r="W3744" t="s">
        <v>19</v>
      </c>
      <c r="X3744">
        <v>21</v>
      </c>
      <c r="Y3744" t="s">
        <v>43</v>
      </c>
      <c r="Z3744">
        <v>1</v>
      </c>
      <c r="AA3744">
        <v>3</v>
      </c>
      <c r="AB3744">
        <v>33.299999999999997</v>
      </c>
    </row>
    <row r="3745" spans="10:28">
      <c r="J3745" s="340" t="str">
        <f t="shared" si="165"/>
        <v>2014FemaleAllEth252</v>
      </c>
      <c r="K3745">
        <v>2014</v>
      </c>
      <c r="L3745" t="s">
        <v>8</v>
      </c>
      <c r="M3745" t="s">
        <v>27</v>
      </c>
      <c r="N3745">
        <v>25</v>
      </c>
      <c r="O3745">
        <v>2</v>
      </c>
      <c r="P3745">
        <v>2</v>
      </c>
      <c r="Q3745">
        <v>2.7916599197519201</v>
      </c>
      <c r="R3745">
        <v>3.9</v>
      </c>
      <c r="T3745" s="340" t="str">
        <f t="shared" si="166"/>
        <v>2014AllSexNon-Maori22Hanging, strangulation and suffocation</v>
      </c>
      <c r="U3745">
        <v>2014</v>
      </c>
      <c r="V3745" t="s">
        <v>17</v>
      </c>
      <c r="W3745" t="s">
        <v>19</v>
      </c>
      <c r="X3745">
        <v>22</v>
      </c>
      <c r="Y3745" t="s">
        <v>43</v>
      </c>
      <c r="Z3745">
        <v>52</v>
      </c>
      <c r="AA3745">
        <v>61</v>
      </c>
      <c r="AB3745">
        <v>85.2</v>
      </c>
    </row>
    <row r="3746" spans="10:28">
      <c r="J3746" s="340" t="str">
        <f t="shared" si="165"/>
        <v>2014FemaleAllEth253</v>
      </c>
      <c r="K3746">
        <v>2014</v>
      </c>
      <c r="L3746" t="s">
        <v>8</v>
      </c>
      <c r="M3746" t="s">
        <v>27</v>
      </c>
      <c r="N3746">
        <v>25</v>
      </c>
      <c r="O3746">
        <v>3</v>
      </c>
      <c r="P3746">
        <v>4</v>
      </c>
      <c r="Q3746">
        <v>5.5309556103341997</v>
      </c>
      <c r="R3746">
        <v>5.4</v>
      </c>
      <c r="T3746" s="340" t="str">
        <f t="shared" si="166"/>
        <v>2014AllSexNon-Maori23Hanging, strangulation and suffocation</v>
      </c>
      <c r="U3746">
        <v>2014</v>
      </c>
      <c r="V3746" t="s">
        <v>17</v>
      </c>
      <c r="W3746" t="s">
        <v>19</v>
      </c>
      <c r="X3746">
        <v>23</v>
      </c>
      <c r="Y3746" t="s">
        <v>43</v>
      </c>
      <c r="Z3746">
        <v>93</v>
      </c>
      <c r="AA3746">
        <v>139</v>
      </c>
      <c r="AB3746">
        <v>66.900000000000006</v>
      </c>
    </row>
    <row r="3747" spans="10:28">
      <c r="J3747" s="340" t="str">
        <f t="shared" si="165"/>
        <v>2014FemaleAllEth254</v>
      </c>
      <c r="K3747">
        <v>2014</v>
      </c>
      <c r="L3747" t="s">
        <v>8</v>
      </c>
      <c r="M3747" t="s">
        <v>27</v>
      </c>
      <c r="N3747">
        <v>25</v>
      </c>
      <c r="O3747">
        <v>4</v>
      </c>
      <c r="P3747">
        <v>1</v>
      </c>
      <c r="Q3747">
        <v>1.3271033682123401</v>
      </c>
      <c r="R3747">
        <v>2.6</v>
      </c>
      <c r="T3747" s="340" t="str">
        <f t="shared" si="166"/>
        <v>2014AllSexNon-Maori24Hanging, strangulation and suffocation</v>
      </c>
      <c r="U3747">
        <v>2014</v>
      </c>
      <c r="V3747" t="s">
        <v>17</v>
      </c>
      <c r="W3747" t="s">
        <v>19</v>
      </c>
      <c r="X3747">
        <v>24</v>
      </c>
      <c r="Y3747" t="s">
        <v>43</v>
      </c>
      <c r="Z3747">
        <v>63</v>
      </c>
      <c r="AA3747">
        <v>154</v>
      </c>
      <c r="AB3747">
        <v>40.9</v>
      </c>
    </row>
    <row r="3748" spans="10:28">
      <c r="J3748" s="340" t="str">
        <f t="shared" si="165"/>
        <v>2014FemaleAllEth255</v>
      </c>
      <c r="K3748">
        <v>2014</v>
      </c>
      <c r="L3748" t="s">
        <v>8</v>
      </c>
      <c r="M3748" t="s">
        <v>27</v>
      </c>
      <c r="N3748">
        <v>25</v>
      </c>
      <c r="O3748">
        <v>5</v>
      </c>
      <c r="P3748">
        <v>2</v>
      </c>
      <c r="Q3748">
        <v>3.3060717305793998</v>
      </c>
      <c r="R3748">
        <v>4.5999999999999996</v>
      </c>
      <c r="T3748" s="340" t="str">
        <f t="shared" si="166"/>
        <v>2014AllSexNon-Maori25Hanging, strangulation and suffocation</v>
      </c>
      <c r="U3748">
        <v>2014</v>
      </c>
      <c r="V3748" t="s">
        <v>17</v>
      </c>
      <c r="W3748" t="s">
        <v>19</v>
      </c>
      <c r="X3748">
        <v>25</v>
      </c>
      <c r="Y3748" t="s">
        <v>43</v>
      </c>
      <c r="Z3748">
        <v>24</v>
      </c>
      <c r="AA3748">
        <v>60</v>
      </c>
      <c r="AB3748">
        <v>40</v>
      </c>
    </row>
    <row r="3749" spans="10:28">
      <c r="J3749" s="340" t="str">
        <f t="shared" si="165"/>
        <v>2014FemaleMaori211</v>
      </c>
      <c r="K3749">
        <v>2014</v>
      </c>
      <c r="L3749" t="s">
        <v>8</v>
      </c>
      <c r="M3749" t="s">
        <v>18</v>
      </c>
      <c r="N3749">
        <v>21</v>
      </c>
      <c r="O3749">
        <v>1</v>
      </c>
      <c r="P3749">
        <v>0</v>
      </c>
      <c r="Q3749">
        <v>0</v>
      </c>
      <c r="T3749" s="340" t="str">
        <f t="shared" si="166"/>
        <v>2014AllSexNon-Maori22Jumping from a high place</v>
      </c>
      <c r="U3749">
        <v>2014</v>
      </c>
      <c r="V3749" t="s">
        <v>17</v>
      </c>
      <c r="W3749" t="s">
        <v>19</v>
      </c>
      <c r="X3749">
        <v>22</v>
      </c>
      <c r="Y3749" t="s">
        <v>44</v>
      </c>
      <c r="Z3749">
        <v>1</v>
      </c>
      <c r="AA3749">
        <v>61</v>
      </c>
      <c r="AB3749">
        <v>1.6</v>
      </c>
    </row>
    <row r="3750" spans="10:28">
      <c r="J3750" s="340" t="str">
        <f t="shared" si="165"/>
        <v>2014FemaleMaori212</v>
      </c>
      <c r="K3750">
        <v>2014</v>
      </c>
      <c r="L3750" t="s">
        <v>8</v>
      </c>
      <c r="M3750" t="s">
        <v>18</v>
      </c>
      <c r="N3750">
        <v>21</v>
      </c>
      <c r="O3750">
        <v>2</v>
      </c>
      <c r="P3750">
        <v>0</v>
      </c>
      <c r="Q3750">
        <v>0</v>
      </c>
      <c r="T3750" s="340" t="str">
        <f t="shared" si="166"/>
        <v>2014AllSexNon-Maori23Jumping from a high place</v>
      </c>
      <c r="U3750">
        <v>2014</v>
      </c>
      <c r="V3750" t="s">
        <v>17</v>
      </c>
      <c r="W3750" t="s">
        <v>19</v>
      </c>
      <c r="X3750">
        <v>23</v>
      </c>
      <c r="Y3750" t="s">
        <v>44</v>
      </c>
      <c r="Z3750">
        <v>6</v>
      </c>
      <c r="AA3750">
        <v>139</v>
      </c>
      <c r="AB3750">
        <v>4.3</v>
      </c>
    </row>
    <row r="3751" spans="10:28">
      <c r="J3751" s="340" t="str">
        <f t="shared" si="165"/>
        <v>2014FemaleMaori213</v>
      </c>
      <c r="K3751">
        <v>2014</v>
      </c>
      <c r="L3751" t="s">
        <v>8</v>
      </c>
      <c r="M3751" t="s">
        <v>18</v>
      </c>
      <c r="N3751">
        <v>21</v>
      </c>
      <c r="O3751">
        <v>3</v>
      </c>
      <c r="P3751">
        <v>0</v>
      </c>
      <c r="Q3751">
        <v>0</v>
      </c>
      <c r="T3751" s="340" t="str">
        <f t="shared" si="166"/>
        <v>2014AllSexNon-Maori24Jumping from a high place</v>
      </c>
      <c r="U3751">
        <v>2014</v>
      </c>
      <c r="V3751" t="s">
        <v>17</v>
      </c>
      <c r="W3751" t="s">
        <v>19</v>
      </c>
      <c r="X3751">
        <v>24</v>
      </c>
      <c r="Y3751" t="s">
        <v>44</v>
      </c>
      <c r="Z3751">
        <v>6</v>
      </c>
      <c r="AA3751">
        <v>154</v>
      </c>
      <c r="AB3751">
        <v>3.9</v>
      </c>
    </row>
    <row r="3752" spans="10:28">
      <c r="J3752" s="340" t="str">
        <f t="shared" si="165"/>
        <v>2014FemaleMaori214</v>
      </c>
      <c r="K3752">
        <v>2014</v>
      </c>
      <c r="L3752" t="s">
        <v>8</v>
      </c>
      <c r="M3752" t="s">
        <v>18</v>
      </c>
      <c r="N3752">
        <v>21</v>
      </c>
      <c r="O3752">
        <v>4</v>
      </c>
      <c r="P3752">
        <v>0</v>
      </c>
      <c r="Q3752">
        <v>0</v>
      </c>
      <c r="T3752" s="340" t="str">
        <f t="shared" si="166"/>
        <v>2014AllSexNon-Maori25Jumping from a high place</v>
      </c>
      <c r="U3752">
        <v>2014</v>
      </c>
      <c r="V3752" t="s">
        <v>17</v>
      </c>
      <c r="W3752" t="s">
        <v>19</v>
      </c>
      <c r="X3752">
        <v>25</v>
      </c>
      <c r="Y3752" t="s">
        <v>44</v>
      </c>
      <c r="Z3752">
        <v>1</v>
      </c>
      <c r="AA3752">
        <v>60</v>
      </c>
      <c r="AB3752">
        <v>1.7</v>
      </c>
    </row>
    <row r="3753" spans="10:28">
      <c r="J3753" s="340" t="str">
        <f t="shared" si="165"/>
        <v>2014FemaleMaori215</v>
      </c>
      <c r="K3753">
        <v>2014</v>
      </c>
      <c r="L3753" t="s">
        <v>8</v>
      </c>
      <c r="M3753" t="s">
        <v>18</v>
      </c>
      <c r="N3753">
        <v>21</v>
      </c>
      <c r="O3753">
        <v>5</v>
      </c>
      <c r="P3753">
        <v>1</v>
      </c>
      <c r="Q3753">
        <v>2.0922293623528798</v>
      </c>
      <c r="R3753">
        <v>4.0999999999999996</v>
      </c>
      <c r="T3753" s="340" t="str">
        <f t="shared" si="166"/>
        <v>2014AllSexNon-Maori21Other</v>
      </c>
      <c r="U3753">
        <v>2014</v>
      </c>
      <c r="V3753" t="s">
        <v>17</v>
      </c>
      <c r="W3753" t="s">
        <v>19</v>
      </c>
      <c r="X3753">
        <v>21</v>
      </c>
      <c r="Y3753" t="s">
        <v>45</v>
      </c>
      <c r="Z3753">
        <v>1</v>
      </c>
      <c r="AA3753">
        <v>3</v>
      </c>
      <c r="AB3753">
        <v>33.299999999999997</v>
      </c>
    </row>
    <row r="3754" spans="10:28">
      <c r="J3754" s="340" t="str">
        <f t="shared" si="165"/>
        <v>2014FemaleMaori221</v>
      </c>
      <c r="K3754">
        <v>2014</v>
      </c>
      <c r="L3754" t="s">
        <v>8</v>
      </c>
      <c r="M3754" t="s">
        <v>18</v>
      </c>
      <c r="N3754">
        <v>22</v>
      </c>
      <c r="O3754">
        <v>1</v>
      </c>
      <c r="P3754">
        <v>1</v>
      </c>
      <c r="Q3754">
        <v>18.803777480807302</v>
      </c>
      <c r="R3754">
        <v>36.9</v>
      </c>
      <c r="T3754" s="340" t="str">
        <f t="shared" si="166"/>
        <v>2014AllSexNon-Maori22Other</v>
      </c>
      <c r="U3754">
        <v>2014</v>
      </c>
      <c r="V3754" t="s">
        <v>17</v>
      </c>
      <c r="W3754" t="s">
        <v>19</v>
      </c>
      <c r="X3754">
        <v>22</v>
      </c>
      <c r="Y3754" t="s">
        <v>45</v>
      </c>
      <c r="Z3754">
        <v>1</v>
      </c>
      <c r="AA3754">
        <v>61</v>
      </c>
      <c r="AB3754">
        <v>1.6</v>
      </c>
    </row>
    <row r="3755" spans="10:28">
      <c r="J3755" s="340" t="str">
        <f t="shared" si="165"/>
        <v>2014FemaleMaori222</v>
      </c>
      <c r="K3755">
        <v>2014</v>
      </c>
      <c r="L3755" t="s">
        <v>8</v>
      </c>
      <c r="M3755" t="s">
        <v>18</v>
      </c>
      <c r="N3755">
        <v>22</v>
      </c>
      <c r="O3755">
        <v>2</v>
      </c>
      <c r="P3755">
        <v>0</v>
      </c>
      <c r="Q3755">
        <v>0</v>
      </c>
      <c r="T3755" s="340" t="str">
        <f t="shared" si="166"/>
        <v>2014AllSexNon-Maori23Other</v>
      </c>
      <c r="U3755">
        <v>2014</v>
      </c>
      <c r="V3755" t="s">
        <v>17</v>
      </c>
      <c r="W3755" t="s">
        <v>19</v>
      </c>
      <c r="X3755">
        <v>23</v>
      </c>
      <c r="Y3755" t="s">
        <v>45</v>
      </c>
      <c r="Z3755">
        <v>2</v>
      </c>
      <c r="AA3755">
        <v>139</v>
      </c>
      <c r="AB3755">
        <v>1.4</v>
      </c>
    </row>
    <row r="3756" spans="10:28">
      <c r="J3756" s="340" t="str">
        <f t="shared" si="165"/>
        <v>2014FemaleMaori223</v>
      </c>
      <c r="K3756">
        <v>2014</v>
      </c>
      <c r="L3756" t="s">
        <v>8</v>
      </c>
      <c r="M3756" t="s">
        <v>18</v>
      </c>
      <c r="N3756">
        <v>22</v>
      </c>
      <c r="O3756">
        <v>3</v>
      </c>
      <c r="P3756">
        <v>1</v>
      </c>
      <c r="Q3756">
        <v>9.6310749221278105</v>
      </c>
      <c r="R3756">
        <v>18.899999999999999</v>
      </c>
      <c r="T3756" s="340" t="str">
        <f t="shared" si="166"/>
        <v>2014AllSexNon-Maori24Other</v>
      </c>
      <c r="U3756">
        <v>2014</v>
      </c>
      <c r="V3756" t="s">
        <v>17</v>
      </c>
      <c r="W3756" t="s">
        <v>19</v>
      </c>
      <c r="X3756">
        <v>24</v>
      </c>
      <c r="Y3756" t="s">
        <v>45</v>
      </c>
      <c r="Z3756">
        <v>7</v>
      </c>
      <c r="AA3756">
        <v>154</v>
      </c>
      <c r="AB3756">
        <v>4.5</v>
      </c>
    </row>
    <row r="3757" spans="10:28">
      <c r="J3757" s="340" t="str">
        <f t="shared" si="165"/>
        <v>2014FemaleMaori224</v>
      </c>
      <c r="K3757">
        <v>2014</v>
      </c>
      <c r="L3757" t="s">
        <v>8</v>
      </c>
      <c r="M3757" t="s">
        <v>18</v>
      </c>
      <c r="N3757">
        <v>22</v>
      </c>
      <c r="O3757">
        <v>4</v>
      </c>
      <c r="P3757">
        <v>0</v>
      </c>
      <c r="Q3757">
        <v>0</v>
      </c>
      <c r="T3757" s="340" t="str">
        <f t="shared" si="166"/>
        <v>2014AllSexNon-Maori25Other</v>
      </c>
      <c r="U3757">
        <v>2014</v>
      </c>
      <c r="V3757" t="s">
        <v>17</v>
      </c>
      <c r="W3757" t="s">
        <v>19</v>
      </c>
      <c r="X3757">
        <v>25</v>
      </c>
      <c r="Y3757" t="s">
        <v>45</v>
      </c>
      <c r="Z3757">
        <v>1</v>
      </c>
      <c r="AA3757">
        <v>60</v>
      </c>
      <c r="AB3757">
        <v>1.7</v>
      </c>
    </row>
    <row r="3758" spans="10:28">
      <c r="J3758" s="340" t="str">
        <f t="shared" si="165"/>
        <v>2014FemaleMaori225</v>
      </c>
      <c r="K3758">
        <v>2014</v>
      </c>
      <c r="L3758" t="s">
        <v>8</v>
      </c>
      <c r="M3758" t="s">
        <v>18</v>
      </c>
      <c r="N3758">
        <v>22</v>
      </c>
      <c r="O3758">
        <v>5</v>
      </c>
      <c r="P3758">
        <v>6</v>
      </c>
      <c r="Q3758">
        <v>21.988014288403601</v>
      </c>
      <c r="R3758">
        <v>17.600000000000001</v>
      </c>
      <c r="T3758" s="340" t="str">
        <f t="shared" si="166"/>
        <v>2014AllSexNon-Maori22Poisoning by gases and vapours</v>
      </c>
      <c r="U3758">
        <v>2014</v>
      </c>
      <c r="V3758" t="s">
        <v>17</v>
      </c>
      <c r="W3758" t="s">
        <v>19</v>
      </c>
      <c r="X3758">
        <v>22</v>
      </c>
      <c r="Y3758" t="s">
        <v>46</v>
      </c>
      <c r="Z3758">
        <v>3</v>
      </c>
      <c r="AA3758">
        <v>61</v>
      </c>
      <c r="AB3758">
        <v>4.9000000000000004</v>
      </c>
    </row>
    <row r="3759" spans="10:28">
      <c r="J3759" s="340" t="str">
        <f t="shared" si="165"/>
        <v>2014FemaleMaori231</v>
      </c>
      <c r="K3759">
        <v>2014</v>
      </c>
      <c r="L3759" t="s">
        <v>8</v>
      </c>
      <c r="M3759" t="s">
        <v>18</v>
      </c>
      <c r="N3759">
        <v>23</v>
      </c>
      <c r="O3759">
        <v>1</v>
      </c>
      <c r="P3759">
        <v>2</v>
      </c>
      <c r="Q3759">
        <v>26.132930127113099</v>
      </c>
      <c r="R3759">
        <v>36.200000000000003</v>
      </c>
      <c r="T3759" s="340" t="str">
        <f t="shared" si="166"/>
        <v>2014AllSexNon-Maori23Poisoning by gases and vapours</v>
      </c>
      <c r="U3759">
        <v>2014</v>
      </c>
      <c r="V3759" t="s">
        <v>17</v>
      </c>
      <c r="W3759" t="s">
        <v>19</v>
      </c>
      <c r="X3759">
        <v>23</v>
      </c>
      <c r="Y3759" t="s">
        <v>46</v>
      </c>
      <c r="Z3759">
        <v>13</v>
      </c>
      <c r="AA3759">
        <v>139</v>
      </c>
      <c r="AB3759">
        <v>9.4</v>
      </c>
    </row>
    <row r="3760" spans="10:28">
      <c r="J3760" s="340" t="str">
        <f t="shared" si="165"/>
        <v>2014FemaleMaori232</v>
      </c>
      <c r="K3760">
        <v>2014</v>
      </c>
      <c r="L3760" t="s">
        <v>8</v>
      </c>
      <c r="M3760" t="s">
        <v>18</v>
      </c>
      <c r="N3760">
        <v>23</v>
      </c>
      <c r="O3760">
        <v>2</v>
      </c>
      <c r="P3760">
        <v>0</v>
      </c>
      <c r="Q3760">
        <v>0</v>
      </c>
      <c r="T3760" s="340" t="str">
        <f t="shared" si="166"/>
        <v>2014AllSexNon-Maori24Poisoning by gases and vapours</v>
      </c>
      <c r="U3760">
        <v>2014</v>
      </c>
      <c r="V3760" t="s">
        <v>17</v>
      </c>
      <c r="W3760" t="s">
        <v>19</v>
      </c>
      <c r="X3760">
        <v>24</v>
      </c>
      <c r="Y3760" t="s">
        <v>46</v>
      </c>
      <c r="Z3760">
        <v>18</v>
      </c>
      <c r="AA3760">
        <v>154</v>
      </c>
      <c r="AB3760">
        <v>11.7</v>
      </c>
    </row>
    <row r="3761" spans="10:28">
      <c r="J3761" s="340" t="str">
        <f t="shared" si="165"/>
        <v>2014FemaleMaori233</v>
      </c>
      <c r="K3761">
        <v>2014</v>
      </c>
      <c r="L3761" t="s">
        <v>8</v>
      </c>
      <c r="M3761" t="s">
        <v>18</v>
      </c>
      <c r="N3761">
        <v>23</v>
      </c>
      <c r="O3761">
        <v>3</v>
      </c>
      <c r="P3761">
        <v>2</v>
      </c>
      <c r="Q3761">
        <v>13.2040827407686</v>
      </c>
      <c r="R3761">
        <v>18.3</v>
      </c>
      <c r="T3761" s="340" t="str">
        <f t="shared" si="166"/>
        <v>2014AllSexNon-Maori25Poisoning by gases and vapours</v>
      </c>
      <c r="U3761">
        <v>2014</v>
      </c>
      <c r="V3761" t="s">
        <v>17</v>
      </c>
      <c r="W3761" t="s">
        <v>19</v>
      </c>
      <c r="X3761">
        <v>25</v>
      </c>
      <c r="Y3761" t="s">
        <v>46</v>
      </c>
      <c r="Z3761">
        <v>5</v>
      </c>
      <c r="AA3761">
        <v>60</v>
      </c>
      <c r="AB3761">
        <v>8.3000000000000007</v>
      </c>
    </row>
    <row r="3762" spans="10:28">
      <c r="J3762" s="340" t="str">
        <f t="shared" si="165"/>
        <v>2014FemaleMaori234</v>
      </c>
      <c r="K3762">
        <v>2014</v>
      </c>
      <c r="L3762" t="s">
        <v>8</v>
      </c>
      <c r="M3762" t="s">
        <v>18</v>
      </c>
      <c r="N3762">
        <v>23</v>
      </c>
      <c r="O3762">
        <v>4</v>
      </c>
      <c r="P3762">
        <v>3</v>
      </c>
      <c r="Q3762">
        <v>14.128698446469601</v>
      </c>
      <c r="R3762">
        <v>16</v>
      </c>
      <c r="T3762" s="340" t="str">
        <f t="shared" si="166"/>
        <v>2014AllSexNon-Maori23Poisoning by solids and liquids</v>
      </c>
      <c r="U3762">
        <v>2014</v>
      </c>
      <c r="V3762" t="s">
        <v>17</v>
      </c>
      <c r="W3762" t="s">
        <v>19</v>
      </c>
      <c r="X3762">
        <v>23</v>
      </c>
      <c r="Y3762" t="s">
        <v>47</v>
      </c>
      <c r="Z3762">
        <v>13</v>
      </c>
      <c r="AA3762">
        <v>139</v>
      </c>
      <c r="AB3762">
        <v>9.4</v>
      </c>
    </row>
    <row r="3763" spans="10:28">
      <c r="J3763" s="340" t="str">
        <f t="shared" si="165"/>
        <v>2014FemaleMaori235</v>
      </c>
      <c r="K3763">
        <v>2014</v>
      </c>
      <c r="L3763" t="s">
        <v>8</v>
      </c>
      <c r="M3763" t="s">
        <v>18</v>
      </c>
      <c r="N3763">
        <v>23</v>
      </c>
      <c r="O3763">
        <v>5</v>
      </c>
      <c r="P3763">
        <v>7</v>
      </c>
      <c r="Q3763">
        <v>19.047531790823001</v>
      </c>
      <c r="R3763">
        <v>14.1</v>
      </c>
      <c r="T3763" s="340" t="str">
        <f t="shared" si="166"/>
        <v>2014AllSexNon-Maori24Poisoning by solids and liquids</v>
      </c>
      <c r="U3763">
        <v>2014</v>
      </c>
      <c r="V3763" t="s">
        <v>17</v>
      </c>
      <c r="W3763" t="s">
        <v>19</v>
      </c>
      <c r="X3763">
        <v>24</v>
      </c>
      <c r="Y3763" t="s">
        <v>47</v>
      </c>
      <c r="Z3763">
        <v>32</v>
      </c>
      <c r="AA3763">
        <v>154</v>
      </c>
      <c r="AB3763">
        <v>20.8</v>
      </c>
    </row>
    <row r="3764" spans="10:28">
      <c r="J3764" s="340" t="str">
        <f t="shared" si="165"/>
        <v>2014FemaleMaori241</v>
      </c>
      <c r="K3764">
        <v>2014</v>
      </c>
      <c r="L3764" t="s">
        <v>8</v>
      </c>
      <c r="M3764" t="s">
        <v>18</v>
      </c>
      <c r="N3764">
        <v>24</v>
      </c>
      <c r="O3764">
        <v>1</v>
      </c>
      <c r="P3764">
        <v>0</v>
      </c>
      <c r="Q3764">
        <v>0</v>
      </c>
      <c r="T3764" s="340" t="str">
        <f t="shared" si="166"/>
        <v>2014AllSexNon-Maori25Poisoning by solids and liquids</v>
      </c>
      <c r="U3764">
        <v>2014</v>
      </c>
      <c r="V3764" t="s">
        <v>17</v>
      </c>
      <c r="W3764" t="s">
        <v>19</v>
      </c>
      <c r="X3764">
        <v>25</v>
      </c>
      <c r="Y3764" t="s">
        <v>47</v>
      </c>
      <c r="Z3764">
        <v>15</v>
      </c>
      <c r="AA3764">
        <v>60</v>
      </c>
      <c r="AB3764">
        <v>25</v>
      </c>
    </row>
    <row r="3765" spans="10:28">
      <c r="J3765" s="340" t="str">
        <f t="shared" si="165"/>
        <v>2014FemaleMaori242</v>
      </c>
      <c r="K3765">
        <v>2014</v>
      </c>
      <c r="L3765" t="s">
        <v>8</v>
      </c>
      <c r="M3765" t="s">
        <v>18</v>
      </c>
      <c r="N3765">
        <v>24</v>
      </c>
      <c r="O3765">
        <v>2</v>
      </c>
      <c r="P3765">
        <v>0</v>
      </c>
      <c r="Q3765">
        <v>0</v>
      </c>
      <c r="T3765" s="340" t="str">
        <f t="shared" si="166"/>
        <v>2014AllSexNon-Maori22Sharp object</v>
      </c>
      <c r="U3765">
        <v>2014</v>
      </c>
      <c r="V3765" t="s">
        <v>17</v>
      </c>
      <c r="W3765" t="s">
        <v>19</v>
      </c>
      <c r="X3765">
        <v>22</v>
      </c>
      <c r="Y3765" t="s">
        <v>48</v>
      </c>
      <c r="Z3765">
        <v>1</v>
      </c>
      <c r="AA3765">
        <v>61</v>
      </c>
      <c r="AB3765">
        <v>1.6</v>
      </c>
    </row>
    <row r="3766" spans="10:28">
      <c r="J3766" s="340" t="str">
        <f t="shared" si="165"/>
        <v>2014FemaleMaori243</v>
      </c>
      <c r="K3766">
        <v>2014</v>
      </c>
      <c r="L3766" t="s">
        <v>8</v>
      </c>
      <c r="M3766" t="s">
        <v>18</v>
      </c>
      <c r="N3766">
        <v>24</v>
      </c>
      <c r="O3766">
        <v>3</v>
      </c>
      <c r="P3766">
        <v>0</v>
      </c>
      <c r="Q3766">
        <v>0</v>
      </c>
      <c r="T3766" s="340" t="str">
        <f t="shared" si="166"/>
        <v>2014AllSexNon-Maori23Sharp object</v>
      </c>
      <c r="U3766">
        <v>2014</v>
      </c>
      <c r="V3766" t="s">
        <v>17</v>
      </c>
      <c r="W3766" t="s">
        <v>19</v>
      </c>
      <c r="X3766">
        <v>23</v>
      </c>
      <c r="Y3766" t="s">
        <v>48</v>
      </c>
      <c r="Z3766">
        <v>3</v>
      </c>
      <c r="AA3766">
        <v>139</v>
      </c>
      <c r="AB3766">
        <v>2.2000000000000002</v>
      </c>
    </row>
    <row r="3767" spans="10:28">
      <c r="J3767" s="340" t="str">
        <f t="shared" si="165"/>
        <v>2014FemaleMaori244</v>
      </c>
      <c r="K3767">
        <v>2014</v>
      </c>
      <c r="L3767" t="s">
        <v>8</v>
      </c>
      <c r="M3767" t="s">
        <v>18</v>
      </c>
      <c r="N3767">
        <v>24</v>
      </c>
      <c r="O3767">
        <v>4</v>
      </c>
      <c r="P3767">
        <v>1</v>
      </c>
      <c r="Q3767">
        <v>6.4168479465774197</v>
      </c>
      <c r="R3767">
        <v>12.6</v>
      </c>
      <c r="T3767" s="340" t="str">
        <f t="shared" si="166"/>
        <v>2014AllSexNon-Maori24Sharp object</v>
      </c>
      <c r="U3767">
        <v>2014</v>
      </c>
      <c r="V3767" t="s">
        <v>17</v>
      </c>
      <c r="W3767" t="s">
        <v>19</v>
      </c>
      <c r="X3767">
        <v>24</v>
      </c>
      <c r="Y3767" t="s">
        <v>48</v>
      </c>
      <c r="Z3767">
        <v>5</v>
      </c>
      <c r="AA3767">
        <v>154</v>
      </c>
      <c r="AB3767">
        <v>3.2</v>
      </c>
    </row>
    <row r="3768" spans="10:28">
      <c r="J3768" s="340" t="str">
        <f t="shared" si="165"/>
        <v>2014FemaleMaori245</v>
      </c>
      <c r="K3768">
        <v>2014</v>
      </c>
      <c r="L3768" t="s">
        <v>8</v>
      </c>
      <c r="M3768" t="s">
        <v>18</v>
      </c>
      <c r="N3768">
        <v>24</v>
      </c>
      <c r="O3768">
        <v>5</v>
      </c>
      <c r="P3768">
        <v>1</v>
      </c>
      <c r="Q3768">
        <v>3.5263368167136502</v>
      </c>
      <c r="R3768">
        <v>6.9</v>
      </c>
      <c r="T3768" s="340" t="str">
        <f t="shared" si="166"/>
        <v>2014AllSexNon-Maori25Sharp object</v>
      </c>
      <c r="U3768">
        <v>2014</v>
      </c>
      <c r="V3768" t="s">
        <v>17</v>
      </c>
      <c r="W3768" t="s">
        <v>19</v>
      </c>
      <c r="X3768">
        <v>25</v>
      </c>
      <c r="Y3768" t="s">
        <v>48</v>
      </c>
      <c r="Z3768">
        <v>1</v>
      </c>
      <c r="AA3768">
        <v>60</v>
      </c>
      <c r="AB3768">
        <v>1.7</v>
      </c>
    </row>
    <row r="3769" spans="10:28">
      <c r="J3769" s="340" t="str">
        <f t="shared" si="165"/>
        <v>2014FemaleMaori251</v>
      </c>
      <c r="K3769">
        <v>2014</v>
      </c>
      <c r="L3769" t="s">
        <v>8</v>
      </c>
      <c r="M3769" t="s">
        <v>18</v>
      </c>
      <c r="N3769">
        <v>25</v>
      </c>
      <c r="O3769">
        <v>1</v>
      </c>
      <c r="P3769">
        <v>0</v>
      </c>
      <c r="Q3769">
        <v>0</v>
      </c>
      <c r="T3769" s="340" t="str">
        <f t="shared" si="166"/>
        <v>2014AllSexNon-Maori22Submersion (drowning)</v>
      </c>
      <c r="U3769">
        <v>2014</v>
      </c>
      <c r="V3769" t="s">
        <v>17</v>
      </c>
      <c r="W3769" t="s">
        <v>19</v>
      </c>
      <c r="X3769">
        <v>22</v>
      </c>
      <c r="Y3769" t="s">
        <v>49</v>
      </c>
      <c r="Z3769">
        <v>1</v>
      </c>
      <c r="AA3769">
        <v>61</v>
      </c>
      <c r="AB3769">
        <v>1.6</v>
      </c>
    </row>
    <row r="3770" spans="10:28">
      <c r="J3770" s="340" t="str">
        <f t="shared" si="165"/>
        <v>2014FemaleMaori252</v>
      </c>
      <c r="K3770">
        <v>2014</v>
      </c>
      <c r="L3770" t="s">
        <v>8</v>
      </c>
      <c r="M3770" t="s">
        <v>18</v>
      </c>
      <c r="N3770">
        <v>25</v>
      </c>
      <c r="O3770">
        <v>2</v>
      </c>
      <c r="P3770">
        <v>0</v>
      </c>
      <c r="Q3770">
        <v>0</v>
      </c>
      <c r="T3770" s="340" t="str">
        <f t="shared" si="166"/>
        <v>2014AllSexNon-Maori23Submersion (drowning)</v>
      </c>
      <c r="U3770">
        <v>2014</v>
      </c>
      <c r="V3770" t="s">
        <v>17</v>
      </c>
      <c r="W3770" t="s">
        <v>19</v>
      </c>
      <c r="X3770">
        <v>23</v>
      </c>
      <c r="Y3770" t="s">
        <v>49</v>
      </c>
      <c r="Z3770">
        <v>1</v>
      </c>
      <c r="AA3770">
        <v>139</v>
      </c>
      <c r="AB3770">
        <v>0.7</v>
      </c>
    </row>
    <row r="3771" spans="10:28">
      <c r="J3771" s="340" t="str">
        <f t="shared" si="165"/>
        <v>2014FemaleMaori253</v>
      </c>
      <c r="K3771">
        <v>2014</v>
      </c>
      <c r="L3771" t="s">
        <v>8</v>
      </c>
      <c r="M3771" t="s">
        <v>18</v>
      </c>
      <c r="N3771">
        <v>25</v>
      </c>
      <c r="O3771">
        <v>3</v>
      </c>
      <c r="P3771">
        <v>0</v>
      </c>
      <c r="Q3771">
        <v>0</v>
      </c>
      <c r="T3771" s="340" t="str">
        <f t="shared" si="166"/>
        <v>2014AllSexNon-Maori24Submersion (drowning)</v>
      </c>
      <c r="U3771">
        <v>2014</v>
      </c>
      <c r="V3771" t="s">
        <v>17</v>
      </c>
      <c r="W3771" t="s">
        <v>19</v>
      </c>
      <c r="X3771">
        <v>24</v>
      </c>
      <c r="Y3771" t="s">
        <v>49</v>
      </c>
      <c r="Z3771">
        <v>5</v>
      </c>
      <c r="AA3771">
        <v>154</v>
      </c>
      <c r="AB3771">
        <v>3.2</v>
      </c>
    </row>
    <row r="3772" spans="10:28">
      <c r="J3772" s="340" t="str">
        <f t="shared" si="165"/>
        <v>2014FemaleMaori254</v>
      </c>
      <c r="K3772">
        <v>2014</v>
      </c>
      <c r="L3772" t="s">
        <v>8</v>
      </c>
      <c r="M3772" t="s">
        <v>18</v>
      </c>
      <c r="N3772">
        <v>25</v>
      </c>
      <c r="O3772">
        <v>4</v>
      </c>
      <c r="P3772">
        <v>0</v>
      </c>
      <c r="Q3772">
        <v>0</v>
      </c>
      <c r="T3772" s="340" t="str">
        <f t="shared" si="166"/>
        <v>2014AllSexNon-Maori25Submersion (drowning)</v>
      </c>
      <c r="U3772">
        <v>2014</v>
      </c>
      <c r="V3772" t="s">
        <v>17</v>
      </c>
      <c r="W3772" t="s">
        <v>19</v>
      </c>
      <c r="X3772">
        <v>25</v>
      </c>
      <c r="Y3772" t="s">
        <v>49</v>
      </c>
      <c r="Z3772">
        <v>2</v>
      </c>
      <c r="AA3772">
        <v>60</v>
      </c>
      <c r="AB3772">
        <v>3.3</v>
      </c>
    </row>
    <row r="3773" spans="10:28">
      <c r="J3773" s="340" t="str">
        <f t="shared" si="165"/>
        <v>2014FemaleMaori255</v>
      </c>
      <c r="K3773">
        <v>2014</v>
      </c>
      <c r="L3773" t="s">
        <v>8</v>
      </c>
      <c r="M3773" t="s">
        <v>18</v>
      </c>
      <c r="N3773">
        <v>25</v>
      </c>
      <c r="O3773">
        <v>5</v>
      </c>
      <c r="P3773">
        <v>0</v>
      </c>
      <c r="Q3773">
        <v>0</v>
      </c>
      <c r="T3773" s="340" t="str">
        <f t="shared" si="166"/>
        <v>2014FemaleAllEth21Firearms and explosives</v>
      </c>
      <c r="U3773">
        <v>2014</v>
      </c>
      <c r="V3773" t="s">
        <v>8</v>
      </c>
      <c r="W3773" t="s">
        <v>27</v>
      </c>
      <c r="X3773">
        <v>21</v>
      </c>
      <c r="Y3773" t="s">
        <v>42</v>
      </c>
      <c r="Z3773">
        <v>1</v>
      </c>
      <c r="AA3773">
        <v>4</v>
      </c>
      <c r="AB3773">
        <v>25</v>
      </c>
    </row>
    <row r="3774" spans="10:28">
      <c r="J3774" s="340" t="str">
        <f t="shared" si="165"/>
        <v>2014FemaleNon-Maori211</v>
      </c>
      <c r="K3774">
        <v>2014</v>
      </c>
      <c r="L3774" t="s">
        <v>8</v>
      </c>
      <c r="M3774" t="s">
        <v>19</v>
      </c>
      <c r="N3774">
        <v>21</v>
      </c>
      <c r="O3774">
        <v>1</v>
      </c>
      <c r="P3774">
        <v>1</v>
      </c>
      <c r="Q3774">
        <v>1.26232865261266</v>
      </c>
      <c r="R3774">
        <v>2.5</v>
      </c>
      <c r="T3774" s="340" t="str">
        <f t="shared" si="166"/>
        <v>2014FemaleAllEth23Firearms and explosives</v>
      </c>
      <c r="U3774">
        <v>2014</v>
      </c>
      <c r="V3774" t="s">
        <v>8</v>
      </c>
      <c r="W3774" t="s">
        <v>27</v>
      </c>
      <c r="X3774">
        <v>23</v>
      </c>
      <c r="Y3774" t="s">
        <v>42</v>
      </c>
      <c r="Z3774">
        <v>1</v>
      </c>
      <c r="AA3774">
        <v>50</v>
      </c>
      <c r="AB3774">
        <v>2</v>
      </c>
    </row>
    <row r="3775" spans="10:28">
      <c r="J3775" s="340" t="str">
        <f t="shared" si="165"/>
        <v>2014FemaleNon-Maori212</v>
      </c>
      <c r="K3775">
        <v>2014</v>
      </c>
      <c r="L3775" t="s">
        <v>8</v>
      </c>
      <c r="M3775" t="s">
        <v>19</v>
      </c>
      <c r="N3775">
        <v>21</v>
      </c>
      <c r="O3775">
        <v>2</v>
      </c>
      <c r="P3775">
        <v>0</v>
      </c>
      <c r="Q3775">
        <v>0</v>
      </c>
      <c r="T3775" s="340" t="str">
        <f t="shared" si="166"/>
        <v>2014FemaleAllEth24Firearms and explosives</v>
      </c>
      <c r="U3775">
        <v>2014</v>
      </c>
      <c r="V3775" t="s">
        <v>8</v>
      </c>
      <c r="W3775" t="s">
        <v>27</v>
      </c>
      <c r="X3775">
        <v>24</v>
      </c>
      <c r="Y3775" t="s">
        <v>42</v>
      </c>
      <c r="Z3775">
        <v>1</v>
      </c>
      <c r="AA3775">
        <v>45</v>
      </c>
      <c r="AB3775">
        <v>2.2000000000000002</v>
      </c>
    </row>
    <row r="3776" spans="10:28">
      <c r="J3776" s="340" t="str">
        <f t="shared" si="165"/>
        <v>2014FemaleNon-Maori213</v>
      </c>
      <c r="K3776">
        <v>2014</v>
      </c>
      <c r="L3776" t="s">
        <v>8</v>
      </c>
      <c r="M3776" t="s">
        <v>19</v>
      </c>
      <c r="N3776">
        <v>21</v>
      </c>
      <c r="O3776">
        <v>3</v>
      </c>
      <c r="P3776">
        <v>1</v>
      </c>
      <c r="Q3776">
        <v>1.5546181607798999</v>
      </c>
      <c r="R3776">
        <v>3</v>
      </c>
      <c r="T3776" s="340" t="str">
        <f t="shared" si="166"/>
        <v>2014FemaleAllEth21Hanging, strangulation and suffocation</v>
      </c>
      <c r="U3776">
        <v>2014</v>
      </c>
      <c r="V3776" t="s">
        <v>8</v>
      </c>
      <c r="W3776" t="s">
        <v>27</v>
      </c>
      <c r="X3776">
        <v>21</v>
      </c>
      <c r="Y3776" t="s">
        <v>43</v>
      </c>
      <c r="Z3776">
        <v>2</v>
      </c>
      <c r="AA3776">
        <v>4</v>
      </c>
      <c r="AB3776">
        <v>50</v>
      </c>
    </row>
    <row r="3777" spans="10:28">
      <c r="J3777" s="340" t="str">
        <f t="shared" si="165"/>
        <v>2014FemaleNon-Maori214</v>
      </c>
      <c r="K3777">
        <v>2014</v>
      </c>
      <c r="L3777" t="s">
        <v>8</v>
      </c>
      <c r="M3777" t="s">
        <v>19</v>
      </c>
      <c r="N3777">
        <v>21</v>
      </c>
      <c r="O3777">
        <v>4</v>
      </c>
      <c r="P3777">
        <v>0</v>
      </c>
      <c r="Q3777">
        <v>0</v>
      </c>
      <c r="T3777" s="340" t="str">
        <f t="shared" si="166"/>
        <v>2014FemaleAllEth22Hanging, strangulation and suffocation</v>
      </c>
      <c r="U3777">
        <v>2014</v>
      </c>
      <c r="V3777" t="s">
        <v>8</v>
      </c>
      <c r="W3777" t="s">
        <v>27</v>
      </c>
      <c r="X3777">
        <v>22</v>
      </c>
      <c r="Y3777" t="s">
        <v>43</v>
      </c>
      <c r="Z3777">
        <v>18</v>
      </c>
      <c r="AA3777">
        <v>21</v>
      </c>
      <c r="AB3777">
        <v>85.7</v>
      </c>
    </row>
    <row r="3778" spans="10:28">
      <c r="J3778" s="340" t="str">
        <f t="shared" si="165"/>
        <v>2014FemaleNon-Maori215</v>
      </c>
      <c r="K3778">
        <v>2014</v>
      </c>
      <c r="L3778" t="s">
        <v>8</v>
      </c>
      <c r="M3778" t="s">
        <v>19</v>
      </c>
      <c r="N3778">
        <v>21</v>
      </c>
      <c r="O3778">
        <v>5</v>
      </c>
      <c r="P3778">
        <v>0</v>
      </c>
      <c r="Q3778">
        <v>0</v>
      </c>
      <c r="T3778" s="340" t="str">
        <f t="shared" si="166"/>
        <v>2014FemaleAllEth23Hanging, strangulation and suffocation</v>
      </c>
      <c r="U3778">
        <v>2014</v>
      </c>
      <c r="V3778" t="s">
        <v>8</v>
      </c>
      <c r="W3778" t="s">
        <v>27</v>
      </c>
      <c r="X3778">
        <v>23</v>
      </c>
      <c r="Y3778" t="s">
        <v>43</v>
      </c>
      <c r="Z3778">
        <v>37</v>
      </c>
      <c r="AA3778">
        <v>50</v>
      </c>
      <c r="AB3778">
        <v>74</v>
      </c>
    </row>
    <row r="3779" spans="10:28">
      <c r="J3779" s="340" t="str">
        <f t="shared" si="165"/>
        <v>2014FemaleNon-Maori221</v>
      </c>
      <c r="K3779">
        <v>2014</v>
      </c>
      <c r="L3779" t="s">
        <v>8</v>
      </c>
      <c r="M3779" t="s">
        <v>19</v>
      </c>
      <c r="N3779">
        <v>22</v>
      </c>
      <c r="O3779">
        <v>1</v>
      </c>
      <c r="P3779">
        <v>1</v>
      </c>
      <c r="Q3779">
        <v>2.0378938077278099</v>
      </c>
      <c r="R3779">
        <v>4</v>
      </c>
      <c r="T3779" s="340" t="str">
        <f t="shared" si="166"/>
        <v>2014FemaleAllEth24Hanging, strangulation and suffocation</v>
      </c>
      <c r="U3779">
        <v>2014</v>
      </c>
      <c r="V3779" t="s">
        <v>8</v>
      </c>
      <c r="W3779" t="s">
        <v>27</v>
      </c>
      <c r="X3779">
        <v>24</v>
      </c>
      <c r="Y3779" t="s">
        <v>43</v>
      </c>
      <c r="Z3779">
        <v>11</v>
      </c>
      <c r="AA3779">
        <v>45</v>
      </c>
      <c r="AB3779">
        <v>24.4</v>
      </c>
    </row>
    <row r="3780" spans="10:28">
      <c r="J3780" s="340" t="str">
        <f t="shared" ref="J3780:J3843" si="167">K3780&amp;L3780&amp;M3780&amp;N3780&amp;O3780</f>
        <v>2014FemaleNon-Maori222</v>
      </c>
      <c r="K3780">
        <v>2014</v>
      </c>
      <c r="L3780" t="s">
        <v>8</v>
      </c>
      <c r="M3780" t="s">
        <v>19</v>
      </c>
      <c r="N3780">
        <v>22</v>
      </c>
      <c r="O3780">
        <v>2</v>
      </c>
      <c r="P3780">
        <v>3</v>
      </c>
      <c r="Q3780">
        <v>6.2255459719164596</v>
      </c>
      <c r="R3780">
        <v>7</v>
      </c>
      <c r="T3780" s="340" t="str">
        <f t="shared" si="166"/>
        <v>2014FemaleAllEth25Hanging, strangulation and suffocation</v>
      </c>
      <c r="U3780">
        <v>2014</v>
      </c>
      <c r="V3780" t="s">
        <v>8</v>
      </c>
      <c r="W3780" t="s">
        <v>27</v>
      </c>
      <c r="X3780">
        <v>25</v>
      </c>
      <c r="Y3780" t="s">
        <v>43</v>
      </c>
      <c r="Z3780">
        <v>2</v>
      </c>
      <c r="AA3780">
        <v>11</v>
      </c>
      <c r="AB3780">
        <v>18.2</v>
      </c>
    </row>
    <row r="3781" spans="10:28">
      <c r="J3781" s="340" t="str">
        <f t="shared" si="167"/>
        <v>2014FemaleNon-Maori223</v>
      </c>
      <c r="K3781">
        <v>2014</v>
      </c>
      <c r="L3781" t="s">
        <v>8</v>
      </c>
      <c r="M3781" t="s">
        <v>19</v>
      </c>
      <c r="N3781">
        <v>22</v>
      </c>
      <c r="O3781">
        <v>3</v>
      </c>
      <c r="P3781">
        <v>5</v>
      </c>
      <c r="Q3781">
        <v>10.283011156779001</v>
      </c>
      <c r="R3781">
        <v>9</v>
      </c>
      <c r="T3781" s="340" t="str">
        <f t="shared" ref="T3781:T3844" si="168">U3781&amp;V3781&amp;W3781&amp;X3781&amp;Y3781</f>
        <v>2014FemaleAllEth24Jumping from a high place</v>
      </c>
      <c r="U3781">
        <v>2014</v>
      </c>
      <c r="V3781" t="s">
        <v>8</v>
      </c>
      <c r="W3781" t="s">
        <v>27</v>
      </c>
      <c r="X3781">
        <v>24</v>
      </c>
      <c r="Y3781" t="s">
        <v>44</v>
      </c>
      <c r="Z3781">
        <v>3</v>
      </c>
      <c r="AA3781">
        <v>45</v>
      </c>
      <c r="AB3781">
        <v>6.7</v>
      </c>
    </row>
    <row r="3782" spans="10:28">
      <c r="J3782" s="340" t="str">
        <f t="shared" si="167"/>
        <v>2014FemaleNon-Maori224</v>
      </c>
      <c r="K3782">
        <v>2014</v>
      </c>
      <c r="L3782" t="s">
        <v>8</v>
      </c>
      <c r="M3782" t="s">
        <v>19</v>
      </c>
      <c r="N3782">
        <v>22</v>
      </c>
      <c r="O3782">
        <v>4</v>
      </c>
      <c r="P3782">
        <v>2</v>
      </c>
      <c r="Q3782">
        <v>3.81080682071407</v>
      </c>
      <c r="R3782">
        <v>5.3</v>
      </c>
      <c r="T3782" s="340" t="str">
        <f t="shared" si="168"/>
        <v>2014FemaleAllEth25Jumping from a high place</v>
      </c>
      <c r="U3782">
        <v>2014</v>
      </c>
      <c r="V3782" t="s">
        <v>8</v>
      </c>
      <c r="W3782" t="s">
        <v>27</v>
      </c>
      <c r="X3782">
        <v>25</v>
      </c>
      <c r="Y3782" t="s">
        <v>44</v>
      </c>
      <c r="Z3782">
        <v>1</v>
      </c>
      <c r="AA3782">
        <v>11</v>
      </c>
      <c r="AB3782">
        <v>9.1</v>
      </c>
    </row>
    <row r="3783" spans="10:28">
      <c r="J3783" s="340" t="str">
        <f t="shared" si="167"/>
        <v>2014FemaleNon-Maori225</v>
      </c>
      <c r="K3783">
        <v>2014</v>
      </c>
      <c r="L3783" t="s">
        <v>8</v>
      </c>
      <c r="M3783" t="s">
        <v>19</v>
      </c>
      <c r="N3783">
        <v>22</v>
      </c>
      <c r="O3783">
        <v>5</v>
      </c>
      <c r="P3783">
        <v>2</v>
      </c>
      <c r="Q3783">
        <v>3.91192306450924</v>
      </c>
      <c r="R3783">
        <v>5.4</v>
      </c>
      <c r="T3783" s="340" t="str">
        <f t="shared" si="168"/>
        <v>2014FemaleAllEth21Other</v>
      </c>
      <c r="U3783">
        <v>2014</v>
      </c>
      <c r="V3783" t="s">
        <v>8</v>
      </c>
      <c r="W3783" t="s">
        <v>27</v>
      </c>
      <c r="X3783">
        <v>21</v>
      </c>
      <c r="Y3783" t="s">
        <v>45</v>
      </c>
      <c r="Z3783">
        <v>1</v>
      </c>
      <c r="AA3783">
        <v>4</v>
      </c>
      <c r="AB3783">
        <v>25</v>
      </c>
    </row>
    <row r="3784" spans="10:28">
      <c r="J3784" s="340" t="str">
        <f t="shared" si="167"/>
        <v>2014FemaleNon-Maori231</v>
      </c>
      <c r="K3784">
        <v>2014</v>
      </c>
      <c r="L3784" t="s">
        <v>8</v>
      </c>
      <c r="M3784" t="s">
        <v>19</v>
      </c>
      <c r="N3784">
        <v>23</v>
      </c>
      <c r="O3784">
        <v>1</v>
      </c>
      <c r="P3784">
        <v>2</v>
      </c>
      <c r="Q3784">
        <v>1.8630894455590501</v>
      </c>
      <c r="R3784">
        <v>2.6</v>
      </c>
      <c r="T3784" s="340" t="str">
        <f t="shared" si="168"/>
        <v>2014FemaleAllEth24Other</v>
      </c>
      <c r="U3784">
        <v>2014</v>
      </c>
      <c r="V3784" t="s">
        <v>8</v>
      </c>
      <c r="W3784" t="s">
        <v>27</v>
      </c>
      <c r="X3784">
        <v>24</v>
      </c>
      <c r="Y3784" t="s">
        <v>45</v>
      </c>
      <c r="Z3784">
        <v>1</v>
      </c>
      <c r="AA3784">
        <v>45</v>
      </c>
      <c r="AB3784">
        <v>2.2000000000000002</v>
      </c>
    </row>
    <row r="3785" spans="10:28">
      <c r="J3785" s="340" t="str">
        <f t="shared" si="167"/>
        <v>2014FemaleNon-Maori232</v>
      </c>
      <c r="K3785">
        <v>2014</v>
      </c>
      <c r="L3785" t="s">
        <v>8</v>
      </c>
      <c r="M3785" t="s">
        <v>19</v>
      </c>
      <c r="N3785">
        <v>23</v>
      </c>
      <c r="O3785">
        <v>2</v>
      </c>
      <c r="P3785">
        <v>7</v>
      </c>
      <c r="Q3785">
        <v>6.2264413737592701</v>
      </c>
      <c r="R3785">
        <v>4.5999999999999996</v>
      </c>
      <c r="T3785" s="340" t="str">
        <f t="shared" si="168"/>
        <v>2014FemaleAllEth22Poisoning by gases and vapours</v>
      </c>
      <c r="U3785">
        <v>2014</v>
      </c>
      <c r="V3785" t="s">
        <v>8</v>
      </c>
      <c r="W3785" t="s">
        <v>27</v>
      </c>
      <c r="X3785">
        <v>22</v>
      </c>
      <c r="Y3785" t="s">
        <v>46</v>
      </c>
      <c r="Z3785">
        <v>1</v>
      </c>
      <c r="AA3785">
        <v>21</v>
      </c>
      <c r="AB3785">
        <v>4.8</v>
      </c>
    </row>
    <row r="3786" spans="10:28">
      <c r="J3786" s="340" t="str">
        <f t="shared" si="167"/>
        <v>2014FemaleNon-Maori233</v>
      </c>
      <c r="K3786">
        <v>2014</v>
      </c>
      <c r="L3786" t="s">
        <v>8</v>
      </c>
      <c r="M3786" t="s">
        <v>19</v>
      </c>
      <c r="N3786">
        <v>23</v>
      </c>
      <c r="O3786">
        <v>3</v>
      </c>
      <c r="P3786">
        <v>4</v>
      </c>
      <c r="Q3786">
        <v>3.6569619513160601</v>
      </c>
      <c r="R3786">
        <v>3.6</v>
      </c>
      <c r="T3786" s="340" t="str">
        <f t="shared" si="168"/>
        <v>2014FemaleAllEth24Poisoning by gases and vapours</v>
      </c>
      <c r="U3786">
        <v>2014</v>
      </c>
      <c r="V3786" t="s">
        <v>8</v>
      </c>
      <c r="W3786" t="s">
        <v>27</v>
      </c>
      <c r="X3786">
        <v>24</v>
      </c>
      <c r="Y3786" t="s">
        <v>46</v>
      </c>
      <c r="Z3786">
        <v>8</v>
      </c>
      <c r="AA3786">
        <v>45</v>
      </c>
      <c r="AB3786">
        <v>17.8</v>
      </c>
    </row>
    <row r="3787" spans="10:28">
      <c r="J3787" s="340" t="str">
        <f t="shared" si="167"/>
        <v>2014FemaleNon-Maori234</v>
      </c>
      <c r="K3787">
        <v>2014</v>
      </c>
      <c r="L3787" t="s">
        <v>8</v>
      </c>
      <c r="M3787" t="s">
        <v>19</v>
      </c>
      <c r="N3787">
        <v>23</v>
      </c>
      <c r="O3787">
        <v>4</v>
      </c>
      <c r="P3787">
        <v>11</v>
      </c>
      <c r="Q3787">
        <v>10.9233254568404</v>
      </c>
      <c r="R3787">
        <v>6.5</v>
      </c>
      <c r="T3787" s="340" t="str">
        <f t="shared" si="168"/>
        <v>2014FemaleAllEth22Poisoning by solids and liquids</v>
      </c>
      <c r="U3787">
        <v>2014</v>
      </c>
      <c r="V3787" t="s">
        <v>8</v>
      </c>
      <c r="W3787" t="s">
        <v>27</v>
      </c>
      <c r="X3787">
        <v>22</v>
      </c>
      <c r="Y3787" t="s">
        <v>47</v>
      </c>
      <c r="Z3787">
        <v>1</v>
      </c>
      <c r="AA3787">
        <v>21</v>
      </c>
      <c r="AB3787">
        <v>4.8</v>
      </c>
    </row>
    <row r="3788" spans="10:28">
      <c r="J3788" s="340" t="str">
        <f t="shared" si="167"/>
        <v>2014FemaleNon-Maori235</v>
      </c>
      <c r="K3788">
        <v>2014</v>
      </c>
      <c r="L3788" t="s">
        <v>8</v>
      </c>
      <c r="M3788" t="s">
        <v>19</v>
      </c>
      <c r="N3788">
        <v>23</v>
      </c>
      <c r="O3788">
        <v>5</v>
      </c>
      <c r="P3788">
        <v>10</v>
      </c>
      <c r="Q3788">
        <v>12.284751444655599</v>
      </c>
      <c r="R3788">
        <v>7.6</v>
      </c>
      <c r="T3788" s="340" t="str">
        <f t="shared" si="168"/>
        <v>2014FemaleAllEth23Poisoning by solids and liquids</v>
      </c>
      <c r="U3788">
        <v>2014</v>
      </c>
      <c r="V3788" t="s">
        <v>8</v>
      </c>
      <c r="W3788" t="s">
        <v>27</v>
      </c>
      <c r="X3788">
        <v>23</v>
      </c>
      <c r="Y3788" t="s">
        <v>47</v>
      </c>
      <c r="Z3788">
        <v>10</v>
      </c>
      <c r="AA3788">
        <v>50</v>
      </c>
      <c r="AB3788">
        <v>20</v>
      </c>
    </row>
    <row r="3789" spans="10:28">
      <c r="J3789" s="340" t="str">
        <f t="shared" si="167"/>
        <v>2014FemaleNon-Maori241</v>
      </c>
      <c r="K3789">
        <v>2014</v>
      </c>
      <c r="L3789" t="s">
        <v>8</v>
      </c>
      <c r="M3789" t="s">
        <v>19</v>
      </c>
      <c r="N3789">
        <v>24</v>
      </c>
      <c r="O3789">
        <v>1</v>
      </c>
      <c r="P3789">
        <v>5</v>
      </c>
      <c r="Q3789">
        <v>3.6852177536398099</v>
      </c>
      <c r="R3789">
        <v>3.2</v>
      </c>
      <c r="T3789" s="340" t="str">
        <f t="shared" si="168"/>
        <v>2014FemaleAllEth24Poisoning by solids and liquids</v>
      </c>
      <c r="U3789">
        <v>2014</v>
      </c>
      <c r="V3789" t="s">
        <v>8</v>
      </c>
      <c r="W3789" t="s">
        <v>27</v>
      </c>
      <c r="X3789">
        <v>24</v>
      </c>
      <c r="Y3789" t="s">
        <v>47</v>
      </c>
      <c r="Z3789">
        <v>17</v>
      </c>
      <c r="AA3789">
        <v>45</v>
      </c>
      <c r="AB3789">
        <v>37.799999999999997</v>
      </c>
    </row>
    <row r="3790" spans="10:28">
      <c r="J3790" s="340" t="str">
        <f t="shared" si="167"/>
        <v>2014FemaleNon-Maori242</v>
      </c>
      <c r="K3790">
        <v>2014</v>
      </c>
      <c r="L3790" t="s">
        <v>8</v>
      </c>
      <c r="M3790" t="s">
        <v>19</v>
      </c>
      <c r="N3790">
        <v>24</v>
      </c>
      <c r="O3790">
        <v>2</v>
      </c>
      <c r="P3790">
        <v>11</v>
      </c>
      <c r="Q3790">
        <v>9.1763322059623906</v>
      </c>
      <c r="R3790">
        <v>5.4</v>
      </c>
      <c r="T3790" s="340" t="str">
        <f t="shared" si="168"/>
        <v>2014FemaleAllEth25Poisoning by solids and liquids</v>
      </c>
      <c r="U3790">
        <v>2014</v>
      </c>
      <c r="V3790" t="s">
        <v>8</v>
      </c>
      <c r="W3790" t="s">
        <v>27</v>
      </c>
      <c r="X3790">
        <v>25</v>
      </c>
      <c r="Y3790" t="s">
        <v>47</v>
      </c>
      <c r="Z3790">
        <v>7</v>
      </c>
      <c r="AA3790">
        <v>11</v>
      </c>
      <c r="AB3790">
        <v>63.6</v>
      </c>
    </row>
    <row r="3791" spans="10:28">
      <c r="J3791" s="340" t="str">
        <f t="shared" si="167"/>
        <v>2014FemaleNon-Maori243</v>
      </c>
      <c r="K3791">
        <v>2014</v>
      </c>
      <c r="L3791" t="s">
        <v>8</v>
      </c>
      <c r="M3791" t="s">
        <v>19</v>
      </c>
      <c r="N3791">
        <v>24</v>
      </c>
      <c r="O3791">
        <v>3</v>
      </c>
      <c r="P3791">
        <v>6</v>
      </c>
      <c r="Q3791">
        <v>5.6765484109840996</v>
      </c>
      <c r="R3791">
        <v>4.5</v>
      </c>
      <c r="T3791" s="340" t="str">
        <f t="shared" si="168"/>
        <v>2014FemaleAllEth22Sharp object</v>
      </c>
      <c r="U3791">
        <v>2014</v>
      </c>
      <c r="V3791" t="s">
        <v>8</v>
      </c>
      <c r="W3791" t="s">
        <v>27</v>
      </c>
      <c r="X3791">
        <v>22</v>
      </c>
      <c r="Y3791" t="s">
        <v>48</v>
      </c>
      <c r="Z3791">
        <v>1</v>
      </c>
      <c r="AA3791">
        <v>21</v>
      </c>
      <c r="AB3791">
        <v>4.8</v>
      </c>
    </row>
    <row r="3792" spans="10:28">
      <c r="J3792" s="340" t="str">
        <f t="shared" si="167"/>
        <v>2014FemaleNon-Maori244</v>
      </c>
      <c r="K3792">
        <v>2014</v>
      </c>
      <c r="L3792" t="s">
        <v>8</v>
      </c>
      <c r="M3792" t="s">
        <v>19</v>
      </c>
      <c r="N3792">
        <v>24</v>
      </c>
      <c r="O3792">
        <v>4</v>
      </c>
      <c r="P3792">
        <v>9</v>
      </c>
      <c r="Q3792">
        <v>9.9169269344864599</v>
      </c>
      <c r="R3792">
        <v>6.5</v>
      </c>
      <c r="T3792" s="340" t="str">
        <f t="shared" si="168"/>
        <v>2014FemaleAllEth23Sharp object</v>
      </c>
      <c r="U3792">
        <v>2014</v>
      </c>
      <c r="V3792" t="s">
        <v>8</v>
      </c>
      <c r="W3792" t="s">
        <v>27</v>
      </c>
      <c r="X3792">
        <v>23</v>
      </c>
      <c r="Y3792" t="s">
        <v>48</v>
      </c>
      <c r="Z3792">
        <v>1</v>
      </c>
      <c r="AA3792">
        <v>50</v>
      </c>
      <c r="AB3792">
        <v>2</v>
      </c>
    </row>
    <row r="3793" spans="10:28">
      <c r="J3793" s="340" t="str">
        <f t="shared" si="167"/>
        <v>2014FemaleNon-Maori245</v>
      </c>
      <c r="K3793">
        <v>2014</v>
      </c>
      <c r="L3793" t="s">
        <v>8</v>
      </c>
      <c r="M3793" t="s">
        <v>19</v>
      </c>
      <c r="N3793">
        <v>24</v>
      </c>
      <c r="O3793">
        <v>5</v>
      </c>
      <c r="P3793">
        <v>11</v>
      </c>
      <c r="Q3793">
        <v>15.5775528899731</v>
      </c>
      <c r="R3793">
        <v>9.1999999999999993</v>
      </c>
      <c r="T3793" s="340" t="str">
        <f t="shared" si="168"/>
        <v>2014FemaleAllEth24Sharp object</v>
      </c>
      <c r="U3793">
        <v>2014</v>
      </c>
      <c r="V3793" t="s">
        <v>8</v>
      </c>
      <c r="W3793" t="s">
        <v>27</v>
      </c>
      <c r="X3793">
        <v>24</v>
      </c>
      <c r="Y3793" t="s">
        <v>48</v>
      </c>
      <c r="Z3793">
        <v>3</v>
      </c>
      <c r="AA3793">
        <v>45</v>
      </c>
      <c r="AB3793">
        <v>6.7</v>
      </c>
    </row>
    <row r="3794" spans="10:28">
      <c r="J3794" s="340" t="str">
        <f t="shared" si="167"/>
        <v>2014FemaleNon-Maori251</v>
      </c>
      <c r="K3794">
        <v>2014</v>
      </c>
      <c r="L3794" t="s">
        <v>8</v>
      </c>
      <c r="M3794" t="s">
        <v>19</v>
      </c>
      <c r="N3794">
        <v>25</v>
      </c>
      <c r="O3794">
        <v>1</v>
      </c>
      <c r="P3794">
        <v>2</v>
      </c>
      <c r="Q3794">
        <v>2.9658621797576901</v>
      </c>
      <c r="R3794">
        <v>4.0999999999999996</v>
      </c>
      <c r="T3794" s="340" t="str">
        <f t="shared" si="168"/>
        <v>2014FemaleAllEth25Sharp object</v>
      </c>
      <c r="U3794">
        <v>2014</v>
      </c>
      <c r="V3794" t="s">
        <v>8</v>
      </c>
      <c r="W3794" t="s">
        <v>27</v>
      </c>
      <c r="X3794">
        <v>25</v>
      </c>
      <c r="Y3794" t="s">
        <v>48</v>
      </c>
      <c r="Z3794">
        <v>1</v>
      </c>
      <c r="AA3794">
        <v>11</v>
      </c>
      <c r="AB3794">
        <v>9.1</v>
      </c>
    </row>
    <row r="3795" spans="10:28">
      <c r="J3795" s="340" t="str">
        <f t="shared" si="167"/>
        <v>2014FemaleNon-Maori252</v>
      </c>
      <c r="K3795">
        <v>2014</v>
      </c>
      <c r="L3795" t="s">
        <v>8</v>
      </c>
      <c r="M3795" t="s">
        <v>19</v>
      </c>
      <c r="N3795">
        <v>25</v>
      </c>
      <c r="O3795">
        <v>2</v>
      </c>
      <c r="P3795">
        <v>2</v>
      </c>
      <c r="Q3795">
        <v>2.90285033415255</v>
      </c>
      <c r="R3795">
        <v>4</v>
      </c>
      <c r="T3795" s="340" t="str">
        <f t="shared" si="168"/>
        <v>2014FemaleAllEth23Submersion (drowning)</v>
      </c>
      <c r="U3795">
        <v>2014</v>
      </c>
      <c r="V3795" t="s">
        <v>8</v>
      </c>
      <c r="W3795" t="s">
        <v>27</v>
      </c>
      <c r="X3795">
        <v>23</v>
      </c>
      <c r="Y3795" t="s">
        <v>49</v>
      </c>
      <c r="Z3795">
        <v>1</v>
      </c>
      <c r="AA3795">
        <v>50</v>
      </c>
      <c r="AB3795">
        <v>2</v>
      </c>
    </row>
    <row r="3796" spans="10:28">
      <c r="J3796" s="340" t="str">
        <f t="shared" si="167"/>
        <v>2014FemaleNon-Maori253</v>
      </c>
      <c r="K3796">
        <v>2014</v>
      </c>
      <c r="L3796" t="s">
        <v>8</v>
      </c>
      <c r="M3796" t="s">
        <v>19</v>
      </c>
      <c r="N3796">
        <v>25</v>
      </c>
      <c r="O3796">
        <v>3</v>
      </c>
      <c r="P3796">
        <v>4</v>
      </c>
      <c r="Q3796">
        <v>5.8437412949770797</v>
      </c>
      <c r="R3796">
        <v>5.7</v>
      </c>
      <c r="T3796" s="340" t="str">
        <f t="shared" si="168"/>
        <v>2014FemaleAllEth24Submersion (drowning)</v>
      </c>
      <c r="U3796">
        <v>2014</v>
      </c>
      <c r="V3796" t="s">
        <v>8</v>
      </c>
      <c r="W3796" t="s">
        <v>27</v>
      </c>
      <c r="X3796">
        <v>24</v>
      </c>
      <c r="Y3796" t="s">
        <v>49</v>
      </c>
      <c r="Z3796">
        <v>1</v>
      </c>
      <c r="AA3796">
        <v>45</v>
      </c>
      <c r="AB3796">
        <v>2.2000000000000002</v>
      </c>
    </row>
    <row r="3797" spans="10:28">
      <c r="J3797" s="340" t="str">
        <f t="shared" si="167"/>
        <v>2014FemaleNon-Maori254</v>
      </c>
      <c r="K3797">
        <v>2014</v>
      </c>
      <c r="L3797" t="s">
        <v>8</v>
      </c>
      <c r="M3797" t="s">
        <v>19</v>
      </c>
      <c r="N3797">
        <v>25</v>
      </c>
      <c r="O3797">
        <v>4</v>
      </c>
      <c r="P3797">
        <v>1</v>
      </c>
      <c r="Q3797">
        <v>1.43420367779917</v>
      </c>
      <c r="R3797">
        <v>2.8</v>
      </c>
      <c r="T3797" s="340" t="str">
        <f t="shared" si="168"/>
        <v>2014FemaleMaori21Hanging, strangulation and suffocation</v>
      </c>
      <c r="U3797">
        <v>2014</v>
      </c>
      <c r="V3797" t="s">
        <v>8</v>
      </c>
      <c r="W3797" t="s">
        <v>18</v>
      </c>
      <c r="X3797">
        <v>21</v>
      </c>
      <c r="Y3797" t="s">
        <v>43</v>
      </c>
      <c r="Z3797">
        <v>2</v>
      </c>
      <c r="AA3797">
        <v>2</v>
      </c>
      <c r="AB3797">
        <v>100</v>
      </c>
    </row>
    <row r="3798" spans="10:28">
      <c r="J3798" s="340" t="str">
        <f t="shared" si="167"/>
        <v>2014FemaleNon-Maori255</v>
      </c>
      <c r="K3798">
        <v>2014</v>
      </c>
      <c r="L3798" t="s">
        <v>8</v>
      </c>
      <c r="M3798" t="s">
        <v>19</v>
      </c>
      <c r="N3798">
        <v>25</v>
      </c>
      <c r="O3798">
        <v>5</v>
      </c>
      <c r="P3798">
        <v>2</v>
      </c>
      <c r="Q3798">
        <v>3.94131834516832</v>
      </c>
      <c r="R3798">
        <v>5.5</v>
      </c>
      <c r="T3798" s="340" t="str">
        <f t="shared" si="168"/>
        <v>2014FemaleMaori22Hanging, strangulation and suffocation</v>
      </c>
      <c r="U3798">
        <v>2014</v>
      </c>
      <c r="V3798" t="s">
        <v>8</v>
      </c>
      <c r="W3798" t="s">
        <v>18</v>
      </c>
      <c r="X3798">
        <v>22</v>
      </c>
      <c r="Y3798" t="s">
        <v>43</v>
      </c>
      <c r="Z3798">
        <v>7</v>
      </c>
      <c r="AA3798">
        <v>8</v>
      </c>
      <c r="AB3798">
        <v>87.5</v>
      </c>
    </row>
    <row r="3799" spans="10:28">
      <c r="J3799" s="340" t="str">
        <f t="shared" si="167"/>
        <v>2014MaleAllEth211</v>
      </c>
      <c r="K3799">
        <v>2014</v>
      </c>
      <c r="L3799" t="s">
        <v>20</v>
      </c>
      <c r="M3799" t="s">
        <v>27</v>
      </c>
      <c r="N3799">
        <v>21</v>
      </c>
      <c r="O3799">
        <v>1</v>
      </c>
      <c r="P3799">
        <v>0</v>
      </c>
      <c r="Q3799">
        <v>0</v>
      </c>
      <c r="T3799" s="340" t="str">
        <f t="shared" si="168"/>
        <v>2014FemaleMaori23Hanging, strangulation and suffocation</v>
      </c>
      <c r="U3799">
        <v>2014</v>
      </c>
      <c r="V3799" t="s">
        <v>8</v>
      </c>
      <c r="W3799" t="s">
        <v>18</v>
      </c>
      <c r="X3799">
        <v>23</v>
      </c>
      <c r="Y3799" t="s">
        <v>43</v>
      </c>
      <c r="Z3799">
        <v>11</v>
      </c>
      <c r="AA3799">
        <v>15</v>
      </c>
      <c r="AB3799">
        <v>73.3</v>
      </c>
    </row>
    <row r="3800" spans="10:28">
      <c r="J3800" s="340" t="str">
        <f t="shared" si="167"/>
        <v>2014MaleAllEth212</v>
      </c>
      <c r="K3800">
        <v>2014</v>
      </c>
      <c r="L3800" t="s">
        <v>20</v>
      </c>
      <c r="M3800" t="s">
        <v>27</v>
      </c>
      <c r="N3800">
        <v>21</v>
      </c>
      <c r="O3800">
        <v>2</v>
      </c>
      <c r="P3800">
        <v>0</v>
      </c>
      <c r="Q3800">
        <v>0</v>
      </c>
      <c r="T3800" s="340" t="str">
        <f t="shared" si="168"/>
        <v>2014FemaleMaori24Hanging, strangulation and suffocation</v>
      </c>
      <c r="U3800">
        <v>2014</v>
      </c>
      <c r="V3800" t="s">
        <v>8</v>
      </c>
      <c r="W3800" t="s">
        <v>18</v>
      </c>
      <c r="X3800">
        <v>24</v>
      </c>
      <c r="Y3800" t="s">
        <v>43</v>
      </c>
      <c r="Z3800">
        <v>1</v>
      </c>
      <c r="AA3800">
        <v>2</v>
      </c>
      <c r="AB3800">
        <v>50</v>
      </c>
    </row>
    <row r="3801" spans="10:28">
      <c r="J3801" s="340" t="str">
        <f t="shared" si="167"/>
        <v>2014MaleAllEth213</v>
      </c>
      <c r="K3801">
        <v>2014</v>
      </c>
      <c r="L3801" t="s">
        <v>20</v>
      </c>
      <c r="M3801" t="s">
        <v>27</v>
      </c>
      <c r="N3801">
        <v>21</v>
      </c>
      <c r="O3801">
        <v>3</v>
      </c>
      <c r="P3801">
        <v>0</v>
      </c>
      <c r="Q3801">
        <v>0</v>
      </c>
      <c r="T3801" s="340" t="str">
        <f t="shared" si="168"/>
        <v>2014FemaleMaori24Jumping from a high place</v>
      </c>
      <c r="U3801">
        <v>2014</v>
      </c>
      <c r="V3801" t="s">
        <v>8</v>
      </c>
      <c r="W3801" t="s">
        <v>18</v>
      </c>
      <c r="X3801">
        <v>24</v>
      </c>
      <c r="Y3801" t="s">
        <v>44</v>
      </c>
      <c r="Z3801">
        <v>1</v>
      </c>
      <c r="AA3801">
        <v>2</v>
      </c>
      <c r="AB3801">
        <v>50</v>
      </c>
    </row>
    <row r="3802" spans="10:28">
      <c r="J3802" s="340" t="str">
        <f t="shared" si="167"/>
        <v>2014MaleAllEth214</v>
      </c>
      <c r="K3802">
        <v>2014</v>
      </c>
      <c r="L3802" t="s">
        <v>20</v>
      </c>
      <c r="M3802" t="s">
        <v>27</v>
      </c>
      <c r="N3802">
        <v>21</v>
      </c>
      <c r="O3802">
        <v>4</v>
      </c>
      <c r="P3802">
        <v>1</v>
      </c>
      <c r="Q3802">
        <v>1.14047503952817</v>
      </c>
      <c r="R3802">
        <v>2.2000000000000002</v>
      </c>
      <c r="T3802" s="340" t="str">
        <f t="shared" si="168"/>
        <v>2014FemaleMaori22Poisoning by solids and liquids</v>
      </c>
      <c r="U3802">
        <v>2014</v>
      </c>
      <c r="V3802" t="s">
        <v>8</v>
      </c>
      <c r="W3802" t="s">
        <v>18</v>
      </c>
      <c r="X3802">
        <v>22</v>
      </c>
      <c r="Y3802" t="s">
        <v>47</v>
      </c>
      <c r="Z3802">
        <v>1</v>
      </c>
      <c r="AA3802">
        <v>8</v>
      </c>
      <c r="AB3802">
        <v>12.5</v>
      </c>
    </row>
    <row r="3803" spans="10:28">
      <c r="J3803" s="340" t="str">
        <f t="shared" si="167"/>
        <v>2014MaleAllEth215</v>
      </c>
      <c r="K3803">
        <v>2014</v>
      </c>
      <c r="L3803" t="s">
        <v>20</v>
      </c>
      <c r="M3803" t="s">
        <v>27</v>
      </c>
      <c r="N3803">
        <v>21</v>
      </c>
      <c r="O3803">
        <v>5</v>
      </c>
      <c r="P3803">
        <v>1</v>
      </c>
      <c r="Q3803">
        <v>0.90530202554054096</v>
      </c>
      <c r="R3803">
        <v>1.8</v>
      </c>
      <c r="T3803" s="340" t="str">
        <f t="shared" si="168"/>
        <v>2014FemaleMaori23Poisoning by solids and liquids</v>
      </c>
      <c r="U3803">
        <v>2014</v>
      </c>
      <c r="V3803" t="s">
        <v>8</v>
      </c>
      <c r="W3803" t="s">
        <v>18</v>
      </c>
      <c r="X3803">
        <v>23</v>
      </c>
      <c r="Y3803" t="s">
        <v>47</v>
      </c>
      <c r="Z3803">
        <v>4</v>
      </c>
      <c r="AA3803">
        <v>15</v>
      </c>
      <c r="AB3803">
        <v>26.7</v>
      </c>
    </row>
    <row r="3804" spans="10:28">
      <c r="J3804" s="340" t="str">
        <f t="shared" si="167"/>
        <v>2014MaleAllEth221</v>
      </c>
      <c r="K3804">
        <v>2014</v>
      </c>
      <c r="L3804" t="s">
        <v>20</v>
      </c>
      <c r="M3804" t="s">
        <v>27</v>
      </c>
      <c r="N3804">
        <v>22</v>
      </c>
      <c r="O3804">
        <v>1</v>
      </c>
      <c r="P3804">
        <v>9</v>
      </c>
      <c r="Q3804">
        <v>15.301428145058001</v>
      </c>
      <c r="R3804">
        <v>10</v>
      </c>
      <c r="T3804" s="340" t="str">
        <f t="shared" si="168"/>
        <v>2014FemaleNon-Maori21Firearms and explosives</v>
      </c>
      <c r="U3804">
        <v>2014</v>
      </c>
      <c r="V3804" t="s">
        <v>8</v>
      </c>
      <c r="W3804" t="s">
        <v>19</v>
      </c>
      <c r="X3804">
        <v>21</v>
      </c>
      <c r="Y3804" t="s">
        <v>42</v>
      </c>
      <c r="Z3804">
        <v>1</v>
      </c>
      <c r="AA3804">
        <v>2</v>
      </c>
      <c r="AB3804">
        <v>50</v>
      </c>
    </row>
    <row r="3805" spans="10:28">
      <c r="J3805" s="340" t="str">
        <f t="shared" si="167"/>
        <v>2014MaleAllEth222</v>
      </c>
      <c r="K3805">
        <v>2014</v>
      </c>
      <c r="L3805" t="s">
        <v>20</v>
      </c>
      <c r="M3805" t="s">
        <v>27</v>
      </c>
      <c r="N3805">
        <v>22</v>
      </c>
      <c r="O3805">
        <v>2</v>
      </c>
      <c r="P3805">
        <v>9</v>
      </c>
      <c r="Q3805">
        <v>15.104398865024701</v>
      </c>
      <c r="R3805">
        <v>9.9</v>
      </c>
      <c r="T3805" s="340" t="str">
        <f t="shared" si="168"/>
        <v>2014FemaleNon-Maori23Firearms and explosives</v>
      </c>
      <c r="U3805">
        <v>2014</v>
      </c>
      <c r="V3805" t="s">
        <v>8</v>
      </c>
      <c r="W3805" t="s">
        <v>19</v>
      </c>
      <c r="X3805">
        <v>23</v>
      </c>
      <c r="Y3805" t="s">
        <v>42</v>
      </c>
      <c r="Z3805">
        <v>1</v>
      </c>
      <c r="AA3805">
        <v>35</v>
      </c>
      <c r="AB3805">
        <v>2.9</v>
      </c>
    </row>
    <row r="3806" spans="10:28">
      <c r="J3806" s="340" t="str">
        <f t="shared" si="167"/>
        <v>2014MaleAllEth223</v>
      </c>
      <c r="K3806">
        <v>2014</v>
      </c>
      <c r="L3806" t="s">
        <v>20</v>
      </c>
      <c r="M3806" t="s">
        <v>27</v>
      </c>
      <c r="N3806">
        <v>22</v>
      </c>
      <c r="O3806">
        <v>3</v>
      </c>
      <c r="P3806">
        <v>12</v>
      </c>
      <c r="Q3806">
        <v>19.091298256521899</v>
      </c>
      <c r="R3806">
        <v>10.8</v>
      </c>
      <c r="T3806" s="340" t="str">
        <f t="shared" si="168"/>
        <v>2014FemaleNon-Maori24Firearms and explosives</v>
      </c>
      <c r="U3806">
        <v>2014</v>
      </c>
      <c r="V3806" t="s">
        <v>8</v>
      </c>
      <c r="W3806" t="s">
        <v>19</v>
      </c>
      <c r="X3806">
        <v>24</v>
      </c>
      <c r="Y3806" t="s">
        <v>42</v>
      </c>
      <c r="Z3806">
        <v>1</v>
      </c>
      <c r="AA3806">
        <v>43</v>
      </c>
      <c r="AB3806">
        <v>2.2999999999999998</v>
      </c>
    </row>
    <row r="3807" spans="10:28">
      <c r="J3807" s="340" t="str">
        <f t="shared" si="167"/>
        <v>2014MaleAllEth224</v>
      </c>
      <c r="K3807">
        <v>2014</v>
      </c>
      <c r="L3807" t="s">
        <v>20</v>
      </c>
      <c r="M3807" t="s">
        <v>27</v>
      </c>
      <c r="N3807">
        <v>22</v>
      </c>
      <c r="O3807">
        <v>4</v>
      </c>
      <c r="P3807">
        <v>13</v>
      </c>
      <c r="Q3807">
        <v>18.7700633052408</v>
      </c>
      <c r="R3807">
        <v>10.199999999999999</v>
      </c>
      <c r="T3807" s="340" t="str">
        <f t="shared" si="168"/>
        <v>2014FemaleNon-Maori22Hanging, strangulation and suffocation</v>
      </c>
      <c r="U3807">
        <v>2014</v>
      </c>
      <c r="V3807" t="s">
        <v>8</v>
      </c>
      <c r="W3807" t="s">
        <v>19</v>
      </c>
      <c r="X3807">
        <v>22</v>
      </c>
      <c r="Y3807" t="s">
        <v>43</v>
      </c>
      <c r="Z3807">
        <v>11</v>
      </c>
      <c r="AA3807">
        <v>13</v>
      </c>
      <c r="AB3807">
        <v>84.6</v>
      </c>
    </row>
    <row r="3808" spans="10:28">
      <c r="J3808" s="340" t="str">
        <f t="shared" si="167"/>
        <v>2014MaleAllEth225</v>
      </c>
      <c r="K3808">
        <v>2014</v>
      </c>
      <c r="L3808" t="s">
        <v>20</v>
      </c>
      <c r="M3808" t="s">
        <v>27</v>
      </c>
      <c r="N3808">
        <v>22</v>
      </c>
      <c r="O3808">
        <v>5</v>
      </c>
      <c r="P3808">
        <v>23</v>
      </c>
      <c r="Q3808">
        <v>29.780736253744202</v>
      </c>
      <c r="R3808">
        <v>12.2</v>
      </c>
      <c r="T3808" s="340" t="str">
        <f t="shared" si="168"/>
        <v>2014FemaleNon-Maori23Hanging, strangulation and suffocation</v>
      </c>
      <c r="U3808">
        <v>2014</v>
      </c>
      <c r="V3808" t="s">
        <v>8</v>
      </c>
      <c r="W3808" t="s">
        <v>19</v>
      </c>
      <c r="X3808">
        <v>23</v>
      </c>
      <c r="Y3808" t="s">
        <v>43</v>
      </c>
      <c r="Z3808">
        <v>26</v>
      </c>
      <c r="AA3808">
        <v>35</v>
      </c>
      <c r="AB3808">
        <v>74.3</v>
      </c>
    </row>
    <row r="3809" spans="10:28">
      <c r="J3809" s="340" t="str">
        <f t="shared" si="167"/>
        <v>2014MaleAllEth231</v>
      </c>
      <c r="K3809">
        <v>2014</v>
      </c>
      <c r="L3809" t="s">
        <v>20</v>
      </c>
      <c r="M3809" t="s">
        <v>27</v>
      </c>
      <c r="N3809">
        <v>23</v>
      </c>
      <c r="O3809">
        <v>1</v>
      </c>
      <c r="P3809">
        <v>16</v>
      </c>
      <c r="Q3809">
        <v>15.4422257903115</v>
      </c>
      <c r="R3809">
        <v>7.6</v>
      </c>
      <c r="T3809" s="340" t="str">
        <f t="shared" si="168"/>
        <v>2014FemaleNon-Maori24Hanging, strangulation and suffocation</v>
      </c>
      <c r="U3809">
        <v>2014</v>
      </c>
      <c r="V3809" t="s">
        <v>8</v>
      </c>
      <c r="W3809" t="s">
        <v>19</v>
      </c>
      <c r="X3809">
        <v>24</v>
      </c>
      <c r="Y3809" t="s">
        <v>43</v>
      </c>
      <c r="Z3809">
        <v>10</v>
      </c>
      <c r="AA3809">
        <v>43</v>
      </c>
      <c r="AB3809">
        <v>23.3</v>
      </c>
    </row>
    <row r="3810" spans="10:28">
      <c r="J3810" s="340" t="str">
        <f t="shared" si="167"/>
        <v>2014MaleAllEth232</v>
      </c>
      <c r="K3810">
        <v>2014</v>
      </c>
      <c r="L3810" t="s">
        <v>20</v>
      </c>
      <c r="M3810" t="s">
        <v>27</v>
      </c>
      <c r="N3810">
        <v>23</v>
      </c>
      <c r="O3810">
        <v>2</v>
      </c>
      <c r="P3810">
        <v>18</v>
      </c>
      <c r="Q3810">
        <v>15.862443415628301</v>
      </c>
      <c r="R3810">
        <v>7.3</v>
      </c>
      <c r="T3810" s="340" t="str">
        <f t="shared" si="168"/>
        <v>2014FemaleNon-Maori25Hanging, strangulation and suffocation</v>
      </c>
      <c r="U3810">
        <v>2014</v>
      </c>
      <c r="V3810" t="s">
        <v>8</v>
      </c>
      <c r="W3810" t="s">
        <v>19</v>
      </c>
      <c r="X3810">
        <v>25</v>
      </c>
      <c r="Y3810" t="s">
        <v>43</v>
      </c>
      <c r="Z3810">
        <v>2</v>
      </c>
      <c r="AA3810">
        <v>11</v>
      </c>
      <c r="AB3810">
        <v>18.2</v>
      </c>
    </row>
    <row r="3811" spans="10:28">
      <c r="J3811" s="340" t="str">
        <f t="shared" si="167"/>
        <v>2014MaleAllEth233</v>
      </c>
      <c r="K3811">
        <v>2014</v>
      </c>
      <c r="L3811" t="s">
        <v>20</v>
      </c>
      <c r="M3811" t="s">
        <v>27</v>
      </c>
      <c r="N3811">
        <v>23</v>
      </c>
      <c r="O3811">
        <v>3</v>
      </c>
      <c r="P3811">
        <v>28</v>
      </c>
      <c r="Q3811">
        <v>23.876656075765801</v>
      </c>
      <c r="R3811">
        <v>8.8000000000000007</v>
      </c>
      <c r="T3811" s="340" t="str">
        <f t="shared" si="168"/>
        <v>2014FemaleNon-Maori24Jumping from a high place</v>
      </c>
      <c r="U3811">
        <v>2014</v>
      </c>
      <c r="V3811" t="s">
        <v>8</v>
      </c>
      <c r="W3811" t="s">
        <v>19</v>
      </c>
      <c r="X3811">
        <v>24</v>
      </c>
      <c r="Y3811" t="s">
        <v>44</v>
      </c>
      <c r="Z3811">
        <v>2</v>
      </c>
      <c r="AA3811">
        <v>43</v>
      </c>
      <c r="AB3811">
        <v>4.7</v>
      </c>
    </row>
    <row r="3812" spans="10:28">
      <c r="J3812" s="340" t="str">
        <f t="shared" si="167"/>
        <v>2014MaleAllEth234</v>
      </c>
      <c r="K3812">
        <v>2014</v>
      </c>
      <c r="L3812" t="s">
        <v>20</v>
      </c>
      <c r="M3812" t="s">
        <v>27</v>
      </c>
      <c r="N3812">
        <v>23</v>
      </c>
      <c r="O3812">
        <v>4</v>
      </c>
      <c r="P3812">
        <v>33</v>
      </c>
      <c r="Q3812">
        <v>28.5922609444054</v>
      </c>
      <c r="R3812">
        <v>9.8000000000000007</v>
      </c>
      <c r="T3812" s="340" t="str">
        <f t="shared" si="168"/>
        <v>2014FemaleNon-Maori25Jumping from a high place</v>
      </c>
      <c r="U3812">
        <v>2014</v>
      </c>
      <c r="V3812" t="s">
        <v>8</v>
      </c>
      <c r="W3812" t="s">
        <v>19</v>
      </c>
      <c r="X3812">
        <v>25</v>
      </c>
      <c r="Y3812" t="s">
        <v>44</v>
      </c>
      <c r="Z3812">
        <v>1</v>
      </c>
      <c r="AA3812">
        <v>11</v>
      </c>
      <c r="AB3812">
        <v>9.1</v>
      </c>
    </row>
    <row r="3813" spans="10:28">
      <c r="J3813" s="340" t="str">
        <f t="shared" si="167"/>
        <v>2014MaleAllEth235</v>
      </c>
      <c r="K3813">
        <v>2014</v>
      </c>
      <c r="L3813" t="s">
        <v>20</v>
      </c>
      <c r="M3813" t="s">
        <v>27</v>
      </c>
      <c r="N3813">
        <v>23</v>
      </c>
      <c r="O3813">
        <v>5</v>
      </c>
      <c r="P3813">
        <v>41</v>
      </c>
      <c r="Q3813">
        <v>38.716424497693502</v>
      </c>
      <c r="R3813">
        <v>11.9</v>
      </c>
      <c r="T3813" s="340" t="str">
        <f t="shared" si="168"/>
        <v>2014FemaleNon-Maori21Other</v>
      </c>
      <c r="U3813">
        <v>2014</v>
      </c>
      <c r="V3813" t="s">
        <v>8</v>
      </c>
      <c r="W3813" t="s">
        <v>19</v>
      </c>
      <c r="X3813">
        <v>21</v>
      </c>
      <c r="Y3813" t="s">
        <v>45</v>
      </c>
      <c r="Z3813">
        <v>1</v>
      </c>
      <c r="AA3813">
        <v>2</v>
      </c>
      <c r="AB3813">
        <v>50</v>
      </c>
    </row>
    <row r="3814" spans="10:28">
      <c r="J3814" s="340" t="str">
        <f t="shared" si="167"/>
        <v>2014MaleAllEth241</v>
      </c>
      <c r="K3814">
        <v>2014</v>
      </c>
      <c r="L3814" t="s">
        <v>20</v>
      </c>
      <c r="M3814" t="s">
        <v>27</v>
      </c>
      <c r="N3814">
        <v>24</v>
      </c>
      <c r="O3814">
        <v>1</v>
      </c>
      <c r="P3814">
        <v>16</v>
      </c>
      <c r="Q3814">
        <v>11.6771462106708</v>
      </c>
      <c r="R3814">
        <v>5.7</v>
      </c>
      <c r="T3814" s="340" t="str">
        <f t="shared" si="168"/>
        <v>2014FemaleNon-Maori24Other</v>
      </c>
      <c r="U3814">
        <v>2014</v>
      </c>
      <c r="V3814" t="s">
        <v>8</v>
      </c>
      <c r="W3814" t="s">
        <v>19</v>
      </c>
      <c r="X3814">
        <v>24</v>
      </c>
      <c r="Y3814" t="s">
        <v>45</v>
      </c>
      <c r="Z3814">
        <v>1</v>
      </c>
      <c r="AA3814">
        <v>43</v>
      </c>
      <c r="AB3814">
        <v>2.2999999999999998</v>
      </c>
    </row>
    <row r="3815" spans="10:28">
      <c r="J3815" s="340" t="str">
        <f t="shared" si="167"/>
        <v>2014MaleAllEth242</v>
      </c>
      <c r="K3815">
        <v>2014</v>
      </c>
      <c r="L3815" t="s">
        <v>20</v>
      </c>
      <c r="M3815" t="s">
        <v>27</v>
      </c>
      <c r="N3815">
        <v>24</v>
      </c>
      <c r="O3815">
        <v>2</v>
      </c>
      <c r="P3815">
        <v>17</v>
      </c>
      <c r="Q3815">
        <v>13.9840551551797</v>
      </c>
      <c r="R3815">
        <v>6.6</v>
      </c>
      <c r="T3815" s="340" t="str">
        <f t="shared" si="168"/>
        <v>2014FemaleNon-Maori22Poisoning by gases and vapours</v>
      </c>
      <c r="U3815">
        <v>2014</v>
      </c>
      <c r="V3815" t="s">
        <v>8</v>
      </c>
      <c r="W3815" t="s">
        <v>19</v>
      </c>
      <c r="X3815">
        <v>22</v>
      </c>
      <c r="Y3815" t="s">
        <v>46</v>
      </c>
      <c r="Z3815">
        <v>1</v>
      </c>
      <c r="AA3815">
        <v>13</v>
      </c>
      <c r="AB3815">
        <v>7.7</v>
      </c>
    </row>
    <row r="3816" spans="10:28">
      <c r="J3816" s="340" t="str">
        <f t="shared" si="167"/>
        <v>2014MaleAllEth243</v>
      </c>
      <c r="K3816">
        <v>2014</v>
      </c>
      <c r="L3816" t="s">
        <v>20</v>
      </c>
      <c r="M3816" t="s">
        <v>27</v>
      </c>
      <c r="N3816">
        <v>24</v>
      </c>
      <c r="O3816">
        <v>3</v>
      </c>
      <c r="P3816">
        <v>23</v>
      </c>
      <c r="Q3816">
        <v>21.006545758649999</v>
      </c>
      <c r="R3816">
        <v>8.6</v>
      </c>
      <c r="T3816" s="340" t="str">
        <f t="shared" si="168"/>
        <v>2014FemaleNon-Maori24Poisoning by gases and vapours</v>
      </c>
      <c r="U3816">
        <v>2014</v>
      </c>
      <c r="V3816" t="s">
        <v>8</v>
      </c>
      <c r="W3816" t="s">
        <v>19</v>
      </c>
      <c r="X3816">
        <v>24</v>
      </c>
      <c r="Y3816" t="s">
        <v>46</v>
      </c>
      <c r="Z3816">
        <v>8</v>
      </c>
      <c r="AA3816">
        <v>43</v>
      </c>
      <c r="AB3816">
        <v>18.600000000000001</v>
      </c>
    </row>
    <row r="3817" spans="10:28">
      <c r="J3817" s="340" t="str">
        <f t="shared" si="167"/>
        <v>2014MaleAllEth244</v>
      </c>
      <c r="K3817">
        <v>2014</v>
      </c>
      <c r="L3817" t="s">
        <v>20</v>
      </c>
      <c r="M3817" t="s">
        <v>27</v>
      </c>
      <c r="N3817">
        <v>24</v>
      </c>
      <c r="O3817">
        <v>4</v>
      </c>
      <c r="P3817">
        <v>30</v>
      </c>
      <c r="Q3817">
        <v>30.176426965838601</v>
      </c>
      <c r="R3817">
        <v>10.8</v>
      </c>
      <c r="T3817" s="340" t="str">
        <f t="shared" si="168"/>
        <v>2014FemaleNon-Maori23Poisoning by solids and liquids</v>
      </c>
      <c r="U3817">
        <v>2014</v>
      </c>
      <c r="V3817" t="s">
        <v>8</v>
      </c>
      <c r="W3817" t="s">
        <v>19</v>
      </c>
      <c r="X3817">
        <v>23</v>
      </c>
      <c r="Y3817" t="s">
        <v>47</v>
      </c>
      <c r="Z3817">
        <v>6</v>
      </c>
      <c r="AA3817">
        <v>35</v>
      </c>
      <c r="AB3817">
        <v>17.100000000000001</v>
      </c>
    </row>
    <row r="3818" spans="10:28">
      <c r="J3818" s="340" t="str">
        <f t="shared" si="167"/>
        <v>2014MaleAllEth245</v>
      </c>
      <c r="K3818">
        <v>2014</v>
      </c>
      <c r="L3818" t="s">
        <v>20</v>
      </c>
      <c r="M3818" t="s">
        <v>27</v>
      </c>
      <c r="N3818">
        <v>24</v>
      </c>
      <c r="O3818">
        <v>5</v>
      </c>
      <c r="P3818">
        <v>26</v>
      </c>
      <c r="Q3818">
        <v>28.650814757151299</v>
      </c>
      <c r="R3818">
        <v>11</v>
      </c>
      <c r="T3818" s="340" t="str">
        <f t="shared" si="168"/>
        <v>2014FemaleNon-Maori24Poisoning by solids and liquids</v>
      </c>
      <c r="U3818">
        <v>2014</v>
      </c>
      <c r="V3818" t="s">
        <v>8</v>
      </c>
      <c r="W3818" t="s">
        <v>19</v>
      </c>
      <c r="X3818">
        <v>24</v>
      </c>
      <c r="Y3818" t="s">
        <v>47</v>
      </c>
      <c r="Z3818">
        <v>17</v>
      </c>
      <c r="AA3818">
        <v>43</v>
      </c>
      <c r="AB3818">
        <v>39.5</v>
      </c>
    </row>
    <row r="3819" spans="10:28">
      <c r="J3819" s="340" t="str">
        <f t="shared" si="167"/>
        <v>2014MaleAllEth251</v>
      </c>
      <c r="K3819">
        <v>2014</v>
      </c>
      <c r="L3819" t="s">
        <v>20</v>
      </c>
      <c r="M3819" t="s">
        <v>27</v>
      </c>
      <c r="N3819">
        <v>25</v>
      </c>
      <c r="O3819">
        <v>1</v>
      </c>
      <c r="P3819">
        <v>8</v>
      </c>
      <c r="Q3819">
        <v>12.252945607282401</v>
      </c>
      <c r="R3819">
        <v>8.5</v>
      </c>
      <c r="T3819" s="340" t="str">
        <f t="shared" si="168"/>
        <v>2014FemaleNon-Maori25Poisoning by solids and liquids</v>
      </c>
      <c r="U3819">
        <v>2014</v>
      </c>
      <c r="V3819" t="s">
        <v>8</v>
      </c>
      <c r="W3819" t="s">
        <v>19</v>
      </c>
      <c r="X3819">
        <v>25</v>
      </c>
      <c r="Y3819" t="s">
        <v>47</v>
      </c>
      <c r="Z3819">
        <v>7</v>
      </c>
      <c r="AA3819">
        <v>11</v>
      </c>
      <c r="AB3819">
        <v>63.6</v>
      </c>
    </row>
    <row r="3820" spans="10:28">
      <c r="J3820" s="340" t="str">
        <f t="shared" si="167"/>
        <v>2014MaleAllEth252</v>
      </c>
      <c r="K3820">
        <v>2014</v>
      </c>
      <c r="L3820" t="s">
        <v>20</v>
      </c>
      <c r="M3820" t="s">
        <v>27</v>
      </c>
      <c r="N3820">
        <v>25</v>
      </c>
      <c r="O3820">
        <v>2</v>
      </c>
      <c r="P3820">
        <v>5</v>
      </c>
      <c r="Q3820">
        <v>7.7780916701696103</v>
      </c>
      <c r="R3820">
        <v>6.8</v>
      </c>
      <c r="T3820" s="340" t="str">
        <f t="shared" si="168"/>
        <v>2014FemaleNon-Maori22Sharp object</v>
      </c>
      <c r="U3820">
        <v>2014</v>
      </c>
      <c r="V3820" t="s">
        <v>8</v>
      </c>
      <c r="W3820" t="s">
        <v>19</v>
      </c>
      <c r="X3820">
        <v>22</v>
      </c>
      <c r="Y3820" t="s">
        <v>48</v>
      </c>
      <c r="Z3820">
        <v>1</v>
      </c>
      <c r="AA3820">
        <v>13</v>
      </c>
      <c r="AB3820">
        <v>7.7</v>
      </c>
    </row>
    <row r="3821" spans="10:28">
      <c r="J3821" s="340" t="str">
        <f t="shared" si="167"/>
        <v>2014MaleAllEth253</v>
      </c>
      <c r="K3821">
        <v>2014</v>
      </c>
      <c r="L3821" t="s">
        <v>20</v>
      </c>
      <c r="M3821" t="s">
        <v>27</v>
      </c>
      <c r="N3821">
        <v>25</v>
      </c>
      <c r="O3821">
        <v>3</v>
      </c>
      <c r="P3821">
        <v>8</v>
      </c>
      <c r="Q3821">
        <v>12.935301823733599</v>
      </c>
      <c r="R3821">
        <v>9</v>
      </c>
      <c r="T3821" s="340" t="str">
        <f t="shared" si="168"/>
        <v>2014FemaleNon-Maori23Sharp object</v>
      </c>
      <c r="U3821">
        <v>2014</v>
      </c>
      <c r="V3821" t="s">
        <v>8</v>
      </c>
      <c r="W3821" t="s">
        <v>19</v>
      </c>
      <c r="X3821">
        <v>23</v>
      </c>
      <c r="Y3821" t="s">
        <v>48</v>
      </c>
      <c r="Z3821">
        <v>1</v>
      </c>
      <c r="AA3821">
        <v>35</v>
      </c>
      <c r="AB3821">
        <v>2.9</v>
      </c>
    </row>
    <row r="3822" spans="10:28">
      <c r="J3822" s="340" t="str">
        <f t="shared" si="167"/>
        <v>2014MaleAllEth254</v>
      </c>
      <c r="K3822">
        <v>2014</v>
      </c>
      <c r="L3822" t="s">
        <v>20</v>
      </c>
      <c r="M3822" t="s">
        <v>27</v>
      </c>
      <c r="N3822">
        <v>25</v>
      </c>
      <c r="O3822">
        <v>4</v>
      </c>
      <c r="P3822">
        <v>16</v>
      </c>
      <c r="Q3822">
        <v>26.680356204078599</v>
      </c>
      <c r="R3822">
        <v>13.1</v>
      </c>
      <c r="T3822" s="340" t="str">
        <f t="shared" si="168"/>
        <v>2014FemaleNon-Maori24Sharp object</v>
      </c>
      <c r="U3822">
        <v>2014</v>
      </c>
      <c r="V3822" t="s">
        <v>8</v>
      </c>
      <c r="W3822" t="s">
        <v>19</v>
      </c>
      <c r="X3822">
        <v>24</v>
      </c>
      <c r="Y3822" t="s">
        <v>48</v>
      </c>
      <c r="Z3822">
        <v>3</v>
      </c>
      <c r="AA3822">
        <v>43</v>
      </c>
      <c r="AB3822">
        <v>7</v>
      </c>
    </row>
    <row r="3823" spans="10:28">
      <c r="J3823" s="340" t="str">
        <f t="shared" si="167"/>
        <v>2014MaleAllEth255</v>
      </c>
      <c r="K3823">
        <v>2014</v>
      </c>
      <c r="L3823" t="s">
        <v>20</v>
      </c>
      <c r="M3823" t="s">
        <v>27</v>
      </c>
      <c r="N3823">
        <v>25</v>
      </c>
      <c r="O3823">
        <v>5</v>
      </c>
      <c r="P3823">
        <v>11</v>
      </c>
      <c r="Q3823">
        <v>22.194163576138202</v>
      </c>
      <c r="R3823">
        <v>13.1</v>
      </c>
      <c r="T3823" s="340" t="str">
        <f t="shared" si="168"/>
        <v>2014FemaleNon-Maori25Sharp object</v>
      </c>
      <c r="U3823">
        <v>2014</v>
      </c>
      <c r="V3823" t="s">
        <v>8</v>
      </c>
      <c r="W3823" t="s">
        <v>19</v>
      </c>
      <c r="X3823">
        <v>25</v>
      </c>
      <c r="Y3823" t="s">
        <v>48</v>
      </c>
      <c r="Z3823">
        <v>1</v>
      </c>
      <c r="AA3823">
        <v>11</v>
      </c>
      <c r="AB3823">
        <v>9.1</v>
      </c>
    </row>
    <row r="3824" spans="10:28">
      <c r="J3824" s="340" t="str">
        <f t="shared" si="167"/>
        <v>2014MaleMaori211</v>
      </c>
      <c r="K3824">
        <v>2014</v>
      </c>
      <c r="L3824" t="s">
        <v>20</v>
      </c>
      <c r="M3824" t="s">
        <v>18</v>
      </c>
      <c r="N3824">
        <v>21</v>
      </c>
      <c r="O3824">
        <v>1</v>
      </c>
      <c r="P3824">
        <v>0</v>
      </c>
      <c r="Q3824">
        <v>0</v>
      </c>
      <c r="T3824" s="340" t="str">
        <f t="shared" si="168"/>
        <v>2014FemaleNon-Maori23Submersion (drowning)</v>
      </c>
      <c r="U3824">
        <v>2014</v>
      </c>
      <c r="V3824" t="s">
        <v>8</v>
      </c>
      <c r="W3824" t="s">
        <v>19</v>
      </c>
      <c r="X3824">
        <v>23</v>
      </c>
      <c r="Y3824" t="s">
        <v>49</v>
      </c>
      <c r="Z3824">
        <v>1</v>
      </c>
      <c r="AA3824">
        <v>35</v>
      </c>
      <c r="AB3824">
        <v>2.9</v>
      </c>
    </row>
    <row r="3825" spans="10:28">
      <c r="J3825" s="340" t="str">
        <f t="shared" si="167"/>
        <v>2014MaleMaori212</v>
      </c>
      <c r="K3825">
        <v>2014</v>
      </c>
      <c r="L3825" t="s">
        <v>20</v>
      </c>
      <c r="M3825" t="s">
        <v>18</v>
      </c>
      <c r="N3825">
        <v>21</v>
      </c>
      <c r="O3825">
        <v>2</v>
      </c>
      <c r="P3825">
        <v>0</v>
      </c>
      <c r="Q3825">
        <v>0</v>
      </c>
      <c r="T3825" s="340" t="str">
        <f t="shared" si="168"/>
        <v>2014FemaleNon-Maori24Submersion (drowning)</v>
      </c>
      <c r="U3825">
        <v>2014</v>
      </c>
      <c r="V3825" t="s">
        <v>8</v>
      </c>
      <c r="W3825" t="s">
        <v>19</v>
      </c>
      <c r="X3825">
        <v>24</v>
      </c>
      <c r="Y3825" t="s">
        <v>49</v>
      </c>
      <c r="Z3825">
        <v>1</v>
      </c>
      <c r="AA3825">
        <v>43</v>
      </c>
      <c r="AB3825">
        <v>2.2999999999999998</v>
      </c>
    </row>
    <row r="3826" spans="10:28">
      <c r="J3826" s="340" t="str">
        <f t="shared" si="167"/>
        <v>2014MaleMaori213</v>
      </c>
      <c r="K3826">
        <v>2014</v>
      </c>
      <c r="L3826" t="s">
        <v>20</v>
      </c>
      <c r="M3826" t="s">
        <v>18</v>
      </c>
      <c r="N3826">
        <v>21</v>
      </c>
      <c r="O3826">
        <v>3</v>
      </c>
      <c r="P3826">
        <v>0</v>
      </c>
      <c r="Q3826">
        <v>0</v>
      </c>
      <c r="T3826" s="340" t="str">
        <f t="shared" si="168"/>
        <v>2014MaleAllEth22Firearms and explosives</v>
      </c>
      <c r="U3826">
        <v>2014</v>
      </c>
      <c r="V3826" t="s">
        <v>20</v>
      </c>
      <c r="W3826" t="s">
        <v>27</v>
      </c>
      <c r="X3826">
        <v>22</v>
      </c>
      <c r="Y3826" t="s">
        <v>42</v>
      </c>
      <c r="Z3826">
        <v>2</v>
      </c>
      <c r="AA3826">
        <v>68</v>
      </c>
      <c r="AB3826">
        <v>2.9</v>
      </c>
    </row>
    <row r="3827" spans="10:28">
      <c r="J3827" s="340" t="str">
        <f t="shared" si="167"/>
        <v>2014MaleMaori214</v>
      </c>
      <c r="K3827">
        <v>2014</v>
      </c>
      <c r="L3827" t="s">
        <v>20</v>
      </c>
      <c r="M3827" t="s">
        <v>18</v>
      </c>
      <c r="N3827">
        <v>21</v>
      </c>
      <c r="O3827">
        <v>4</v>
      </c>
      <c r="P3827">
        <v>1</v>
      </c>
      <c r="Q3827">
        <v>3.6828229687660898</v>
      </c>
      <c r="R3827">
        <v>7.2</v>
      </c>
      <c r="T3827" s="340" t="str">
        <f t="shared" si="168"/>
        <v>2014MaleAllEth23Firearms and explosives</v>
      </c>
      <c r="U3827">
        <v>2014</v>
      </c>
      <c r="V3827" t="s">
        <v>20</v>
      </c>
      <c r="W3827" t="s">
        <v>27</v>
      </c>
      <c r="X3827">
        <v>23</v>
      </c>
      <c r="Y3827" t="s">
        <v>42</v>
      </c>
      <c r="Z3827">
        <v>7</v>
      </c>
      <c r="AA3827">
        <v>140</v>
      </c>
      <c r="AB3827">
        <v>5</v>
      </c>
    </row>
    <row r="3828" spans="10:28">
      <c r="J3828" s="340" t="str">
        <f t="shared" si="167"/>
        <v>2014MaleMaori215</v>
      </c>
      <c r="K3828">
        <v>2014</v>
      </c>
      <c r="L3828" t="s">
        <v>20</v>
      </c>
      <c r="M3828" t="s">
        <v>18</v>
      </c>
      <c r="N3828">
        <v>21</v>
      </c>
      <c r="O3828">
        <v>5</v>
      </c>
      <c r="P3828">
        <v>0</v>
      </c>
      <c r="Q3828">
        <v>0</v>
      </c>
      <c r="T3828" s="340" t="str">
        <f t="shared" si="168"/>
        <v>2014MaleAllEth24Firearms and explosives</v>
      </c>
      <c r="U3828">
        <v>2014</v>
      </c>
      <c r="V3828" t="s">
        <v>20</v>
      </c>
      <c r="W3828" t="s">
        <v>27</v>
      </c>
      <c r="X3828">
        <v>24</v>
      </c>
      <c r="Y3828" t="s">
        <v>42</v>
      </c>
      <c r="Z3828">
        <v>18</v>
      </c>
      <c r="AA3828">
        <v>120</v>
      </c>
      <c r="AB3828">
        <v>15</v>
      </c>
    </row>
    <row r="3829" spans="10:28">
      <c r="J3829" s="340" t="str">
        <f t="shared" si="167"/>
        <v>2014MaleMaori221</v>
      </c>
      <c r="K3829">
        <v>2014</v>
      </c>
      <c r="L3829" t="s">
        <v>20</v>
      </c>
      <c r="M3829" t="s">
        <v>18</v>
      </c>
      <c r="N3829">
        <v>22</v>
      </c>
      <c r="O3829">
        <v>1</v>
      </c>
      <c r="P3829">
        <v>2</v>
      </c>
      <c r="Q3829">
        <v>34.678854618915601</v>
      </c>
      <c r="R3829">
        <v>48.1</v>
      </c>
      <c r="T3829" s="340" t="str">
        <f t="shared" si="168"/>
        <v>2014MaleAllEth25Firearms and explosives</v>
      </c>
      <c r="U3829">
        <v>2014</v>
      </c>
      <c r="V3829" t="s">
        <v>20</v>
      </c>
      <c r="W3829" t="s">
        <v>27</v>
      </c>
      <c r="X3829">
        <v>25</v>
      </c>
      <c r="Y3829" t="s">
        <v>42</v>
      </c>
      <c r="Z3829">
        <v>11</v>
      </c>
      <c r="AA3829">
        <v>49</v>
      </c>
      <c r="AB3829">
        <v>22.4</v>
      </c>
    </row>
    <row r="3830" spans="10:28">
      <c r="J3830" s="340" t="str">
        <f t="shared" si="167"/>
        <v>2014MaleMaori222</v>
      </c>
      <c r="K3830">
        <v>2014</v>
      </c>
      <c r="L3830" t="s">
        <v>20</v>
      </c>
      <c r="M3830" t="s">
        <v>18</v>
      </c>
      <c r="N3830">
        <v>22</v>
      </c>
      <c r="O3830">
        <v>2</v>
      </c>
      <c r="P3830">
        <v>2</v>
      </c>
      <c r="Q3830">
        <v>25.9294330527954</v>
      </c>
      <c r="R3830">
        <v>35.9</v>
      </c>
      <c r="T3830" s="340" t="str">
        <f t="shared" si="168"/>
        <v>2014MaleAllEth21Hanging, strangulation and suffocation</v>
      </c>
      <c r="U3830">
        <v>2014</v>
      </c>
      <c r="V3830" t="s">
        <v>20</v>
      </c>
      <c r="W3830" t="s">
        <v>27</v>
      </c>
      <c r="X3830">
        <v>21</v>
      </c>
      <c r="Y3830" t="s">
        <v>43</v>
      </c>
      <c r="Z3830">
        <v>2</v>
      </c>
      <c r="AA3830">
        <v>2</v>
      </c>
      <c r="AB3830">
        <v>100</v>
      </c>
    </row>
    <row r="3831" spans="10:28">
      <c r="J3831" s="340" t="str">
        <f t="shared" si="167"/>
        <v>2014MaleMaori223</v>
      </c>
      <c r="K3831">
        <v>2014</v>
      </c>
      <c r="L3831" t="s">
        <v>20</v>
      </c>
      <c r="M3831" t="s">
        <v>18</v>
      </c>
      <c r="N3831">
        <v>22</v>
      </c>
      <c r="O3831">
        <v>3</v>
      </c>
      <c r="P3831">
        <v>2</v>
      </c>
      <c r="Q3831">
        <v>18.105306583552501</v>
      </c>
      <c r="R3831">
        <v>25.1</v>
      </c>
      <c r="T3831" s="340" t="str">
        <f t="shared" si="168"/>
        <v>2014MaleAllEth22Hanging, strangulation and suffocation</v>
      </c>
      <c r="U3831">
        <v>2014</v>
      </c>
      <c r="V3831" t="s">
        <v>20</v>
      </c>
      <c r="W3831" t="s">
        <v>27</v>
      </c>
      <c r="X3831">
        <v>22</v>
      </c>
      <c r="Y3831" t="s">
        <v>43</v>
      </c>
      <c r="Z3831">
        <v>60</v>
      </c>
      <c r="AA3831">
        <v>68</v>
      </c>
      <c r="AB3831">
        <v>88.2</v>
      </c>
    </row>
    <row r="3832" spans="10:28">
      <c r="J3832" s="340" t="str">
        <f t="shared" si="167"/>
        <v>2014MaleMaori224</v>
      </c>
      <c r="K3832">
        <v>2014</v>
      </c>
      <c r="L3832" t="s">
        <v>20</v>
      </c>
      <c r="M3832" t="s">
        <v>18</v>
      </c>
      <c r="N3832">
        <v>22</v>
      </c>
      <c r="O3832">
        <v>4</v>
      </c>
      <c r="P3832">
        <v>3</v>
      </c>
      <c r="Q3832">
        <v>19.230817557277501</v>
      </c>
      <c r="R3832">
        <v>21.8</v>
      </c>
      <c r="T3832" s="340" t="str">
        <f t="shared" si="168"/>
        <v>2014MaleAllEth23Hanging, strangulation and suffocation</v>
      </c>
      <c r="U3832">
        <v>2014</v>
      </c>
      <c r="V3832" t="s">
        <v>20</v>
      </c>
      <c r="W3832" t="s">
        <v>27</v>
      </c>
      <c r="X3832">
        <v>23</v>
      </c>
      <c r="Y3832" t="s">
        <v>43</v>
      </c>
      <c r="Z3832">
        <v>100</v>
      </c>
      <c r="AA3832">
        <v>140</v>
      </c>
      <c r="AB3832">
        <v>71.400000000000006</v>
      </c>
    </row>
    <row r="3833" spans="10:28">
      <c r="J3833" s="340" t="str">
        <f t="shared" si="167"/>
        <v>2014MaleMaori225</v>
      </c>
      <c r="K3833">
        <v>2014</v>
      </c>
      <c r="L3833" t="s">
        <v>20</v>
      </c>
      <c r="M3833" t="s">
        <v>18</v>
      </c>
      <c r="N3833">
        <v>22</v>
      </c>
      <c r="O3833">
        <v>5</v>
      </c>
      <c r="P3833">
        <v>11</v>
      </c>
      <c r="Q3833">
        <v>42.440902903698102</v>
      </c>
      <c r="R3833">
        <v>25.1</v>
      </c>
      <c r="T3833" s="340" t="str">
        <f t="shared" si="168"/>
        <v>2014MaleAllEth24Hanging, strangulation and suffocation</v>
      </c>
      <c r="U3833">
        <v>2014</v>
      </c>
      <c r="V3833" t="s">
        <v>20</v>
      </c>
      <c r="W3833" t="s">
        <v>27</v>
      </c>
      <c r="X3833">
        <v>24</v>
      </c>
      <c r="Y3833" t="s">
        <v>43</v>
      </c>
      <c r="Z3833">
        <v>57</v>
      </c>
      <c r="AA3833">
        <v>120</v>
      </c>
      <c r="AB3833">
        <v>47.5</v>
      </c>
    </row>
    <row r="3834" spans="10:28">
      <c r="J3834" s="340" t="str">
        <f t="shared" si="167"/>
        <v>2014MaleMaori231</v>
      </c>
      <c r="K3834">
        <v>2014</v>
      </c>
      <c r="L3834" t="s">
        <v>20</v>
      </c>
      <c r="M3834" t="s">
        <v>18</v>
      </c>
      <c r="N3834">
        <v>23</v>
      </c>
      <c r="O3834">
        <v>1</v>
      </c>
      <c r="P3834">
        <v>3</v>
      </c>
      <c r="Q3834">
        <v>40.874458844593498</v>
      </c>
      <c r="R3834">
        <v>46.3</v>
      </c>
      <c r="T3834" s="340" t="str">
        <f t="shared" si="168"/>
        <v>2014MaleAllEth25Hanging, strangulation and suffocation</v>
      </c>
      <c r="U3834">
        <v>2014</v>
      </c>
      <c r="V3834" t="s">
        <v>20</v>
      </c>
      <c r="W3834" t="s">
        <v>27</v>
      </c>
      <c r="X3834">
        <v>25</v>
      </c>
      <c r="Y3834" t="s">
        <v>43</v>
      </c>
      <c r="Z3834">
        <v>22</v>
      </c>
      <c r="AA3834">
        <v>49</v>
      </c>
      <c r="AB3834">
        <v>44.9</v>
      </c>
    </row>
    <row r="3835" spans="10:28">
      <c r="J3835" s="340" t="str">
        <f t="shared" si="167"/>
        <v>2014MaleMaori232</v>
      </c>
      <c r="K3835">
        <v>2014</v>
      </c>
      <c r="L3835" t="s">
        <v>20</v>
      </c>
      <c r="M3835" t="s">
        <v>18</v>
      </c>
      <c r="N3835">
        <v>23</v>
      </c>
      <c r="O3835">
        <v>2</v>
      </c>
      <c r="P3835">
        <v>2</v>
      </c>
      <c r="Q3835">
        <v>20.066634257273702</v>
      </c>
      <c r="R3835">
        <v>27.8</v>
      </c>
      <c r="T3835" s="340" t="str">
        <f t="shared" si="168"/>
        <v>2014MaleAllEth22Jumping from a high place</v>
      </c>
      <c r="U3835">
        <v>2014</v>
      </c>
      <c r="V3835" t="s">
        <v>20</v>
      </c>
      <c r="W3835" t="s">
        <v>27</v>
      </c>
      <c r="X3835">
        <v>22</v>
      </c>
      <c r="Y3835" t="s">
        <v>44</v>
      </c>
      <c r="Z3835">
        <v>1</v>
      </c>
      <c r="AA3835">
        <v>68</v>
      </c>
      <c r="AB3835">
        <v>1.5</v>
      </c>
    </row>
    <row r="3836" spans="10:28">
      <c r="J3836" s="340" t="str">
        <f t="shared" si="167"/>
        <v>2014MaleMaori233</v>
      </c>
      <c r="K3836">
        <v>2014</v>
      </c>
      <c r="L3836" t="s">
        <v>20</v>
      </c>
      <c r="M3836" t="s">
        <v>18</v>
      </c>
      <c r="N3836">
        <v>23</v>
      </c>
      <c r="O3836">
        <v>3</v>
      </c>
      <c r="P3836">
        <v>10</v>
      </c>
      <c r="Q3836">
        <v>72.143652237555102</v>
      </c>
      <c r="R3836">
        <v>44.7</v>
      </c>
      <c r="T3836" s="340" t="str">
        <f t="shared" si="168"/>
        <v>2014MaleAllEth23Jumping from a high place</v>
      </c>
      <c r="U3836">
        <v>2014</v>
      </c>
      <c r="V3836" t="s">
        <v>20</v>
      </c>
      <c r="W3836" t="s">
        <v>27</v>
      </c>
      <c r="X3836">
        <v>23</v>
      </c>
      <c r="Y3836" t="s">
        <v>44</v>
      </c>
      <c r="Z3836">
        <v>6</v>
      </c>
      <c r="AA3836">
        <v>140</v>
      </c>
      <c r="AB3836">
        <v>4.3</v>
      </c>
    </row>
    <row r="3837" spans="10:28">
      <c r="J3837" s="340" t="str">
        <f t="shared" si="167"/>
        <v>2014MaleMaori234</v>
      </c>
      <c r="K3837">
        <v>2014</v>
      </c>
      <c r="L3837" t="s">
        <v>20</v>
      </c>
      <c r="M3837" t="s">
        <v>18</v>
      </c>
      <c r="N3837">
        <v>23</v>
      </c>
      <c r="O3837">
        <v>4</v>
      </c>
      <c r="P3837">
        <v>10</v>
      </c>
      <c r="Q3837">
        <v>53.218335995262301</v>
      </c>
      <c r="R3837">
        <v>33</v>
      </c>
      <c r="T3837" s="340" t="str">
        <f t="shared" si="168"/>
        <v>2014MaleAllEth24Jumping from a high place</v>
      </c>
      <c r="U3837">
        <v>2014</v>
      </c>
      <c r="V3837" t="s">
        <v>20</v>
      </c>
      <c r="W3837" t="s">
        <v>27</v>
      </c>
      <c r="X3837">
        <v>24</v>
      </c>
      <c r="Y3837" t="s">
        <v>44</v>
      </c>
      <c r="Z3837">
        <v>4</v>
      </c>
      <c r="AA3837">
        <v>120</v>
      </c>
      <c r="AB3837">
        <v>3.3</v>
      </c>
    </row>
    <row r="3838" spans="10:28">
      <c r="J3838" s="340" t="str">
        <f t="shared" si="167"/>
        <v>2014MaleMaori235</v>
      </c>
      <c r="K3838">
        <v>2014</v>
      </c>
      <c r="L3838" t="s">
        <v>20</v>
      </c>
      <c r="M3838" t="s">
        <v>18</v>
      </c>
      <c r="N3838">
        <v>23</v>
      </c>
      <c r="O3838">
        <v>5</v>
      </c>
      <c r="P3838">
        <v>11</v>
      </c>
      <c r="Q3838">
        <v>39.192192261690003</v>
      </c>
      <c r="R3838">
        <v>23.2</v>
      </c>
      <c r="T3838" s="340" t="str">
        <f t="shared" si="168"/>
        <v>2014MaleAllEth22Other</v>
      </c>
      <c r="U3838">
        <v>2014</v>
      </c>
      <c r="V3838" t="s">
        <v>20</v>
      </c>
      <c r="W3838" t="s">
        <v>27</v>
      </c>
      <c r="X3838">
        <v>22</v>
      </c>
      <c r="Y3838" t="s">
        <v>45</v>
      </c>
      <c r="Z3838">
        <v>2</v>
      </c>
      <c r="AA3838">
        <v>68</v>
      </c>
      <c r="AB3838">
        <v>2.9</v>
      </c>
    </row>
    <row r="3839" spans="10:28">
      <c r="J3839" s="340" t="str">
        <f t="shared" si="167"/>
        <v>2014MaleMaori241</v>
      </c>
      <c r="K3839">
        <v>2014</v>
      </c>
      <c r="L3839" t="s">
        <v>20</v>
      </c>
      <c r="M3839" t="s">
        <v>18</v>
      </c>
      <c r="N3839">
        <v>24</v>
      </c>
      <c r="O3839">
        <v>1</v>
      </c>
      <c r="P3839">
        <v>0</v>
      </c>
      <c r="Q3839">
        <v>0</v>
      </c>
      <c r="T3839" s="340" t="str">
        <f t="shared" si="168"/>
        <v>2014MaleAllEth23Other</v>
      </c>
      <c r="U3839">
        <v>2014</v>
      </c>
      <c r="V3839" t="s">
        <v>20</v>
      </c>
      <c r="W3839" t="s">
        <v>27</v>
      </c>
      <c r="X3839">
        <v>23</v>
      </c>
      <c r="Y3839" t="s">
        <v>45</v>
      </c>
      <c r="Z3839">
        <v>2</v>
      </c>
      <c r="AA3839">
        <v>140</v>
      </c>
      <c r="AB3839">
        <v>1.4</v>
      </c>
    </row>
    <row r="3840" spans="10:28">
      <c r="J3840" s="340" t="str">
        <f t="shared" si="167"/>
        <v>2014MaleMaori242</v>
      </c>
      <c r="K3840">
        <v>2014</v>
      </c>
      <c r="L3840" t="s">
        <v>20</v>
      </c>
      <c r="M3840" t="s">
        <v>18</v>
      </c>
      <c r="N3840">
        <v>24</v>
      </c>
      <c r="O3840">
        <v>2</v>
      </c>
      <c r="P3840">
        <v>0</v>
      </c>
      <c r="Q3840">
        <v>0</v>
      </c>
      <c r="T3840" s="340" t="str">
        <f t="shared" si="168"/>
        <v>2014MaleAllEth24Other</v>
      </c>
      <c r="U3840">
        <v>2014</v>
      </c>
      <c r="V3840" t="s">
        <v>20</v>
      </c>
      <c r="W3840" t="s">
        <v>27</v>
      </c>
      <c r="X3840">
        <v>24</v>
      </c>
      <c r="Y3840" t="s">
        <v>45</v>
      </c>
      <c r="Z3840">
        <v>8</v>
      </c>
      <c r="AA3840">
        <v>120</v>
      </c>
      <c r="AB3840">
        <v>6.7</v>
      </c>
    </row>
    <row r="3841" spans="10:28">
      <c r="J3841" s="340" t="str">
        <f t="shared" si="167"/>
        <v>2014MaleMaori243</v>
      </c>
      <c r="K3841">
        <v>2014</v>
      </c>
      <c r="L3841" t="s">
        <v>20</v>
      </c>
      <c r="M3841" t="s">
        <v>18</v>
      </c>
      <c r="N3841">
        <v>24</v>
      </c>
      <c r="O3841">
        <v>3</v>
      </c>
      <c r="P3841">
        <v>3</v>
      </c>
      <c r="Q3841">
        <v>29.3860369069331</v>
      </c>
      <c r="R3841">
        <v>33.299999999999997</v>
      </c>
      <c r="T3841" s="340" t="str">
        <f t="shared" si="168"/>
        <v>2014MaleAllEth25Other</v>
      </c>
      <c r="U3841">
        <v>2014</v>
      </c>
      <c r="V3841" t="s">
        <v>20</v>
      </c>
      <c r="W3841" t="s">
        <v>27</v>
      </c>
      <c r="X3841">
        <v>25</v>
      </c>
      <c r="Y3841" t="s">
        <v>45</v>
      </c>
      <c r="Z3841">
        <v>1</v>
      </c>
      <c r="AA3841">
        <v>49</v>
      </c>
      <c r="AB3841">
        <v>2</v>
      </c>
    </row>
    <row r="3842" spans="10:28">
      <c r="J3842" s="340" t="str">
        <f t="shared" si="167"/>
        <v>2014MaleMaori244</v>
      </c>
      <c r="K3842">
        <v>2014</v>
      </c>
      <c r="L3842" t="s">
        <v>20</v>
      </c>
      <c r="M3842" t="s">
        <v>18</v>
      </c>
      <c r="N3842">
        <v>24</v>
      </c>
      <c r="O3842">
        <v>4</v>
      </c>
      <c r="P3842">
        <v>1</v>
      </c>
      <c r="Q3842">
        <v>7.1998917791861201</v>
      </c>
      <c r="R3842">
        <v>14.1</v>
      </c>
      <c r="T3842" s="340" t="str">
        <f t="shared" si="168"/>
        <v>2014MaleAllEth22Poisoning by gases and vapours</v>
      </c>
      <c r="U3842">
        <v>2014</v>
      </c>
      <c r="V3842" t="s">
        <v>20</v>
      </c>
      <c r="W3842" t="s">
        <v>27</v>
      </c>
      <c r="X3842">
        <v>22</v>
      </c>
      <c r="Y3842" t="s">
        <v>46</v>
      </c>
      <c r="Z3842">
        <v>2</v>
      </c>
      <c r="AA3842">
        <v>68</v>
      </c>
      <c r="AB3842">
        <v>2.9</v>
      </c>
    </row>
    <row r="3843" spans="10:28">
      <c r="J3843" s="340" t="str">
        <f t="shared" si="167"/>
        <v>2014MaleMaori245</v>
      </c>
      <c r="K3843">
        <v>2014</v>
      </c>
      <c r="L3843" t="s">
        <v>20</v>
      </c>
      <c r="M3843" t="s">
        <v>18</v>
      </c>
      <c r="N3843">
        <v>24</v>
      </c>
      <c r="O3843">
        <v>5</v>
      </c>
      <c r="P3843">
        <v>4</v>
      </c>
      <c r="Q3843">
        <v>17.341390776997699</v>
      </c>
      <c r="R3843">
        <v>17</v>
      </c>
      <c r="T3843" s="340" t="str">
        <f t="shared" si="168"/>
        <v>2014MaleAllEth23Poisoning by gases and vapours</v>
      </c>
      <c r="U3843">
        <v>2014</v>
      </c>
      <c r="V3843" t="s">
        <v>20</v>
      </c>
      <c r="W3843" t="s">
        <v>27</v>
      </c>
      <c r="X3843">
        <v>23</v>
      </c>
      <c r="Y3843" t="s">
        <v>46</v>
      </c>
      <c r="Z3843">
        <v>15</v>
      </c>
      <c r="AA3843">
        <v>140</v>
      </c>
      <c r="AB3843">
        <v>10.7</v>
      </c>
    </row>
    <row r="3844" spans="10:28">
      <c r="J3844" s="340" t="str">
        <f t="shared" ref="J3844:J3907" si="169">K3844&amp;L3844&amp;M3844&amp;N3844&amp;O3844</f>
        <v>2014MaleMaori251</v>
      </c>
      <c r="K3844">
        <v>2014</v>
      </c>
      <c r="L3844" t="s">
        <v>20</v>
      </c>
      <c r="M3844" t="s">
        <v>18</v>
      </c>
      <c r="N3844">
        <v>25</v>
      </c>
      <c r="O3844">
        <v>1</v>
      </c>
      <c r="P3844">
        <v>0</v>
      </c>
      <c r="Q3844">
        <v>0</v>
      </c>
      <c r="T3844" s="340" t="str">
        <f t="shared" si="168"/>
        <v>2014MaleAllEth24Poisoning by gases and vapours</v>
      </c>
      <c r="U3844">
        <v>2014</v>
      </c>
      <c r="V3844" t="s">
        <v>20</v>
      </c>
      <c r="W3844" t="s">
        <v>27</v>
      </c>
      <c r="X3844">
        <v>24</v>
      </c>
      <c r="Y3844" t="s">
        <v>46</v>
      </c>
      <c r="Z3844">
        <v>10</v>
      </c>
      <c r="AA3844">
        <v>120</v>
      </c>
      <c r="AB3844">
        <v>8.3000000000000007</v>
      </c>
    </row>
    <row r="3845" spans="10:28">
      <c r="J3845" s="340" t="str">
        <f t="shared" si="169"/>
        <v>2014MaleMaori252</v>
      </c>
      <c r="K3845">
        <v>2014</v>
      </c>
      <c r="L3845" t="s">
        <v>20</v>
      </c>
      <c r="M3845" t="s">
        <v>18</v>
      </c>
      <c r="N3845">
        <v>25</v>
      </c>
      <c r="O3845">
        <v>2</v>
      </c>
      <c r="P3845">
        <v>0</v>
      </c>
      <c r="Q3845">
        <v>0</v>
      </c>
      <c r="T3845" s="340" t="str">
        <f t="shared" ref="T3845:T3908" si="170">U3845&amp;V3845&amp;W3845&amp;X3845&amp;Y3845</f>
        <v>2014MaleAllEth25Poisoning by gases and vapours</v>
      </c>
      <c r="U3845">
        <v>2014</v>
      </c>
      <c r="V3845" t="s">
        <v>20</v>
      </c>
      <c r="W3845" t="s">
        <v>27</v>
      </c>
      <c r="X3845">
        <v>25</v>
      </c>
      <c r="Y3845" t="s">
        <v>46</v>
      </c>
      <c r="Z3845">
        <v>5</v>
      </c>
      <c r="AA3845">
        <v>49</v>
      </c>
      <c r="AB3845">
        <v>10.199999999999999</v>
      </c>
    </row>
    <row r="3846" spans="10:28">
      <c r="J3846" s="340" t="str">
        <f t="shared" si="169"/>
        <v>2014MaleMaori253</v>
      </c>
      <c r="K3846">
        <v>2014</v>
      </c>
      <c r="L3846" t="s">
        <v>20</v>
      </c>
      <c r="M3846" t="s">
        <v>18</v>
      </c>
      <c r="N3846">
        <v>25</v>
      </c>
      <c r="O3846">
        <v>3</v>
      </c>
      <c r="P3846">
        <v>0</v>
      </c>
      <c r="Q3846">
        <v>0</v>
      </c>
      <c r="T3846" s="340" t="str">
        <f t="shared" si="170"/>
        <v>2014MaleAllEth23Poisoning by solids and liquids</v>
      </c>
      <c r="U3846">
        <v>2014</v>
      </c>
      <c r="V3846" t="s">
        <v>20</v>
      </c>
      <c r="W3846" t="s">
        <v>27</v>
      </c>
      <c r="X3846">
        <v>23</v>
      </c>
      <c r="Y3846" t="s">
        <v>47</v>
      </c>
      <c r="Z3846">
        <v>8</v>
      </c>
      <c r="AA3846">
        <v>140</v>
      </c>
      <c r="AB3846">
        <v>5.7</v>
      </c>
    </row>
    <row r="3847" spans="10:28">
      <c r="J3847" s="340" t="str">
        <f t="shared" si="169"/>
        <v>2014MaleMaori254</v>
      </c>
      <c r="K3847">
        <v>2014</v>
      </c>
      <c r="L3847" t="s">
        <v>20</v>
      </c>
      <c r="M3847" t="s">
        <v>18</v>
      </c>
      <c r="N3847">
        <v>25</v>
      </c>
      <c r="O3847">
        <v>4</v>
      </c>
      <c r="P3847">
        <v>0</v>
      </c>
      <c r="Q3847">
        <v>0</v>
      </c>
      <c r="T3847" s="340" t="str">
        <f t="shared" si="170"/>
        <v>2014MaleAllEth24Poisoning by solids and liquids</v>
      </c>
      <c r="U3847">
        <v>2014</v>
      </c>
      <c r="V3847" t="s">
        <v>20</v>
      </c>
      <c r="W3847" t="s">
        <v>27</v>
      </c>
      <c r="X3847">
        <v>24</v>
      </c>
      <c r="Y3847" t="s">
        <v>47</v>
      </c>
      <c r="Z3847">
        <v>16</v>
      </c>
      <c r="AA3847">
        <v>120</v>
      </c>
      <c r="AB3847">
        <v>13.3</v>
      </c>
    </row>
    <row r="3848" spans="10:28">
      <c r="J3848" s="340" t="str">
        <f t="shared" si="169"/>
        <v>2014MaleMaori255</v>
      </c>
      <c r="K3848">
        <v>2014</v>
      </c>
      <c r="L3848" t="s">
        <v>20</v>
      </c>
      <c r="M3848" t="s">
        <v>18</v>
      </c>
      <c r="N3848">
        <v>25</v>
      </c>
      <c r="O3848">
        <v>5</v>
      </c>
      <c r="P3848">
        <v>0</v>
      </c>
      <c r="Q3848">
        <v>0</v>
      </c>
      <c r="T3848" s="340" t="str">
        <f t="shared" si="170"/>
        <v>2014MaleAllEth25Poisoning by solids and liquids</v>
      </c>
      <c r="U3848">
        <v>2014</v>
      </c>
      <c r="V3848" t="s">
        <v>20</v>
      </c>
      <c r="W3848" t="s">
        <v>27</v>
      </c>
      <c r="X3848">
        <v>25</v>
      </c>
      <c r="Y3848" t="s">
        <v>47</v>
      </c>
      <c r="Z3848">
        <v>8</v>
      </c>
      <c r="AA3848">
        <v>49</v>
      </c>
      <c r="AB3848">
        <v>16.3</v>
      </c>
    </row>
    <row r="3849" spans="10:28">
      <c r="J3849" s="340" t="str">
        <f t="shared" si="169"/>
        <v>2014MaleNon-Maori211</v>
      </c>
      <c r="K3849">
        <v>2014</v>
      </c>
      <c r="L3849" t="s">
        <v>20</v>
      </c>
      <c r="M3849" t="s">
        <v>19</v>
      </c>
      <c r="N3849">
        <v>21</v>
      </c>
      <c r="O3849">
        <v>1</v>
      </c>
      <c r="P3849">
        <v>0</v>
      </c>
      <c r="Q3849">
        <v>0</v>
      </c>
      <c r="T3849" s="340" t="str">
        <f t="shared" si="170"/>
        <v>2014MaleAllEth23Sharp object</v>
      </c>
      <c r="U3849">
        <v>2014</v>
      </c>
      <c r="V3849" t="s">
        <v>20</v>
      </c>
      <c r="W3849" t="s">
        <v>27</v>
      </c>
      <c r="X3849">
        <v>23</v>
      </c>
      <c r="Y3849" t="s">
        <v>48</v>
      </c>
      <c r="Z3849">
        <v>2</v>
      </c>
      <c r="AA3849">
        <v>140</v>
      </c>
      <c r="AB3849">
        <v>1.4</v>
      </c>
    </row>
    <row r="3850" spans="10:28">
      <c r="J3850" s="340" t="str">
        <f t="shared" si="169"/>
        <v>2014MaleNon-Maori212</v>
      </c>
      <c r="K3850">
        <v>2014</v>
      </c>
      <c r="L3850" t="s">
        <v>20</v>
      </c>
      <c r="M3850" t="s">
        <v>19</v>
      </c>
      <c r="N3850">
        <v>21</v>
      </c>
      <c r="O3850">
        <v>2</v>
      </c>
      <c r="P3850">
        <v>0</v>
      </c>
      <c r="Q3850">
        <v>0</v>
      </c>
      <c r="T3850" s="340" t="str">
        <f t="shared" si="170"/>
        <v>2014MaleAllEth24Sharp object</v>
      </c>
      <c r="U3850">
        <v>2014</v>
      </c>
      <c r="V3850" t="s">
        <v>20</v>
      </c>
      <c r="W3850" t="s">
        <v>27</v>
      </c>
      <c r="X3850">
        <v>24</v>
      </c>
      <c r="Y3850" t="s">
        <v>48</v>
      </c>
      <c r="Z3850">
        <v>2</v>
      </c>
      <c r="AA3850">
        <v>120</v>
      </c>
      <c r="AB3850">
        <v>1.7</v>
      </c>
    </row>
    <row r="3851" spans="10:28">
      <c r="J3851" s="340" t="str">
        <f t="shared" si="169"/>
        <v>2014MaleNon-Maori213</v>
      </c>
      <c r="K3851">
        <v>2014</v>
      </c>
      <c r="L3851" t="s">
        <v>20</v>
      </c>
      <c r="M3851" t="s">
        <v>19</v>
      </c>
      <c r="N3851">
        <v>21</v>
      </c>
      <c r="O3851">
        <v>3</v>
      </c>
      <c r="P3851">
        <v>0</v>
      </c>
      <c r="Q3851">
        <v>0</v>
      </c>
      <c r="T3851" s="340" t="str">
        <f t="shared" si="170"/>
        <v>2014MaleAllEth22Submersion (drowning)</v>
      </c>
      <c r="U3851">
        <v>2014</v>
      </c>
      <c r="V3851" t="s">
        <v>20</v>
      </c>
      <c r="W3851" t="s">
        <v>27</v>
      </c>
      <c r="X3851">
        <v>22</v>
      </c>
      <c r="Y3851" t="s">
        <v>49</v>
      </c>
      <c r="Z3851">
        <v>1</v>
      </c>
      <c r="AA3851">
        <v>68</v>
      </c>
      <c r="AB3851">
        <v>1.5</v>
      </c>
    </row>
    <row r="3852" spans="10:28">
      <c r="J3852" s="340" t="str">
        <f t="shared" si="169"/>
        <v>2014MaleNon-Maori214</v>
      </c>
      <c r="K3852">
        <v>2014</v>
      </c>
      <c r="L3852" t="s">
        <v>20</v>
      </c>
      <c r="M3852" t="s">
        <v>19</v>
      </c>
      <c r="N3852">
        <v>21</v>
      </c>
      <c r="O3852">
        <v>4</v>
      </c>
      <c r="P3852">
        <v>0</v>
      </c>
      <c r="Q3852">
        <v>0</v>
      </c>
      <c r="T3852" s="340" t="str">
        <f t="shared" si="170"/>
        <v>2014MaleAllEth24Submersion (drowning)</v>
      </c>
      <c r="U3852">
        <v>2014</v>
      </c>
      <c r="V3852" t="s">
        <v>20</v>
      </c>
      <c r="W3852" t="s">
        <v>27</v>
      </c>
      <c r="X3852">
        <v>24</v>
      </c>
      <c r="Y3852" t="s">
        <v>49</v>
      </c>
      <c r="Z3852">
        <v>5</v>
      </c>
      <c r="AA3852">
        <v>120</v>
      </c>
      <c r="AB3852">
        <v>4.2</v>
      </c>
    </row>
    <row r="3853" spans="10:28">
      <c r="J3853" s="340" t="str">
        <f t="shared" si="169"/>
        <v>2014MaleNon-Maori215</v>
      </c>
      <c r="K3853">
        <v>2014</v>
      </c>
      <c r="L3853" t="s">
        <v>20</v>
      </c>
      <c r="M3853" t="s">
        <v>19</v>
      </c>
      <c r="N3853">
        <v>21</v>
      </c>
      <c r="O3853">
        <v>5</v>
      </c>
      <c r="P3853">
        <v>1</v>
      </c>
      <c r="Q3853">
        <v>1.65838235897025</v>
      </c>
      <c r="R3853">
        <v>3.3</v>
      </c>
      <c r="T3853" s="340" t="str">
        <f t="shared" si="170"/>
        <v>2014MaleAllEth25Submersion (drowning)</v>
      </c>
      <c r="U3853">
        <v>2014</v>
      </c>
      <c r="V3853" t="s">
        <v>20</v>
      </c>
      <c r="W3853" t="s">
        <v>27</v>
      </c>
      <c r="X3853">
        <v>25</v>
      </c>
      <c r="Y3853" t="s">
        <v>49</v>
      </c>
      <c r="Z3853">
        <v>2</v>
      </c>
      <c r="AA3853">
        <v>49</v>
      </c>
      <c r="AB3853">
        <v>4.0999999999999996</v>
      </c>
    </row>
    <row r="3854" spans="10:28">
      <c r="J3854" s="340" t="str">
        <f t="shared" si="169"/>
        <v>2014MaleNon-Maori221</v>
      </c>
      <c r="K3854">
        <v>2014</v>
      </c>
      <c r="L3854" t="s">
        <v>20</v>
      </c>
      <c r="M3854" t="s">
        <v>19</v>
      </c>
      <c r="N3854">
        <v>22</v>
      </c>
      <c r="O3854">
        <v>1</v>
      </c>
      <c r="P3854">
        <v>7</v>
      </c>
      <c r="Q3854">
        <v>13.1586429527738</v>
      </c>
      <c r="R3854">
        <v>9.6999999999999993</v>
      </c>
      <c r="T3854" s="340" t="str">
        <f t="shared" si="170"/>
        <v>2014MaleMaori24Firearms and explosives</v>
      </c>
      <c r="U3854">
        <v>2014</v>
      </c>
      <c r="V3854" t="s">
        <v>20</v>
      </c>
      <c r="W3854" t="s">
        <v>18</v>
      </c>
      <c r="X3854">
        <v>24</v>
      </c>
      <c r="Y3854" t="s">
        <v>42</v>
      </c>
      <c r="Z3854">
        <v>1</v>
      </c>
      <c r="AA3854">
        <v>9</v>
      </c>
      <c r="AB3854">
        <v>11.1</v>
      </c>
    </row>
    <row r="3855" spans="10:28">
      <c r="J3855" s="340" t="str">
        <f t="shared" si="169"/>
        <v>2014MaleNon-Maori222</v>
      </c>
      <c r="K3855">
        <v>2014</v>
      </c>
      <c r="L3855" t="s">
        <v>20</v>
      </c>
      <c r="M3855" t="s">
        <v>19</v>
      </c>
      <c r="N3855">
        <v>22</v>
      </c>
      <c r="O3855">
        <v>2</v>
      </c>
      <c r="P3855">
        <v>7</v>
      </c>
      <c r="Q3855">
        <v>13.4409546854281</v>
      </c>
      <c r="R3855">
        <v>10</v>
      </c>
      <c r="T3855" s="340" t="str">
        <f t="shared" si="170"/>
        <v>2014MaleMaori21Hanging, strangulation and suffocation</v>
      </c>
      <c r="U3855">
        <v>2014</v>
      </c>
      <c r="V3855" t="s">
        <v>20</v>
      </c>
      <c r="W3855" t="s">
        <v>18</v>
      </c>
      <c r="X3855">
        <v>21</v>
      </c>
      <c r="Y3855" t="s">
        <v>43</v>
      </c>
      <c r="Z3855">
        <v>1</v>
      </c>
      <c r="AA3855">
        <v>1</v>
      </c>
      <c r="AB3855">
        <v>100</v>
      </c>
    </row>
    <row r="3856" spans="10:28">
      <c r="J3856" s="340" t="str">
        <f t="shared" si="169"/>
        <v>2014MaleNon-Maori223</v>
      </c>
      <c r="K3856">
        <v>2014</v>
      </c>
      <c r="L3856" t="s">
        <v>20</v>
      </c>
      <c r="M3856" t="s">
        <v>19</v>
      </c>
      <c r="N3856">
        <v>22</v>
      </c>
      <c r="O3856">
        <v>3</v>
      </c>
      <c r="P3856">
        <v>10</v>
      </c>
      <c r="Q3856">
        <v>19.1809007971247</v>
      </c>
      <c r="R3856">
        <v>11.9</v>
      </c>
      <c r="T3856" s="340" t="str">
        <f t="shared" si="170"/>
        <v>2014MaleMaori22Hanging, strangulation and suffocation</v>
      </c>
      <c r="U3856">
        <v>2014</v>
      </c>
      <c r="V3856" t="s">
        <v>20</v>
      </c>
      <c r="W3856" t="s">
        <v>18</v>
      </c>
      <c r="X3856">
        <v>22</v>
      </c>
      <c r="Y3856" t="s">
        <v>43</v>
      </c>
      <c r="Z3856">
        <v>19</v>
      </c>
      <c r="AA3856">
        <v>20</v>
      </c>
      <c r="AB3856">
        <v>95</v>
      </c>
    </row>
    <row r="3857" spans="10:28">
      <c r="J3857" s="340" t="str">
        <f t="shared" si="169"/>
        <v>2014MaleNon-Maori224</v>
      </c>
      <c r="K3857">
        <v>2014</v>
      </c>
      <c r="L3857" t="s">
        <v>20</v>
      </c>
      <c r="M3857" t="s">
        <v>19</v>
      </c>
      <c r="N3857">
        <v>22</v>
      </c>
      <c r="O3857">
        <v>4</v>
      </c>
      <c r="P3857">
        <v>10</v>
      </c>
      <c r="Q3857">
        <v>18.504305292740298</v>
      </c>
      <c r="R3857">
        <v>11.5</v>
      </c>
      <c r="T3857" s="340" t="str">
        <f t="shared" si="170"/>
        <v>2014MaleMaori23Hanging, strangulation and suffocation</v>
      </c>
      <c r="U3857">
        <v>2014</v>
      </c>
      <c r="V3857" t="s">
        <v>20</v>
      </c>
      <c r="W3857" t="s">
        <v>18</v>
      </c>
      <c r="X3857">
        <v>23</v>
      </c>
      <c r="Y3857" t="s">
        <v>43</v>
      </c>
      <c r="Z3857">
        <v>33</v>
      </c>
      <c r="AA3857">
        <v>36</v>
      </c>
      <c r="AB3857">
        <v>91.7</v>
      </c>
    </row>
    <row r="3858" spans="10:28">
      <c r="J3858" s="340" t="str">
        <f t="shared" si="169"/>
        <v>2014MaleNon-Maori225</v>
      </c>
      <c r="K3858">
        <v>2014</v>
      </c>
      <c r="L3858" t="s">
        <v>20</v>
      </c>
      <c r="M3858" t="s">
        <v>19</v>
      </c>
      <c r="N3858">
        <v>22</v>
      </c>
      <c r="O3858">
        <v>5</v>
      </c>
      <c r="P3858">
        <v>12</v>
      </c>
      <c r="Q3858">
        <v>23.157493897054799</v>
      </c>
      <c r="R3858">
        <v>13.1</v>
      </c>
      <c r="T3858" s="340" t="str">
        <f t="shared" si="170"/>
        <v>2014MaleMaori24Hanging, strangulation and suffocation</v>
      </c>
      <c r="U3858">
        <v>2014</v>
      </c>
      <c r="V3858" t="s">
        <v>20</v>
      </c>
      <c r="W3858" t="s">
        <v>18</v>
      </c>
      <c r="X3858">
        <v>24</v>
      </c>
      <c r="Y3858" t="s">
        <v>43</v>
      </c>
      <c r="Z3858">
        <v>4</v>
      </c>
      <c r="AA3858">
        <v>9</v>
      </c>
      <c r="AB3858">
        <v>44.4</v>
      </c>
    </row>
    <row r="3859" spans="10:28">
      <c r="J3859" s="340" t="str">
        <f t="shared" si="169"/>
        <v>2014MaleNon-Maori231</v>
      </c>
      <c r="K3859">
        <v>2014</v>
      </c>
      <c r="L3859" t="s">
        <v>20</v>
      </c>
      <c r="M3859" t="s">
        <v>19</v>
      </c>
      <c r="N3859">
        <v>23</v>
      </c>
      <c r="O3859">
        <v>1</v>
      </c>
      <c r="P3859">
        <v>13</v>
      </c>
      <c r="Q3859">
        <v>13.4242334105734</v>
      </c>
      <c r="R3859">
        <v>7.3</v>
      </c>
      <c r="T3859" s="340" t="str">
        <f t="shared" si="170"/>
        <v>2014MaleMaori22Other</v>
      </c>
      <c r="U3859">
        <v>2014</v>
      </c>
      <c r="V3859" t="s">
        <v>20</v>
      </c>
      <c r="W3859" t="s">
        <v>18</v>
      </c>
      <c r="X3859">
        <v>22</v>
      </c>
      <c r="Y3859" t="s">
        <v>45</v>
      </c>
      <c r="Z3859">
        <v>1</v>
      </c>
      <c r="AA3859">
        <v>20</v>
      </c>
      <c r="AB3859">
        <v>5</v>
      </c>
    </row>
    <row r="3860" spans="10:28">
      <c r="J3860" s="340" t="str">
        <f t="shared" si="169"/>
        <v>2014MaleNon-Maori232</v>
      </c>
      <c r="K3860">
        <v>2014</v>
      </c>
      <c r="L3860" t="s">
        <v>20</v>
      </c>
      <c r="M3860" t="s">
        <v>19</v>
      </c>
      <c r="N3860">
        <v>23</v>
      </c>
      <c r="O3860">
        <v>2</v>
      </c>
      <c r="P3860">
        <v>16</v>
      </c>
      <c r="Q3860">
        <v>15.3200218436494</v>
      </c>
      <c r="R3860">
        <v>7.5</v>
      </c>
      <c r="T3860" s="340" t="str">
        <f t="shared" si="170"/>
        <v>2014MaleMaori24Other</v>
      </c>
      <c r="U3860">
        <v>2014</v>
      </c>
      <c r="V3860" t="s">
        <v>20</v>
      </c>
      <c r="W3860" t="s">
        <v>18</v>
      </c>
      <c r="X3860">
        <v>24</v>
      </c>
      <c r="Y3860" t="s">
        <v>45</v>
      </c>
      <c r="Z3860">
        <v>2</v>
      </c>
      <c r="AA3860">
        <v>9</v>
      </c>
      <c r="AB3860">
        <v>22.2</v>
      </c>
    </row>
    <row r="3861" spans="10:28">
      <c r="J3861" s="340" t="str">
        <f t="shared" si="169"/>
        <v>2014MaleNon-Maori233</v>
      </c>
      <c r="K3861">
        <v>2014</v>
      </c>
      <c r="L3861" t="s">
        <v>20</v>
      </c>
      <c r="M3861" t="s">
        <v>19</v>
      </c>
      <c r="N3861">
        <v>23</v>
      </c>
      <c r="O3861">
        <v>3</v>
      </c>
      <c r="P3861">
        <v>18</v>
      </c>
      <c r="Q3861">
        <v>17.220790566273799</v>
      </c>
      <c r="R3861">
        <v>8</v>
      </c>
      <c r="T3861" s="340" t="str">
        <f t="shared" si="170"/>
        <v>2014MaleMaori23Poisoning by gases and vapours</v>
      </c>
      <c r="U3861">
        <v>2014</v>
      </c>
      <c r="V3861" t="s">
        <v>20</v>
      </c>
      <c r="W3861" t="s">
        <v>18</v>
      </c>
      <c r="X3861">
        <v>23</v>
      </c>
      <c r="Y3861" t="s">
        <v>46</v>
      </c>
      <c r="Z3861">
        <v>2</v>
      </c>
      <c r="AA3861">
        <v>36</v>
      </c>
      <c r="AB3861">
        <v>5.6</v>
      </c>
    </row>
    <row r="3862" spans="10:28">
      <c r="J3862" s="340" t="str">
        <f t="shared" si="169"/>
        <v>2014MaleNon-Maori234</v>
      </c>
      <c r="K3862">
        <v>2014</v>
      </c>
      <c r="L3862" t="s">
        <v>20</v>
      </c>
      <c r="M3862" t="s">
        <v>19</v>
      </c>
      <c r="N3862">
        <v>23</v>
      </c>
      <c r="O3862">
        <v>4</v>
      </c>
      <c r="P3862">
        <v>23</v>
      </c>
      <c r="Q3862">
        <v>23.5172181403134</v>
      </c>
      <c r="R3862">
        <v>9.6</v>
      </c>
      <c r="T3862" s="340" t="str">
        <f t="shared" si="170"/>
        <v>2014MaleMaori23Poisoning by solids and liquids</v>
      </c>
      <c r="U3862">
        <v>2014</v>
      </c>
      <c r="V3862" t="s">
        <v>20</v>
      </c>
      <c r="W3862" t="s">
        <v>18</v>
      </c>
      <c r="X3862">
        <v>23</v>
      </c>
      <c r="Y3862" t="s">
        <v>47</v>
      </c>
      <c r="Z3862">
        <v>1</v>
      </c>
      <c r="AA3862">
        <v>36</v>
      </c>
      <c r="AB3862">
        <v>2.8</v>
      </c>
    </row>
    <row r="3863" spans="10:28">
      <c r="J3863" s="340" t="str">
        <f t="shared" si="169"/>
        <v>2014MaleNon-Maori235</v>
      </c>
      <c r="K3863">
        <v>2014</v>
      </c>
      <c r="L3863" t="s">
        <v>20</v>
      </c>
      <c r="M3863" t="s">
        <v>19</v>
      </c>
      <c r="N3863">
        <v>23</v>
      </c>
      <c r="O3863">
        <v>5</v>
      </c>
      <c r="P3863">
        <v>30</v>
      </c>
      <c r="Q3863">
        <v>38.130328394328302</v>
      </c>
      <c r="R3863">
        <v>13.6</v>
      </c>
      <c r="T3863" s="340" t="str">
        <f t="shared" si="170"/>
        <v>2014MaleMaori24Poisoning by solids and liquids</v>
      </c>
      <c r="U3863">
        <v>2014</v>
      </c>
      <c r="V3863" t="s">
        <v>20</v>
      </c>
      <c r="W3863" t="s">
        <v>18</v>
      </c>
      <c r="X3863">
        <v>24</v>
      </c>
      <c r="Y3863" t="s">
        <v>47</v>
      </c>
      <c r="Z3863">
        <v>1</v>
      </c>
      <c r="AA3863">
        <v>9</v>
      </c>
      <c r="AB3863">
        <v>11.1</v>
      </c>
    </row>
    <row r="3864" spans="10:28">
      <c r="J3864" s="340" t="str">
        <f t="shared" si="169"/>
        <v>2014MaleNon-Maori241</v>
      </c>
      <c r="K3864">
        <v>2014</v>
      </c>
      <c r="L3864" t="s">
        <v>20</v>
      </c>
      <c r="M3864" t="s">
        <v>19</v>
      </c>
      <c r="N3864">
        <v>24</v>
      </c>
      <c r="O3864">
        <v>1</v>
      </c>
      <c r="P3864">
        <v>16</v>
      </c>
      <c r="Q3864">
        <v>12.3667770230052</v>
      </c>
      <c r="R3864">
        <v>6.1</v>
      </c>
      <c r="T3864" s="340" t="str">
        <f t="shared" si="170"/>
        <v>2014MaleMaori24Submersion (drowning)</v>
      </c>
      <c r="U3864">
        <v>2014</v>
      </c>
      <c r="V3864" t="s">
        <v>20</v>
      </c>
      <c r="W3864" t="s">
        <v>18</v>
      </c>
      <c r="X3864">
        <v>24</v>
      </c>
      <c r="Y3864" t="s">
        <v>49</v>
      </c>
      <c r="Z3864">
        <v>1</v>
      </c>
      <c r="AA3864">
        <v>9</v>
      </c>
      <c r="AB3864">
        <v>11.1</v>
      </c>
    </row>
    <row r="3865" spans="10:28">
      <c r="J3865" s="340" t="str">
        <f t="shared" si="169"/>
        <v>2014MaleNon-Maori242</v>
      </c>
      <c r="K3865">
        <v>2014</v>
      </c>
      <c r="L3865" t="s">
        <v>20</v>
      </c>
      <c r="M3865" t="s">
        <v>19</v>
      </c>
      <c r="N3865">
        <v>24</v>
      </c>
      <c r="O3865">
        <v>2</v>
      </c>
      <c r="P3865">
        <v>17</v>
      </c>
      <c r="Q3865">
        <v>15.077774128251599</v>
      </c>
      <c r="R3865">
        <v>7.2</v>
      </c>
      <c r="T3865" s="340" t="str">
        <f t="shared" si="170"/>
        <v>2014MaleNon-Maori22Firearms and explosives</v>
      </c>
      <c r="U3865">
        <v>2014</v>
      </c>
      <c r="V3865" t="s">
        <v>20</v>
      </c>
      <c r="W3865" t="s">
        <v>19</v>
      </c>
      <c r="X3865">
        <v>22</v>
      </c>
      <c r="Y3865" t="s">
        <v>42</v>
      </c>
      <c r="Z3865">
        <v>2</v>
      </c>
      <c r="AA3865">
        <v>48</v>
      </c>
      <c r="AB3865">
        <v>4.2</v>
      </c>
    </row>
    <row r="3866" spans="10:28">
      <c r="J3866" s="340" t="str">
        <f t="shared" si="169"/>
        <v>2014MaleNon-Maori243</v>
      </c>
      <c r="K3866">
        <v>2014</v>
      </c>
      <c r="L3866" t="s">
        <v>20</v>
      </c>
      <c r="M3866" t="s">
        <v>19</v>
      </c>
      <c r="N3866">
        <v>24</v>
      </c>
      <c r="O3866">
        <v>3</v>
      </c>
      <c r="P3866">
        <v>20</v>
      </c>
      <c r="Q3866">
        <v>20.278527366918102</v>
      </c>
      <c r="R3866">
        <v>8.9</v>
      </c>
      <c r="T3866" s="340" t="str">
        <f t="shared" si="170"/>
        <v>2014MaleNon-Maori23Firearms and explosives</v>
      </c>
      <c r="U3866">
        <v>2014</v>
      </c>
      <c r="V3866" t="s">
        <v>20</v>
      </c>
      <c r="W3866" t="s">
        <v>19</v>
      </c>
      <c r="X3866">
        <v>23</v>
      </c>
      <c r="Y3866" t="s">
        <v>42</v>
      </c>
      <c r="Z3866">
        <v>7</v>
      </c>
      <c r="AA3866">
        <v>104</v>
      </c>
      <c r="AB3866">
        <v>6.7</v>
      </c>
    </row>
    <row r="3867" spans="10:28">
      <c r="J3867" s="340" t="str">
        <f t="shared" si="169"/>
        <v>2014MaleNon-Maori244</v>
      </c>
      <c r="K3867">
        <v>2014</v>
      </c>
      <c r="L3867" t="s">
        <v>20</v>
      </c>
      <c r="M3867" t="s">
        <v>19</v>
      </c>
      <c r="N3867">
        <v>24</v>
      </c>
      <c r="O3867">
        <v>4</v>
      </c>
      <c r="P3867">
        <v>29</v>
      </c>
      <c r="Q3867">
        <v>34.048935819664401</v>
      </c>
      <c r="R3867">
        <v>12.4</v>
      </c>
      <c r="T3867" s="340" t="str">
        <f t="shared" si="170"/>
        <v>2014MaleNon-Maori24Firearms and explosives</v>
      </c>
      <c r="U3867">
        <v>2014</v>
      </c>
      <c r="V3867" t="s">
        <v>20</v>
      </c>
      <c r="W3867" t="s">
        <v>19</v>
      </c>
      <c r="X3867">
        <v>24</v>
      </c>
      <c r="Y3867" t="s">
        <v>42</v>
      </c>
      <c r="Z3867">
        <v>17</v>
      </c>
      <c r="AA3867">
        <v>111</v>
      </c>
      <c r="AB3867">
        <v>15.3</v>
      </c>
    </row>
    <row r="3868" spans="10:28">
      <c r="J3868" s="340" t="str">
        <f t="shared" si="169"/>
        <v>2014MaleNon-Maori245</v>
      </c>
      <c r="K3868">
        <v>2014</v>
      </c>
      <c r="L3868" t="s">
        <v>20</v>
      </c>
      <c r="M3868" t="s">
        <v>19</v>
      </c>
      <c r="N3868">
        <v>24</v>
      </c>
      <c r="O3868">
        <v>5</v>
      </c>
      <c r="P3868">
        <v>22</v>
      </c>
      <c r="Q3868">
        <v>32.398300590278602</v>
      </c>
      <c r="R3868">
        <v>13.5</v>
      </c>
      <c r="T3868" s="340" t="str">
        <f t="shared" si="170"/>
        <v>2014MaleNon-Maori25Firearms and explosives</v>
      </c>
      <c r="U3868">
        <v>2014</v>
      </c>
      <c r="V3868" t="s">
        <v>20</v>
      </c>
      <c r="W3868" t="s">
        <v>19</v>
      </c>
      <c r="X3868">
        <v>25</v>
      </c>
      <c r="Y3868" t="s">
        <v>42</v>
      </c>
      <c r="Z3868">
        <v>11</v>
      </c>
      <c r="AA3868">
        <v>49</v>
      </c>
      <c r="AB3868">
        <v>22.4</v>
      </c>
    </row>
    <row r="3869" spans="10:28">
      <c r="J3869" s="340" t="str">
        <f t="shared" si="169"/>
        <v>2014MaleNon-Maori251</v>
      </c>
      <c r="K3869">
        <v>2014</v>
      </c>
      <c r="L3869" t="s">
        <v>20</v>
      </c>
      <c r="M3869" t="s">
        <v>19</v>
      </c>
      <c r="N3869">
        <v>25</v>
      </c>
      <c r="O3869">
        <v>1</v>
      </c>
      <c r="P3869">
        <v>8</v>
      </c>
      <c r="Q3869">
        <v>12.6446641903801</v>
      </c>
      <c r="R3869">
        <v>8.8000000000000007</v>
      </c>
      <c r="T3869" s="340" t="str">
        <f t="shared" si="170"/>
        <v>2014MaleNon-Maori21Hanging, strangulation and suffocation</v>
      </c>
      <c r="U3869">
        <v>2014</v>
      </c>
      <c r="V3869" t="s">
        <v>20</v>
      </c>
      <c r="W3869" t="s">
        <v>19</v>
      </c>
      <c r="X3869">
        <v>21</v>
      </c>
      <c r="Y3869" t="s">
        <v>43</v>
      </c>
      <c r="Z3869">
        <v>1</v>
      </c>
      <c r="AA3869">
        <v>1</v>
      </c>
      <c r="AB3869">
        <v>100</v>
      </c>
    </row>
    <row r="3870" spans="10:28">
      <c r="J3870" s="340" t="str">
        <f t="shared" si="169"/>
        <v>2014MaleNon-Maori252</v>
      </c>
      <c r="K3870">
        <v>2014</v>
      </c>
      <c r="L3870" t="s">
        <v>20</v>
      </c>
      <c r="M3870" t="s">
        <v>19</v>
      </c>
      <c r="N3870">
        <v>25</v>
      </c>
      <c r="O3870">
        <v>2</v>
      </c>
      <c r="P3870">
        <v>5</v>
      </c>
      <c r="Q3870">
        <v>8.0907457868656394</v>
      </c>
      <c r="R3870">
        <v>7.1</v>
      </c>
      <c r="T3870" s="340" t="str">
        <f t="shared" si="170"/>
        <v>2014MaleNon-Maori22Hanging, strangulation and suffocation</v>
      </c>
      <c r="U3870">
        <v>2014</v>
      </c>
      <c r="V3870" t="s">
        <v>20</v>
      </c>
      <c r="W3870" t="s">
        <v>19</v>
      </c>
      <c r="X3870">
        <v>22</v>
      </c>
      <c r="Y3870" t="s">
        <v>43</v>
      </c>
      <c r="Z3870">
        <v>41</v>
      </c>
      <c r="AA3870">
        <v>48</v>
      </c>
      <c r="AB3870">
        <v>85.4</v>
      </c>
    </row>
    <row r="3871" spans="10:28">
      <c r="J3871" s="340" t="str">
        <f t="shared" si="169"/>
        <v>2014MaleNon-Maori253</v>
      </c>
      <c r="K3871">
        <v>2014</v>
      </c>
      <c r="L3871" t="s">
        <v>20</v>
      </c>
      <c r="M3871" t="s">
        <v>19</v>
      </c>
      <c r="N3871">
        <v>25</v>
      </c>
      <c r="O3871">
        <v>3</v>
      </c>
      <c r="P3871">
        <v>8</v>
      </c>
      <c r="Q3871">
        <v>13.6441692027652</v>
      </c>
      <c r="R3871">
        <v>9.5</v>
      </c>
      <c r="T3871" s="340" t="str">
        <f t="shared" si="170"/>
        <v>2014MaleNon-Maori23Hanging, strangulation and suffocation</v>
      </c>
      <c r="U3871">
        <v>2014</v>
      </c>
      <c r="V3871" t="s">
        <v>20</v>
      </c>
      <c r="W3871" t="s">
        <v>19</v>
      </c>
      <c r="X3871">
        <v>23</v>
      </c>
      <c r="Y3871" t="s">
        <v>43</v>
      </c>
      <c r="Z3871">
        <v>67</v>
      </c>
      <c r="AA3871">
        <v>104</v>
      </c>
      <c r="AB3871">
        <v>64.400000000000006</v>
      </c>
    </row>
    <row r="3872" spans="10:28">
      <c r="J3872" s="340" t="str">
        <f t="shared" si="169"/>
        <v>2014MaleNon-Maori254</v>
      </c>
      <c r="K3872">
        <v>2014</v>
      </c>
      <c r="L3872" t="s">
        <v>20</v>
      </c>
      <c r="M3872" t="s">
        <v>19</v>
      </c>
      <c r="N3872">
        <v>25</v>
      </c>
      <c r="O3872">
        <v>4</v>
      </c>
      <c r="P3872">
        <v>16</v>
      </c>
      <c r="Q3872">
        <v>28.8271829156817</v>
      </c>
      <c r="R3872">
        <v>14.1</v>
      </c>
      <c r="T3872" s="340" t="str">
        <f t="shared" si="170"/>
        <v>2014MaleNon-Maori24Hanging, strangulation and suffocation</v>
      </c>
      <c r="U3872">
        <v>2014</v>
      </c>
      <c r="V3872" t="s">
        <v>20</v>
      </c>
      <c r="W3872" t="s">
        <v>19</v>
      </c>
      <c r="X3872">
        <v>24</v>
      </c>
      <c r="Y3872" t="s">
        <v>43</v>
      </c>
      <c r="Z3872">
        <v>53</v>
      </c>
      <c r="AA3872">
        <v>111</v>
      </c>
      <c r="AB3872">
        <v>47.7</v>
      </c>
    </row>
    <row r="3873" spans="10:28">
      <c r="J3873" s="340" t="str">
        <f t="shared" si="169"/>
        <v>2014MaleNon-Maori255</v>
      </c>
      <c r="K3873">
        <v>2014</v>
      </c>
      <c r="L3873" t="s">
        <v>20</v>
      </c>
      <c r="M3873" t="s">
        <v>19</v>
      </c>
      <c r="N3873">
        <v>25</v>
      </c>
      <c r="O3873">
        <v>5</v>
      </c>
      <c r="P3873">
        <v>11</v>
      </c>
      <c r="Q3873">
        <v>26.156704155219</v>
      </c>
      <c r="R3873">
        <v>15.5</v>
      </c>
      <c r="T3873" s="340" t="str">
        <f t="shared" si="170"/>
        <v>2014MaleNon-Maori25Hanging, strangulation and suffocation</v>
      </c>
      <c r="U3873">
        <v>2014</v>
      </c>
      <c r="V3873" t="s">
        <v>20</v>
      </c>
      <c r="W3873" t="s">
        <v>19</v>
      </c>
      <c r="X3873">
        <v>25</v>
      </c>
      <c r="Y3873" t="s">
        <v>43</v>
      </c>
      <c r="Z3873">
        <v>22</v>
      </c>
      <c r="AA3873">
        <v>49</v>
      </c>
      <c r="AB3873">
        <v>44.9</v>
      </c>
    </row>
    <row r="3874" spans="10:28">
      <c r="J3874" s="340" t="str">
        <f t="shared" si="169"/>
        <v>2015AllSexAllEth211</v>
      </c>
      <c r="K3874">
        <v>2015</v>
      </c>
      <c r="L3874" t="s">
        <v>17</v>
      </c>
      <c r="M3874" t="s">
        <v>27</v>
      </c>
      <c r="N3874">
        <v>21</v>
      </c>
      <c r="O3874">
        <v>1</v>
      </c>
      <c r="P3874">
        <v>0</v>
      </c>
      <c r="Q3874">
        <v>0</v>
      </c>
      <c r="T3874" s="340" t="str">
        <f t="shared" si="170"/>
        <v>2014MaleNon-Maori22Jumping from a high place</v>
      </c>
      <c r="U3874">
        <v>2014</v>
      </c>
      <c r="V3874" t="s">
        <v>20</v>
      </c>
      <c r="W3874" t="s">
        <v>19</v>
      </c>
      <c r="X3874">
        <v>22</v>
      </c>
      <c r="Y3874" t="s">
        <v>44</v>
      </c>
      <c r="Z3874">
        <v>1</v>
      </c>
      <c r="AA3874">
        <v>48</v>
      </c>
      <c r="AB3874">
        <v>2.1</v>
      </c>
    </row>
    <row r="3875" spans="10:28">
      <c r="J3875" s="340" t="str">
        <f t="shared" si="169"/>
        <v>2015AllSexAllEth212</v>
      </c>
      <c r="K3875">
        <v>2015</v>
      </c>
      <c r="L3875" t="s">
        <v>17</v>
      </c>
      <c r="M3875" t="s">
        <v>27</v>
      </c>
      <c r="N3875">
        <v>21</v>
      </c>
      <c r="O3875">
        <v>2</v>
      </c>
      <c r="P3875">
        <v>0</v>
      </c>
      <c r="Q3875">
        <v>0</v>
      </c>
      <c r="T3875" s="340" t="str">
        <f t="shared" si="170"/>
        <v>2014MaleNon-Maori23Jumping from a high place</v>
      </c>
      <c r="U3875">
        <v>2014</v>
      </c>
      <c r="V3875" t="s">
        <v>20</v>
      </c>
      <c r="W3875" t="s">
        <v>19</v>
      </c>
      <c r="X3875">
        <v>23</v>
      </c>
      <c r="Y3875" t="s">
        <v>44</v>
      </c>
      <c r="Z3875">
        <v>6</v>
      </c>
      <c r="AA3875">
        <v>104</v>
      </c>
      <c r="AB3875">
        <v>5.8</v>
      </c>
    </row>
    <row r="3876" spans="10:28">
      <c r="J3876" s="340" t="str">
        <f t="shared" si="169"/>
        <v>2015AllSexAllEth213</v>
      </c>
      <c r="K3876">
        <v>2015</v>
      </c>
      <c r="L3876" t="s">
        <v>17</v>
      </c>
      <c r="M3876" t="s">
        <v>27</v>
      </c>
      <c r="N3876">
        <v>21</v>
      </c>
      <c r="O3876">
        <v>3</v>
      </c>
      <c r="P3876">
        <v>3</v>
      </c>
      <c r="Q3876">
        <v>1.76368772698576</v>
      </c>
      <c r="R3876">
        <v>2</v>
      </c>
      <c r="T3876" s="340" t="str">
        <f t="shared" si="170"/>
        <v>2014MaleNon-Maori24Jumping from a high place</v>
      </c>
      <c r="U3876">
        <v>2014</v>
      </c>
      <c r="V3876" t="s">
        <v>20</v>
      </c>
      <c r="W3876" t="s">
        <v>19</v>
      </c>
      <c r="X3876">
        <v>24</v>
      </c>
      <c r="Y3876" t="s">
        <v>44</v>
      </c>
      <c r="Z3876">
        <v>4</v>
      </c>
      <c r="AA3876">
        <v>111</v>
      </c>
      <c r="AB3876">
        <v>3.6</v>
      </c>
    </row>
    <row r="3877" spans="10:28">
      <c r="J3877" s="340" t="str">
        <f t="shared" si="169"/>
        <v>2015AllSexAllEth214</v>
      </c>
      <c r="K3877">
        <v>2015</v>
      </c>
      <c r="L3877" t="s">
        <v>17</v>
      </c>
      <c r="M3877" t="s">
        <v>27</v>
      </c>
      <c r="N3877">
        <v>21</v>
      </c>
      <c r="O3877">
        <v>4</v>
      </c>
      <c r="P3877">
        <v>1</v>
      </c>
      <c r="Q3877">
        <v>0.58370024174901303</v>
      </c>
      <c r="R3877">
        <v>1.1000000000000001</v>
      </c>
      <c r="T3877" s="340" t="str">
        <f t="shared" si="170"/>
        <v>2014MaleNon-Maori22Other</v>
      </c>
      <c r="U3877">
        <v>2014</v>
      </c>
      <c r="V3877" t="s">
        <v>20</v>
      </c>
      <c r="W3877" t="s">
        <v>19</v>
      </c>
      <c r="X3877">
        <v>22</v>
      </c>
      <c r="Y3877" t="s">
        <v>45</v>
      </c>
      <c r="Z3877">
        <v>1</v>
      </c>
      <c r="AA3877">
        <v>48</v>
      </c>
      <c r="AB3877">
        <v>2.1</v>
      </c>
    </row>
    <row r="3878" spans="10:28">
      <c r="J3878" s="340" t="str">
        <f t="shared" si="169"/>
        <v>2015AllSexAllEth215</v>
      </c>
      <c r="K3878">
        <v>2015</v>
      </c>
      <c r="L3878" t="s">
        <v>17</v>
      </c>
      <c r="M3878" t="s">
        <v>27</v>
      </c>
      <c r="N3878">
        <v>21</v>
      </c>
      <c r="O3878">
        <v>5</v>
      </c>
      <c r="P3878">
        <v>5</v>
      </c>
      <c r="Q3878">
        <v>2.3179252866205098</v>
      </c>
      <c r="R3878">
        <v>2</v>
      </c>
      <c r="T3878" s="340" t="str">
        <f t="shared" si="170"/>
        <v>2014MaleNon-Maori23Other</v>
      </c>
      <c r="U3878">
        <v>2014</v>
      </c>
      <c r="V3878" t="s">
        <v>20</v>
      </c>
      <c r="W3878" t="s">
        <v>19</v>
      </c>
      <c r="X3878">
        <v>23</v>
      </c>
      <c r="Y3878" t="s">
        <v>45</v>
      </c>
      <c r="Z3878">
        <v>2</v>
      </c>
      <c r="AA3878">
        <v>104</v>
      </c>
      <c r="AB3878">
        <v>1.9</v>
      </c>
    </row>
    <row r="3879" spans="10:28">
      <c r="J3879" s="340" t="str">
        <f t="shared" si="169"/>
        <v>2015AllSexAllEth221</v>
      </c>
      <c r="K3879">
        <v>2015</v>
      </c>
      <c r="L3879" t="s">
        <v>17</v>
      </c>
      <c r="M3879" t="s">
        <v>27</v>
      </c>
      <c r="N3879">
        <v>22</v>
      </c>
      <c r="O3879">
        <v>1</v>
      </c>
      <c r="P3879">
        <v>18</v>
      </c>
      <c r="Q3879">
        <v>15.6144781512393</v>
      </c>
      <c r="R3879">
        <v>7.2</v>
      </c>
      <c r="T3879" s="340" t="str">
        <f t="shared" si="170"/>
        <v>2014MaleNon-Maori24Other</v>
      </c>
      <c r="U3879">
        <v>2014</v>
      </c>
      <c r="V3879" t="s">
        <v>20</v>
      </c>
      <c r="W3879" t="s">
        <v>19</v>
      </c>
      <c r="X3879">
        <v>24</v>
      </c>
      <c r="Y3879" t="s">
        <v>45</v>
      </c>
      <c r="Z3879">
        <v>6</v>
      </c>
      <c r="AA3879">
        <v>111</v>
      </c>
      <c r="AB3879">
        <v>5.4</v>
      </c>
    </row>
    <row r="3880" spans="10:28">
      <c r="J3880" s="340" t="str">
        <f t="shared" si="169"/>
        <v>2015AllSexAllEth222</v>
      </c>
      <c r="K3880">
        <v>2015</v>
      </c>
      <c r="L3880" t="s">
        <v>17</v>
      </c>
      <c r="M3880" t="s">
        <v>27</v>
      </c>
      <c r="N3880">
        <v>22</v>
      </c>
      <c r="O3880">
        <v>2</v>
      </c>
      <c r="P3880">
        <v>15</v>
      </c>
      <c r="Q3880">
        <v>12.816836929314</v>
      </c>
      <c r="R3880">
        <v>6.5</v>
      </c>
      <c r="T3880" s="340" t="str">
        <f t="shared" si="170"/>
        <v>2014MaleNon-Maori25Other</v>
      </c>
      <c r="U3880">
        <v>2014</v>
      </c>
      <c r="V3880" t="s">
        <v>20</v>
      </c>
      <c r="W3880" t="s">
        <v>19</v>
      </c>
      <c r="X3880">
        <v>25</v>
      </c>
      <c r="Y3880" t="s">
        <v>45</v>
      </c>
      <c r="Z3880">
        <v>1</v>
      </c>
      <c r="AA3880">
        <v>49</v>
      </c>
      <c r="AB3880">
        <v>2</v>
      </c>
    </row>
    <row r="3881" spans="10:28">
      <c r="J3881" s="340" t="str">
        <f t="shared" si="169"/>
        <v>2015AllSexAllEth223</v>
      </c>
      <c r="K3881">
        <v>2015</v>
      </c>
      <c r="L3881" t="s">
        <v>17</v>
      </c>
      <c r="M3881" t="s">
        <v>27</v>
      </c>
      <c r="N3881">
        <v>22</v>
      </c>
      <c r="O3881">
        <v>3</v>
      </c>
      <c r="P3881">
        <v>14</v>
      </c>
      <c r="Q3881">
        <v>11.2618063840156</v>
      </c>
      <c r="R3881">
        <v>5.9</v>
      </c>
      <c r="T3881" s="340" t="str">
        <f t="shared" si="170"/>
        <v>2014MaleNon-Maori22Poisoning by gases and vapours</v>
      </c>
      <c r="U3881">
        <v>2014</v>
      </c>
      <c r="V3881" t="s">
        <v>20</v>
      </c>
      <c r="W3881" t="s">
        <v>19</v>
      </c>
      <c r="X3881">
        <v>22</v>
      </c>
      <c r="Y3881" t="s">
        <v>46</v>
      </c>
      <c r="Z3881">
        <v>2</v>
      </c>
      <c r="AA3881">
        <v>48</v>
      </c>
      <c r="AB3881">
        <v>4.2</v>
      </c>
    </row>
    <row r="3882" spans="10:28">
      <c r="J3882" s="340" t="str">
        <f t="shared" si="169"/>
        <v>2015AllSexAllEth224</v>
      </c>
      <c r="K3882">
        <v>2015</v>
      </c>
      <c r="L3882" t="s">
        <v>17</v>
      </c>
      <c r="M3882" t="s">
        <v>27</v>
      </c>
      <c r="N3882">
        <v>22</v>
      </c>
      <c r="O3882">
        <v>4</v>
      </c>
      <c r="P3882">
        <v>27</v>
      </c>
      <c r="Q3882">
        <v>19.2942432646615</v>
      </c>
      <c r="R3882">
        <v>7.3</v>
      </c>
      <c r="T3882" s="340" t="str">
        <f t="shared" si="170"/>
        <v>2014MaleNon-Maori23Poisoning by gases and vapours</v>
      </c>
      <c r="U3882">
        <v>2014</v>
      </c>
      <c r="V3882" t="s">
        <v>20</v>
      </c>
      <c r="W3882" t="s">
        <v>19</v>
      </c>
      <c r="X3882">
        <v>23</v>
      </c>
      <c r="Y3882" t="s">
        <v>46</v>
      </c>
      <c r="Z3882">
        <v>13</v>
      </c>
      <c r="AA3882">
        <v>104</v>
      </c>
      <c r="AB3882">
        <v>12.5</v>
      </c>
    </row>
    <row r="3883" spans="10:28">
      <c r="J3883" s="340" t="str">
        <f t="shared" si="169"/>
        <v>2015AllSexAllEth225</v>
      </c>
      <c r="K3883">
        <v>2015</v>
      </c>
      <c r="L3883" t="s">
        <v>17</v>
      </c>
      <c r="M3883" t="s">
        <v>27</v>
      </c>
      <c r="N3883">
        <v>22</v>
      </c>
      <c r="O3883">
        <v>5</v>
      </c>
      <c r="P3883">
        <v>35</v>
      </c>
      <c r="Q3883">
        <v>22.026800919296701</v>
      </c>
      <c r="R3883">
        <v>7.3</v>
      </c>
      <c r="T3883" s="340" t="str">
        <f t="shared" si="170"/>
        <v>2014MaleNon-Maori24Poisoning by gases and vapours</v>
      </c>
      <c r="U3883">
        <v>2014</v>
      </c>
      <c r="V3883" t="s">
        <v>20</v>
      </c>
      <c r="W3883" t="s">
        <v>19</v>
      </c>
      <c r="X3883">
        <v>24</v>
      </c>
      <c r="Y3883" t="s">
        <v>46</v>
      </c>
      <c r="Z3883">
        <v>10</v>
      </c>
      <c r="AA3883">
        <v>111</v>
      </c>
      <c r="AB3883">
        <v>9</v>
      </c>
    </row>
    <row r="3884" spans="10:28">
      <c r="J3884" s="340" t="str">
        <f t="shared" si="169"/>
        <v>2015AllSexAllEth231</v>
      </c>
      <c r="K3884">
        <v>2015</v>
      </c>
      <c r="L3884" t="s">
        <v>17</v>
      </c>
      <c r="M3884" t="s">
        <v>27</v>
      </c>
      <c r="N3884">
        <v>23</v>
      </c>
      <c r="O3884">
        <v>1</v>
      </c>
      <c r="P3884">
        <v>21</v>
      </c>
      <c r="Q3884">
        <v>9.4477166720078092</v>
      </c>
      <c r="R3884">
        <v>4</v>
      </c>
      <c r="T3884" s="340" t="str">
        <f t="shared" si="170"/>
        <v>2014MaleNon-Maori25Poisoning by gases and vapours</v>
      </c>
      <c r="U3884">
        <v>2014</v>
      </c>
      <c r="V3884" t="s">
        <v>20</v>
      </c>
      <c r="W3884" t="s">
        <v>19</v>
      </c>
      <c r="X3884">
        <v>25</v>
      </c>
      <c r="Y3884" t="s">
        <v>46</v>
      </c>
      <c r="Z3884">
        <v>5</v>
      </c>
      <c r="AA3884">
        <v>49</v>
      </c>
      <c r="AB3884">
        <v>10.199999999999999</v>
      </c>
    </row>
    <row r="3885" spans="10:28">
      <c r="J3885" s="340" t="str">
        <f t="shared" si="169"/>
        <v>2015AllSexAllEth232</v>
      </c>
      <c r="K3885">
        <v>2015</v>
      </c>
      <c r="L3885" t="s">
        <v>17</v>
      </c>
      <c r="M3885" t="s">
        <v>27</v>
      </c>
      <c r="N3885">
        <v>23</v>
      </c>
      <c r="O3885">
        <v>2</v>
      </c>
      <c r="P3885">
        <v>29</v>
      </c>
      <c r="Q3885">
        <v>12.014280318837001</v>
      </c>
      <c r="R3885">
        <v>4.4000000000000004</v>
      </c>
      <c r="T3885" s="340" t="str">
        <f t="shared" si="170"/>
        <v>2014MaleNon-Maori23Poisoning by solids and liquids</v>
      </c>
      <c r="U3885">
        <v>2014</v>
      </c>
      <c r="V3885" t="s">
        <v>20</v>
      </c>
      <c r="W3885" t="s">
        <v>19</v>
      </c>
      <c r="X3885">
        <v>23</v>
      </c>
      <c r="Y3885" t="s">
        <v>47</v>
      </c>
      <c r="Z3885">
        <v>7</v>
      </c>
      <c r="AA3885">
        <v>104</v>
      </c>
      <c r="AB3885">
        <v>6.7</v>
      </c>
    </row>
    <row r="3886" spans="10:28">
      <c r="J3886" s="340" t="str">
        <f t="shared" si="169"/>
        <v>2015AllSexAllEth233</v>
      </c>
      <c r="K3886">
        <v>2015</v>
      </c>
      <c r="L3886" t="s">
        <v>17</v>
      </c>
      <c r="M3886" t="s">
        <v>27</v>
      </c>
      <c r="N3886">
        <v>23</v>
      </c>
      <c r="O3886">
        <v>3</v>
      </c>
      <c r="P3886">
        <v>30</v>
      </c>
      <c r="Q3886">
        <v>12.1494704103147</v>
      </c>
      <c r="R3886">
        <v>4.3</v>
      </c>
      <c r="T3886" s="340" t="str">
        <f t="shared" si="170"/>
        <v>2014MaleNon-Maori24Poisoning by solids and liquids</v>
      </c>
      <c r="U3886">
        <v>2014</v>
      </c>
      <c r="V3886" t="s">
        <v>20</v>
      </c>
      <c r="W3886" t="s">
        <v>19</v>
      </c>
      <c r="X3886">
        <v>24</v>
      </c>
      <c r="Y3886" t="s">
        <v>47</v>
      </c>
      <c r="Z3886">
        <v>15</v>
      </c>
      <c r="AA3886">
        <v>111</v>
      </c>
      <c r="AB3886">
        <v>13.5</v>
      </c>
    </row>
    <row r="3887" spans="10:28">
      <c r="J3887" s="340" t="str">
        <f t="shared" si="169"/>
        <v>2015AllSexAllEth234</v>
      </c>
      <c r="K3887">
        <v>2015</v>
      </c>
      <c r="L3887" t="s">
        <v>17</v>
      </c>
      <c r="M3887" t="s">
        <v>27</v>
      </c>
      <c r="N3887">
        <v>23</v>
      </c>
      <c r="O3887">
        <v>4</v>
      </c>
      <c r="P3887">
        <v>38</v>
      </c>
      <c r="Q3887">
        <v>15.66469047484</v>
      </c>
      <c r="R3887">
        <v>5</v>
      </c>
      <c r="T3887" s="340" t="str">
        <f t="shared" si="170"/>
        <v>2014MaleNon-Maori25Poisoning by solids and liquids</v>
      </c>
      <c r="U3887">
        <v>2014</v>
      </c>
      <c r="V3887" t="s">
        <v>20</v>
      </c>
      <c r="W3887" t="s">
        <v>19</v>
      </c>
      <c r="X3887">
        <v>25</v>
      </c>
      <c r="Y3887" t="s">
        <v>47</v>
      </c>
      <c r="Z3887">
        <v>8</v>
      </c>
      <c r="AA3887">
        <v>49</v>
      </c>
      <c r="AB3887">
        <v>16.3</v>
      </c>
    </row>
    <row r="3888" spans="10:28">
      <c r="J3888" s="340" t="str">
        <f t="shared" si="169"/>
        <v>2015AllSexAllEth235</v>
      </c>
      <c r="K3888">
        <v>2015</v>
      </c>
      <c r="L3888" t="s">
        <v>17</v>
      </c>
      <c r="M3888" t="s">
        <v>27</v>
      </c>
      <c r="N3888">
        <v>23</v>
      </c>
      <c r="O3888">
        <v>5</v>
      </c>
      <c r="P3888">
        <v>53</v>
      </c>
      <c r="Q3888">
        <v>23.1272051079739</v>
      </c>
      <c r="R3888">
        <v>6.2</v>
      </c>
      <c r="T3888" s="340" t="str">
        <f t="shared" si="170"/>
        <v>2014MaleNon-Maori23Sharp object</v>
      </c>
      <c r="U3888">
        <v>2014</v>
      </c>
      <c r="V3888" t="s">
        <v>20</v>
      </c>
      <c r="W3888" t="s">
        <v>19</v>
      </c>
      <c r="X3888">
        <v>23</v>
      </c>
      <c r="Y3888" t="s">
        <v>48</v>
      </c>
      <c r="Z3888">
        <v>2</v>
      </c>
      <c r="AA3888">
        <v>104</v>
      </c>
      <c r="AB3888">
        <v>1.9</v>
      </c>
    </row>
    <row r="3889" spans="10:28">
      <c r="J3889" s="340" t="str">
        <f t="shared" si="169"/>
        <v>2015AllSexAllEth241</v>
      </c>
      <c r="K3889">
        <v>2015</v>
      </c>
      <c r="L3889" t="s">
        <v>17</v>
      </c>
      <c r="M3889" t="s">
        <v>27</v>
      </c>
      <c r="N3889">
        <v>24</v>
      </c>
      <c r="O3889">
        <v>1</v>
      </c>
      <c r="P3889">
        <v>24</v>
      </c>
      <c r="Q3889">
        <v>8.4400846005149202</v>
      </c>
      <c r="R3889">
        <v>3.4</v>
      </c>
      <c r="T3889" s="340" t="str">
        <f t="shared" si="170"/>
        <v>2014MaleNon-Maori24Sharp object</v>
      </c>
      <c r="U3889">
        <v>2014</v>
      </c>
      <c r="V3889" t="s">
        <v>20</v>
      </c>
      <c r="W3889" t="s">
        <v>19</v>
      </c>
      <c r="X3889">
        <v>24</v>
      </c>
      <c r="Y3889" t="s">
        <v>48</v>
      </c>
      <c r="Z3889">
        <v>2</v>
      </c>
      <c r="AA3889">
        <v>111</v>
      </c>
      <c r="AB3889">
        <v>1.8</v>
      </c>
    </row>
    <row r="3890" spans="10:28">
      <c r="J3890" s="340" t="str">
        <f t="shared" si="169"/>
        <v>2015AllSexAllEth242</v>
      </c>
      <c r="K3890">
        <v>2015</v>
      </c>
      <c r="L3890" t="s">
        <v>17</v>
      </c>
      <c r="M3890" t="s">
        <v>27</v>
      </c>
      <c r="N3890">
        <v>24</v>
      </c>
      <c r="O3890">
        <v>2</v>
      </c>
      <c r="P3890">
        <v>38</v>
      </c>
      <c r="Q3890">
        <v>14.9607001533436</v>
      </c>
      <c r="R3890">
        <v>4.8</v>
      </c>
      <c r="T3890" s="340" t="str">
        <f t="shared" si="170"/>
        <v>2014MaleNon-Maori22Submersion (drowning)</v>
      </c>
      <c r="U3890">
        <v>2014</v>
      </c>
      <c r="V3890" t="s">
        <v>20</v>
      </c>
      <c r="W3890" t="s">
        <v>19</v>
      </c>
      <c r="X3890">
        <v>22</v>
      </c>
      <c r="Y3890" t="s">
        <v>49</v>
      </c>
      <c r="Z3890">
        <v>1</v>
      </c>
      <c r="AA3890">
        <v>48</v>
      </c>
      <c r="AB3890">
        <v>2.1</v>
      </c>
    </row>
    <row r="3891" spans="10:28">
      <c r="J3891" s="340" t="str">
        <f t="shared" si="169"/>
        <v>2015AllSexAllEth243</v>
      </c>
      <c r="K3891">
        <v>2015</v>
      </c>
      <c r="L3891" t="s">
        <v>17</v>
      </c>
      <c r="M3891" t="s">
        <v>27</v>
      </c>
      <c r="N3891">
        <v>24</v>
      </c>
      <c r="O3891">
        <v>3</v>
      </c>
      <c r="P3891">
        <v>33</v>
      </c>
      <c r="Q3891">
        <v>14.3491558498981</v>
      </c>
      <c r="R3891">
        <v>4.9000000000000004</v>
      </c>
      <c r="T3891" s="340" t="str">
        <f t="shared" si="170"/>
        <v>2014MaleNon-Maori24Submersion (drowning)</v>
      </c>
      <c r="U3891">
        <v>2014</v>
      </c>
      <c r="V3891" t="s">
        <v>20</v>
      </c>
      <c r="W3891" t="s">
        <v>19</v>
      </c>
      <c r="X3891">
        <v>24</v>
      </c>
      <c r="Y3891" t="s">
        <v>49</v>
      </c>
      <c r="Z3891">
        <v>4</v>
      </c>
      <c r="AA3891">
        <v>111</v>
      </c>
      <c r="AB3891">
        <v>3.6</v>
      </c>
    </row>
    <row r="3892" spans="10:28">
      <c r="J3892" s="340" t="str">
        <f t="shared" si="169"/>
        <v>2015AllSexAllEth244</v>
      </c>
      <c r="K3892">
        <v>2015</v>
      </c>
      <c r="L3892" t="s">
        <v>17</v>
      </c>
      <c r="M3892" t="s">
        <v>27</v>
      </c>
      <c r="N3892">
        <v>24</v>
      </c>
      <c r="O3892">
        <v>4</v>
      </c>
      <c r="P3892">
        <v>37</v>
      </c>
      <c r="Q3892">
        <v>17.7067769755526</v>
      </c>
      <c r="R3892">
        <v>5.7</v>
      </c>
      <c r="T3892" s="340" t="str">
        <f t="shared" si="170"/>
        <v>2014MaleNon-Maori25Submersion (drowning)</v>
      </c>
      <c r="U3892">
        <v>2014</v>
      </c>
      <c r="V3892" t="s">
        <v>20</v>
      </c>
      <c r="W3892" t="s">
        <v>19</v>
      </c>
      <c r="X3892">
        <v>25</v>
      </c>
      <c r="Y3892" t="s">
        <v>49</v>
      </c>
      <c r="Z3892">
        <v>2</v>
      </c>
      <c r="AA3892">
        <v>49</v>
      </c>
      <c r="AB3892">
        <v>4.0999999999999996</v>
      </c>
    </row>
    <row r="3893" spans="10:28">
      <c r="J3893" s="340" t="str">
        <f t="shared" si="169"/>
        <v>2015AllSexAllEth245</v>
      </c>
      <c r="K3893">
        <v>2015</v>
      </c>
      <c r="L3893" t="s">
        <v>17</v>
      </c>
      <c r="M3893" t="s">
        <v>27</v>
      </c>
      <c r="N3893">
        <v>24</v>
      </c>
      <c r="O3893">
        <v>5</v>
      </c>
      <c r="P3893">
        <v>37</v>
      </c>
      <c r="Q3893">
        <v>19.275225052220598</v>
      </c>
      <c r="R3893">
        <v>6.2</v>
      </c>
      <c r="T3893" s="340" t="str">
        <f t="shared" si="170"/>
        <v>2015AllSexAllEth22Firearms and explosives</v>
      </c>
      <c r="U3893">
        <v>2015</v>
      </c>
      <c r="V3893" t="s">
        <v>17</v>
      </c>
      <c r="W3893" t="s">
        <v>27</v>
      </c>
      <c r="X3893">
        <v>22</v>
      </c>
      <c r="Y3893" t="s">
        <v>42</v>
      </c>
      <c r="Z3893">
        <v>3</v>
      </c>
      <c r="AA3893">
        <v>111</v>
      </c>
      <c r="AB3893">
        <v>2.7</v>
      </c>
    </row>
    <row r="3894" spans="10:28">
      <c r="J3894" s="340" t="str">
        <f t="shared" si="169"/>
        <v>2015AllSexAllEth251</v>
      </c>
      <c r="K3894">
        <v>2015</v>
      </c>
      <c r="L3894" t="s">
        <v>17</v>
      </c>
      <c r="M3894" t="s">
        <v>27</v>
      </c>
      <c r="N3894">
        <v>25</v>
      </c>
      <c r="O3894">
        <v>1</v>
      </c>
      <c r="P3894">
        <v>18</v>
      </c>
      <c r="Q3894">
        <v>12.85592725844</v>
      </c>
      <c r="R3894">
        <v>5.9</v>
      </c>
      <c r="T3894" s="340" t="str">
        <f t="shared" si="170"/>
        <v>2015AllSexAllEth23Firearms and explosives</v>
      </c>
      <c r="U3894">
        <v>2015</v>
      </c>
      <c r="V3894" t="s">
        <v>17</v>
      </c>
      <c r="W3894" t="s">
        <v>27</v>
      </c>
      <c r="X3894">
        <v>23</v>
      </c>
      <c r="Y3894" t="s">
        <v>42</v>
      </c>
      <c r="Z3894">
        <v>9</v>
      </c>
      <c r="AA3894">
        <v>173</v>
      </c>
      <c r="AB3894">
        <v>5.2</v>
      </c>
    </row>
    <row r="3895" spans="10:28">
      <c r="J3895" s="340" t="str">
        <f t="shared" si="169"/>
        <v>2015AllSexAllEth252</v>
      </c>
      <c r="K3895">
        <v>2015</v>
      </c>
      <c r="L3895" t="s">
        <v>17</v>
      </c>
      <c r="M3895" t="s">
        <v>27</v>
      </c>
      <c r="N3895">
        <v>25</v>
      </c>
      <c r="O3895">
        <v>2</v>
      </c>
      <c r="P3895">
        <v>12</v>
      </c>
      <c r="Q3895">
        <v>8.5119967639644702</v>
      </c>
      <c r="R3895">
        <v>4.8</v>
      </c>
      <c r="T3895" s="340" t="str">
        <f t="shared" si="170"/>
        <v>2015AllSexAllEth24Firearms and explosives</v>
      </c>
      <c r="U3895">
        <v>2015</v>
      </c>
      <c r="V3895" t="s">
        <v>17</v>
      </c>
      <c r="W3895" t="s">
        <v>27</v>
      </c>
      <c r="X3895">
        <v>24</v>
      </c>
      <c r="Y3895" t="s">
        <v>42</v>
      </c>
      <c r="Z3895">
        <v>14</v>
      </c>
      <c r="AA3895">
        <v>172</v>
      </c>
      <c r="AB3895">
        <v>8.1</v>
      </c>
    </row>
    <row r="3896" spans="10:28">
      <c r="J3896" s="340" t="str">
        <f t="shared" si="169"/>
        <v>2015AllSexAllEth253</v>
      </c>
      <c r="K3896">
        <v>2015</v>
      </c>
      <c r="L3896" t="s">
        <v>17</v>
      </c>
      <c r="M3896" t="s">
        <v>27</v>
      </c>
      <c r="N3896">
        <v>25</v>
      </c>
      <c r="O3896">
        <v>3</v>
      </c>
      <c r="P3896">
        <v>11</v>
      </c>
      <c r="Q3896">
        <v>7.9069198940264203</v>
      </c>
      <c r="R3896">
        <v>4.7</v>
      </c>
      <c r="T3896" s="340" t="str">
        <f t="shared" si="170"/>
        <v>2015AllSexAllEth25Firearms and explosives</v>
      </c>
      <c r="U3896">
        <v>2015</v>
      </c>
      <c r="V3896" t="s">
        <v>17</v>
      </c>
      <c r="W3896" t="s">
        <v>27</v>
      </c>
      <c r="X3896">
        <v>25</v>
      </c>
      <c r="Y3896" t="s">
        <v>42</v>
      </c>
      <c r="Z3896">
        <v>15</v>
      </c>
      <c r="AA3896">
        <v>65</v>
      </c>
      <c r="AB3896">
        <v>23.1</v>
      </c>
    </row>
    <row r="3897" spans="10:28">
      <c r="J3897" s="340" t="str">
        <f t="shared" si="169"/>
        <v>2015AllSexAllEth254</v>
      </c>
      <c r="K3897">
        <v>2015</v>
      </c>
      <c r="L3897" t="s">
        <v>17</v>
      </c>
      <c r="M3897" t="s">
        <v>27</v>
      </c>
      <c r="N3897">
        <v>25</v>
      </c>
      <c r="O3897">
        <v>4</v>
      </c>
      <c r="P3897">
        <v>16</v>
      </c>
      <c r="Q3897">
        <v>11.4108332755892</v>
      </c>
      <c r="R3897">
        <v>5.6</v>
      </c>
      <c r="T3897" s="340" t="str">
        <f t="shared" si="170"/>
        <v>2015AllSexAllEth21Hanging, strangulation and suffocation</v>
      </c>
      <c r="U3897">
        <v>2015</v>
      </c>
      <c r="V3897" t="s">
        <v>17</v>
      </c>
      <c r="W3897" t="s">
        <v>27</v>
      </c>
      <c r="X3897">
        <v>21</v>
      </c>
      <c r="Y3897" t="s">
        <v>43</v>
      </c>
      <c r="Z3897">
        <v>9</v>
      </c>
      <c r="AA3897">
        <v>9</v>
      </c>
      <c r="AB3897">
        <v>100</v>
      </c>
    </row>
    <row r="3898" spans="10:28">
      <c r="J3898" s="340" t="str">
        <f t="shared" si="169"/>
        <v>2015AllSexAllEth255</v>
      </c>
      <c r="K3898">
        <v>2015</v>
      </c>
      <c r="L3898" t="s">
        <v>17</v>
      </c>
      <c r="M3898" t="s">
        <v>27</v>
      </c>
      <c r="N3898">
        <v>25</v>
      </c>
      <c r="O3898">
        <v>5</v>
      </c>
      <c r="P3898">
        <v>8</v>
      </c>
      <c r="Q3898">
        <v>7.01160048098233</v>
      </c>
      <c r="R3898">
        <v>4.9000000000000004</v>
      </c>
      <c r="T3898" s="340" t="str">
        <f t="shared" si="170"/>
        <v>2015AllSexAllEth22Hanging, strangulation and suffocation</v>
      </c>
      <c r="U3898">
        <v>2015</v>
      </c>
      <c r="V3898" t="s">
        <v>17</v>
      </c>
      <c r="W3898" t="s">
        <v>27</v>
      </c>
      <c r="X3898">
        <v>22</v>
      </c>
      <c r="Y3898" t="s">
        <v>43</v>
      </c>
      <c r="Z3898">
        <v>90</v>
      </c>
      <c r="AA3898">
        <v>111</v>
      </c>
      <c r="AB3898">
        <v>81.099999999999994</v>
      </c>
    </row>
    <row r="3899" spans="10:28">
      <c r="J3899" s="340" t="str">
        <f t="shared" si="169"/>
        <v>2015AllSexMaori211</v>
      </c>
      <c r="K3899">
        <v>2015</v>
      </c>
      <c r="L3899" t="s">
        <v>17</v>
      </c>
      <c r="M3899" t="s">
        <v>18</v>
      </c>
      <c r="N3899">
        <v>21</v>
      </c>
      <c r="O3899">
        <v>1</v>
      </c>
      <c r="P3899">
        <v>0</v>
      </c>
      <c r="Q3899">
        <v>0</v>
      </c>
      <c r="T3899" s="340" t="str">
        <f t="shared" si="170"/>
        <v>2015AllSexAllEth23Hanging, strangulation and suffocation</v>
      </c>
      <c r="U3899">
        <v>2015</v>
      </c>
      <c r="V3899" t="s">
        <v>17</v>
      </c>
      <c r="W3899" t="s">
        <v>27</v>
      </c>
      <c r="X3899">
        <v>23</v>
      </c>
      <c r="Y3899" t="s">
        <v>43</v>
      </c>
      <c r="Z3899">
        <v>123</v>
      </c>
      <c r="AA3899">
        <v>173</v>
      </c>
      <c r="AB3899">
        <v>71.099999999999994</v>
      </c>
    </row>
    <row r="3900" spans="10:28">
      <c r="J3900" s="340" t="str">
        <f t="shared" si="169"/>
        <v>2015AllSexMaori212</v>
      </c>
      <c r="K3900">
        <v>2015</v>
      </c>
      <c r="L3900" t="s">
        <v>17</v>
      </c>
      <c r="M3900" t="s">
        <v>18</v>
      </c>
      <c r="N3900">
        <v>21</v>
      </c>
      <c r="O3900">
        <v>2</v>
      </c>
      <c r="P3900">
        <v>0</v>
      </c>
      <c r="Q3900">
        <v>0</v>
      </c>
      <c r="T3900" s="340" t="str">
        <f t="shared" si="170"/>
        <v>2015AllSexAllEth24Hanging, strangulation and suffocation</v>
      </c>
      <c r="U3900">
        <v>2015</v>
      </c>
      <c r="V3900" t="s">
        <v>17</v>
      </c>
      <c r="W3900" t="s">
        <v>27</v>
      </c>
      <c r="X3900">
        <v>24</v>
      </c>
      <c r="Y3900" t="s">
        <v>43</v>
      </c>
      <c r="Z3900">
        <v>86</v>
      </c>
      <c r="AA3900">
        <v>172</v>
      </c>
      <c r="AB3900">
        <v>50</v>
      </c>
    </row>
    <row r="3901" spans="10:28">
      <c r="J3901" s="340" t="str">
        <f t="shared" si="169"/>
        <v>2015AllSexMaori213</v>
      </c>
      <c r="K3901">
        <v>2015</v>
      </c>
      <c r="L3901" t="s">
        <v>17</v>
      </c>
      <c r="M3901" t="s">
        <v>18</v>
      </c>
      <c r="N3901">
        <v>21</v>
      </c>
      <c r="O3901">
        <v>3</v>
      </c>
      <c r="P3901">
        <v>1</v>
      </c>
      <c r="Q3901">
        <v>2.6206044098834398</v>
      </c>
      <c r="R3901">
        <v>5.0999999999999996</v>
      </c>
      <c r="T3901" s="340" t="str">
        <f t="shared" si="170"/>
        <v>2015AllSexAllEth25Hanging, strangulation and suffocation</v>
      </c>
      <c r="U3901">
        <v>2015</v>
      </c>
      <c r="V3901" t="s">
        <v>17</v>
      </c>
      <c r="W3901" t="s">
        <v>27</v>
      </c>
      <c r="X3901">
        <v>25</v>
      </c>
      <c r="Y3901" t="s">
        <v>43</v>
      </c>
      <c r="Z3901">
        <v>19</v>
      </c>
      <c r="AA3901">
        <v>65</v>
      </c>
      <c r="AB3901">
        <v>29.2</v>
      </c>
    </row>
    <row r="3902" spans="10:28">
      <c r="J3902" s="340" t="str">
        <f t="shared" si="169"/>
        <v>2015AllSexMaori214</v>
      </c>
      <c r="K3902">
        <v>2015</v>
      </c>
      <c r="L3902" t="s">
        <v>17</v>
      </c>
      <c r="M3902" t="s">
        <v>18</v>
      </c>
      <c r="N3902">
        <v>21</v>
      </c>
      <c r="O3902">
        <v>4</v>
      </c>
      <c r="P3902">
        <v>1</v>
      </c>
      <c r="Q3902">
        <v>1.8798766544033101</v>
      </c>
      <c r="R3902">
        <v>3.7</v>
      </c>
      <c r="T3902" s="340" t="str">
        <f t="shared" si="170"/>
        <v>2015AllSexAllEth22Jumping from a high place</v>
      </c>
      <c r="U3902">
        <v>2015</v>
      </c>
      <c r="V3902" t="s">
        <v>17</v>
      </c>
      <c r="W3902" t="s">
        <v>27</v>
      </c>
      <c r="X3902">
        <v>22</v>
      </c>
      <c r="Y3902" t="s">
        <v>44</v>
      </c>
      <c r="Z3902">
        <v>3</v>
      </c>
      <c r="AA3902">
        <v>111</v>
      </c>
      <c r="AB3902">
        <v>2.7</v>
      </c>
    </row>
    <row r="3903" spans="10:28">
      <c r="J3903" s="340" t="str">
        <f t="shared" si="169"/>
        <v>2015AllSexMaori215</v>
      </c>
      <c r="K3903">
        <v>2015</v>
      </c>
      <c r="L3903" t="s">
        <v>17</v>
      </c>
      <c r="M3903" t="s">
        <v>18</v>
      </c>
      <c r="N3903">
        <v>21</v>
      </c>
      <c r="O3903">
        <v>5</v>
      </c>
      <c r="P3903">
        <v>2</v>
      </c>
      <c r="Q3903">
        <v>2.0137217564019898</v>
      </c>
      <c r="R3903">
        <v>2.8</v>
      </c>
      <c r="T3903" s="340" t="str">
        <f t="shared" si="170"/>
        <v>2015AllSexAllEth23Jumping from a high place</v>
      </c>
      <c r="U3903">
        <v>2015</v>
      </c>
      <c r="V3903" t="s">
        <v>17</v>
      </c>
      <c r="W3903" t="s">
        <v>27</v>
      </c>
      <c r="X3903">
        <v>23</v>
      </c>
      <c r="Y3903" t="s">
        <v>44</v>
      </c>
      <c r="Z3903">
        <v>5</v>
      </c>
      <c r="AA3903">
        <v>173</v>
      </c>
      <c r="AB3903">
        <v>2.9</v>
      </c>
    </row>
    <row r="3904" spans="10:28">
      <c r="J3904" s="340" t="str">
        <f t="shared" si="169"/>
        <v>2015AllSexMaori221</v>
      </c>
      <c r="K3904">
        <v>2015</v>
      </c>
      <c r="L3904" t="s">
        <v>17</v>
      </c>
      <c r="M3904" t="s">
        <v>18</v>
      </c>
      <c r="N3904">
        <v>22</v>
      </c>
      <c r="O3904">
        <v>1</v>
      </c>
      <c r="P3904">
        <v>3</v>
      </c>
      <c r="Q3904">
        <v>26.364975359548001</v>
      </c>
      <c r="R3904">
        <v>29.8</v>
      </c>
      <c r="T3904" s="340" t="str">
        <f t="shared" si="170"/>
        <v>2015AllSexAllEth24Jumping from a high place</v>
      </c>
      <c r="U3904">
        <v>2015</v>
      </c>
      <c r="V3904" t="s">
        <v>17</v>
      </c>
      <c r="W3904" t="s">
        <v>27</v>
      </c>
      <c r="X3904">
        <v>24</v>
      </c>
      <c r="Y3904" t="s">
        <v>44</v>
      </c>
      <c r="Z3904">
        <v>7</v>
      </c>
      <c r="AA3904">
        <v>172</v>
      </c>
      <c r="AB3904">
        <v>4.0999999999999996</v>
      </c>
    </row>
    <row r="3905" spans="10:28">
      <c r="J3905" s="340" t="str">
        <f t="shared" si="169"/>
        <v>2015AllSexMaori222</v>
      </c>
      <c r="K3905">
        <v>2015</v>
      </c>
      <c r="L3905" t="s">
        <v>17</v>
      </c>
      <c r="M3905" t="s">
        <v>18</v>
      </c>
      <c r="N3905">
        <v>22</v>
      </c>
      <c r="O3905">
        <v>2</v>
      </c>
      <c r="P3905">
        <v>6</v>
      </c>
      <c r="Q3905">
        <v>39.5768773430392</v>
      </c>
      <c r="R3905">
        <v>31.7</v>
      </c>
      <c r="T3905" s="340" t="str">
        <f t="shared" si="170"/>
        <v>2015AllSexAllEth25Jumping from a high place</v>
      </c>
      <c r="U3905">
        <v>2015</v>
      </c>
      <c r="V3905" t="s">
        <v>17</v>
      </c>
      <c r="W3905" t="s">
        <v>27</v>
      </c>
      <c r="X3905">
        <v>25</v>
      </c>
      <c r="Y3905" t="s">
        <v>44</v>
      </c>
      <c r="Z3905">
        <v>3</v>
      </c>
      <c r="AA3905">
        <v>65</v>
      </c>
      <c r="AB3905">
        <v>4.5999999999999996</v>
      </c>
    </row>
    <row r="3906" spans="10:28">
      <c r="J3906" s="340" t="str">
        <f t="shared" si="169"/>
        <v>2015AllSexMaori223</v>
      </c>
      <c r="K3906">
        <v>2015</v>
      </c>
      <c r="L3906" t="s">
        <v>17</v>
      </c>
      <c r="M3906" t="s">
        <v>18</v>
      </c>
      <c r="N3906">
        <v>22</v>
      </c>
      <c r="O3906">
        <v>3</v>
      </c>
      <c r="P3906">
        <v>5</v>
      </c>
      <c r="Q3906">
        <v>22.690957838024001</v>
      </c>
      <c r="R3906">
        <v>19.899999999999999</v>
      </c>
      <c r="T3906" s="340" t="str">
        <f t="shared" si="170"/>
        <v>2015AllSexAllEth22Other</v>
      </c>
      <c r="U3906">
        <v>2015</v>
      </c>
      <c r="V3906" t="s">
        <v>17</v>
      </c>
      <c r="W3906" t="s">
        <v>27</v>
      </c>
      <c r="X3906">
        <v>22</v>
      </c>
      <c r="Y3906" t="s">
        <v>45</v>
      </c>
      <c r="Z3906">
        <v>5</v>
      </c>
      <c r="AA3906">
        <v>111</v>
      </c>
      <c r="AB3906">
        <v>4.5</v>
      </c>
    </row>
    <row r="3907" spans="10:28">
      <c r="J3907" s="340" t="str">
        <f t="shared" si="169"/>
        <v>2015AllSexMaori224</v>
      </c>
      <c r="K3907">
        <v>2015</v>
      </c>
      <c r="L3907" t="s">
        <v>17</v>
      </c>
      <c r="M3907" t="s">
        <v>18</v>
      </c>
      <c r="N3907">
        <v>22</v>
      </c>
      <c r="O3907">
        <v>4</v>
      </c>
      <c r="P3907">
        <v>11</v>
      </c>
      <c r="Q3907">
        <v>34.5641974516601</v>
      </c>
      <c r="R3907">
        <v>20.399999999999999</v>
      </c>
      <c r="T3907" s="340" t="str">
        <f t="shared" si="170"/>
        <v>2015AllSexAllEth23Other</v>
      </c>
      <c r="U3907">
        <v>2015</v>
      </c>
      <c r="V3907" t="s">
        <v>17</v>
      </c>
      <c r="W3907" t="s">
        <v>27</v>
      </c>
      <c r="X3907">
        <v>23</v>
      </c>
      <c r="Y3907" t="s">
        <v>45</v>
      </c>
      <c r="Z3907">
        <v>5</v>
      </c>
      <c r="AA3907">
        <v>173</v>
      </c>
      <c r="AB3907">
        <v>2.9</v>
      </c>
    </row>
    <row r="3908" spans="10:28">
      <c r="J3908" s="340" t="str">
        <f t="shared" ref="J3908:J3971" si="171">K3908&amp;L3908&amp;M3908&amp;N3908&amp;O3908</f>
        <v>2015AllSexMaori225</v>
      </c>
      <c r="K3908">
        <v>2015</v>
      </c>
      <c r="L3908" t="s">
        <v>17</v>
      </c>
      <c r="M3908" t="s">
        <v>18</v>
      </c>
      <c r="N3908">
        <v>22</v>
      </c>
      <c r="O3908">
        <v>5</v>
      </c>
      <c r="P3908">
        <v>17</v>
      </c>
      <c r="Q3908">
        <v>31.064125950729601</v>
      </c>
      <c r="R3908">
        <v>14.8</v>
      </c>
      <c r="T3908" s="340" t="str">
        <f t="shared" si="170"/>
        <v>2015AllSexAllEth24Other</v>
      </c>
      <c r="U3908">
        <v>2015</v>
      </c>
      <c r="V3908" t="s">
        <v>17</v>
      </c>
      <c r="W3908" t="s">
        <v>27</v>
      </c>
      <c r="X3908">
        <v>24</v>
      </c>
      <c r="Y3908" t="s">
        <v>45</v>
      </c>
      <c r="Z3908">
        <v>9</v>
      </c>
      <c r="AA3908">
        <v>172</v>
      </c>
      <c r="AB3908">
        <v>5.2</v>
      </c>
    </row>
    <row r="3909" spans="10:28">
      <c r="J3909" s="340" t="str">
        <f t="shared" si="171"/>
        <v>2015AllSexMaori231</v>
      </c>
      <c r="K3909">
        <v>2015</v>
      </c>
      <c r="L3909" t="s">
        <v>17</v>
      </c>
      <c r="M3909" t="s">
        <v>18</v>
      </c>
      <c r="N3909">
        <v>23</v>
      </c>
      <c r="O3909">
        <v>1</v>
      </c>
      <c r="P3909">
        <v>0</v>
      </c>
      <c r="Q3909">
        <v>0</v>
      </c>
      <c r="T3909" s="340" t="str">
        <f t="shared" ref="T3909:T3972" si="172">U3909&amp;V3909&amp;W3909&amp;X3909&amp;Y3909</f>
        <v>2015AllSexAllEth25Other</v>
      </c>
      <c r="U3909">
        <v>2015</v>
      </c>
      <c r="V3909" t="s">
        <v>17</v>
      </c>
      <c r="W3909" t="s">
        <v>27</v>
      </c>
      <c r="X3909">
        <v>25</v>
      </c>
      <c r="Y3909" t="s">
        <v>45</v>
      </c>
      <c r="Z3909">
        <v>6</v>
      </c>
      <c r="AA3909">
        <v>65</v>
      </c>
      <c r="AB3909">
        <v>9.1999999999999993</v>
      </c>
    </row>
    <row r="3910" spans="10:28">
      <c r="J3910" s="340" t="str">
        <f t="shared" si="171"/>
        <v>2015AllSexMaori232</v>
      </c>
      <c r="K3910">
        <v>2015</v>
      </c>
      <c r="L3910" t="s">
        <v>17</v>
      </c>
      <c r="M3910" t="s">
        <v>18</v>
      </c>
      <c r="N3910">
        <v>23</v>
      </c>
      <c r="O3910">
        <v>2</v>
      </c>
      <c r="P3910">
        <v>5</v>
      </c>
      <c r="Q3910">
        <v>23.6646447347565</v>
      </c>
      <c r="R3910">
        <v>20.7</v>
      </c>
      <c r="T3910" s="340" t="str">
        <f t="shared" si="172"/>
        <v>2015AllSexAllEth22Poisoning by gases and vapours</v>
      </c>
      <c r="U3910">
        <v>2015</v>
      </c>
      <c r="V3910" t="s">
        <v>17</v>
      </c>
      <c r="W3910" t="s">
        <v>27</v>
      </c>
      <c r="X3910">
        <v>22</v>
      </c>
      <c r="Y3910" t="s">
        <v>46</v>
      </c>
      <c r="Z3910">
        <v>3</v>
      </c>
      <c r="AA3910">
        <v>111</v>
      </c>
      <c r="AB3910">
        <v>2.7</v>
      </c>
    </row>
    <row r="3911" spans="10:28">
      <c r="J3911" s="340" t="str">
        <f t="shared" si="171"/>
        <v>2015AllSexMaori233</v>
      </c>
      <c r="K3911">
        <v>2015</v>
      </c>
      <c r="L3911" t="s">
        <v>17</v>
      </c>
      <c r="M3911" t="s">
        <v>18</v>
      </c>
      <c r="N3911">
        <v>23</v>
      </c>
      <c r="O3911">
        <v>3</v>
      </c>
      <c r="P3911">
        <v>7</v>
      </c>
      <c r="Q3911">
        <v>23.775478708880801</v>
      </c>
      <c r="R3911">
        <v>17.600000000000001</v>
      </c>
      <c r="T3911" s="340" t="str">
        <f t="shared" si="172"/>
        <v>2015AllSexAllEth23Poisoning by gases and vapours</v>
      </c>
      <c r="U3911">
        <v>2015</v>
      </c>
      <c r="V3911" t="s">
        <v>17</v>
      </c>
      <c r="W3911" t="s">
        <v>27</v>
      </c>
      <c r="X3911">
        <v>23</v>
      </c>
      <c r="Y3911" t="s">
        <v>46</v>
      </c>
      <c r="Z3911">
        <v>16</v>
      </c>
      <c r="AA3911">
        <v>173</v>
      </c>
      <c r="AB3911">
        <v>9.1999999999999993</v>
      </c>
    </row>
    <row r="3912" spans="10:28">
      <c r="J3912" s="340" t="str">
        <f t="shared" si="171"/>
        <v>2015AllSexMaori234</v>
      </c>
      <c r="K3912">
        <v>2015</v>
      </c>
      <c r="L3912" t="s">
        <v>17</v>
      </c>
      <c r="M3912" t="s">
        <v>18</v>
      </c>
      <c r="N3912">
        <v>23</v>
      </c>
      <c r="O3912">
        <v>4</v>
      </c>
      <c r="P3912">
        <v>13</v>
      </c>
      <c r="Q3912">
        <v>31.954818577794398</v>
      </c>
      <c r="R3912">
        <v>17.399999999999999</v>
      </c>
      <c r="T3912" s="340" t="str">
        <f t="shared" si="172"/>
        <v>2015AllSexAllEth24Poisoning by gases and vapours</v>
      </c>
      <c r="U3912">
        <v>2015</v>
      </c>
      <c r="V3912" t="s">
        <v>17</v>
      </c>
      <c r="W3912" t="s">
        <v>27</v>
      </c>
      <c r="X3912">
        <v>24</v>
      </c>
      <c r="Y3912" t="s">
        <v>46</v>
      </c>
      <c r="Z3912">
        <v>23</v>
      </c>
      <c r="AA3912">
        <v>172</v>
      </c>
      <c r="AB3912">
        <v>13.4</v>
      </c>
    </row>
    <row r="3913" spans="10:28">
      <c r="J3913" s="340" t="str">
        <f t="shared" si="171"/>
        <v>2015AllSexMaori235</v>
      </c>
      <c r="K3913">
        <v>2015</v>
      </c>
      <c r="L3913" t="s">
        <v>17</v>
      </c>
      <c r="M3913" t="s">
        <v>18</v>
      </c>
      <c r="N3913">
        <v>23</v>
      </c>
      <c r="O3913">
        <v>5</v>
      </c>
      <c r="P3913">
        <v>29</v>
      </c>
      <c r="Q3913">
        <v>44.020353185672199</v>
      </c>
      <c r="R3913">
        <v>16</v>
      </c>
      <c r="T3913" s="340" t="str">
        <f t="shared" si="172"/>
        <v>2015AllSexAllEth25Poisoning by gases and vapours</v>
      </c>
      <c r="U3913">
        <v>2015</v>
      </c>
      <c r="V3913" t="s">
        <v>17</v>
      </c>
      <c r="W3913" t="s">
        <v>27</v>
      </c>
      <c r="X3913">
        <v>25</v>
      </c>
      <c r="Y3913" t="s">
        <v>46</v>
      </c>
      <c r="Z3913">
        <v>3</v>
      </c>
      <c r="AA3913">
        <v>65</v>
      </c>
      <c r="AB3913">
        <v>4.5999999999999996</v>
      </c>
    </row>
    <row r="3914" spans="10:28">
      <c r="J3914" s="340" t="str">
        <f t="shared" si="171"/>
        <v>2015AllSexMaori241</v>
      </c>
      <c r="K3914">
        <v>2015</v>
      </c>
      <c r="L3914" t="s">
        <v>17</v>
      </c>
      <c r="M3914" t="s">
        <v>18</v>
      </c>
      <c r="N3914">
        <v>24</v>
      </c>
      <c r="O3914">
        <v>1</v>
      </c>
      <c r="P3914">
        <v>0</v>
      </c>
      <c r="Q3914">
        <v>0</v>
      </c>
      <c r="T3914" s="340" t="str">
        <f t="shared" si="172"/>
        <v>2015AllSexAllEth22Poisoning by solids and liquids</v>
      </c>
      <c r="U3914">
        <v>2015</v>
      </c>
      <c r="V3914" t="s">
        <v>17</v>
      </c>
      <c r="W3914" t="s">
        <v>27</v>
      </c>
      <c r="X3914">
        <v>22</v>
      </c>
      <c r="Y3914" t="s">
        <v>47</v>
      </c>
      <c r="Z3914">
        <v>5</v>
      </c>
      <c r="AA3914">
        <v>111</v>
      </c>
      <c r="AB3914">
        <v>4.5</v>
      </c>
    </row>
    <row r="3915" spans="10:28">
      <c r="J3915" s="340" t="str">
        <f t="shared" si="171"/>
        <v>2015AllSexMaori242</v>
      </c>
      <c r="K3915">
        <v>2015</v>
      </c>
      <c r="L3915" t="s">
        <v>17</v>
      </c>
      <c r="M3915" t="s">
        <v>18</v>
      </c>
      <c r="N3915">
        <v>24</v>
      </c>
      <c r="O3915">
        <v>2</v>
      </c>
      <c r="P3915">
        <v>3</v>
      </c>
      <c r="Q3915">
        <v>18.239023327540799</v>
      </c>
      <c r="R3915">
        <v>20.6</v>
      </c>
      <c r="T3915" s="340" t="str">
        <f t="shared" si="172"/>
        <v>2015AllSexAllEth23Poisoning by solids and liquids</v>
      </c>
      <c r="U3915">
        <v>2015</v>
      </c>
      <c r="V3915" t="s">
        <v>17</v>
      </c>
      <c r="W3915" t="s">
        <v>27</v>
      </c>
      <c r="X3915">
        <v>23</v>
      </c>
      <c r="Y3915" t="s">
        <v>47</v>
      </c>
      <c r="Z3915">
        <v>12</v>
      </c>
      <c r="AA3915">
        <v>173</v>
      </c>
      <c r="AB3915">
        <v>6.9</v>
      </c>
    </row>
    <row r="3916" spans="10:28">
      <c r="J3916" s="340" t="str">
        <f t="shared" si="171"/>
        <v>2015AllSexMaori243</v>
      </c>
      <c r="K3916">
        <v>2015</v>
      </c>
      <c r="L3916" t="s">
        <v>17</v>
      </c>
      <c r="M3916" t="s">
        <v>18</v>
      </c>
      <c r="N3916">
        <v>24</v>
      </c>
      <c r="O3916">
        <v>3</v>
      </c>
      <c r="P3916">
        <v>4</v>
      </c>
      <c r="Q3916">
        <v>18.446478394413599</v>
      </c>
      <c r="R3916">
        <v>18.100000000000001</v>
      </c>
      <c r="T3916" s="340" t="str">
        <f t="shared" si="172"/>
        <v>2015AllSexAllEth24Poisoning by solids and liquids</v>
      </c>
      <c r="U3916">
        <v>2015</v>
      </c>
      <c r="V3916" t="s">
        <v>17</v>
      </c>
      <c r="W3916" t="s">
        <v>27</v>
      </c>
      <c r="X3916">
        <v>24</v>
      </c>
      <c r="Y3916" t="s">
        <v>47</v>
      </c>
      <c r="Z3916">
        <v>26</v>
      </c>
      <c r="AA3916">
        <v>172</v>
      </c>
      <c r="AB3916">
        <v>15.1</v>
      </c>
    </row>
    <row r="3917" spans="10:28">
      <c r="J3917" s="340" t="str">
        <f t="shared" si="171"/>
        <v>2015AllSexMaori244</v>
      </c>
      <c r="K3917">
        <v>2015</v>
      </c>
      <c r="L3917" t="s">
        <v>17</v>
      </c>
      <c r="M3917" t="s">
        <v>18</v>
      </c>
      <c r="N3917">
        <v>24</v>
      </c>
      <c r="O3917">
        <v>4</v>
      </c>
      <c r="P3917">
        <v>3</v>
      </c>
      <c r="Q3917">
        <v>9.9479528261854497</v>
      </c>
      <c r="R3917">
        <v>11.3</v>
      </c>
      <c r="T3917" s="340" t="str">
        <f t="shared" si="172"/>
        <v>2015AllSexAllEth25Poisoning by solids and liquids</v>
      </c>
      <c r="U3917">
        <v>2015</v>
      </c>
      <c r="V3917" t="s">
        <v>17</v>
      </c>
      <c r="W3917" t="s">
        <v>27</v>
      </c>
      <c r="X3917">
        <v>25</v>
      </c>
      <c r="Y3917" t="s">
        <v>47</v>
      </c>
      <c r="Z3917">
        <v>11</v>
      </c>
      <c r="AA3917">
        <v>65</v>
      </c>
      <c r="AB3917">
        <v>16.899999999999999</v>
      </c>
    </row>
    <row r="3918" spans="10:28">
      <c r="J3918" s="340" t="str">
        <f t="shared" si="171"/>
        <v>2015AllSexMaori245</v>
      </c>
      <c r="K3918">
        <v>2015</v>
      </c>
      <c r="L3918" t="s">
        <v>17</v>
      </c>
      <c r="M3918" t="s">
        <v>18</v>
      </c>
      <c r="N3918">
        <v>24</v>
      </c>
      <c r="O3918">
        <v>5</v>
      </c>
      <c r="P3918">
        <v>8</v>
      </c>
      <c r="Q3918">
        <v>15.1848921848703</v>
      </c>
      <c r="R3918">
        <v>10.5</v>
      </c>
      <c r="T3918" s="340" t="str">
        <f t="shared" si="172"/>
        <v>2015AllSexAllEth22Sharp object</v>
      </c>
      <c r="U3918">
        <v>2015</v>
      </c>
      <c r="V3918" t="s">
        <v>17</v>
      </c>
      <c r="W3918" t="s">
        <v>27</v>
      </c>
      <c r="X3918">
        <v>22</v>
      </c>
      <c r="Y3918" t="s">
        <v>48</v>
      </c>
      <c r="Z3918">
        <v>1</v>
      </c>
      <c r="AA3918">
        <v>111</v>
      </c>
      <c r="AB3918">
        <v>0.9</v>
      </c>
    </row>
    <row r="3919" spans="10:28">
      <c r="J3919" s="340" t="str">
        <f t="shared" si="171"/>
        <v>2015AllSexMaori251</v>
      </c>
      <c r="K3919">
        <v>2015</v>
      </c>
      <c r="L3919" t="s">
        <v>17</v>
      </c>
      <c r="M3919" t="s">
        <v>18</v>
      </c>
      <c r="N3919">
        <v>25</v>
      </c>
      <c r="O3919">
        <v>1</v>
      </c>
      <c r="P3919">
        <v>0</v>
      </c>
      <c r="Q3919">
        <v>0</v>
      </c>
      <c r="T3919" s="340" t="str">
        <f t="shared" si="172"/>
        <v>2015AllSexAllEth23Sharp object</v>
      </c>
      <c r="U3919">
        <v>2015</v>
      </c>
      <c r="V3919" t="s">
        <v>17</v>
      </c>
      <c r="W3919" t="s">
        <v>27</v>
      </c>
      <c r="X3919">
        <v>23</v>
      </c>
      <c r="Y3919" t="s">
        <v>48</v>
      </c>
      <c r="Z3919">
        <v>2</v>
      </c>
      <c r="AA3919">
        <v>173</v>
      </c>
      <c r="AB3919">
        <v>1.2</v>
      </c>
    </row>
    <row r="3920" spans="10:28">
      <c r="J3920" s="340" t="str">
        <f t="shared" si="171"/>
        <v>2015AllSexMaori252</v>
      </c>
      <c r="K3920">
        <v>2015</v>
      </c>
      <c r="L3920" t="s">
        <v>17</v>
      </c>
      <c r="M3920" t="s">
        <v>18</v>
      </c>
      <c r="N3920">
        <v>25</v>
      </c>
      <c r="O3920">
        <v>2</v>
      </c>
      <c r="P3920">
        <v>0</v>
      </c>
      <c r="Q3920">
        <v>0</v>
      </c>
      <c r="T3920" s="340" t="str">
        <f t="shared" si="172"/>
        <v>2015AllSexAllEth24Sharp object</v>
      </c>
      <c r="U3920">
        <v>2015</v>
      </c>
      <c r="V3920" t="s">
        <v>17</v>
      </c>
      <c r="W3920" t="s">
        <v>27</v>
      </c>
      <c r="X3920">
        <v>24</v>
      </c>
      <c r="Y3920" t="s">
        <v>48</v>
      </c>
      <c r="Z3920">
        <v>3</v>
      </c>
      <c r="AA3920">
        <v>172</v>
      </c>
      <c r="AB3920">
        <v>1.7</v>
      </c>
    </row>
    <row r="3921" spans="10:28">
      <c r="J3921" s="340" t="str">
        <f t="shared" si="171"/>
        <v>2015AllSexMaori253</v>
      </c>
      <c r="K3921">
        <v>2015</v>
      </c>
      <c r="L3921" t="s">
        <v>17</v>
      </c>
      <c r="M3921" t="s">
        <v>18</v>
      </c>
      <c r="N3921">
        <v>25</v>
      </c>
      <c r="O3921">
        <v>3</v>
      </c>
      <c r="P3921">
        <v>0</v>
      </c>
      <c r="Q3921">
        <v>0</v>
      </c>
      <c r="T3921" s="340" t="str">
        <f t="shared" si="172"/>
        <v>2015AllSexAllEth25Sharp object</v>
      </c>
      <c r="U3921">
        <v>2015</v>
      </c>
      <c r="V3921" t="s">
        <v>17</v>
      </c>
      <c r="W3921" t="s">
        <v>27</v>
      </c>
      <c r="X3921">
        <v>25</v>
      </c>
      <c r="Y3921" t="s">
        <v>48</v>
      </c>
      <c r="Z3921">
        <v>2</v>
      </c>
      <c r="AA3921">
        <v>65</v>
      </c>
      <c r="AB3921">
        <v>3.1</v>
      </c>
    </row>
    <row r="3922" spans="10:28">
      <c r="J3922" s="340" t="str">
        <f t="shared" si="171"/>
        <v>2015AllSexMaori254</v>
      </c>
      <c r="K3922">
        <v>2015</v>
      </c>
      <c r="L3922" t="s">
        <v>17</v>
      </c>
      <c r="M3922" t="s">
        <v>18</v>
      </c>
      <c r="N3922">
        <v>25</v>
      </c>
      <c r="O3922">
        <v>4</v>
      </c>
      <c r="P3922">
        <v>0</v>
      </c>
      <c r="Q3922">
        <v>0</v>
      </c>
      <c r="T3922" s="340" t="str">
        <f t="shared" si="172"/>
        <v>2015AllSexAllEth22Submersion (drowning)</v>
      </c>
      <c r="U3922">
        <v>2015</v>
      </c>
      <c r="V3922" t="s">
        <v>17</v>
      </c>
      <c r="W3922" t="s">
        <v>27</v>
      </c>
      <c r="X3922">
        <v>22</v>
      </c>
      <c r="Y3922" t="s">
        <v>49</v>
      </c>
      <c r="Z3922">
        <v>1</v>
      </c>
      <c r="AA3922">
        <v>111</v>
      </c>
      <c r="AB3922">
        <v>0.9</v>
      </c>
    </row>
    <row r="3923" spans="10:28">
      <c r="J3923" s="340" t="str">
        <f t="shared" si="171"/>
        <v>2015AllSexMaori255</v>
      </c>
      <c r="K3923">
        <v>2015</v>
      </c>
      <c r="L3923" t="s">
        <v>17</v>
      </c>
      <c r="M3923" t="s">
        <v>18</v>
      </c>
      <c r="N3923">
        <v>25</v>
      </c>
      <c r="O3923">
        <v>5</v>
      </c>
      <c r="P3923">
        <v>0</v>
      </c>
      <c r="Q3923">
        <v>0</v>
      </c>
      <c r="T3923" s="340" t="str">
        <f t="shared" si="172"/>
        <v>2015AllSexAllEth23Submersion (drowning)</v>
      </c>
      <c r="U3923">
        <v>2015</v>
      </c>
      <c r="V3923" t="s">
        <v>17</v>
      </c>
      <c r="W3923" t="s">
        <v>27</v>
      </c>
      <c r="X3923">
        <v>23</v>
      </c>
      <c r="Y3923" t="s">
        <v>49</v>
      </c>
      <c r="Z3923">
        <v>1</v>
      </c>
      <c r="AA3923">
        <v>173</v>
      </c>
      <c r="AB3923">
        <v>0.6</v>
      </c>
    </row>
    <row r="3924" spans="10:28">
      <c r="J3924" s="340" t="str">
        <f t="shared" si="171"/>
        <v>2015AllSexNon-Maori211</v>
      </c>
      <c r="K3924">
        <v>2015</v>
      </c>
      <c r="L3924" t="s">
        <v>17</v>
      </c>
      <c r="M3924" t="s">
        <v>19</v>
      </c>
      <c r="N3924">
        <v>21</v>
      </c>
      <c r="O3924">
        <v>1</v>
      </c>
      <c r="P3924">
        <v>0</v>
      </c>
      <c r="Q3924">
        <v>0</v>
      </c>
      <c r="T3924" s="340" t="str">
        <f t="shared" si="172"/>
        <v>2015AllSexAllEth24Submersion (drowning)</v>
      </c>
      <c r="U3924">
        <v>2015</v>
      </c>
      <c r="V3924" t="s">
        <v>17</v>
      </c>
      <c r="W3924" t="s">
        <v>27</v>
      </c>
      <c r="X3924">
        <v>24</v>
      </c>
      <c r="Y3924" t="s">
        <v>49</v>
      </c>
      <c r="Z3924">
        <v>4</v>
      </c>
      <c r="AA3924">
        <v>172</v>
      </c>
      <c r="AB3924">
        <v>2.2999999999999998</v>
      </c>
    </row>
    <row r="3925" spans="10:28">
      <c r="J3925" s="340" t="str">
        <f t="shared" si="171"/>
        <v>2015AllSexNon-Maori212</v>
      </c>
      <c r="K3925">
        <v>2015</v>
      </c>
      <c r="L3925" t="s">
        <v>17</v>
      </c>
      <c r="M3925" t="s">
        <v>19</v>
      </c>
      <c r="N3925">
        <v>21</v>
      </c>
      <c r="O3925">
        <v>2</v>
      </c>
      <c r="P3925">
        <v>0</v>
      </c>
      <c r="Q3925">
        <v>0</v>
      </c>
      <c r="T3925" s="340" t="str">
        <f t="shared" si="172"/>
        <v>2015AllSexAllEth25Submersion (drowning)</v>
      </c>
      <c r="U3925">
        <v>2015</v>
      </c>
      <c r="V3925" t="s">
        <v>17</v>
      </c>
      <c r="W3925" t="s">
        <v>27</v>
      </c>
      <c r="X3925">
        <v>25</v>
      </c>
      <c r="Y3925" t="s">
        <v>49</v>
      </c>
      <c r="Z3925">
        <v>6</v>
      </c>
      <c r="AA3925">
        <v>65</v>
      </c>
      <c r="AB3925">
        <v>9.1999999999999993</v>
      </c>
    </row>
    <row r="3926" spans="10:28">
      <c r="J3926" s="340" t="str">
        <f t="shared" si="171"/>
        <v>2015AllSexNon-Maori213</v>
      </c>
      <c r="K3926">
        <v>2015</v>
      </c>
      <c r="L3926" t="s">
        <v>17</v>
      </c>
      <c r="M3926" t="s">
        <v>19</v>
      </c>
      <c r="N3926">
        <v>21</v>
      </c>
      <c r="O3926">
        <v>3</v>
      </c>
      <c r="P3926">
        <v>2</v>
      </c>
      <c r="Q3926">
        <v>1.5178785938900601</v>
      </c>
      <c r="R3926">
        <v>2.1</v>
      </c>
      <c r="T3926" s="340" t="str">
        <f t="shared" si="172"/>
        <v>2015AllSexMaori23Firearms and explosives</v>
      </c>
      <c r="U3926">
        <v>2015</v>
      </c>
      <c r="V3926" t="s">
        <v>17</v>
      </c>
      <c r="W3926" t="s">
        <v>18</v>
      </c>
      <c r="X3926">
        <v>23</v>
      </c>
      <c r="Y3926" t="s">
        <v>42</v>
      </c>
      <c r="Z3926">
        <v>1</v>
      </c>
      <c r="AA3926">
        <v>54</v>
      </c>
      <c r="AB3926">
        <v>1.9</v>
      </c>
    </row>
    <row r="3927" spans="10:28">
      <c r="J3927" s="340" t="str">
        <f t="shared" si="171"/>
        <v>2015AllSexNon-Maori214</v>
      </c>
      <c r="K3927">
        <v>2015</v>
      </c>
      <c r="L3927" t="s">
        <v>17</v>
      </c>
      <c r="M3927" t="s">
        <v>19</v>
      </c>
      <c r="N3927">
        <v>21</v>
      </c>
      <c r="O3927">
        <v>4</v>
      </c>
      <c r="P3927">
        <v>0</v>
      </c>
      <c r="Q3927">
        <v>0</v>
      </c>
      <c r="T3927" s="340" t="str">
        <f t="shared" si="172"/>
        <v>2015AllSexMaori21Hanging, strangulation and suffocation</v>
      </c>
      <c r="U3927">
        <v>2015</v>
      </c>
      <c r="V3927" t="s">
        <v>17</v>
      </c>
      <c r="W3927" t="s">
        <v>18</v>
      </c>
      <c r="X3927">
        <v>21</v>
      </c>
      <c r="Y3927" t="s">
        <v>43</v>
      </c>
      <c r="Z3927">
        <v>4</v>
      </c>
      <c r="AA3927">
        <v>4</v>
      </c>
      <c r="AB3927">
        <v>100</v>
      </c>
    </row>
    <row r="3928" spans="10:28">
      <c r="J3928" s="340" t="str">
        <f t="shared" si="171"/>
        <v>2015AllSexNon-Maori215</v>
      </c>
      <c r="K3928">
        <v>2015</v>
      </c>
      <c r="L3928" t="s">
        <v>17</v>
      </c>
      <c r="M3928" t="s">
        <v>19</v>
      </c>
      <c r="N3928">
        <v>21</v>
      </c>
      <c r="O3928">
        <v>5</v>
      </c>
      <c r="P3928">
        <v>3</v>
      </c>
      <c r="Q3928">
        <v>2.5382347570107302</v>
      </c>
      <c r="R3928">
        <v>2.9</v>
      </c>
      <c r="T3928" s="340" t="str">
        <f t="shared" si="172"/>
        <v>2015AllSexMaori22Hanging, strangulation and suffocation</v>
      </c>
      <c r="U3928">
        <v>2015</v>
      </c>
      <c r="V3928" t="s">
        <v>17</v>
      </c>
      <c r="W3928" t="s">
        <v>18</v>
      </c>
      <c r="X3928">
        <v>22</v>
      </c>
      <c r="Y3928" t="s">
        <v>43</v>
      </c>
      <c r="Z3928">
        <v>38</v>
      </c>
      <c r="AA3928">
        <v>42</v>
      </c>
      <c r="AB3928">
        <v>90.5</v>
      </c>
    </row>
    <row r="3929" spans="10:28">
      <c r="J3929" s="340" t="str">
        <f t="shared" si="171"/>
        <v>2015AllSexNon-Maori221</v>
      </c>
      <c r="K3929">
        <v>2015</v>
      </c>
      <c r="L3929" t="s">
        <v>17</v>
      </c>
      <c r="M3929" t="s">
        <v>19</v>
      </c>
      <c r="N3929">
        <v>22</v>
      </c>
      <c r="O3929">
        <v>1</v>
      </c>
      <c r="P3929">
        <v>15</v>
      </c>
      <c r="Q3929">
        <v>14.436857745401801</v>
      </c>
      <c r="R3929">
        <v>7.3</v>
      </c>
      <c r="T3929" s="340" t="str">
        <f t="shared" si="172"/>
        <v>2015AllSexMaori23Hanging, strangulation and suffocation</v>
      </c>
      <c r="U3929">
        <v>2015</v>
      </c>
      <c r="V3929" t="s">
        <v>17</v>
      </c>
      <c r="W3929" t="s">
        <v>18</v>
      </c>
      <c r="X3929">
        <v>23</v>
      </c>
      <c r="Y3929" t="s">
        <v>43</v>
      </c>
      <c r="Z3929">
        <v>48</v>
      </c>
      <c r="AA3929">
        <v>54</v>
      </c>
      <c r="AB3929">
        <v>88.9</v>
      </c>
    </row>
    <row r="3930" spans="10:28">
      <c r="J3930" s="340" t="str">
        <f t="shared" si="171"/>
        <v>2015AllSexNon-Maori222</v>
      </c>
      <c r="K3930">
        <v>2015</v>
      </c>
      <c r="L3930" t="s">
        <v>17</v>
      </c>
      <c r="M3930" t="s">
        <v>19</v>
      </c>
      <c r="N3930">
        <v>22</v>
      </c>
      <c r="O3930">
        <v>2</v>
      </c>
      <c r="P3930">
        <v>9</v>
      </c>
      <c r="Q3930">
        <v>8.8111348518803201</v>
      </c>
      <c r="R3930">
        <v>5.8</v>
      </c>
      <c r="T3930" s="340" t="str">
        <f t="shared" si="172"/>
        <v>2015AllSexMaori24Hanging, strangulation and suffocation</v>
      </c>
      <c r="U3930">
        <v>2015</v>
      </c>
      <c r="V3930" t="s">
        <v>17</v>
      </c>
      <c r="W3930" t="s">
        <v>18</v>
      </c>
      <c r="X3930">
        <v>24</v>
      </c>
      <c r="Y3930" t="s">
        <v>43</v>
      </c>
      <c r="Z3930">
        <v>15</v>
      </c>
      <c r="AA3930">
        <v>18</v>
      </c>
      <c r="AB3930">
        <v>83.3</v>
      </c>
    </row>
    <row r="3931" spans="10:28">
      <c r="J3931" s="340" t="str">
        <f t="shared" si="171"/>
        <v>2015AllSexNon-Maori223</v>
      </c>
      <c r="K3931">
        <v>2015</v>
      </c>
      <c r="L3931" t="s">
        <v>17</v>
      </c>
      <c r="M3931" t="s">
        <v>19</v>
      </c>
      <c r="N3931">
        <v>22</v>
      </c>
      <c r="O3931">
        <v>3</v>
      </c>
      <c r="P3931">
        <v>9</v>
      </c>
      <c r="Q3931">
        <v>8.7521436121490694</v>
      </c>
      <c r="R3931">
        <v>5.7</v>
      </c>
      <c r="T3931" s="340" t="str">
        <f t="shared" si="172"/>
        <v>2015AllSexMaori22Other</v>
      </c>
      <c r="U3931">
        <v>2015</v>
      </c>
      <c r="V3931" t="s">
        <v>17</v>
      </c>
      <c r="W3931" t="s">
        <v>18</v>
      </c>
      <c r="X3931">
        <v>22</v>
      </c>
      <c r="Y3931" t="s">
        <v>45</v>
      </c>
      <c r="Z3931">
        <v>1</v>
      </c>
      <c r="AA3931">
        <v>42</v>
      </c>
      <c r="AB3931">
        <v>2.4</v>
      </c>
    </row>
    <row r="3932" spans="10:28">
      <c r="J3932" s="340" t="str">
        <f t="shared" si="171"/>
        <v>2015AllSexNon-Maori224</v>
      </c>
      <c r="K3932">
        <v>2015</v>
      </c>
      <c r="L3932" t="s">
        <v>17</v>
      </c>
      <c r="M3932" t="s">
        <v>19</v>
      </c>
      <c r="N3932">
        <v>22</v>
      </c>
      <c r="O3932">
        <v>4</v>
      </c>
      <c r="P3932">
        <v>16</v>
      </c>
      <c r="Q3932">
        <v>14.7042489667492</v>
      </c>
      <c r="R3932">
        <v>7.2</v>
      </c>
      <c r="T3932" s="340" t="str">
        <f t="shared" si="172"/>
        <v>2015AllSexMaori23Other</v>
      </c>
      <c r="U3932">
        <v>2015</v>
      </c>
      <c r="V3932" t="s">
        <v>17</v>
      </c>
      <c r="W3932" t="s">
        <v>18</v>
      </c>
      <c r="X3932">
        <v>23</v>
      </c>
      <c r="Y3932" t="s">
        <v>45</v>
      </c>
      <c r="Z3932">
        <v>2</v>
      </c>
      <c r="AA3932">
        <v>54</v>
      </c>
      <c r="AB3932">
        <v>3.7</v>
      </c>
    </row>
    <row r="3933" spans="10:28">
      <c r="J3933" s="340" t="str">
        <f t="shared" si="171"/>
        <v>2015AllSexNon-Maori225</v>
      </c>
      <c r="K3933">
        <v>2015</v>
      </c>
      <c r="L3933" t="s">
        <v>17</v>
      </c>
      <c r="M3933" t="s">
        <v>19</v>
      </c>
      <c r="N3933">
        <v>22</v>
      </c>
      <c r="O3933">
        <v>5</v>
      </c>
      <c r="P3933">
        <v>18</v>
      </c>
      <c r="Q3933">
        <v>17.098172658083399</v>
      </c>
      <c r="R3933">
        <v>7.9</v>
      </c>
      <c r="T3933" s="340" t="str">
        <f t="shared" si="172"/>
        <v>2015AllSexMaori24Other</v>
      </c>
      <c r="U3933">
        <v>2015</v>
      </c>
      <c r="V3933" t="s">
        <v>17</v>
      </c>
      <c r="W3933" t="s">
        <v>18</v>
      </c>
      <c r="X3933">
        <v>24</v>
      </c>
      <c r="Y3933" t="s">
        <v>45</v>
      </c>
      <c r="Z3933">
        <v>1</v>
      </c>
      <c r="AA3933">
        <v>18</v>
      </c>
      <c r="AB3933">
        <v>5.6</v>
      </c>
    </row>
    <row r="3934" spans="10:28">
      <c r="J3934" s="340" t="str">
        <f t="shared" si="171"/>
        <v>2015AllSexNon-Maori231</v>
      </c>
      <c r="K3934">
        <v>2015</v>
      </c>
      <c r="L3934" t="s">
        <v>17</v>
      </c>
      <c r="M3934" t="s">
        <v>19</v>
      </c>
      <c r="N3934">
        <v>23</v>
      </c>
      <c r="O3934">
        <v>1</v>
      </c>
      <c r="P3934">
        <v>21</v>
      </c>
      <c r="Q3934">
        <v>10.097425092490401</v>
      </c>
      <c r="R3934">
        <v>4.3</v>
      </c>
      <c r="T3934" s="340" t="str">
        <f t="shared" si="172"/>
        <v>2015AllSexMaori22Poisoning by gases and vapours</v>
      </c>
      <c r="U3934">
        <v>2015</v>
      </c>
      <c r="V3934" t="s">
        <v>17</v>
      </c>
      <c r="W3934" t="s">
        <v>18</v>
      </c>
      <c r="X3934">
        <v>22</v>
      </c>
      <c r="Y3934" t="s">
        <v>46</v>
      </c>
      <c r="Z3934">
        <v>2</v>
      </c>
      <c r="AA3934">
        <v>42</v>
      </c>
      <c r="AB3934">
        <v>4.8</v>
      </c>
    </row>
    <row r="3935" spans="10:28">
      <c r="J3935" s="340" t="str">
        <f t="shared" si="171"/>
        <v>2015AllSexNon-Maori232</v>
      </c>
      <c r="K3935">
        <v>2015</v>
      </c>
      <c r="L3935" t="s">
        <v>17</v>
      </c>
      <c r="M3935" t="s">
        <v>19</v>
      </c>
      <c r="N3935">
        <v>23</v>
      </c>
      <c r="O3935">
        <v>2</v>
      </c>
      <c r="P3935">
        <v>24</v>
      </c>
      <c r="Q3935">
        <v>10.7850839236672</v>
      </c>
      <c r="R3935">
        <v>4.3</v>
      </c>
      <c r="T3935" s="340" t="str">
        <f t="shared" si="172"/>
        <v>2015AllSexMaori23Poisoning by gases and vapours</v>
      </c>
      <c r="U3935">
        <v>2015</v>
      </c>
      <c r="V3935" t="s">
        <v>17</v>
      </c>
      <c r="W3935" t="s">
        <v>18</v>
      </c>
      <c r="X3935">
        <v>23</v>
      </c>
      <c r="Y3935" t="s">
        <v>46</v>
      </c>
      <c r="Z3935">
        <v>1</v>
      </c>
      <c r="AA3935">
        <v>54</v>
      </c>
      <c r="AB3935">
        <v>1.9</v>
      </c>
    </row>
    <row r="3936" spans="10:28">
      <c r="J3936" s="340" t="str">
        <f t="shared" si="171"/>
        <v>2015AllSexNon-Maori233</v>
      </c>
      <c r="K3936">
        <v>2015</v>
      </c>
      <c r="L3936" t="s">
        <v>17</v>
      </c>
      <c r="M3936" t="s">
        <v>19</v>
      </c>
      <c r="N3936">
        <v>23</v>
      </c>
      <c r="O3936">
        <v>3</v>
      </c>
      <c r="P3936">
        <v>23</v>
      </c>
      <c r="Q3936">
        <v>10.4346527822269</v>
      </c>
      <c r="R3936">
        <v>4.3</v>
      </c>
      <c r="T3936" s="340" t="str">
        <f t="shared" si="172"/>
        <v>2015AllSexMaori24Poisoning by gases and vapours</v>
      </c>
      <c r="U3936">
        <v>2015</v>
      </c>
      <c r="V3936" t="s">
        <v>17</v>
      </c>
      <c r="W3936" t="s">
        <v>18</v>
      </c>
      <c r="X3936">
        <v>24</v>
      </c>
      <c r="Y3936" t="s">
        <v>46</v>
      </c>
      <c r="Z3936">
        <v>1</v>
      </c>
      <c r="AA3936">
        <v>18</v>
      </c>
      <c r="AB3936">
        <v>5.6</v>
      </c>
    </row>
    <row r="3937" spans="10:28">
      <c r="J3937" s="340" t="str">
        <f t="shared" si="171"/>
        <v>2015AllSexNon-Maori234</v>
      </c>
      <c r="K3937">
        <v>2015</v>
      </c>
      <c r="L3937" t="s">
        <v>17</v>
      </c>
      <c r="M3937" t="s">
        <v>19</v>
      </c>
      <c r="N3937">
        <v>23</v>
      </c>
      <c r="O3937">
        <v>4</v>
      </c>
      <c r="P3937">
        <v>25</v>
      </c>
      <c r="Q3937">
        <v>12.1819204730098</v>
      </c>
      <c r="R3937">
        <v>4.8</v>
      </c>
      <c r="T3937" s="340" t="str">
        <f t="shared" si="172"/>
        <v>2015AllSexMaori23Poisoning by solids and liquids</v>
      </c>
      <c r="U3937">
        <v>2015</v>
      </c>
      <c r="V3937" t="s">
        <v>17</v>
      </c>
      <c r="W3937" t="s">
        <v>18</v>
      </c>
      <c r="X3937">
        <v>23</v>
      </c>
      <c r="Y3937" t="s">
        <v>47</v>
      </c>
      <c r="Z3937">
        <v>2</v>
      </c>
      <c r="AA3937">
        <v>54</v>
      </c>
      <c r="AB3937">
        <v>3.7</v>
      </c>
    </row>
    <row r="3938" spans="10:28">
      <c r="J3938" s="340" t="str">
        <f t="shared" si="171"/>
        <v>2015AllSexNon-Maori235</v>
      </c>
      <c r="K3938">
        <v>2015</v>
      </c>
      <c r="L3938" t="s">
        <v>17</v>
      </c>
      <c r="M3938" t="s">
        <v>19</v>
      </c>
      <c r="N3938">
        <v>23</v>
      </c>
      <c r="O3938">
        <v>5</v>
      </c>
      <c r="P3938">
        <v>24</v>
      </c>
      <c r="Q3938">
        <v>14.4870709540152</v>
      </c>
      <c r="R3938">
        <v>5.8</v>
      </c>
      <c r="T3938" s="340" t="str">
        <f t="shared" si="172"/>
        <v>2015AllSexMaori22Submersion (drowning)</v>
      </c>
      <c r="U3938">
        <v>2015</v>
      </c>
      <c r="V3938" t="s">
        <v>17</v>
      </c>
      <c r="W3938" t="s">
        <v>18</v>
      </c>
      <c r="X3938">
        <v>22</v>
      </c>
      <c r="Y3938" t="s">
        <v>49</v>
      </c>
      <c r="Z3938">
        <v>1</v>
      </c>
      <c r="AA3938">
        <v>42</v>
      </c>
      <c r="AB3938">
        <v>2.4</v>
      </c>
    </row>
    <row r="3939" spans="10:28">
      <c r="J3939" s="340" t="str">
        <f t="shared" si="171"/>
        <v>2015AllSexNon-Maori241</v>
      </c>
      <c r="K3939">
        <v>2015</v>
      </c>
      <c r="L3939" t="s">
        <v>17</v>
      </c>
      <c r="M3939" t="s">
        <v>19</v>
      </c>
      <c r="N3939">
        <v>24</v>
      </c>
      <c r="O3939">
        <v>1</v>
      </c>
      <c r="P3939">
        <v>24</v>
      </c>
      <c r="Q3939">
        <v>8.9817669736007399</v>
      </c>
      <c r="R3939">
        <v>3.6</v>
      </c>
      <c r="T3939" s="340" t="str">
        <f t="shared" si="172"/>
        <v>2015AllSexMaori24Submersion (drowning)</v>
      </c>
      <c r="U3939">
        <v>2015</v>
      </c>
      <c r="V3939" t="s">
        <v>17</v>
      </c>
      <c r="W3939" t="s">
        <v>18</v>
      </c>
      <c r="X3939">
        <v>24</v>
      </c>
      <c r="Y3939" t="s">
        <v>49</v>
      </c>
      <c r="Z3939">
        <v>1</v>
      </c>
      <c r="AA3939">
        <v>18</v>
      </c>
      <c r="AB3939">
        <v>5.6</v>
      </c>
    </row>
    <row r="3940" spans="10:28">
      <c r="J3940" s="340" t="str">
        <f t="shared" si="171"/>
        <v>2015AllSexNon-Maori242</v>
      </c>
      <c r="K3940">
        <v>2015</v>
      </c>
      <c r="L3940" t="s">
        <v>17</v>
      </c>
      <c r="M3940" t="s">
        <v>19</v>
      </c>
      <c r="N3940">
        <v>24</v>
      </c>
      <c r="O3940">
        <v>2</v>
      </c>
      <c r="P3940">
        <v>35</v>
      </c>
      <c r="Q3940">
        <v>14.8900757648317</v>
      </c>
      <c r="R3940">
        <v>4.9000000000000004</v>
      </c>
      <c r="T3940" s="340" t="str">
        <f t="shared" si="172"/>
        <v>2015AllSexNon-Maori22Firearms and explosives</v>
      </c>
      <c r="U3940">
        <v>2015</v>
      </c>
      <c r="V3940" t="s">
        <v>17</v>
      </c>
      <c r="W3940" t="s">
        <v>19</v>
      </c>
      <c r="X3940">
        <v>22</v>
      </c>
      <c r="Y3940" t="s">
        <v>42</v>
      </c>
      <c r="Z3940">
        <v>3</v>
      </c>
      <c r="AA3940">
        <v>69</v>
      </c>
      <c r="AB3940">
        <v>4.3</v>
      </c>
    </row>
    <row r="3941" spans="10:28">
      <c r="J3941" s="340" t="str">
        <f t="shared" si="171"/>
        <v>2015AllSexNon-Maori243</v>
      </c>
      <c r="K3941">
        <v>2015</v>
      </c>
      <c r="L3941" t="s">
        <v>17</v>
      </c>
      <c r="M3941" t="s">
        <v>19</v>
      </c>
      <c r="N3941">
        <v>24</v>
      </c>
      <c r="O3941">
        <v>3</v>
      </c>
      <c r="P3941">
        <v>29</v>
      </c>
      <c r="Q3941">
        <v>14.040609081815701</v>
      </c>
      <c r="R3941">
        <v>5.0999999999999996</v>
      </c>
      <c r="T3941" s="340" t="str">
        <f t="shared" si="172"/>
        <v>2015AllSexNon-Maori23Firearms and explosives</v>
      </c>
      <c r="U3941">
        <v>2015</v>
      </c>
      <c r="V3941" t="s">
        <v>17</v>
      </c>
      <c r="W3941" t="s">
        <v>19</v>
      </c>
      <c r="X3941">
        <v>23</v>
      </c>
      <c r="Y3941" t="s">
        <v>42</v>
      </c>
      <c r="Z3941">
        <v>8</v>
      </c>
      <c r="AA3941">
        <v>119</v>
      </c>
      <c r="AB3941">
        <v>6.7</v>
      </c>
    </row>
    <row r="3942" spans="10:28">
      <c r="J3942" s="340" t="str">
        <f t="shared" si="171"/>
        <v>2015AllSexNon-Maori244</v>
      </c>
      <c r="K3942">
        <v>2015</v>
      </c>
      <c r="L3942" t="s">
        <v>17</v>
      </c>
      <c r="M3942" t="s">
        <v>19</v>
      </c>
      <c r="N3942">
        <v>24</v>
      </c>
      <c r="O3942">
        <v>4</v>
      </c>
      <c r="P3942">
        <v>34</v>
      </c>
      <c r="Q3942">
        <v>19.0900278491359</v>
      </c>
      <c r="R3942">
        <v>6.4</v>
      </c>
      <c r="T3942" s="340" t="str">
        <f t="shared" si="172"/>
        <v>2015AllSexNon-Maori24Firearms and explosives</v>
      </c>
      <c r="U3942">
        <v>2015</v>
      </c>
      <c r="V3942" t="s">
        <v>17</v>
      </c>
      <c r="W3942" t="s">
        <v>19</v>
      </c>
      <c r="X3942">
        <v>24</v>
      </c>
      <c r="Y3942" t="s">
        <v>42</v>
      </c>
      <c r="Z3942">
        <v>14</v>
      </c>
      <c r="AA3942">
        <v>154</v>
      </c>
      <c r="AB3942">
        <v>9.1</v>
      </c>
    </row>
    <row r="3943" spans="10:28">
      <c r="J3943" s="340" t="str">
        <f t="shared" si="171"/>
        <v>2015AllSexNon-Maori245</v>
      </c>
      <c r="K3943">
        <v>2015</v>
      </c>
      <c r="L3943" t="s">
        <v>17</v>
      </c>
      <c r="M3943" t="s">
        <v>19</v>
      </c>
      <c r="N3943">
        <v>24</v>
      </c>
      <c r="O3943">
        <v>5</v>
      </c>
      <c r="P3943">
        <v>29</v>
      </c>
      <c r="Q3943">
        <v>20.594584121929898</v>
      </c>
      <c r="R3943">
        <v>7.5</v>
      </c>
      <c r="T3943" s="340" t="str">
        <f t="shared" si="172"/>
        <v>2015AllSexNon-Maori25Firearms and explosives</v>
      </c>
      <c r="U3943">
        <v>2015</v>
      </c>
      <c r="V3943" t="s">
        <v>17</v>
      </c>
      <c r="W3943" t="s">
        <v>19</v>
      </c>
      <c r="X3943">
        <v>25</v>
      </c>
      <c r="Y3943" t="s">
        <v>42</v>
      </c>
      <c r="Z3943">
        <v>15</v>
      </c>
      <c r="AA3943">
        <v>65</v>
      </c>
      <c r="AB3943">
        <v>23.1</v>
      </c>
    </row>
    <row r="3944" spans="10:28">
      <c r="J3944" s="340" t="str">
        <f t="shared" si="171"/>
        <v>2015AllSexNon-Maori251</v>
      </c>
      <c r="K3944">
        <v>2015</v>
      </c>
      <c r="L3944" t="s">
        <v>17</v>
      </c>
      <c r="M3944" t="s">
        <v>19</v>
      </c>
      <c r="N3944">
        <v>25</v>
      </c>
      <c r="O3944">
        <v>1</v>
      </c>
      <c r="P3944">
        <v>18</v>
      </c>
      <c r="Q3944">
        <v>13.328008669820001</v>
      </c>
      <c r="R3944">
        <v>6.2</v>
      </c>
      <c r="T3944" s="340" t="str">
        <f t="shared" si="172"/>
        <v>2015AllSexNon-Maori21Hanging, strangulation and suffocation</v>
      </c>
      <c r="U3944">
        <v>2015</v>
      </c>
      <c r="V3944" t="s">
        <v>17</v>
      </c>
      <c r="W3944" t="s">
        <v>19</v>
      </c>
      <c r="X3944">
        <v>21</v>
      </c>
      <c r="Y3944" t="s">
        <v>43</v>
      </c>
      <c r="Z3944">
        <v>5</v>
      </c>
      <c r="AA3944">
        <v>5</v>
      </c>
      <c r="AB3944">
        <v>100</v>
      </c>
    </row>
    <row r="3945" spans="10:28">
      <c r="J3945" s="340" t="str">
        <f t="shared" si="171"/>
        <v>2015AllSexNon-Maori252</v>
      </c>
      <c r="K3945">
        <v>2015</v>
      </c>
      <c r="L3945" t="s">
        <v>17</v>
      </c>
      <c r="M3945" t="s">
        <v>19</v>
      </c>
      <c r="N3945">
        <v>25</v>
      </c>
      <c r="O3945">
        <v>2</v>
      </c>
      <c r="P3945">
        <v>12</v>
      </c>
      <c r="Q3945">
        <v>8.8830226258021092</v>
      </c>
      <c r="R3945">
        <v>5</v>
      </c>
      <c r="T3945" s="340" t="str">
        <f t="shared" si="172"/>
        <v>2015AllSexNon-Maori22Hanging, strangulation and suffocation</v>
      </c>
      <c r="U3945">
        <v>2015</v>
      </c>
      <c r="V3945" t="s">
        <v>17</v>
      </c>
      <c r="W3945" t="s">
        <v>19</v>
      </c>
      <c r="X3945">
        <v>22</v>
      </c>
      <c r="Y3945" t="s">
        <v>43</v>
      </c>
      <c r="Z3945">
        <v>52</v>
      </c>
      <c r="AA3945">
        <v>69</v>
      </c>
      <c r="AB3945">
        <v>75.400000000000006</v>
      </c>
    </row>
    <row r="3946" spans="10:28">
      <c r="J3946" s="340" t="str">
        <f t="shared" si="171"/>
        <v>2015AllSexNon-Maori253</v>
      </c>
      <c r="K3946">
        <v>2015</v>
      </c>
      <c r="L3946" t="s">
        <v>17</v>
      </c>
      <c r="M3946" t="s">
        <v>19</v>
      </c>
      <c r="N3946">
        <v>25</v>
      </c>
      <c r="O3946">
        <v>3</v>
      </c>
      <c r="P3946">
        <v>11</v>
      </c>
      <c r="Q3946">
        <v>8.3771475595716005</v>
      </c>
      <c r="R3946">
        <v>5</v>
      </c>
      <c r="T3946" s="340" t="str">
        <f t="shared" si="172"/>
        <v>2015AllSexNon-Maori23Hanging, strangulation and suffocation</v>
      </c>
      <c r="U3946">
        <v>2015</v>
      </c>
      <c r="V3946" t="s">
        <v>17</v>
      </c>
      <c r="W3946" t="s">
        <v>19</v>
      </c>
      <c r="X3946">
        <v>23</v>
      </c>
      <c r="Y3946" t="s">
        <v>43</v>
      </c>
      <c r="Z3946">
        <v>75</v>
      </c>
      <c r="AA3946">
        <v>119</v>
      </c>
      <c r="AB3946">
        <v>63</v>
      </c>
    </row>
    <row r="3947" spans="10:28">
      <c r="J3947" s="340" t="str">
        <f t="shared" si="171"/>
        <v>2015AllSexNon-Maori254</v>
      </c>
      <c r="K3947">
        <v>2015</v>
      </c>
      <c r="L3947" t="s">
        <v>17</v>
      </c>
      <c r="M3947" t="s">
        <v>19</v>
      </c>
      <c r="N3947">
        <v>25</v>
      </c>
      <c r="O3947">
        <v>4</v>
      </c>
      <c r="P3947">
        <v>16</v>
      </c>
      <c r="Q3947">
        <v>12.366156650070399</v>
      </c>
      <c r="R3947">
        <v>6.1</v>
      </c>
      <c r="T3947" s="340" t="str">
        <f t="shared" si="172"/>
        <v>2015AllSexNon-Maori24Hanging, strangulation and suffocation</v>
      </c>
      <c r="U3947">
        <v>2015</v>
      </c>
      <c r="V3947" t="s">
        <v>17</v>
      </c>
      <c r="W3947" t="s">
        <v>19</v>
      </c>
      <c r="X3947">
        <v>24</v>
      </c>
      <c r="Y3947" t="s">
        <v>43</v>
      </c>
      <c r="Z3947">
        <v>71</v>
      </c>
      <c r="AA3947">
        <v>154</v>
      </c>
      <c r="AB3947">
        <v>46.1</v>
      </c>
    </row>
    <row r="3948" spans="10:28">
      <c r="J3948" s="340" t="str">
        <f t="shared" si="171"/>
        <v>2015AllSexNon-Maori255</v>
      </c>
      <c r="K3948">
        <v>2015</v>
      </c>
      <c r="L3948" t="s">
        <v>17</v>
      </c>
      <c r="M3948" t="s">
        <v>19</v>
      </c>
      <c r="N3948">
        <v>25</v>
      </c>
      <c r="O3948">
        <v>5</v>
      </c>
      <c r="P3948">
        <v>8</v>
      </c>
      <c r="Q3948">
        <v>8.3170206153906694</v>
      </c>
      <c r="R3948">
        <v>5.8</v>
      </c>
      <c r="T3948" s="340" t="str">
        <f t="shared" si="172"/>
        <v>2015AllSexNon-Maori25Hanging, strangulation and suffocation</v>
      </c>
      <c r="U3948">
        <v>2015</v>
      </c>
      <c r="V3948" t="s">
        <v>17</v>
      </c>
      <c r="W3948" t="s">
        <v>19</v>
      </c>
      <c r="X3948">
        <v>25</v>
      </c>
      <c r="Y3948" t="s">
        <v>43</v>
      </c>
      <c r="Z3948">
        <v>19</v>
      </c>
      <c r="AA3948">
        <v>65</v>
      </c>
      <c r="AB3948">
        <v>29.2</v>
      </c>
    </row>
    <row r="3949" spans="10:28">
      <c r="J3949" s="340" t="str">
        <f t="shared" si="171"/>
        <v>2015FemaleAllEth211</v>
      </c>
      <c r="K3949">
        <v>2015</v>
      </c>
      <c r="L3949" t="s">
        <v>8</v>
      </c>
      <c r="M3949" t="s">
        <v>27</v>
      </c>
      <c r="N3949">
        <v>21</v>
      </c>
      <c r="O3949">
        <v>1</v>
      </c>
      <c r="P3949">
        <v>0</v>
      </c>
      <c r="Q3949">
        <v>0</v>
      </c>
      <c r="T3949" s="340" t="str">
        <f t="shared" si="172"/>
        <v>2015AllSexNon-Maori22Jumping from a high place</v>
      </c>
      <c r="U3949">
        <v>2015</v>
      </c>
      <c r="V3949" t="s">
        <v>17</v>
      </c>
      <c r="W3949" t="s">
        <v>19</v>
      </c>
      <c r="X3949">
        <v>22</v>
      </c>
      <c r="Y3949" t="s">
        <v>44</v>
      </c>
      <c r="Z3949">
        <v>3</v>
      </c>
      <c r="AA3949">
        <v>69</v>
      </c>
      <c r="AB3949">
        <v>4.3</v>
      </c>
    </row>
    <row r="3950" spans="10:28">
      <c r="J3950" s="340" t="str">
        <f t="shared" si="171"/>
        <v>2015FemaleAllEth212</v>
      </c>
      <c r="K3950">
        <v>2015</v>
      </c>
      <c r="L3950" t="s">
        <v>8</v>
      </c>
      <c r="M3950" t="s">
        <v>27</v>
      </c>
      <c r="N3950">
        <v>21</v>
      </c>
      <c r="O3950">
        <v>2</v>
      </c>
      <c r="P3950">
        <v>0</v>
      </c>
      <c r="Q3950">
        <v>0</v>
      </c>
      <c r="T3950" s="340" t="str">
        <f t="shared" si="172"/>
        <v>2015AllSexNon-Maori23Jumping from a high place</v>
      </c>
      <c r="U3950">
        <v>2015</v>
      </c>
      <c r="V3950" t="s">
        <v>17</v>
      </c>
      <c r="W3950" t="s">
        <v>19</v>
      </c>
      <c r="X3950">
        <v>23</v>
      </c>
      <c r="Y3950" t="s">
        <v>44</v>
      </c>
      <c r="Z3950">
        <v>5</v>
      </c>
      <c r="AA3950">
        <v>119</v>
      </c>
      <c r="AB3950">
        <v>4.2</v>
      </c>
    </row>
    <row r="3951" spans="10:28">
      <c r="J3951" s="340" t="str">
        <f t="shared" si="171"/>
        <v>2015FemaleAllEth213</v>
      </c>
      <c r="K3951">
        <v>2015</v>
      </c>
      <c r="L3951" t="s">
        <v>8</v>
      </c>
      <c r="M3951" t="s">
        <v>27</v>
      </c>
      <c r="N3951">
        <v>21</v>
      </c>
      <c r="O3951">
        <v>3</v>
      </c>
      <c r="P3951">
        <v>2</v>
      </c>
      <c r="Q3951">
        <v>2.4024040762592902</v>
      </c>
      <c r="R3951">
        <v>3.3</v>
      </c>
      <c r="T3951" s="340" t="str">
        <f t="shared" si="172"/>
        <v>2015AllSexNon-Maori24Jumping from a high place</v>
      </c>
      <c r="U3951">
        <v>2015</v>
      </c>
      <c r="V3951" t="s">
        <v>17</v>
      </c>
      <c r="W3951" t="s">
        <v>19</v>
      </c>
      <c r="X3951">
        <v>24</v>
      </c>
      <c r="Y3951" t="s">
        <v>44</v>
      </c>
      <c r="Z3951">
        <v>7</v>
      </c>
      <c r="AA3951">
        <v>154</v>
      </c>
      <c r="AB3951">
        <v>4.5</v>
      </c>
    </row>
    <row r="3952" spans="10:28">
      <c r="J3952" s="340" t="str">
        <f t="shared" si="171"/>
        <v>2015FemaleAllEth214</v>
      </c>
      <c r="K3952">
        <v>2015</v>
      </c>
      <c r="L3952" t="s">
        <v>8</v>
      </c>
      <c r="M3952" t="s">
        <v>27</v>
      </c>
      <c r="N3952">
        <v>21</v>
      </c>
      <c r="O3952">
        <v>4</v>
      </c>
      <c r="P3952">
        <v>0</v>
      </c>
      <c r="Q3952">
        <v>0</v>
      </c>
      <c r="T3952" s="340" t="str">
        <f t="shared" si="172"/>
        <v>2015AllSexNon-Maori25Jumping from a high place</v>
      </c>
      <c r="U3952">
        <v>2015</v>
      </c>
      <c r="V3952" t="s">
        <v>17</v>
      </c>
      <c r="W3952" t="s">
        <v>19</v>
      </c>
      <c r="X3952">
        <v>25</v>
      </c>
      <c r="Y3952" t="s">
        <v>44</v>
      </c>
      <c r="Z3952">
        <v>3</v>
      </c>
      <c r="AA3952">
        <v>65</v>
      </c>
      <c r="AB3952">
        <v>4.5999999999999996</v>
      </c>
    </row>
    <row r="3953" spans="10:28">
      <c r="J3953" s="340" t="str">
        <f t="shared" si="171"/>
        <v>2015FemaleAllEth215</v>
      </c>
      <c r="K3953">
        <v>2015</v>
      </c>
      <c r="L3953" t="s">
        <v>8</v>
      </c>
      <c r="M3953" t="s">
        <v>27</v>
      </c>
      <c r="N3953">
        <v>21</v>
      </c>
      <c r="O3953">
        <v>5</v>
      </c>
      <c r="P3953">
        <v>2</v>
      </c>
      <c r="Q3953">
        <v>1.90623405040743</v>
      </c>
      <c r="R3953">
        <v>2.6</v>
      </c>
      <c r="T3953" s="340" t="str">
        <f t="shared" si="172"/>
        <v>2015AllSexNon-Maori22Other</v>
      </c>
      <c r="U3953">
        <v>2015</v>
      </c>
      <c r="V3953" t="s">
        <v>17</v>
      </c>
      <c r="W3953" t="s">
        <v>19</v>
      </c>
      <c r="X3953">
        <v>22</v>
      </c>
      <c r="Y3953" t="s">
        <v>45</v>
      </c>
      <c r="Z3953">
        <v>4</v>
      </c>
      <c r="AA3953">
        <v>69</v>
      </c>
      <c r="AB3953">
        <v>5.8</v>
      </c>
    </row>
    <row r="3954" spans="10:28">
      <c r="J3954" s="340" t="str">
        <f t="shared" si="171"/>
        <v>2015FemaleAllEth221</v>
      </c>
      <c r="K3954">
        <v>2015</v>
      </c>
      <c r="L3954" t="s">
        <v>8</v>
      </c>
      <c r="M3954" t="s">
        <v>27</v>
      </c>
      <c r="N3954">
        <v>22</v>
      </c>
      <c r="O3954">
        <v>1</v>
      </c>
      <c r="P3954">
        <v>5</v>
      </c>
      <c r="Q3954">
        <v>9.1489522403756993</v>
      </c>
      <c r="R3954">
        <v>8</v>
      </c>
      <c r="T3954" s="340" t="str">
        <f t="shared" si="172"/>
        <v>2015AllSexNon-Maori23Other</v>
      </c>
      <c r="U3954">
        <v>2015</v>
      </c>
      <c r="V3954" t="s">
        <v>17</v>
      </c>
      <c r="W3954" t="s">
        <v>19</v>
      </c>
      <c r="X3954">
        <v>23</v>
      </c>
      <c r="Y3954" t="s">
        <v>45</v>
      </c>
      <c r="Z3954">
        <v>3</v>
      </c>
      <c r="AA3954">
        <v>119</v>
      </c>
      <c r="AB3954">
        <v>2.5</v>
      </c>
    </row>
    <row r="3955" spans="10:28">
      <c r="J3955" s="340" t="str">
        <f t="shared" si="171"/>
        <v>2015FemaleAllEth222</v>
      </c>
      <c r="K3955">
        <v>2015</v>
      </c>
      <c r="L3955" t="s">
        <v>8</v>
      </c>
      <c r="M3955" t="s">
        <v>27</v>
      </c>
      <c r="N3955">
        <v>22</v>
      </c>
      <c r="O3955">
        <v>2</v>
      </c>
      <c r="P3955">
        <v>5</v>
      </c>
      <c r="Q3955">
        <v>9.0111987919701697</v>
      </c>
      <c r="R3955">
        <v>7.9</v>
      </c>
      <c r="T3955" s="340" t="str">
        <f t="shared" si="172"/>
        <v>2015AllSexNon-Maori24Other</v>
      </c>
      <c r="U3955">
        <v>2015</v>
      </c>
      <c r="V3955" t="s">
        <v>17</v>
      </c>
      <c r="W3955" t="s">
        <v>19</v>
      </c>
      <c r="X3955">
        <v>24</v>
      </c>
      <c r="Y3955" t="s">
        <v>45</v>
      </c>
      <c r="Z3955">
        <v>8</v>
      </c>
      <c r="AA3955">
        <v>154</v>
      </c>
      <c r="AB3955">
        <v>5.2</v>
      </c>
    </row>
    <row r="3956" spans="10:28">
      <c r="J3956" s="340" t="str">
        <f t="shared" si="171"/>
        <v>2015FemaleAllEth223</v>
      </c>
      <c r="K3956">
        <v>2015</v>
      </c>
      <c r="L3956" t="s">
        <v>8</v>
      </c>
      <c r="M3956" t="s">
        <v>27</v>
      </c>
      <c r="N3956">
        <v>22</v>
      </c>
      <c r="O3956">
        <v>3</v>
      </c>
      <c r="P3956">
        <v>3</v>
      </c>
      <c r="Q3956">
        <v>5.06041210253772</v>
      </c>
      <c r="R3956">
        <v>5.7</v>
      </c>
      <c r="T3956" s="340" t="str">
        <f t="shared" si="172"/>
        <v>2015AllSexNon-Maori25Other</v>
      </c>
      <c r="U3956">
        <v>2015</v>
      </c>
      <c r="V3956" t="s">
        <v>17</v>
      </c>
      <c r="W3956" t="s">
        <v>19</v>
      </c>
      <c r="X3956">
        <v>25</v>
      </c>
      <c r="Y3956" t="s">
        <v>45</v>
      </c>
      <c r="Z3956">
        <v>6</v>
      </c>
      <c r="AA3956">
        <v>65</v>
      </c>
      <c r="AB3956">
        <v>9.1999999999999993</v>
      </c>
    </row>
    <row r="3957" spans="10:28">
      <c r="J3957" s="340" t="str">
        <f t="shared" si="171"/>
        <v>2015FemaleAllEth224</v>
      </c>
      <c r="K3957">
        <v>2015</v>
      </c>
      <c r="L3957" t="s">
        <v>8</v>
      </c>
      <c r="M3957" t="s">
        <v>27</v>
      </c>
      <c r="N3957">
        <v>22</v>
      </c>
      <c r="O3957">
        <v>4</v>
      </c>
      <c r="P3957">
        <v>12</v>
      </c>
      <c r="Q3957">
        <v>17.598222564676199</v>
      </c>
      <c r="R3957">
        <v>10</v>
      </c>
      <c r="T3957" s="340" t="str">
        <f t="shared" si="172"/>
        <v>2015AllSexNon-Maori22Poisoning by gases and vapours</v>
      </c>
      <c r="U3957">
        <v>2015</v>
      </c>
      <c r="V3957" t="s">
        <v>17</v>
      </c>
      <c r="W3957" t="s">
        <v>19</v>
      </c>
      <c r="X3957">
        <v>22</v>
      </c>
      <c r="Y3957" t="s">
        <v>46</v>
      </c>
      <c r="Z3957">
        <v>1</v>
      </c>
      <c r="AA3957">
        <v>69</v>
      </c>
      <c r="AB3957">
        <v>1.4</v>
      </c>
    </row>
    <row r="3958" spans="10:28">
      <c r="J3958" s="340" t="str">
        <f t="shared" si="171"/>
        <v>2015FemaleAllEth225</v>
      </c>
      <c r="K3958">
        <v>2015</v>
      </c>
      <c r="L3958" t="s">
        <v>8</v>
      </c>
      <c r="M3958" t="s">
        <v>27</v>
      </c>
      <c r="N3958">
        <v>22</v>
      </c>
      <c r="O3958">
        <v>5</v>
      </c>
      <c r="P3958">
        <v>16</v>
      </c>
      <c r="Q3958">
        <v>20.2763868023684</v>
      </c>
      <c r="R3958">
        <v>9.9</v>
      </c>
      <c r="T3958" s="340" t="str">
        <f t="shared" si="172"/>
        <v>2015AllSexNon-Maori23Poisoning by gases and vapours</v>
      </c>
      <c r="U3958">
        <v>2015</v>
      </c>
      <c r="V3958" t="s">
        <v>17</v>
      </c>
      <c r="W3958" t="s">
        <v>19</v>
      </c>
      <c r="X3958">
        <v>23</v>
      </c>
      <c r="Y3958" t="s">
        <v>46</v>
      </c>
      <c r="Z3958">
        <v>15</v>
      </c>
      <c r="AA3958">
        <v>119</v>
      </c>
      <c r="AB3958">
        <v>12.6</v>
      </c>
    </row>
    <row r="3959" spans="10:28">
      <c r="J3959" s="340" t="str">
        <f t="shared" si="171"/>
        <v>2015FemaleAllEth231</v>
      </c>
      <c r="K3959">
        <v>2015</v>
      </c>
      <c r="L3959" t="s">
        <v>8</v>
      </c>
      <c r="M3959" t="s">
        <v>27</v>
      </c>
      <c r="N3959">
        <v>23</v>
      </c>
      <c r="O3959">
        <v>1</v>
      </c>
      <c r="P3959">
        <v>4</v>
      </c>
      <c r="Q3959">
        <v>3.4393032545787698</v>
      </c>
      <c r="R3959">
        <v>3.4</v>
      </c>
      <c r="T3959" s="340" t="str">
        <f t="shared" si="172"/>
        <v>2015AllSexNon-Maori24Poisoning by gases and vapours</v>
      </c>
      <c r="U3959">
        <v>2015</v>
      </c>
      <c r="V3959" t="s">
        <v>17</v>
      </c>
      <c r="W3959" t="s">
        <v>19</v>
      </c>
      <c r="X3959">
        <v>24</v>
      </c>
      <c r="Y3959" t="s">
        <v>46</v>
      </c>
      <c r="Z3959">
        <v>22</v>
      </c>
      <c r="AA3959">
        <v>154</v>
      </c>
      <c r="AB3959">
        <v>14.3</v>
      </c>
    </row>
    <row r="3960" spans="10:28">
      <c r="J3960" s="340" t="str">
        <f t="shared" si="171"/>
        <v>2015FemaleAllEth232</v>
      </c>
      <c r="K3960">
        <v>2015</v>
      </c>
      <c r="L3960" t="s">
        <v>8</v>
      </c>
      <c r="M3960" t="s">
        <v>27</v>
      </c>
      <c r="N3960">
        <v>23</v>
      </c>
      <c r="O3960">
        <v>2</v>
      </c>
      <c r="P3960">
        <v>7</v>
      </c>
      <c r="Q3960">
        <v>5.6096564799220596</v>
      </c>
      <c r="R3960">
        <v>4.2</v>
      </c>
      <c r="T3960" s="340" t="str">
        <f t="shared" si="172"/>
        <v>2015AllSexNon-Maori25Poisoning by gases and vapours</v>
      </c>
      <c r="U3960">
        <v>2015</v>
      </c>
      <c r="V3960" t="s">
        <v>17</v>
      </c>
      <c r="W3960" t="s">
        <v>19</v>
      </c>
      <c r="X3960">
        <v>25</v>
      </c>
      <c r="Y3960" t="s">
        <v>46</v>
      </c>
      <c r="Z3960">
        <v>3</v>
      </c>
      <c r="AA3960">
        <v>65</v>
      </c>
      <c r="AB3960">
        <v>4.5999999999999996</v>
      </c>
    </row>
    <row r="3961" spans="10:28">
      <c r="J3961" s="340" t="str">
        <f t="shared" si="171"/>
        <v>2015FemaleAllEth233</v>
      </c>
      <c r="K3961">
        <v>2015</v>
      </c>
      <c r="L3961" t="s">
        <v>8</v>
      </c>
      <c r="M3961" t="s">
        <v>27</v>
      </c>
      <c r="N3961">
        <v>23</v>
      </c>
      <c r="O3961">
        <v>3</v>
      </c>
      <c r="P3961">
        <v>7</v>
      </c>
      <c r="Q3961">
        <v>5.5494052364143602</v>
      </c>
      <c r="R3961">
        <v>4.0999999999999996</v>
      </c>
      <c r="T3961" s="340" t="str">
        <f t="shared" si="172"/>
        <v>2015AllSexNon-Maori22Poisoning by solids and liquids</v>
      </c>
      <c r="U3961">
        <v>2015</v>
      </c>
      <c r="V3961" t="s">
        <v>17</v>
      </c>
      <c r="W3961" t="s">
        <v>19</v>
      </c>
      <c r="X3961">
        <v>22</v>
      </c>
      <c r="Y3961" t="s">
        <v>47</v>
      </c>
      <c r="Z3961">
        <v>5</v>
      </c>
      <c r="AA3961">
        <v>69</v>
      </c>
      <c r="AB3961">
        <v>7.2</v>
      </c>
    </row>
    <row r="3962" spans="10:28">
      <c r="J3962" s="340" t="str">
        <f t="shared" si="171"/>
        <v>2015FemaleAllEth234</v>
      </c>
      <c r="K3962">
        <v>2015</v>
      </c>
      <c r="L3962" t="s">
        <v>8</v>
      </c>
      <c r="M3962" t="s">
        <v>27</v>
      </c>
      <c r="N3962">
        <v>23</v>
      </c>
      <c r="O3962">
        <v>4</v>
      </c>
      <c r="P3962">
        <v>7</v>
      </c>
      <c r="Q3962">
        <v>5.6657276651056003</v>
      </c>
      <c r="R3962">
        <v>4.2</v>
      </c>
      <c r="T3962" s="340" t="str">
        <f t="shared" si="172"/>
        <v>2015AllSexNon-Maori23Poisoning by solids and liquids</v>
      </c>
      <c r="U3962">
        <v>2015</v>
      </c>
      <c r="V3962" t="s">
        <v>17</v>
      </c>
      <c r="W3962" t="s">
        <v>19</v>
      </c>
      <c r="X3962">
        <v>23</v>
      </c>
      <c r="Y3962" t="s">
        <v>47</v>
      </c>
      <c r="Z3962">
        <v>10</v>
      </c>
      <c r="AA3962">
        <v>119</v>
      </c>
      <c r="AB3962">
        <v>8.4</v>
      </c>
    </row>
    <row r="3963" spans="10:28">
      <c r="J3963" s="340" t="str">
        <f t="shared" si="171"/>
        <v>2015FemaleAllEth235</v>
      </c>
      <c r="K3963">
        <v>2015</v>
      </c>
      <c r="L3963" t="s">
        <v>8</v>
      </c>
      <c r="M3963" t="s">
        <v>27</v>
      </c>
      <c r="N3963">
        <v>23</v>
      </c>
      <c r="O3963">
        <v>5</v>
      </c>
      <c r="P3963">
        <v>11</v>
      </c>
      <c r="Q3963">
        <v>9.1833191994801897</v>
      </c>
      <c r="R3963">
        <v>5.4</v>
      </c>
      <c r="T3963" s="340" t="str">
        <f t="shared" si="172"/>
        <v>2015AllSexNon-Maori24Poisoning by solids and liquids</v>
      </c>
      <c r="U3963">
        <v>2015</v>
      </c>
      <c r="V3963" t="s">
        <v>17</v>
      </c>
      <c r="W3963" t="s">
        <v>19</v>
      </c>
      <c r="X3963">
        <v>24</v>
      </c>
      <c r="Y3963" t="s">
        <v>47</v>
      </c>
      <c r="Z3963">
        <v>26</v>
      </c>
      <c r="AA3963">
        <v>154</v>
      </c>
      <c r="AB3963">
        <v>16.899999999999999</v>
      </c>
    </row>
    <row r="3964" spans="10:28">
      <c r="J3964" s="340" t="str">
        <f t="shared" si="171"/>
        <v>2015FemaleAllEth241</v>
      </c>
      <c r="K3964">
        <v>2015</v>
      </c>
      <c r="L3964" t="s">
        <v>8</v>
      </c>
      <c r="M3964" t="s">
        <v>27</v>
      </c>
      <c r="N3964">
        <v>24</v>
      </c>
      <c r="O3964">
        <v>1</v>
      </c>
      <c r="P3964">
        <v>6</v>
      </c>
      <c r="Q3964">
        <v>4.11921942751834</v>
      </c>
      <c r="R3964">
        <v>3.3</v>
      </c>
      <c r="T3964" s="340" t="str">
        <f t="shared" si="172"/>
        <v>2015AllSexNon-Maori25Poisoning by solids and liquids</v>
      </c>
      <c r="U3964">
        <v>2015</v>
      </c>
      <c r="V3964" t="s">
        <v>17</v>
      </c>
      <c r="W3964" t="s">
        <v>19</v>
      </c>
      <c r="X3964">
        <v>25</v>
      </c>
      <c r="Y3964" t="s">
        <v>47</v>
      </c>
      <c r="Z3964">
        <v>11</v>
      </c>
      <c r="AA3964">
        <v>65</v>
      </c>
      <c r="AB3964">
        <v>16.899999999999999</v>
      </c>
    </row>
    <row r="3965" spans="10:28">
      <c r="J3965" s="340" t="str">
        <f t="shared" si="171"/>
        <v>2015FemaleAllEth242</v>
      </c>
      <c r="K3965">
        <v>2015</v>
      </c>
      <c r="L3965" t="s">
        <v>8</v>
      </c>
      <c r="M3965" t="s">
        <v>27</v>
      </c>
      <c r="N3965">
        <v>24</v>
      </c>
      <c r="O3965">
        <v>2</v>
      </c>
      <c r="P3965">
        <v>10</v>
      </c>
      <c r="Q3965">
        <v>7.6369278971181203</v>
      </c>
      <c r="R3965">
        <v>4.7</v>
      </c>
      <c r="T3965" s="340" t="str">
        <f t="shared" si="172"/>
        <v>2015AllSexNon-Maori22Sharp object</v>
      </c>
      <c r="U3965">
        <v>2015</v>
      </c>
      <c r="V3965" t="s">
        <v>17</v>
      </c>
      <c r="W3965" t="s">
        <v>19</v>
      </c>
      <c r="X3965">
        <v>22</v>
      </c>
      <c r="Y3965" t="s">
        <v>48</v>
      </c>
      <c r="Z3965">
        <v>1</v>
      </c>
      <c r="AA3965">
        <v>69</v>
      </c>
      <c r="AB3965">
        <v>1.4</v>
      </c>
    </row>
    <row r="3966" spans="10:28">
      <c r="J3966" s="340" t="str">
        <f t="shared" si="171"/>
        <v>2015FemaleAllEth243</v>
      </c>
      <c r="K3966">
        <v>2015</v>
      </c>
      <c r="L3966" t="s">
        <v>8</v>
      </c>
      <c r="M3966" t="s">
        <v>27</v>
      </c>
      <c r="N3966">
        <v>24</v>
      </c>
      <c r="O3966">
        <v>3</v>
      </c>
      <c r="P3966">
        <v>14</v>
      </c>
      <c r="Q3966">
        <v>11.749577754581001</v>
      </c>
      <c r="R3966">
        <v>6.2</v>
      </c>
      <c r="T3966" s="340" t="str">
        <f t="shared" si="172"/>
        <v>2015AllSexNon-Maori23Sharp object</v>
      </c>
      <c r="U3966">
        <v>2015</v>
      </c>
      <c r="V3966" t="s">
        <v>17</v>
      </c>
      <c r="W3966" t="s">
        <v>19</v>
      </c>
      <c r="X3966">
        <v>23</v>
      </c>
      <c r="Y3966" t="s">
        <v>48</v>
      </c>
      <c r="Z3966">
        <v>2</v>
      </c>
      <c r="AA3966">
        <v>119</v>
      </c>
      <c r="AB3966">
        <v>1.7</v>
      </c>
    </row>
    <row r="3967" spans="10:28">
      <c r="J3967" s="340" t="str">
        <f t="shared" si="171"/>
        <v>2015FemaleAllEth244</v>
      </c>
      <c r="K3967">
        <v>2015</v>
      </c>
      <c r="L3967" t="s">
        <v>8</v>
      </c>
      <c r="M3967" t="s">
        <v>27</v>
      </c>
      <c r="N3967">
        <v>24</v>
      </c>
      <c r="O3967">
        <v>4</v>
      </c>
      <c r="P3967">
        <v>7</v>
      </c>
      <c r="Q3967">
        <v>6.4614642473127697</v>
      </c>
      <c r="R3967">
        <v>4.8</v>
      </c>
      <c r="T3967" s="340" t="str">
        <f t="shared" si="172"/>
        <v>2015AllSexNon-Maori24Sharp object</v>
      </c>
      <c r="U3967">
        <v>2015</v>
      </c>
      <c r="V3967" t="s">
        <v>17</v>
      </c>
      <c r="W3967" t="s">
        <v>19</v>
      </c>
      <c r="X3967">
        <v>24</v>
      </c>
      <c r="Y3967" t="s">
        <v>48</v>
      </c>
      <c r="Z3967">
        <v>3</v>
      </c>
      <c r="AA3967">
        <v>154</v>
      </c>
      <c r="AB3967">
        <v>1.9</v>
      </c>
    </row>
    <row r="3968" spans="10:28">
      <c r="J3968" s="340" t="str">
        <f t="shared" si="171"/>
        <v>2015FemaleAllEth245</v>
      </c>
      <c r="K3968">
        <v>2015</v>
      </c>
      <c r="L3968" t="s">
        <v>8</v>
      </c>
      <c r="M3968" t="s">
        <v>27</v>
      </c>
      <c r="N3968">
        <v>24</v>
      </c>
      <c r="O3968">
        <v>5</v>
      </c>
      <c r="P3968">
        <v>10</v>
      </c>
      <c r="Q3968">
        <v>9.9888976243205008</v>
      </c>
      <c r="R3968">
        <v>6.2</v>
      </c>
      <c r="T3968" s="340" t="str">
        <f t="shared" si="172"/>
        <v>2015AllSexNon-Maori25Sharp object</v>
      </c>
      <c r="U3968">
        <v>2015</v>
      </c>
      <c r="V3968" t="s">
        <v>17</v>
      </c>
      <c r="W3968" t="s">
        <v>19</v>
      </c>
      <c r="X3968">
        <v>25</v>
      </c>
      <c r="Y3968" t="s">
        <v>48</v>
      </c>
      <c r="Z3968">
        <v>2</v>
      </c>
      <c r="AA3968">
        <v>65</v>
      </c>
      <c r="AB3968">
        <v>3.1</v>
      </c>
    </row>
    <row r="3969" spans="10:28">
      <c r="J3969" s="340" t="str">
        <f t="shared" si="171"/>
        <v>2015FemaleAllEth251</v>
      </c>
      <c r="K3969">
        <v>2015</v>
      </c>
      <c r="L3969" t="s">
        <v>8</v>
      </c>
      <c r="M3969" t="s">
        <v>27</v>
      </c>
      <c r="N3969">
        <v>25</v>
      </c>
      <c r="O3969">
        <v>1</v>
      </c>
      <c r="P3969">
        <v>7</v>
      </c>
      <c r="Q3969">
        <v>9.6985078169595393</v>
      </c>
      <c r="R3969">
        <v>7.2</v>
      </c>
      <c r="T3969" s="340" t="str">
        <f t="shared" si="172"/>
        <v>2015AllSexNon-Maori23Submersion (drowning)</v>
      </c>
      <c r="U3969">
        <v>2015</v>
      </c>
      <c r="V3969" t="s">
        <v>17</v>
      </c>
      <c r="W3969" t="s">
        <v>19</v>
      </c>
      <c r="X3969">
        <v>23</v>
      </c>
      <c r="Y3969" t="s">
        <v>49</v>
      </c>
      <c r="Z3969">
        <v>1</v>
      </c>
      <c r="AA3969">
        <v>119</v>
      </c>
      <c r="AB3969">
        <v>0.8</v>
      </c>
    </row>
    <row r="3970" spans="10:28">
      <c r="J3970" s="340" t="str">
        <f t="shared" si="171"/>
        <v>2015FemaleAllEth252</v>
      </c>
      <c r="K3970">
        <v>2015</v>
      </c>
      <c r="L3970" t="s">
        <v>8</v>
      </c>
      <c r="M3970" t="s">
        <v>27</v>
      </c>
      <c r="N3970">
        <v>25</v>
      </c>
      <c r="O3970">
        <v>2</v>
      </c>
      <c r="P3970">
        <v>1</v>
      </c>
      <c r="Q3970">
        <v>1.34822873550412</v>
      </c>
      <c r="R3970">
        <v>2.6</v>
      </c>
      <c r="T3970" s="340" t="str">
        <f t="shared" si="172"/>
        <v>2015AllSexNon-Maori24Submersion (drowning)</v>
      </c>
      <c r="U3970">
        <v>2015</v>
      </c>
      <c r="V3970" t="s">
        <v>17</v>
      </c>
      <c r="W3970" t="s">
        <v>19</v>
      </c>
      <c r="X3970">
        <v>24</v>
      </c>
      <c r="Y3970" t="s">
        <v>49</v>
      </c>
      <c r="Z3970">
        <v>3</v>
      </c>
      <c r="AA3970">
        <v>154</v>
      </c>
      <c r="AB3970">
        <v>1.9</v>
      </c>
    </row>
    <row r="3971" spans="10:28">
      <c r="J3971" s="340" t="str">
        <f t="shared" si="171"/>
        <v>2015FemaleAllEth253</v>
      </c>
      <c r="K3971">
        <v>2015</v>
      </c>
      <c r="L3971" t="s">
        <v>8</v>
      </c>
      <c r="M3971" t="s">
        <v>27</v>
      </c>
      <c r="N3971">
        <v>25</v>
      </c>
      <c r="O3971">
        <v>3</v>
      </c>
      <c r="P3971">
        <v>4</v>
      </c>
      <c r="Q3971">
        <v>5.3457618097178701</v>
      </c>
      <c r="R3971">
        <v>5.2</v>
      </c>
      <c r="T3971" s="340" t="str">
        <f t="shared" si="172"/>
        <v>2015AllSexNon-Maori25Submersion (drowning)</v>
      </c>
      <c r="U3971">
        <v>2015</v>
      </c>
      <c r="V3971" t="s">
        <v>17</v>
      </c>
      <c r="W3971" t="s">
        <v>19</v>
      </c>
      <c r="X3971">
        <v>25</v>
      </c>
      <c r="Y3971" t="s">
        <v>49</v>
      </c>
      <c r="Z3971">
        <v>6</v>
      </c>
      <c r="AA3971">
        <v>65</v>
      </c>
      <c r="AB3971">
        <v>9.1999999999999993</v>
      </c>
    </row>
    <row r="3972" spans="10:28">
      <c r="J3972" s="340" t="str">
        <f t="shared" ref="J3972:J4035" si="173">K3972&amp;L3972&amp;M3972&amp;N3972&amp;O3972</f>
        <v>2015FemaleAllEth254</v>
      </c>
      <c r="K3972">
        <v>2015</v>
      </c>
      <c r="L3972" t="s">
        <v>8</v>
      </c>
      <c r="M3972" t="s">
        <v>27</v>
      </c>
      <c r="N3972">
        <v>25</v>
      </c>
      <c r="O3972">
        <v>4</v>
      </c>
      <c r="P3972">
        <v>3</v>
      </c>
      <c r="Q3972">
        <v>3.8508571735835</v>
      </c>
      <c r="R3972">
        <v>4.4000000000000004</v>
      </c>
      <c r="T3972" s="340" t="str">
        <f t="shared" si="172"/>
        <v>2015FemaleAllEth22Firearms and explosives</v>
      </c>
      <c r="U3972">
        <v>2015</v>
      </c>
      <c r="V3972" t="s">
        <v>8</v>
      </c>
      <c r="W3972" t="s">
        <v>27</v>
      </c>
      <c r="X3972">
        <v>22</v>
      </c>
      <c r="Y3972" t="s">
        <v>42</v>
      </c>
      <c r="Z3972">
        <v>1</v>
      </c>
      <c r="AA3972">
        <v>41</v>
      </c>
      <c r="AB3972">
        <v>2.4</v>
      </c>
    </row>
    <row r="3973" spans="10:28">
      <c r="J3973" s="340" t="str">
        <f t="shared" si="173"/>
        <v>2015FemaleAllEth255</v>
      </c>
      <c r="K3973">
        <v>2015</v>
      </c>
      <c r="L3973" t="s">
        <v>8</v>
      </c>
      <c r="M3973" t="s">
        <v>27</v>
      </c>
      <c r="N3973">
        <v>25</v>
      </c>
      <c r="O3973">
        <v>5</v>
      </c>
      <c r="P3973">
        <v>1</v>
      </c>
      <c r="Q3973">
        <v>1.59793594709181</v>
      </c>
      <c r="R3973">
        <v>3.1</v>
      </c>
      <c r="T3973" s="340" t="str">
        <f t="shared" ref="T3973:T4036" si="174">U3973&amp;V3973&amp;W3973&amp;X3973&amp;Y3973</f>
        <v>2015FemaleAllEth23Firearms and explosives</v>
      </c>
      <c r="U3973">
        <v>2015</v>
      </c>
      <c r="V3973" t="s">
        <v>8</v>
      </c>
      <c r="W3973" t="s">
        <v>27</v>
      </c>
      <c r="X3973">
        <v>23</v>
      </c>
      <c r="Y3973" t="s">
        <v>42</v>
      </c>
      <c r="Z3973">
        <v>1</v>
      </c>
      <c r="AA3973">
        <v>36</v>
      </c>
      <c r="AB3973">
        <v>2.8</v>
      </c>
    </row>
    <row r="3974" spans="10:28">
      <c r="J3974" s="340" t="str">
        <f t="shared" si="173"/>
        <v>2015FemaleMaori211</v>
      </c>
      <c r="K3974">
        <v>2015</v>
      </c>
      <c r="L3974" t="s">
        <v>8</v>
      </c>
      <c r="M3974" t="s">
        <v>18</v>
      </c>
      <c r="N3974">
        <v>21</v>
      </c>
      <c r="O3974">
        <v>1</v>
      </c>
      <c r="P3974">
        <v>0</v>
      </c>
      <c r="Q3974">
        <v>0</v>
      </c>
      <c r="T3974" s="340" t="str">
        <f t="shared" si="174"/>
        <v>2015FemaleAllEth24Firearms and explosives</v>
      </c>
      <c r="U3974">
        <v>2015</v>
      </c>
      <c r="V3974" t="s">
        <v>8</v>
      </c>
      <c r="W3974" t="s">
        <v>27</v>
      </c>
      <c r="X3974">
        <v>24</v>
      </c>
      <c r="Y3974" t="s">
        <v>42</v>
      </c>
      <c r="Z3974">
        <v>1</v>
      </c>
      <c r="AA3974">
        <v>47</v>
      </c>
      <c r="AB3974">
        <v>2.1</v>
      </c>
    </row>
    <row r="3975" spans="10:28">
      <c r="J3975" s="340" t="str">
        <f t="shared" si="173"/>
        <v>2015FemaleMaori212</v>
      </c>
      <c r="K3975">
        <v>2015</v>
      </c>
      <c r="L3975" t="s">
        <v>8</v>
      </c>
      <c r="M3975" t="s">
        <v>18</v>
      </c>
      <c r="N3975">
        <v>21</v>
      </c>
      <c r="O3975">
        <v>2</v>
      </c>
      <c r="P3975">
        <v>0</v>
      </c>
      <c r="Q3975">
        <v>0</v>
      </c>
      <c r="T3975" s="340" t="str">
        <f t="shared" si="174"/>
        <v>2015FemaleAllEth21Hanging, strangulation and suffocation</v>
      </c>
      <c r="U3975">
        <v>2015</v>
      </c>
      <c r="V3975" t="s">
        <v>8</v>
      </c>
      <c r="W3975" t="s">
        <v>27</v>
      </c>
      <c r="X3975">
        <v>21</v>
      </c>
      <c r="Y3975" t="s">
        <v>43</v>
      </c>
      <c r="Z3975">
        <v>4</v>
      </c>
      <c r="AA3975">
        <v>4</v>
      </c>
      <c r="AB3975">
        <v>100</v>
      </c>
    </row>
    <row r="3976" spans="10:28">
      <c r="J3976" s="340" t="str">
        <f t="shared" si="173"/>
        <v>2015FemaleMaori213</v>
      </c>
      <c r="K3976">
        <v>2015</v>
      </c>
      <c r="L3976" t="s">
        <v>8</v>
      </c>
      <c r="M3976" t="s">
        <v>18</v>
      </c>
      <c r="N3976">
        <v>21</v>
      </c>
      <c r="O3976">
        <v>3</v>
      </c>
      <c r="P3976">
        <v>0</v>
      </c>
      <c r="Q3976">
        <v>0</v>
      </c>
      <c r="T3976" s="340" t="str">
        <f t="shared" si="174"/>
        <v>2015FemaleAllEth22Hanging, strangulation and suffocation</v>
      </c>
      <c r="U3976">
        <v>2015</v>
      </c>
      <c r="V3976" t="s">
        <v>8</v>
      </c>
      <c r="W3976" t="s">
        <v>27</v>
      </c>
      <c r="X3976">
        <v>22</v>
      </c>
      <c r="Y3976" t="s">
        <v>43</v>
      </c>
      <c r="Z3976">
        <v>33</v>
      </c>
      <c r="AA3976">
        <v>41</v>
      </c>
      <c r="AB3976">
        <v>80.5</v>
      </c>
    </row>
    <row r="3977" spans="10:28">
      <c r="J3977" s="340" t="str">
        <f t="shared" si="173"/>
        <v>2015FemaleMaori214</v>
      </c>
      <c r="K3977">
        <v>2015</v>
      </c>
      <c r="L3977" t="s">
        <v>8</v>
      </c>
      <c r="M3977" t="s">
        <v>18</v>
      </c>
      <c r="N3977">
        <v>21</v>
      </c>
      <c r="O3977">
        <v>4</v>
      </c>
      <c r="P3977">
        <v>0</v>
      </c>
      <c r="Q3977">
        <v>0</v>
      </c>
      <c r="T3977" s="340" t="str">
        <f t="shared" si="174"/>
        <v>2015FemaleAllEth23Hanging, strangulation and suffocation</v>
      </c>
      <c r="U3977">
        <v>2015</v>
      </c>
      <c r="V3977" t="s">
        <v>8</v>
      </c>
      <c r="W3977" t="s">
        <v>27</v>
      </c>
      <c r="X3977">
        <v>23</v>
      </c>
      <c r="Y3977" t="s">
        <v>43</v>
      </c>
      <c r="Z3977">
        <v>25</v>
      </c>
      <c r="AA3977">
        <v>36</v>
      </c>
      <c r="AB3977">
        <v>69.400000000000006</v>
      </c>
    </row>
    <row r="3978" spans="10:28">
      <c r="J3978" s="340" t="str">
        <f t="shared" si="173"/>
        <v>2015FemaleMaori215</v>
      </c>
      <c r="K3978">
        <v>2015</v>
      </c>
      <c r="L3978" t="s">
        <v>8</v>
      </c>
      <c r="M3978" t="s">
        <v>18</v>
      </c>
      <c r="N3978">
        <v>21</v>
      </c>
      <c r="O3978">
        <v>5</v>
      </c>
      <c r="P3978">
        <v>1</v>
      </c>
      <c r="Q3978">
        <v>2.0716669355092199</v>
      </c>
      <c r="R3978">
        <v>4.0999999999999996</v>
      </c>
      <c r="T3978" s="340" t="str">
        <f t="shared" si="174"/>
        <v>2015FemaleAllEth24Hanging, strangulation and suffocation</v>
      </c>
      <c r="U3978">
        <v>2015</v>
      </c>
      <c r="V3978" t="s">
        <v>8</v>
      </c>
      <c r="W3978" t="s">
        <v>27</v>
      </c>
      <c r="X3978">
        <v>24</v>
      </c>
      <c r="Y3978" t="s">
        <v>43</v>
      </c>
      <c r="Z3978">
        <v>17</v>
      </c>
      <c r="AA3978">
        <v>47</v>
      </c>
      <c r="AB3978">
        <v>36.200000000000003</v>
      </c>
    </row>
    <row r="3979" spans="10:28">
      <c r="J3979" s="340" t="str">
        <f t="shared" si="173"/>
        <v>2015FemaleMaori221</v>
      </c>
      <c r="K3979">
        <v>2015</v>
      </c>
      <c r="L3979" t="s">
        <v>8</v>
      </c>
      <c r="M3979" t="s">
        <v>18</v>
      </c>
      <c r="N3979">
        <v>22</v>
      </c>
      <c r="O3979">
        <v>1</v>
      </c>
      <c r="P3979">
        <v>2</v>
      </c>
      <c r="Q3979">
        <v>36.848992446800096</v>
      </c>
      <c r="R3979">
        <v>51.1</v>
      </c>
      <c r="T3979" s="340" t="str">
        <f t="shared" si="174"/>
        <v>2015FemaleAllEth25Hanging, strangulation and suffocation</v>
      </c>
      <c r="U3979">
        <v>2015</v>
      </c>
      <c r="V3979" t="s">
        <v>8</v>
      </c>
      <c r="W3979" t="s">
        <v>27</v>
      </c>
      <c r="X3979">
        <v>25</v>
      </c>
      <c r="Y3979" t="s">
        <v>43</v>
      </c>
      <c r="Z3979">
        <v>5</v>
      </c>
      <c r="AA3979">
        <v>16</v>
      </c>
      <c r="AB3979">
        <v>31.2</v>
      </c>
    </row>
    <row r="3980" spans="10:28">
      <c r="J3980" s="340" t="str">
        <f t="shared" si="173"/>
        <v>2015FemaleMaori222</v>
      </c>
      <c r="K3980">
        <v>2015</v>
      </c>
      <c r="L3980" t="s">
        <v>8</v>
      </c>
      <c r="M3980" t="s">
        <v>18</v>
      </c>
      <c r="N3980">
        <v>22</v>
      </c>
      <c r="O3980">
        <v>2</v>
      </c>
      <c r="P3980">
        <v>2</v>
      </c>
      <c r="Q3980">
        <v>27.8010369438644</v>
      </c>
      <c r="R3980">
        <v>38.5</v>
      </c>
      <c r="T3980" s="340" t="str">
        <f t="shared" si="174"/>
        <v>2015FemaleAllEth22Jumping from a high place</v>
      </c>
      <c r="U3980">
        <v>2015</v>
      </c>
      <c r="V3980" t="s">
        <v>8</v>
      </c>
      <c r="W3980" t="s">
        <v>27</v>
      </c>
      <c r="X3980">
        <v>22</v>
      </c>
      <c r="Y3980" t="s">
        <v>44</v>
      </c>
      <c r="Z3980">
        <v>1</v>
      </c>
      <c r="AA3980">
        <v>41</v>
      </c>
      <c r="AB3980">
        <v>2.4</v>
      </c>
    </row>
    <row r="3981" spans="10:28">
      <c r="J3981" s="340" t="str">
        <f t="shared" si="173"/>
        <v>2015FemaleMaori223</v>
      </c>
      <c r="K3981">
        <v>2015</v>
      </c>
      <c r="L3981" t="s">
        <v>8</v>
      </c>
      <c r="M3981" t="s">
        <v>18</v>
      </c>
      <c r="N3981">
        <v>22</v>
      </c>
      <c r="O3981">
        <v>3</v>
      </c>
      <c r="P3981">
        <v>0</v>
      </c>
      <c r="Q3981">
        <v>0</v>
      </c>
      <c r="T3981" s="340" t="str">
        <f t="shared" si="174"/>
        <v>2015FemaleAllEth23Jumping from a high place</v>
      </c>
      <c r="U3981">
        <v>2015</v>
      </c>
      <c r="V3981" t="s">
        <v>8</v>
      </c>
      <c r="W3981" t="s">
        <v>27</v>
      </c>
      <c r="X3981">
        <v>23</v>
      </c>
      <c r="Y3981" t="s">
        <v>44</v>
      </c>
      <c r="Z3981">
        <v>1</v>
      </c>
      <c r="AA3981">
        <v>36</v>
      </c>
      <c r="AB3981">
        <v>2.8</v>
      </c>
    </row>
    <row r="3982" spans="10:28">
      <c r="J3982" s="340" t="str">
        <f t="shared" si="173"/>
        <v>2015FemaleMaori224</v>
      </c>
      <c r="K3982">
        <v>2015</v>
      </c>
      <c r="L3982" t="s">
        <v>8</v>
      </c>
      <c r="M3982" t="s">
        <v>18</v>
      </c>
      <c r="N3982">
        <v>22</v>
      </c>
      <c r="O3982">
        <v>4</v>
      </c>
      <c r="P3982">
        <v>8</v>
      </c>
      <c r="Q3982">
        <v>51.036680342376499</v>
      </c>
      <c r="R3982">
        <v>35.4</v>
      </c>
      <c r="T3982" s="340" t="str">
        <f t="shared" si="174"/>
        <v>2015FemaleAllEth24Jumping from a high place</v>
      </c>
      <c r="U3982">
        <v>2015</v>
      </c>
      <c r="V3982" t="s">
        <v>8</v>
      </c>
      <c r="W3982" t="s">
        <v>27</v>
      </c>
      <c r="X3982">
        <v>24</v>
      </c>
      <c r="Y3982" t="s">
        <v>44</v>
      </c>
      <c r="Z3982">
        <v>1</v>
      </c>
      <c r="AA3982">
        <v>47</v>
      </c>
      <c r="AB3982">
        <v>2.1</v>
      </c>
    </row>
    <row r="3983" spans="10:28">
      <c r="J3983" s="340" t="str">
        <f t="shared" si="173"/>
        <v>2015FemaleMaori225</v>
      </c>
      <c r="K3983">
        <v>2015</v>
      </c>
      <c r="L3983" t="s">
        <v>8</v>
      </c>
      <c r="M3983" t="s">
        <v>18</v>
      </c>
      <c r="N3983">
        <v>22</v>
      </c>
      <c r="O3983">
        <v>5</v>
      </c>
      <c r="P3983">
        <v>10</v>
      </c>
      <c r="Q3983">
        <v>35.923676238154698</v>
      </c>
      <c r="R3983">
        <v>22.3</v>
      </c>
      <c r="T3983" s="340" t="str">
        <f t="shared" si="174"/>
        <v>2015FemaleAllEth22Other</v>
      </c>
      <c r="U3983">
        <v>2015</v>
      </c>
      <c r="V3983" t="s">
        <v>8</v>
      </c>
      <c r="W3983" t="s">
        <v>27</v>
      </c>
      <c r="X3983">
        <v>22</v>
      </c>
      <c r="Y3983" t="s">
        <v>45</v>
      </c>
      <c r="Z3983">
        <v>2</v>
      </c>
      <c r="AA3983">
        <v>41</v>
      </c>
      <c r="AB3983">
        <v>4.9000000000000004</v>
      </c>
    </row>
    <row r="3984" spans="10:28">
      <c r="J3984" s="340" t="str">
        <f t="shared" si="173"/>
        <v>2015FemaleMaori231</v>
      </c>
      <c r="K3984">
        <v>2015</v>
      </c>
      <c r="L3984" t="s">
        <v>8</v>
      </c>
      <c r="M3984" t="s">
        <v>18</v>
      </c>
      <c r="N3984">
        <v>23</v>
      </c>
      <c r="O3984">
        <v>1</v>
      </c>
      <c r="P3984">
        <v>0</v>
      </c>
      <c r="Q3984">
        <v>0</v>
      </c>
      <c r="T3984" s="340" t="str">
        <f t="shared" si="174"/>
        <v>2015FemaleAllEth24Other</v>
      </c>
      <c r="U3984">
        <v>2015</v>
      </c>
      <c r="V3984" t="s">
        <v>8</v>
      </c>
      <c r="W3984" t="s">
        <v>27</v>
      </c>
      <c r="X3984">
        <v>24</v>
      </c>
      <c r="Y3984" t="s">
        <v>45</v>
      </c>
      <c r="Z3984">
        <v>4</v>
      </c>
      <c r="AA3984">
        <v>47</v>
      </c>
      <c r="AB3984">
        <v>8.5</v>
      </c>
    </row>
    <row r="3985" spans="10:28">
      <c r="J3985" s="340" t="str">
        <f t="shared" si="173"/>
        <v>2015FemaleMaori232</v>
      </c>
      <c r="K3985">
        <v>2015</v>
      </c>
      <c r="L3985" t="s">
        <v>8</v>
      </c>
      <c r="M3985" t="s">
        <v>18</v>
      </c>
      <c r="N3985">
        <v>23</v>
      </c>
      <c r="O3985">
        <v>2</v>
      </c>
      <c r="P3985">
        <v>3</v>
      </c>
      <c r="Q3985">
        <v>27.266540267047599</v>
      </c>
      <c r="R3985">
        <v>30.9</v>
      </c>
      <c r="T3985" s="340" t="str">
        <f t="shared" si="174"/>
        <v>2015FemaleAllEth25Other</v>
      </c>
      <c r="U3985">
        <v>2015</v>
      </c>
      <c r="V3985" t="s">
        <v>8</v>
      </c>
      <c r="W3985" t="s">
        <v>27</v>
      </c>
      <c r="X3985">
        <v>25</v>
      </c>
      <c r="Y3985" t="s">
        <v>45</v>
      </c>
      <c r="Z3985">
        <v>2</v>
      </c>
      <c r="AA3985">
        <v>16</v>
      </c>
      <c r="AB3985">
        <v>12.5</v>
      </c>
    </row>
    <row r="3986" spans="10:28">
      <c r="J3986" s="340" t="str">
        <f t="shared" si="173"/>
        <v>2015FemaleMaori233</v>
      </c>
      <c r="K3986">
        <v>2015</v>
      </c>
      <c r="L3986" t="s">
        <v>8</v>
      </c>
      <c r="M3986" t="s">
        <v>18</v>
      </c>
      <c r="N3986">
        <v>23</v>
      </c>
      <c r="O3986">
        <v>3</v>
      </c>
      <c r="P3986">
        <v>2</v>
      </c>
      <c r="Q3986">
        <v>13.009548151132799</v>
      </c>
      <c r="R3986">
        <v>18</v>
      </c>
      <c r="T3986" s="340" t="str">
        <f t="shared" si="174"/>
        <v>2015FemaleAllEth24Poisoning by gases and vapours</v>
      </c>
      <c r="U3986">
        <v>2015</v>
      </c>
      <c r="V3986" t="s">
        <v>8</v>
      </c>
      <c r="W3986" t="s">
        <v>27</v>
      </c>
      <c r="X3986">
        <v>24</v>
      </c>
      <c r="Y3986" t="s">
        <v>46</v>
      </c>
      <c r="Z3986">
        <v>6</v>
      </c>
      <c r="AA3986">
        <v>47</v>
      </c>
      <c r="AB3986">
        <v>12.8</v>
      </c>
    </row>
    <row r="3987" spans="10:28">
      <c r="J3987" s="340" t="str">
        <f t="shared" si="173"/>
        <v>2015FemaleMaori234</v>
      </c>
      <c r="K3987">
        <v>2015</v>
      </c>
      <c r="L3987" t="s">
        <v>8</v>
      </c>
      <c r="M3987" t="s">
        <v>18</v>
      </c>
      <c r="N3987">
        <v>23</v>
      </c>
      <c r="O3987">
        <v>4</v>
      </c>
      <c r="P3987">
        <v>1</v>
      </c>
      <c r="Q3987">
        <v>4.6356170107549897</v>
      </c>
      <c r="R3987">
        <v>9.1</v>
      </c>
      <c r="T3987" s="340" t="str">
        <f t="shared" si="174"/>
        <v>2015FemaleAllEth25Poisoning by gases and vapours</v>
      </c>
      <c r="U3987">
        <v>2015</v>
      </c>
      <c r="V3987" t="s">
        <v>8</v>
      </c>
      <c r="W3987" t="s">
        <v>27</v>
      </c>
      <c r="X3987">
        <v>25</v>
      </c>
      <c r="Y3987" t="s">
        <v>46</v>
      </c>
      <c r="Z3987">
        <v>2</v>
      </c>
      <c r="AA3987">
        <v>16</v>
      </c>
      <c r="AB3987">
        <v>12.5</v>
      </c>
    </row>
    <row r="3988" spans="10:28">
      <c r="J3988" s="340" t="str">
        <f t="shared" si="173"/>
        <v>2015FemaleMaori235</v>
      </c>
      <c r="K3988">
        <v>2015</v>
      </c>
      <c r="L3988" t="s">
        <v>8</v>
      </c>
      <c r="M3988" t="s">
        <v>18</v>
      </c>
      <c r="N3988">
        <v>23</v>
      </c>
      <c r="O3988">
        <v>5</v>
      </c>
      <c r="P3988">
        <v>8</v>
      </c>
      <c r="Q3988">
        <v>21.4203721190461</v>
      </c>
      <c r="R3988">
        <v>14.8</v>
      </c>
      <c r="T3988" s="340" t="str">
        <f t="shared" si="174"/>
        <v>2015FemaleAllEth22Poisoning by solids and liquids</v>
      </c>
      <c r="U3988">
        <v>2015</v>
      </c>
      <c r="V3988" t="s">
        <v>8</v>
      </c>
      <c r="W3988" t="s">
        <v>27</v>
      </c>
      <c r="X3988">
        <v>22</v>
      </c>
      <c r="Y3988" t="s">
        <v>47</v>
      </c>
      <c r="Z3988">
        <v>4</v>
      </c>
      <c r="AA3988">
        <v>41</v>
      </c>
      <c r="AB3988">
        <v>9.8000000000000007</v>
      </c>
    </row>
    <row r="3989" spans="10:28">
      <c r="J3989" s="340" t="str">
        <f t="shared" si="173"/>
        <v>2015FemaleMaori241</v>
      </c>
      <c r="K3989">
        <v>2015</v>
      </c>
      <c r="L3989" t="s">
        <v>8</v>
      </c>
      <c r="M3989" t="s">
        <v>18</v>
      </c>
      <c r="N3989">
        <v>24</v>
      </c>
      <c r="O3989">
        <v>1</v>
      </c>
      <c r="P3989">
        <v>0</v>
      </c>
      <c r="Q3989">
        <v>0</v>
      </c>
      <c r="T3989" s="340" t="str">
        <f t="shared" si="174"/>
        <v>2015FemaleAllEth23Poisoning by solids and liquids</v>
      </c>
      <c r="U3989">
        <v>2015</v>
      </c>
      <c r="V3989" t="s">
        <v>8</v>
      </c>
      <c r="W3989" t="s">
        <v>27</v>
      </c>
      <c r="X3989">
        <v>23</v>
      </c>
      <c r="Y3989" t="s">
        <v>47</v>
      </c>
      <c r="Z3989">
        <v>9</v>
      </c>
      <c r="AA3989">
        <v>36</v>
      </c>
      <c r="AB3989">
        <v>25</v>
      </c>
    </row>
    <row r="3990" spans="10:28">
      <c r="J3990" s="340" t="str">
        <f t="shared" si="173"/>
        <v>2015FemaleMaori242</v>
      </c>
      <c r="K3990">
        <v>2015</v>
      </c>
      <c r="L3990" t="s">
        <v>8</v>
      </c>
      <c r="M3990" t="s">
        <v>18</v>
      </c>
      <c r="N3990">
        <v>24</v>
      </c>
      <c r="O3990">
        <v>2</v>
      </c>
      <c r="P3990">
        <v>0</v>
      </c>
      <c r="Q3990">
        <v>0</v>
      </c>
      <c r="T3990" s="340" t="str">
        <f t="shared" si="174"/>
        <v>2015FemaleAllEth24Poisoning by solids and liquids</v>
      </c>
      <c r="U3990">
        <v>2015</v>
      </c>
      <c r="V3990" t="s">
        <v>8</v>
      </c>
      <c r="W3990" t="s">
        <v>27</v>
      </c>
      <c r="X3990">
        <v>24</v>
      </c>
      <c r="Y3990" t="s">
        <v>47</v>
      </c>
      <c r="Z3990">
        <v>15</v>
      </c>
      <c r="AA3990">
        <v>47</v>
      </c>
      <c r="AB3990">
        <v>31.9</v>
      </c>
    </row>
    <row r="3991" spans="10:28">
      <c r="J3991" s="340" t="str">
        <f t="shared" si="173"/>
        <v>2015FemaleMaori243</v>
      </c>
      <c r="K3991">
        <v>2015</v>
      </c>
      <c r="L3991" t="s">
        <v>8</v>
      </c>
      <c r="M3991" t="s">
        <v>18</v>
      </c>
      <c r="N3991">
        <v>24</v>
      </c>
      <c r="O3991">
        <v>3</v>
      </c>
      <c r="P3991">
        <v>2</v>
      </c>
      <c r="Q3991">
        <v>17.8178353831896</v>
      </c>
      <c r="R3991">
        <v>24.7</v>
      </c>
      <c r="T3991" s="340" t="str">
        <f t="shared" si="174"/>
        <v>2015FemaleAllEth25Poisoning by solids and liquids</v>
      </c>
      <c r="U3991">
        <v>2015</v>
      </c>
      <c r="V3991" t="s">
        <v>8</v>
      </c>
      <c r="W3991" t="s">
        <v>27</v>
      </c>
      <c r="X3991">
        <v>25</v>
      </c>
      <c r="Y3991" t="s">
        <v>47</v>
      </c>
      <c r="Z3991">
        <v>6</v>
      </c>
      <c r="AA3991">
        <v>16</v>
      </c>
      <c r="AB3991">
        <v>37.5</v>
      </c>
    </row>
    <row r="3992" spans="10:28">
      <c r="J3992" s="340" t="str">
        <f t="shared" si="173"/>
        <v>2015FemaleMaori244</v>
      </c>
      <c r="K3992">
        <v>2015</v>
      </c>
      <c r="L3992" t="s">
        <v>8</v>
      </c>
      <c r="M3992" t="s">
        <v>18</v>
      </c>
      <c r="N3992">
        <v>24</v>
      </c>
      <c r="O3992">
        <v>4</v>
      </c>
      <c r="P3992">
        <v>0</v>
      </c>
      <c r="Q3992">
        <v>0</v>
      </c>
      <c r="T3992" s="340" t="str">
        <f t="shared" si="174"/>
        <v>2015FemaleAllEth24Submersion (drowning)</v>
      </c>
      <c r="U3992">
        <v>2015</v>
      </c>
      <c r="V3992" t="s">
        <v>8</v>
      </c>
      <c r="W3992" t="s">
        <v>27</v>
      </c>
      <c r="X3992">
        <v>24</v>
      </c>
      <c r="Y3992" t="s">
        <v>49</v>
      </c>
      <c r="Z3992">
        <v>3</v>
      </c>
      <c r="AA3992">
        <v>47</v>
      </c>
      <c r="AB3992">
        <v>6.4</v>
      </c>
    </row>
    <row r="3993" spans="10:28">
      <c r="J3993" s="340" t="str">
        <f t="shared" si="173"/>
        <v>2015FemaleMaori245</v>
      </c>
      <c r="K3993">
        <v>2015</v>
      </c>
      <c r="L3993" t="s">
        <v>8</v>
      </c>
      <c r="M3993" t="s">
        <v>18</v>
      </c>
      <c r="N3993">
        <v>24</v>
      </c>
      <c r="O3993">
        <v>5</v>
      </c>
      <c r="P3993">
        <v>1</v>
      </c>
      <c r="Q3993">
        <v>3.43434896325215</v>
      </c>
      <c r="R3993">
        <v>6.7</v>
      </c>
      <c r="T3993" s="340" t="str">
        <f t="shared" si="174"/>
        <v>2015FemaleAllEth25Submersion (drowning)</v>
      </c>
      <c r="U3993">
        <v>2015</v>
      </c>
      <c r="V3993" t="s">
        <v>8</v>
      </c>
      <c r="W3993" t="s">
        <v>27</v>
      </c>
      <c r="X3993">
        <v>25</v>
      </c>
      <c r="Y3993" t="s">
        <v>49</v>
      </c>
      <c r="Z3993">
        <v>1</v>
      </c>
      <c r="AA3993">
        <v>16</v>
      </c>
      <c r="AB3993">
        <v>6.2</v>
      </c>
    </row>
    <row r="3994" spans="10:28">
      <c r="J3994" s="340" t="str">
        <f t="shared" si="173"/>
        <v>2015FemaleMaori251</v>
      </c>
      <c r="K3994">
        <v>2015</v>
      </c>
      <c r="L3994" t="s">
        <v>8</v>
      </c>
      <c r="M3994" t="s">
        <v>18</v>
      </c>
      <c r="N3994">
        <v>25</v>
      </c>
      <c r="O3994">
        <v>1</v>
      </c>
      <c r="P3994">
        <v>0</v>
      </c>
      <c r="Q3994">
        <v>0</v>
      </c>
      <c r="T3994" s="340" t="str">
        <f t="shared" si="174"/>
        <v>2015FemaleMaori21Hanging, strangulation and suffocation</v>
      </c>
      <c r="U3994">
        <v>2015</v>
      </c>
      <c r="V3994" t="s">
        <v>8</v>
      </c>
      <c r="W3994" t="s">
        <v>18</v>
      </c>
      <c r="X3994">
        <v>21</v>
      </c>
      <c r="Y3994" t="s">
        <v>43</v>
      </c>
      <c r="Z3994">
        <v>1</v>
      </c>
      <c r="AA3994">
        <v>1</v>
      </c>
      <c r="AB3994">
        <v>100</v>
      </c>
    </row>
    <row r="3995" spans="10:28">
      <c r="J3995" s="340" t="str">
        <f t="shared" si="173"/>
        <v>2015FemaleMaori252</v>
      </c>
      <c r="K3995">
        <v>2015</v>
      </c>
      <c r="L3995" t="s">
        <v>8</v>
      </c>
      <c r="M3995" t="s">
        <v>18</v>
      </c>
      <c r="N3995">
        <v>25</v>
      </c>
      <c r="O3995">
        <v>2</v>
      </c>
      <c r="P3995">
        <v>0</v>
      </c>
      <c r="Q3995">
        <v>0</v>
      </c>
      <c r="T3995" s="340" t="str">
        <f t="shared" si="174"/>
        <v>2015FemaleMaori22Hanging, strangulation and suffocation</v>
      </c>
      <c r="U3995">
        <v>2015</v>
      </c>
      <c r="V3995" t="s">
        <v>8</v>
      </c>
      <c r="W3995" t="s">
        <v>18</v>
      </c>
      <c r="X3995">
        <v>22</v>
      </c>
      <c r="Y3995" t="s">
        <v>43</v>
      </c>
      <c r="Z3995">
        <v>21</v>
      </c>
      <c r="AA3995">
        <v>22</v>
      </c>
      <c r="AB3995">
        <v>95.5</v>
      </c>
    </row>
    <row r="3996" spans="10:28">
      <c r="J3996" s="340" t="str">
        <f t="shared" si="173"/>
        <v>2015FemaleMaori253</v>
      </c>
      <c r="K3996">
        <v>2015</v>
      </c>
      <c r="L3996" t="s">
        <v>8</v>
      </c>
      <c r="M3996" t="s">
        <v>18</v>
      </c>
      <c r="N3996">
        <v>25</v>
      </c>
      <c r="O3996">
        <v>3</v>
      </c>
      <c r="P3996">
        <v>0</v>
      </c>
      <c r="Q3996">
        <v>0</v>
      </c>
      <c r="T3996" s="340" t="str">
        <f t="shared" si="174"/>
        <v>2015FemaleMaori23Hanging, strangulation and suffocation</v>
      </c>
      <c r="U3996">
        <v>2015</v>
      </c>
      <c r="V3996" t="s">
        <v>8</v>
      </c>
      <c r="W3996" t="s">
        <v>18</v>
      </c>
      <c r="X3996">
        <v>23</v>
      </c>
      <c r="Y3996" t="s">
        <v>43</v>
      </c>
      <c r="Z3996">
        <v>12</v>
      </c>
      <c r="AA3996">
        <v>14</v>
      </c>
      <c r="AB3996">
        <v>85.7</v>
      </c>
    </row>
    <row r="3997" spans="10:28">
      <c r="J3997" s="340" t="str">
        <f t="shared" si="173"/>
        <v>2015FemaleMaori254</v>
      </c>
      <c r="K3997">
        <v>2015</v>
      </c>
      <c r="L3997" t="s">
        <v>8</v>
      </c>
      <c r="M3997" t="s">
        <v>18</v>
      </c>
      <c r="N3997">
        <v>25</v>
      </c>
      <c r="O3997">
        <v>4</v>
      </c>
      <c r="P3997">
        <v>0</v>
      </c>
      <c r="Q3997">
        <v>0</v>
      </c>
      <c r="T3997" s="340" t="str">
        <f t="shared" si="174"/>
        <v>2015FemaleMaori24Hanging, strangulation and suffocation</v>
      </c>
      <c r="U3997">
        <v>2015</v>
      </c>
      <c r="V3997" t="s">
        <v>8</v>
      </c>
      <c r="W3997" t="s">
        <v>18</v>
      </c>
      <c r="X3997">
        <v>24</v>
      </c>
      <c r="Y3997" t="s">
        <v>43</v>
      </c>
      <c r="Z3997">
        <v>2</v>
      </c>
      <c r="AA3997">
        <v>3</v>
      </c>
      <c r="AB3997">
        <v>66.7</v>
      </c>
    </row>
    <row r="3998" spans="10:28">
      <c r="J3998" s="340" t="str">
        <f t="shared" si="173"/>
        <v>2015FemaleMaori255</v>
      </c>
      <c r="K3998">
        <v>2015</v>
      </c>
      <c r="L3998" t="s">
        <v>8</v>
      </c>
      <c r="M3998" t="s">
        <v>18</v>
      </c>
      <c r="N3998">
        <v>25</v>
      </c>
      <c r="O3998">
        <v>5</v>
      </c>
      <c r="P3998">
        <v>0</v>
      </c>
      <c r="Q3998">
        <v>0</v>
      </c>
      <c r="T3998" s="340" t="str">
        <f t="shared" si="174"/>
        <v>2015FemaleMaori22Other</v>
      </c>
      <c r="U3998">
        <v>2015</v>
      </c>
      <c r="V3998" t="s">
        <v>8</v>
      </c>
      <c r="W3998" t="s">
        <v>18</v>
      </c>
      <c r="X3998">
        <v>22</v>
      </c>
      <c r="Y3998" t="s">
        <v>45</v>
      </c>
      <c r="Z3998">
        <v>1</v>
      </c>
      <c r="AA3998">
        <v>22</v>
      </c>
      <c r="AB3998">
        <v>4.5</v>
      </c>
    </row>
    <row r="3999" spans="10:28">
      <c r="J3999" s="340" t="str">
        <f t="shared" si="173"/>
        <v>2015FemaleNon-Maori211</v>
      </c>
      <c r="K3999">
        <v>2015</v>
      </c>
      <c r="L3999" t="s">
        <v>8</v>
      </c>
      <c r="M3999" t="s">
        <v>19</v>
      </c>
      <c r="N3999">
        <v>21</v>
      </c>
      <c r="O3999">
        <v>1</v>
      </c>
      <c r="P3999">
        <v>0</v>
      </c>
      <c r="Q3999">
        <v>0</v>
      </c>
      <c r="T3999" s="340" t="str">
        <f t="shared" si="174"/>
        <v>2015FemaleMaori24Other</v>
      </c>
      <c r="U3999">
        <v>2015</v>
      </c>
      <c r="V3999" t="s">
        <v>8</v>
      </c>
      <c r="W3999" t="s">
        <v>18</v>
      </c>
      <c r="X3999">
        <v>24</v>
      </c>
      <c r="Y3999" t="s">
        <v>45</v>
      </c>
      <c r="Z3999">
        <v>1</v>
      </c>
      <c r="AA3999">
        <v>3</v>
      </c>
      <c r="AB3999">
        <v>33.299999999999997</v>
      </c>
    </row>
    <row r="4000" spans="10:28">
      <c r="J4000" s="340" t="str">
        <f t="shared" si="173"/>
        <v>2015FemaleNon-Maori212</v>
      </c>
      <c r="K4000">
        <v>2015</v>
      </c>
      <c r="L4000" t="s">
        <v>8</v>
      </c>
      <c r="M4000" t="s">
        <v>19</v>
      </c>
      <c r="N4000">
        <v>21</v>
      </c>
      <c r="O4000">
        <v>2</v>
      </c>
      <c r="P4000">
        <v>0</v>
      </c>
      <c r="Q4000">
        <v>0</v>
      </c>
      <c r="T4000" s="340" t="str">
        <f t="shared" si="174"/>
        <v>2015FemaleMaori23Poisoning by solids and liquids</v>
      </c>
      <c r="U4000">
        <v>2015</v>
      </c>
      <c r="V4000" t="s">
        <v>8</v>
      </c>
      <c r="W4000" t="s">
        <v>18</v>
      </c>
      <c r="X4000">
        <v>23</v>
      </c>
      <c r="Y4000" t="s">
        <v>47</v>
      </c>
      <c r="Z4000">
        <v>2</v>
      </c>
      <c r="AA4000">
        <v>14</v>
      </c>
      <c r="AB4000">
        <v>14.3</v>
      </c>
    </row>
    <row r="4001" spans="10:28">
      <c r="J4001" s="340" t="str">
        <f t="shared" si="173"/>
        <v>2015FemaleNon-Maori213</v>
      </c>
      <c r="K4001">
        <v>2015</v>
      </c>
      <c r="L4001" t="s">
        <v>8</v>
      </c>
      <c r="M4001" t="s">
        <v>19</v>
      </c>
      <c r="N4001">
        <v>21</v>
      </c>
      <c r="O4001">
        <v>3</v>
      </c>
      <c r="P4001">
        <v>2</v>
      </c>
      <c r="Q4001">
        <v>3.1000930705574299</v>
      </c>
      <c r="R4001">
        <v>4.3</v>
      </c>
      <c r="T4001" s="340" t="str">
        <f t="shared" si="174"/>
        <v>2015FemaleNon-Maori22Firearms and explosives</v>
      </c>
      <c r="U4001">
        <v>2015</v>
      </c>
      <c r="V4001" t="s">
        <v>8</v>
      </c>
      <c r="W4001" t="s">
        <v>19</v>
      </c>
      <c r="X4001">
        <v>22</v>
      </c>
      <c r="Y4001" t="s">
        <v>42</v>
      </c>
      <c r="Z4001">
        <v>1</v>
      </c>
      <c r="AA4001">
        <v>19</v>
      </c>
      <c r="AB4001">
        <v>5.3</v>
      </c>
    </row>
    <row r="4002" spans="10:28">
      <c r="J4002" s="340" t="str">
        <f t="shared" si="173"/>
        <v>2015FemaleNon-Maori214</v>
      </c>
      <c r="K4002">
        <v>2015</v>
      </c>
      <c r="L4002" t="s">
        <v>8</v>
      </c>
      <c r="M4002" t="s">
        <v>19</v>
      </c>
      <c r="N4002">
        <v>21</v>
      </c>
      <c r="O4002">
        <v>4</v>
      </c>
      <c r="P4002">
        <v>0</v>
      </c>
      <c r="Q4002">
        <v>0</v>
      </c>
      <c r="T4002" s="340" t="str">
        <f t="shared" si="174"/>
        <v>2015FemaleNon-Maori23Firearms and explosives</v>
      </c>
      <c r="U4002">
        <v>2015</v>
      </c>
      <c r="V4002" t="s">
        <v>8</v>
      </c>
      <c r="W4002" t="s">
        <v>19</v>
      </c>
      <c r="X4002">
        <v>23</v>
      </c>
      <c r="Y4002" t="s">
        <v>42</v>
      </c>
      <c r="Z4002">
        <v>1</v>
      </c>
      <c r="AA4002">
        <v>22</v>
      </c>
      <c r="AB4002">
        <v>4.5</v>
      </c>
    </row>
    <row r="4003" spans="10:28">
      <c r="J4003" s="340" t="str">
        <f t="shared" si="173"/>
        <v>2015FemaleNon-Maori215</v>
      </c>
      <c r="K4003">
        <v>2015</v>
      </c>
      <c r="L4003" t="s">
        <v>8</v>
      </c>
      <c r="M4003" t="s">
        <v>19</v>
      </c>
      <c r="N4003">
        <v>21</v>
      </c>
      <c r="O4003">
        <v>5</v>
      </c>
      <c r="P4003">
        <v>1</v>
      </c>
      <c r="Q4003">
        <v>1.73690076313936</v>
      </c>
      <c r="R4003">
        <v>3.4</v>
      </c>
      <c r="T4003" s="340" t="str">
        <f t="shared" si="174"/>
        <v>2015FemaleNon-Maori24Firearms and explosives</v>
      </c>
      <c r="U4003">
        <v>2015</v>
      </c>
      <c r="V4003" t="s">
        <v>8</v>
      </c>
      <c r="W4003" t="s">
        <v>19</v>
      </c>
      <c r="X4003">
        <v>24</v>
      </c>
      <c r="Y4003" t="s">
        <v>42</v>
      </c>
      <c r="Z4003">
        <v>1</v>
      </c>
      <c r="AA4003">
        <v>44</v>
      </c>
      <c r="AB4003">
        <v>2.2999999999999998</v>
      </c>
    </row>
    <row r="4004" spans="10:28">
      <c r="J4004" s="340" t="str">
        <f t="shared" si="173"/>
        <v>2015FemaleNon-Maori221</v>
      </c>
      <c r="K4004">
        <v>2015</v>
      </c>
      <c r="L4004" t="s">
        <v>8</v>
      </c>
      <c r="M4004" t="s">
        <v>19</v>
      </c>
      <c r="N4004">
        <v>22</v>
      </c>
      <c r="O4004">
        <v>1</v>
      </c>
      <c r="P4004">
        <v>3</v>
      </c>
      <c r="Q4004">
        <v>6.0358086223963303</v>
      </c>
      <c r="R4004">
        <v>6.8</v>
      </c>
      <c r="T4004" s="340" t="str">
        <f t="shared" si="174"/>
        <v>2015FemaleNon-Maori21Hanging, strangulation and suffocation</v>
      </c>
      <c r="U4004">
        <v>2015</v>
      </c>
      <c r="V4004" t="s">
        <v>8</v>
      </c>
      <c r="W4004" t="s">
        <v>19</v>
      </c>
      <c r="X4004">
        <v>21</v>
      </c>
      <c r="Y4004" t="s">
        <v>43</v>
      </c>
      <c r="Z4004">
        <v>3</v>
      </c>
      <c r="AA4004">
        <v>3</v>
      </c>
      <c r="AB4004">
        <v>100</v>
      </c>
    </row>
    <row r="4005" spans="10:28">
      <c r="J4005" s="340" t="str">
        <f t="shared" si="173"/>
        <v>2015FemaleNon-Maori222</v>
      </c>
      <c r="K4005">
        <v>2015</v>
      </c>
      <c r="L4005" t="s">
        <v>8</v>
      </c>
      <c r="M4005" t="s">
        <v>19</v>
      </c>
      <c r="N4005">
        <v>22</v>
      </c>
      <c r="O4005">
        <v>2</v>
      </c>
      <c r="P4005">
        <v>3</v>
      </c>
      <c r="Q4005">
        <v>6.1331078349682597</v>
      </c>
      <c r="R4005">
        <v>6.9</v>
      </c>
      <c r="T4005" s="340" t="str">
        <f t="shared" si="174"/>
        <v>2015FemaleNon-Maori22Hanging, strangulation and suffocation</v>
      </c>
      <c r="U4005">
        <v>2015</v>
      </c>
      <c r="V4005" t="s">
        <v>8</v>
      </c>
      <c r="W4005" t="s">
        <v>19</v>
      </c>
      <c r="X4005">
        <v>22</v>
      </c>
      <c r="Y4005" t="s">
        <v>43</v>
      </c>
      <c r="Z4005">
        <v>12</v>
      </c>
      <c r="AA4005">
        <v>19</v>
      </c>
      <c r="AB4005">
        <v>63.2</v>
      </c>
    </row>
    <row r="4006" spans="10:28">
      <c r="J4006" s="340" t="str">
        <f t="shared" si="173"/>
        <v>2015FemaleNon-Maori223</v>
      </c>
      <c r="K4006">
        <v>2015</v>
      </c>
      <c r="L4006" t="s">
        <v>8</v>
      </c>
      <c r="M4006" t="s">
        <v>19</v>
      </c>
      <c r="N4006">
        <v>22</v>
      </c>
      <c r="O4006">
        <v>3</v>
      </c>
      <c r="P4006">
        <v>3</v>
      </c>
      <c r="Q4006">
        <v>6.0696608530553799</v>
      </c>
      <c r="R4006">
        <v>6.9</v>
      </c>
      <c r="T4006" s="340" t="str">
        <f t="shared" si="174"/>
        <v>2015FemaleNon-Maori23Hanging, strangulation and suffocation</v>
      </c>
      <c r="U4006">
        <v>2015</v>
      </c>
      <c r="V4006" t="s">
        <v>8</v>
      </c>
      <c r="W4006" t="s">
        <v>19</v>
      </c>
      <c r="X4006">
        <v>23</v>
      </c>
      <c r="Y4006" t="s">
        <v>43</v>
      </c>
      <c r="Z4006">
        <v>13</v>
      </c>
      <c r="AA4006">
        <v>22</v>
      </c>
      <c r="AB4006">
        <v>59.1</v>
      </c>
    </row>
    <row r="4007" spans="10:28">
      <c r="J4007" s="340" t="str">
        <f t="shared" si="173"/>
        <v>2015FemaleNon-Maori224</v>
      </c>
      <c r="K4007">
        <v>2015</v>
      </c>
      <c r="L4007" t="s">
        <v>8</v>
      </c>
      <c r="M4007" t="s">
        <v>19</v>
      </c>
      <c r="N4007">
        <v>22</v>
      </c>
      <c r="O4007">
        <v>4</v>
      </c>
      <c r="P4007">
        <v>4</v>
      </c>
      <c r="Q4007">
        <v>7.4931061141363999</v>
      </c>
      <c r="R4007">
        <v>7.3</v>
      </c>
      <c r="T4007" s="340" t="str">
        <f t="shared" si="174"/>
        <v>2015FemaleNon-Maori24Hanging, strangulation and suffocation</v>
      </c>
      <c r="U4007">
        <v>2015</v>
      </c>
      <c r="V4007" t="s">
        <v>8</v>
      </c>
      <c r="W4007" t="s">
        <v>19</v>
      </c>
      <c r="X4007">
        <v>24</v>
      </c>
      <c r="Y4007" t="s">
        <v>43</v>
      </c>
      <c r="Z4007">
        <v>15</v>
      </c>
      <c r="AA4007">
        <v>44</v>
      </c>
      <c r="AB4007">
        <v>34.1</v>
      </c>
    </row>
    <row r="4008" spans="10:28">
      <c r="J4008" s="340" t="str">
        <f t="shared" si="173"/>
        <v>2015FemaleNon-Maori225</v>
      </c>
      <c r="K4008">
        <v>2015</v>
      </c>
      <c r="L4008" t="s">
        <v>8</v>
      </c>
      <c r="M4008" t="s">
        <v>19</v>
      </c>
      <c r="N4008">
        <v>22</v>
      </c>
      <c r="O4008">
        <v>5</v>
      </c>
      <c r="P4008">
        <v>6</v>
      </c>
      <c r="Q4008">
        <v>11.5241360955654</v>
      </c>
      <c r="R4008">
        <v>9.1999999999999993</v>
      </c>
      <c r="T4008" s="340" t="str">
        <f t="shared" si="174"/>
        <v>2015FemaleNon-Maori25Hanging, strangulation and suffocation</v>
      </c>
      <c r="U4008">
        <v>2015</v>
      </c>
      <c r="V4008" t="s">
        <v>8</v>
      </c>
      <c r="W4008" t="s">
        <v>19</v>
      </c>
      <c r="X4008">
        <v>25</v>
      </c>
      <c r="Y4008" t="s">
        <v>43</v>
      </c>
      <c r="Z4008">
        <v>5</v>
      </c>
      <c r="AA4008">
        <v>16</v>
      </c>
      <c r="AB4008">
        <v>31.2</v>
      </c>
    </row>
    <row r="4009" spans="10:28">
      <c r="J4009" s="340" t="str">
        <f t="shared" si="173"/>
        <v>2015FemaleNon-Maori231</v>
      </c>
      <c r="K4009">
        <v>2015</v>
      </c>
      <c r="L4009" t="s">
        <v>8</v>
      </c>
      <c r="M4009" t="s">
        <v>19</v>
      </c>
      <c r="N4009">
        <v>23</v>
      </c>
      <c r="O4009">
        <v>1</v>
      </c>
      <c r="P4009">
        <v>4</v>
      </c>
      <c r="Q4009">
        <v>3.6786155974086001</v>
      </c>
      <c r="R4009">
        <v>3.6</v>
      </c>
      <c r="T4009" s="340" t="str">
        <f t="shared" si="174"/>
        <v>2015FemaleNon-Maori22Jumping from a high place</v>
      </c>
      <c r="U4009">
        <v>2015</v>
      </c>
      <c r="V4009" t="s">
        <v>8</v>
      </c>
      <c r="W4009" t="s">
        <v>19</v>
      </c>
      <c r="X4009">
        <v>22</v>
      </c>
      <c r="Y4009" t="s">
        <v>44</v>
      </c>
      <c r="Z4009">
        <v>1</v>
      </c>
      <c r="AA4009">
        <v>19</v>
      </c>
      <c r="AB4009">
        <v>5.3</v>
      </c>
    </row>
    <row r="4010" spans="10:28">
      <c r="J4010" s="340" t="str">
        <f t="shared" si="173"/>
        <v>2015FemaleNon-Maori232</v>
      </c>
      <c r="K4010">
        <v>2015</v>
      </c>
      <c r="L4010" t="s">
        <v>8</v>
      </c>
      <c r="M4010" t="s">
        <v>19</v>
      </c>
      <c r="N4010">
        <v>23</v>
      </c>
      <c r="O4010">
        <v>2</v>
      </c>
      <c r="P4010">
        <v>4</v>
      </c>
      <c r="Q4010">
        <v>3.4884355319103602</v>
      </c>
      <c r="R4010">
        <v>3.4</v>
      </c>
      <c r="T4010" s="340" t="str">
        <f t="shared" si="174"/>
        <v>2015FemaleNon-Maori23Jumping from a high place</v>
      </c>
      <c r="U4010">
        <v>2015</v>
      </c>
      <c r="V4010" t="s">
        <v>8</v>
      </c>
      <c r="W4010" t="s">
        <v>19</v>
      </c>
      <c r="X4010">
        <v>23</v>
      </c>
      <c r="Y4010" t="s">
        <v>44</v>
      </c>
      <c r="Z4010">
        <v>1</v>
      </c>
      <c r="AA4010">
        <v>22</v>
      </c>
      <c r="AB4010">
        <v>4.5</v>
      </c>
    </row>
    <row r="4011" spans="10:28">
      <c r="J4011" s="340" t="str">
        <f t="shared" si="173"/>
        <v>2015FemaleNon-Maori233</v>
      </c>
      <c r="K4011">
        <v>2015</v>
      </c>
      <c r="L4011" t="s">
        <v>8</v>
      </c>
      <c r="M4011" t="s">
        <v>19</v>
      </c>
      <c r="N4011">
        <v>23</v>
      </c>
      <c r="O4011">
        <v>3</v>
      </c>
      <c r="P4011">
        <v>5</v>
      </c>
      <c r="Q4011">
        <v>4.4631672563723903</v>
      </c>
      <c r="R4011">
        <v>3.9</v>
      </c>
      <c r="T4011" s="340" t="str">
        <f t="shared" si="174"/>
        <v>2015FemaleNon-Maori24Jumping from a high place</v>
      </c>
      <c r="U4011">
        <v>2015</v>
      </c>
      <c r="V4011" t="s">
        <v>8</v>
      </c>
      <c r="W4011" t="s">
        <v>19</v>
      </c>
      <c r="X4011">
        <v>24</v>
      </c>
      <c r="Y4011" t="s">
        <v>44</v>
      </c>
      <c r="Z4011">
        <v>1</v>
      </c>
      <c r="AA4011">
        <v>44</v>
      </c>
      <c r="AB4011">
        <v>2.2999999999999998</v>
      </c>
    </row>
    <row r="4012" spans="10:28">
      <c r="J4012" s="340" t="str">
        <f t="shared" si="173"/>
        <v>2015FemaleNon-Maori234</v>
      </c>
      <c r="K4012">
        <v>2015</v>
      </c>
      <c r="L4012" t="s">
        <v>8</v>
      </c>
      <c r="M4012" t="s">
        <v>19</v>
      </c>
      <c r="N4012">
        <v>23</v>
      </c>
      <c r="O4012">
        <v>4</v>
      </c>
      <c r="P4012">
        <v>6</v>
      </c>
      <c r="Q4012">
        <v>5.7991299432112502</v>
      </c>
      <c r="R4012">
        <v>4.5999999999999996</v>
      </c>
      <c r="T4012" s="340" t="str">
        <f t="shared" si="174"/>
        <v>2015FemaleNon-Maori22Other</v>
      </c>
      <c r="U4012">
        <v>2015</v>
      </c>
      <c r="V4012" t="s">
        <v>8</v>
      </c>
      <c r="W4012" t="s">
        <v>19</v>
      </c>
      <c r="X4012">
        <v>22</v>
      </c>
      <c r="Y4012" t="s">
        <v>45</v>
      </c>
      <c r="Z4012">
        <v>1</v>
      </c>
      <c r="AA4012">
        <v>19</v>
      </c>
      <c r="AB4012">
        <v>5.3</v>
      </c>
    </row>
    <row r="4013" spans="10:28">
      <c r="J4013" s="340" t="str">
        <f t="shared" si="173"/>
        <v>2015FemaleNon-Maori235</v>
      </c>
      <c r="K4013">
        <v>2015</v>
      </c>
      <c r="L4013" t="s">
        <v>8</v>
      </c>
      <c r="M4013" t="s">
        <v>19</v>
      </c>
      <c r="N4013">
        <v>23</v>
      </c>
      <c r="O4013">
        <v>5</v>
      </c>
      <c r="P4013">
        <v>3</v>
      </c>
      <c r="Q4013">
        <v>3.5805639791906398</v>
      </c>
      <c r="R4013">
        <v>4.0999999999999996</v>
      </c>
      <c r="T4013" s="340" t="str">
        <f t="shared" si="174"/>
        <v>2015FemaleNon-Maori24Other</v>
      </c>
      <c r="U4013">
        <v>2015</v>
      </c>
      <c r="V4013" t="s">
        <v>8</v>
      </c>
      <c r="W4013" t="s">
        <v>19</v>
      </c>
      <c r="X4013">
        <v>24</v>
      </c>
      <c r="Y4013" t="s">
        <v>45</v>
      </c>
      <c r="Z4013">
        <v>3</v>
      </c>
      <c r="AA4013">
        <v>44</v>
      </c>
      <c r="AB4013">
        <v>6.8</v>
      </c>
    </row>
    <row r="4014" spans="10:28">
      <c r="J4014" s="340" t="str">
        <f t="shared" si="173"/>
        <v>2015FemaleNon-Maori241</v>
      </c>
      <c r="K4014">
        <v>2015</v>
      </c>
      <c r="L4014" t="s">
        <v>8</v>
      </c>
      <c r="M4014" t="s">
        <v>19</v>
      </c>
      <c r="N4014">
        <v>24</v>
      </c>
      <c r="O4014">
        <v>1</v>
      </c>
      <c r="P4014">
        <v>6</v>
      </c>
      <c r="Q4014">
        <v>4.3829640613782903</v>
      </c>
      <c r="R4014">
        <v>3.5</v>
      </c>
      <c r="T4014" s="340" t="str">
        <f t="shared" si="174"/>
        <v>2015FemaleNon-Maori25Other</v>
      </c>
      <c r="U4014">
        <v>2015</v>
      </c>
      <c r="V4014" t="s">
        <v>8</v>
      </c>
      <c r="W4014" t="s">
        <v>19</v>
      </c>
      <c r="X4014">
        <v>25</v>
      </c>
      <c r="Y4014" t="s">
        <v>45</v>
      </c>
      <c r="Z4014">
        <v>2</v>
      </c>
      <c r="AA4014">
        <v>16</v>
      </c>
      <c r="AB4014">
        <v>12.5</v>
      </c>
    </row>
    <row r="4015" spans="10:28">
      <c r="J4015" s="340" t="str">
        <f t="shared" si="173"/>
        <v>2015FemaleNon-Maori242</v>
      </c>
      <c r="K4015">
        <v>2015</v>
      </c>
      <c r="L4015" t="s">
        <v>8</v>
      </c>
      <c r="M4015" t="s">
        <v>19</v>
      </c>
      <c r="N4015">
        <v>24</v>
      </c>
      <c r="O4015">
        <v>2</v>
      </c>
      <c r="P4015">
        <v>10</v>
      </c>
      <c r="Q4015">
        <v>8.2500350179981599</v>
      </c>
      <c r="R4015">
        <v>5.0999999999999996</v>
      </c>
      <c r="T4015" s="340" t="str">
        <f t="shared" si="174"/>
        <v>2015FemaleNon-Maori24Poisoning by gases and vapours</v>
      </c>
      <c r="U4015">
        <v>2015</v>
      </c>
      <c r="V4015" t="s">
        <v>8</v>
      </c>
      <c r="W4015" t="s">
        <v>19</v>
      </c>
      <c r="X4015">
        <v>24</v>
      </c>
      <c r="Y4015" t="s">
        <v>46</v>
      </c>
      <c r="Z4015">
        <v>6</v>
      </c>
      <c r="AA4015">
        <v>44</v>
      </c>
      <c r="AB4015">
        <v>13.6</v>
      </c>
    </row>
    <row r="4016" spans="10:28">
      <c r="J4016" s="340" t="str">
        <f t="shared" si="173"/>
        <v>2015FemaleNon-Maori243</v>
      </c>
      <c r="K4016">
        <v>2015</v>
      </c>
      <c r="L4016" t="s">
        <v>8</v>
      </c>
      <c r="M4016" t="s">
        <v>19</v>
      </c>
      <c r="N4016">
        <v>24</v>
      </c>
      <c r="O4016">
        <v>3</v>
      </c>
      <c r="P4016">
        <v>12</v>
      </c>
      <c r="Q4016">
        <v>11.2196817367957</v>
      </c>
      <c r="R4016">
        <v>6.3</v>
      </c>
      <c r="T4016" s="340" t="str">
        <f t="shared" si="174"/>
        <v>2015FemaleNon-Maori25Poisoning by gases and vapours</v>
      </c>
      <c r="U4016">
        <v>2015</v>
      </c>
      <c r="V4016" t="s">
        <v>8</v>
      </c>
      <c r="W4016" t="s">
        <v>19</v>
      </c>
      <c r="X4016">
        <v>25</v>
      </c>
      <c r="Y4016" t="s">
        <v>46</v>
      </c>
      <c r="Z4016">
        <v>2</v>
      </c>
      <c r="AA4016">
        <v>16</v>
      </c>
      <c r="AB4016">
        <v>12.5</v>
      </c>
    </row>
    <row r="4017" spans="10:28">
      <c r="J4017" s="340" t="str">
        <f t="shared" si="173"/>
        <v>2015FemaleNon-Maori244</v>
      </c>
      <c r="K4017">
        <v>2015</v>
      </c>
      <c r="L4017" t="s">
        <v>8</v>
      </c>
      <c r="M4017" t="s">
        <v>19</v>
      </c>
      <c r="N4017">
        <v>24</v>
      </c>
      <c r="O4017">
        <v>4</v>
      </c>
      <c r="P4017">
        <v>7</v>
      </c>
      <c r="Q4017">
        <v>7.6102351860227602</v>
      </c>
      <c r="R4017">
        <v>5.6</v>
      </c>
      <c r="T4017" s="340" t="str">
        <f t="shared" si="174"/>
        <v>2015FemaleNon-Maori22Poisoning by solids and liquids</v>
      </c>
      <c r="U4017">
        <v>2015</v>
      </c>
      <c r="V4017" t="s">
        <v>8</v>
      </c>
      <c r="W4017" t="s">
        <v>19</v>
      </c>
      <c r="X4017">
        <v>22</v>
      </c>
      <c r="Y4017" t="s">
        <v>47</v>
      </c>
      <c r="Z4017">
        <v>4</v>
      </c>
      <c r="AA4017">
        <v>19</v>
      </c>
      <c r="AB4017">
        <v>21.1</v>
      </c>
    </row>
    <row r="4018" spans="10:28">
      <c r="J4018" s="340" t="str">
        <f t="shared" si="173"/>
        <v>2015FemaleNon-Maori245</v>
      </c>
      <c r="K4018">
        <v>2015</v>
      </c>
      <c r="L4018" t="s">
        <v>8</v>
      </c>
      <c r="M4018" t="s">
        <v>19</v>
      </c>
      <c r="N4018">
        <v>24</v>
      </c>
      <c r="O4018">
        <v>5</v>
      </c>
      <c r="P4018">
        <v>9</v>
      </c>
      <c r="Q4018">
        <v>12.519502435484</v>
      </c>
      <c r="R4018">
        <v>8.1999999999999993</v>
      </c>
      <c r="T4018" s="340" t="str">
        <f t="shared" si="174"/>
        <v>2015FemaleNon-Maori23Poisoning by solids and liquids</v>
      </c>
      <c r="U4018">
        <v>2015</v>
      </c>
      <c r="V4018" t="s">
        <v>8</v>
      </c>
      <c r="W4018" t="s">
        <v>19</v>
      </c>
      <c r="X4018">
        <v>23</v>
      </c>
      <c r="Y4018" t="s">
        <v>47</v>
      </c>
      <c r="Z4018">
        <v>7</v>
      </c>
      <c r="AA4018">
        <v>22</v>
      </c>
      <c r="AB4018">
        <v>31.8</v>
      </c>
    </row>
    <row r="4019" spans="10:28">
      <c r="J4019" s="340" t="str">
        <f t="shared" si="173"/>
        <v>2015FemaleNon-Maori251</v>
      </c>
      <c r="K4019">
        <v>2015</v>
      </c>
      <c r="L4019" t="s">
        <v>8</v>
      </c>
      <c r="M4019" t="s">
        <v>19</v>
      </c>
      <c r="N4019">
        <v>25</v>
      </c>
      <c r="O4019">
        <v>1</v>
      </c>
      <c r="P4019">
        <v>7</v>
      </c>
      <c r="Q4019">
        <v>10.0687662105667</v>
      </c>
      <c r="R4019">
        <v>7.5</v>
      </c>
      <c r="T4019" s="340" t="str">
        <f t="shared" si="174"/>
        <v>2015FemaleNon-Maori24Poisoning by solids and liquids</v>
      </c>
      <c r="U4019">
        <v>2015</v>
      </c>
      <c r="V4019" t="s">
        <v>8</v>
      </c>
      <c r="W4019" t="s">
        <v>19</v>
      </c>
      <c r="X4019">
        <v>24</v>
      </c>
      <c r="Y4019" t="s">
        <v>47</v>
      </c>
      <c r="Z4019">
        <v>15</v>
      </c>
      <c r="AA4019">
        <v>44</v>
      </c>
      <c r="AB4019">
        <v>34.1</v>
      </c>
    </row>
    <row r="4020" spans="10:28">
      <c r="J4020" s="340" t="str">
        <f t="shared" si="173"/>
        <v>2015FemaleNon-Maori252</v>
      </c>
      <c r="K4020">
        <v>2015</v>
      </c>
      <c r="L4020" t="s">
        <v>8</v>
      </c>
      <c r="M4020" t="s">
        <v>19</v>
      </c>
      <c r="N4020">
        <v>25</v>
      </c>
      <c r="O4020">
        <v>2</v>
      </c>
      <c r="P4020">
        <v>1</v>
      </c>
      <c r="Q4020">
        <v>1.4069950611700399</v>
      </c>
      <c r="R4020">
        <v>2.8</v>
      </c>
      <c r="T4020" s="340" t="str">
        <f t="shared" si="174"/>
        <v>2015FemaleNon-Maori25Poisoning by solids and liquids</v>
      </c>
      <c r="U4020">
        <v>2015</v>
      </c>
      <c r="V4020" t="s">
        <v>8</v>
      </c>
      <c r="W4020" t="s">
        <v>19</v>
      </c>
      <c r="X4020">
        <v>25</v>
      </c>
      <c r="Y4020" t="s">
        <v>47</v>
      </c>
      <c r="Z4020">
        <v>6</v>
      </c>
      <c r="AA4020">
        <v>16</v>
      </c>
      <c r="AB4020">
        <v>37.5</v>
      </c>
    </row>
    <row r="4021" spans="10:28">
      <c r="J4021" s="340" t="str">
        <f t="shared" si="173"/>
        <v>2015FemaleNon-Maori253</v>
      </c>
      <c r="K4021">
        <v>2015</v>
      </c>
      <c r="L4021" t="s">
        <v>8</v>
      </c>
      <c r="M4021" t="s">
        <v>19</v>
      </c>
      <c r="N4021">
        <v>25</v>
      </c>
      <c r="O4021">
        <v>3</v>
      </c>
      <c r="P4021">
        <v>4</v>
      </c>
      <c r="Q4021">
        <v>5.6711866850458996</v>
      </c>
      <c r="R4021">
        <v>5.6</v>
      </c>
      <c r="T4021" s="340" t="str">
        <f t="shared" si="174"/>
        <v>2015FemaleNon-Maori24Submersion (drowning)</v>
      </c>
      <c r="U4021">
        <v>2015</v>
      </c>
      <c r="V4021" t="s">
        <v>8</v>
      </c>
      <c r="W4021" t="s">
        <v>19</v>
      </c>
      <c r="X4021">
        <v>24</v>
      </c>
      <c r="Y4021" t="s">
        <v>49</v>
      </c>
      <c r="Z4021">
        <v>3</v>
      </c>
      <c r="AA4021">
        <v>44</v>
      </c>
      <c r="AB4021">
        <v>6.8</v>
      </c>
    </row>
    <row r="4022" spans="10:28">
      <c r="J4022" s="340" t="str">
        <f t="shared" si="173"/>
        <v>2015FemaleNon-Maori254</v>
      </c>
      <c r="K4022">
        <v>2015</v>
      </c>
      <c r="L4022" t="s">
        <v>8</v>
      </c>
      <c r="M4022" t="s">
        <v>19</v>
      </c>
      <c r="N4022">
        <v>25</v>
      </c>
      <c r="O4022">
        <v>4</v>
      </c>
      <c r="P4022">
        <v>3</v>
      </c>
      <c r="Q4022">
        <v>4.1784528378717498</v>
      </c>
      <c r="R4022">
        <v>4.7</v>
      </c>
      <c r="T4022" s="340" t="str">
        <f t="shared" si="174"/>
        <v>2015FemaleNon-Maori25Submersion (drowning)</v>
      </c>
      <c r="U4022">
        <v>2015</v>
      </c>
      <c r="V4022" t="s">
        <v>8</v>
      </c>
      <c r="W4022" t="s">
        <v>19</v>
      </c>
      <c r="X4022">
        <v>25</v>
      </c>
      <c r="Y4022" t="s">
        <v>49</v>
      </c>
      <c r="Z4022">
        <v>1</v>
      </c>
      <c r="AA4022">
        <v>16</v>
      </c>
      <c r="AB4022">
        <v>6.2</v>
      </c>
    </row>
    <row r="4023" spans="10:28">
      <c r="J4023" s="340" t="str">
        <f t="shared" si="173"/>
        <v>2015FemaleNon-Maori255</v>
      </c>
      <c r="K4023">
        <v>2015</v>
      </c>
      <c r="L4023" t="s">
        <v>8</v>
      </c>
      <c r="M4023" t="s">
        <v>19</v>
      </c>
      <c r="N4023">
        <v>25</v>
      </c>
      <c r="O4023">
        <v>5</v>
      </c>
      <c r="P4023">
        <v>1</v>
      </c>
      <c r="Q4023">
        <v>1.90820275119078</v>
      </c>
      <c r="R4023">
        <v>3.7</v>
      </c>
      <c r="T4023" s="340" t="str">
        <f t="shared" si="174"/>
        <v>2015MaleAllEth22Firearms and explosives</v>
      </c>
      <c r="U4023">
        <v>2015</v>
      </c>
      <c r="V4023" t="s">
        <v>20</v>
      </c>
      <c r="W4023" t="s">
        <v>27</v>
      </c>
      <c r="X4023">
        <v>22</v>
      </c>
      <c r="Y4023" t="s">
        <v>42</v>
      </c>
      <c r="Z4023">
        <v>2</v>
      </c>
      <c r="AA4023">
        <v>70</v>
      </c>
      <c r="AB4023">
        <v>2.9</v>
      </c>
    </row>
    <row r="4024" spans="10:28">
      <c r="J4024" s="340" t="str">
        <f t="shared" si="173"/>
        <v>2015MaleAllEth211</v>
      </c>
      <c r="K4024">
        <v>2015</v>
      </c>
      <c r="L4024" t="s">
        <v>20</v>
      </c>
      <c r="M4024" t="s">
        <v>27</v>
      </c>
      <c r="N4024">
        <v>21</v>
      </c>
      <c r="O4024">
        <v>1</v>
      </c>
      <c r="P4024">
        <v>0</v>
      </c>
      <c r="Q4024">
        <v>0</v>
      </c>
      <c r="T4024" s="340" t="str">
        <f t="shared" si="174"/>
        <v>2015MaleAllEth23Firearms and explosives</v>
      </c>
      <c r="U4024">
        <v>2015</v>
      </c>
      <c r="V4024" t="s">
        <v>20</v>
      </c>
      <c r="W4024" t="s">
        <v>27</v>
      </c>
      <c r="X4024">
        <v>23</v>
      </c>
      <c r="Y4024" t="s">
        <v>42</v>
      </c>
      <c r="Z4024">
        <v>8</v>
      </c>
      <c r="AA4024">
        <v>137</v>
      </c>
      <c r="AB4024">
        <v>5.8</v>
      </c>
    </row>
    <row r="4025" spans="10:28">
      <c r="J4025" s="340" t="str">
        <f t="shared" si="173"/>
        <v>2015MaleAllEth212</v>
      </c>
      <c r="K4025">
        <v>2015</v>
      </c>
      <c r="L4025" t="s">
        <v>20</v>
      </c>
      <c r="M4025" t="s">
        <v>27</v>
      </c>
      <c r="N4025">
        <v>21</v>
      </c>
      <c r="O4025">
        <v>2</v>
      </c>
      <c r="P4025">
        <v>0</v>
      </c>
      <c r="Q4025">
        <v>0</v>
      </c>
      <c r="T4025" s="340" t="str">
        <f t="shared" si="174"/>
        <v>2015MaleAllEth24Firearms and explosives</v>
      </c>
      <c r="U4025">
        <v>2015</v>
      </c>
      <c r="V4025" t="s">
        <v>20</v>
      </c>
      <c r="W4025" t="s">
        <v>27</v>
      </c>
      <c r="X4025">
        <v>24</v>
      </c>
      <c r="Y4025" t="s">
        <v>42</v>
      </c>
      <c r="Z4025">
        <v>13</v>
      </c>
      <c r="AA4025">
        <v>125</v>
      </c>
      <c r="AB4025">
        <v>10.4</v>
      </c>
    </row>
    <row r="4026" spans="10:28">
      <c r="J4026" s="340" t="str">
        <f t="shared" si="173"/>
        <v>2015MaleAllEth213</v>
      </c>
      <c r="K4026">
        <v>2015</v>
      </c>
      <c r="L4026" t="s">
        <v>20</v>
      </c>
      <c r="M4026" t="s">
        <v>27</v>
      </c>
      <c r="N4026">
        <v>21</v>
      </c>
      <c r="O4026">
        <v>3</v>
      </c>
      <c r="P4026">
        <v>1</v>
      </c>
      <c r="Q4026">
        <v>1.15118761716405</v>
      </c>
      <c r="R4026">
        <v>2.2999999999999998</v>
      </c>
      <c r="T4026" s="340" t="str">
        <f t="shared" si="174"/>
        <v>2015MaleAllEth25Firearms and explosives</v>
      </c>
      <c r="U4026">
        <v>2015</v>
      </c>
      <c r="V4026" t="s">
        <v>20</v>
      </c>
      <c r="W4026" t="s">
        <v>27</v>
      </c>
      <c r="X4026">
        <v>25</v>
      </c>
      <c r="Y4026" t="s">
        <v>42</v>
      </c>
      <c r="Z4026">
        <v>15</v>
      </c>
      <c r="AA4026">
        <v>49</v>
      </c>
      <c r="AB4026">
        <v>30.6</v>
      </c>
    </row>
    <row r="4027" spans="10:28">
      <c r="J4027" s="340" t="str">
        <f t="shared" si="173"/>
        <v>2015MaleAllEth214</v>
      </c>
      <c r="K4027">
        <v>2015</v>
      </c>
      <c r="L4027" t="s">
        <v>20</v>
      </c>
      <c r="M4027" t="s">
        <v>27</v>
      </c>
      <c r="N4027">
        <v>21</v>
      </c>
      <c r="O4027">
        <v>4</v>
      </c>
      <c r="P4027">
        <v>1</v>
      </c>
      <c r="Q4027">
        <v>1.13666053082301</v>
      </c>
      <c r="R4027">
        <v>2.2000000000000002</v>
      </c>
      <c r="T4027" s="340" t="str">
        <f t="shared" si="174"/>
        <v>2015MaleAllEth21Hanging, strangulation and suffocation</v>
      </c>
      <c r="U4027">
        <v>2015</v>
      </c>
      <c r="V4027" t="s">
        <v>20</v>
      </c>
      <c r="W4027" t="s">
        <v>27</v>
      </c>
      <c r="X4027">
        <v>21</v>
      </c>
      <c r="Y4027" t="s">
        <v>43</v>
      </c>
      <c r="Z4027">
        <v>5</v>
      </c>
      <c r="AA4027">
        <v>5</v>
      </c>
      <c r="AB4027">
        <v>100</v>
      </c>
    </row>
    <row r="4028" spans="10:28">
      <c r="J4028" s="340" t="str">
        <f t="shared" si="173"/>
        <v>2015MaleAllEth215</v>
      </c>
      <c r="K4028">
        <v>2015</v>
      </c>
      <c r="L4028" t="s">
        <v>20</v>
      </c>
      <c r="M4028" t="s">
        <v>27</v>
      </c>
      <c r="N4028">
        <v>21</v>
      </c>
      <c r="O4028">
        <v>5</v>
      </c>
      <c r="P4028">
        <v>3</v>
      </c>
      <c r="Q4028">
        <v>2.70678136677425</v>
      </c>
      <c r="R4028">
        <v>3.1</v>
      </c>
      <c r="T4028" s="340" t="str">
        <f t="shared" si="174"/>
        <v>2015MaleAllEth22Hanging, strangulation and suffocation</v>
      </c>
      <c r="U4028">
        <v>2015</v>
      </c>
      <c r="V4028" t="s">
        <v>20</v>
      </c>
      <c r="W4028" t="s">
        <v>27</v>
      </c>
      <c r="X4028">
        <v>22</v>
      </c>
      <c r="Y4028" t="s">
        <v>43</v>
      </c>
      <c r="Z4028">
        <v>57</v>
      </c>
      <c r="AA4028">
        <v>70</v>
      </c>
      <c r="AB4028">
        <v>81.400000000000006</v>
      </c>
    </row>
    <row r="4029" spans="10:28">
      <c r="J4029" s="340" t="str">
        <f t="shared" si="173"/>
        <v>2015MaleAllEth221</v>
      </c>
      <c r="K4029">
        <v>2015</v>
      </c>
      <c r="L4029" t="s">
        <v>20</v>
      </c>
      <c r="M4029" t="s">
        <v>27</v>
      </c>
      <c r="N4029">
        <v>22</v>
      </c>
      <c r="O4029">
        <v>1</v>
      </c>
      <c r="P4029">
        <v>13</v>
      </c>
      <c r="Q4029">
        <v>21.429062857032999</v>
      </c>
      <c r="R4029">
        <v>11.6</v>
      </c>
      <c r="T4029" s="340" t="str">
        <f t="shared" si="174"/>
        <v>2015MaleAllEth23Hanging, strangulation and suffocation</v>
      </c>
      <c r="U4029">
        <v>2015</v>
      </c>
      <c r="V4029" t="s">
        <v>20</v>
      </c>
      <c r="W4029" t="s">
        <v>27</v>
      </c>
      <c r="X4029">
        <v>23</v>
      </c>
      <c r="Y4029" t="s">
        <v>43</v>
      </c>
      <c r="Z4029">
        <v>98</v>
      </c>
      <c r="AA4029">
        <v>137</v>
      </c>
      <c r="AB4029">
        <v>71.5</v>
      </c>
    </row>
    <row r="4030" spans="10:28">
      <c r="J4030" s="340" t="str">
        <f t="shared" si="173"/>
        <v>2015MaleAllEth222</v>
      </c>
      <c r="K4030">
        <v>2015</v>
      </c>
      <c r="L4030" t="s">
        <v>20</v>
      </c>
      <c r="M4030" t="s">
        <v>27</v>
      </c>
      <c r="N4030">
        <v>22</v>
      </c>
      <c r="O4030">
        <v>2</v>
      </c>
      <c r="P4030">
        <v>10</v>
      </c>
      <c r="Q4030">
        <v>16.239922505249599</v>
      </c>
      <c r="R4030">
        <v>10.1</v>
      </c>
      <c r="T4030" s="340" t="str">
        <f t="shared" si="174"/>
        <v>2015MaleAllEth24Hanging, strangulation and suffocation</v>
      </c>
      <c r="U4030">
        <v>2015</v>
      </c>
      <c r="V4030" t="s">
        <v>20</v>
      </c>
      <c r="W4030" t="s">
        <v>27</v>
      </c>
      <c r="X4030">
        <v>24</v>
      </c>
      <c r="Y4030" t="s">
        <v>43</v>
      </c>
      <c r="Z4030">
        <v>69</v>
      </c>
      <c r="AA4030">
        <v>125</v>
      </c>
      <c r="AB4030">
        <v>55.2</v>
      </c>
    </row>
    <row r="4031" spans="10:28">
      <c r="J4031" s="340" t="str">
        <f t="shared" si="173"/>
        <v>2015MaleAllEth223</v>
      </c>
      <c r="K4031">
        <v>2015</v>
      </c>
      <c r="L4031" t="s">
        <v>20</v>
      </c>
      <c r="M4031" t="s">
        <v>27</v>
      </c>
      <c r="N4031">
        <v>22</v>
      </c>
      <c r="O4031">
        <v>3</v>
      </c>
      <c r="P4031">
        <v>11</v>
      </c>
      <c r="Q4031">
        <v>16.910120819653201</v>
      </c>
      <c r="R4031">
        <v>10</v>
      </c>
      <c r="T4031" s="340" t="str">
        <f t="shared" si="174"/>
        <v>2015MaleAllEth25Hanging, strangulation and suffocation</v>
      </c>
      <c r="U4031">
        <v>2015</v>
      </c>
      <c r="V4031" t="s">
        <v>20</v>
      </c>
      <c r="W4031" t="s">
        <v>27</v>
      </c>
      <c r="X4031">
        <v>25</v>
      </c>
      <c r="Y4031" t="s">
        <v>43</v>
      </c>
      <c r="Z4031">
        <v>14</v>
      </c>
      <c r="AA4031">
        <v>49</v>
      </c>
      <c r="AB4031">
        <v>28.6</v>
      </c>
    </row>
    <row r="4032" spans="10:28">
      <c r="J4032" s="340" t="str">
        <f t="shared" si="173"/>
        <v>2015MaleAllEth224</v>
      </c>
      <c r="K4032">
        <v>2015</v>
      </c>
      <c r="L4032" t="s">
        <v>20</v>
      </c>
      <c r="M4032" t="s">
        <v>27</v>
      </c>
      <c r="N4032">
        <v>22</v>
      </c>
      <c r="O4032">
        <v>4</v>
      </c>
      <c r="P4032">
        <v>15</v>
      </c>
      <c r="Q4032">
        <v>20.916113691672098</v>
      </c>
      <c r="R4032">
        <v>10.6</v>
      </c>
      <c r="T4032" s="340" t="str">
        <f t="shared" si="174"/>
        <v>2015MaleAllEth22Jumping from a high place</v>
      </c>
      <c r="U4032">
        <v>2015</v>
      </c>
      <c r="V4032" t="s">
        <v>20</v>
      </c>
      <c r="W4032" t="s">
        <v>27</v>
      </c>
      <c r="X4032">
        <v>22</v>
      </c>
      <c r="Y4032" t="s">
        <v>44</v>
      </c>
      <c r="Z4032">
        <v>2</v>
      </c>
      <c r="AA4032">
        <v>70</v>
      </c>
      <c r="AB4032">
        <v>2.9</v>
      </c>
    </row>
    <row r="4033" spans="10:28">
      <c r="J4033" s="340" t="str">
        <f t="shared" si="173"/>
        <v>2015MaleAllEth225</v>
      </c>
      <c r="K4033">
        <v>2015</v>
      </c>
      <c r="L4033" t="s">
        <v>20</v>
      </c>
      <c r="M4033" t="s">
        <v>27</v>
      </c>
      <c r="N4033">
        <v>22</v>
      </c>
      <c r="O4033">
        <v>5</v>
      </c>
      <c r="P4033">
        <v>19</v>
      </c>
      <c r="Q4033">
        <v>23.7790683894955</v>
      </c>
      <c r="R4033">
        <v>10.7</v>
      </c>
      <c r="T4033" s="340" t="str">
        <f t="shared" si="174"/>
        <v>2015MaleAllEth23Jumping from a high place</v>
      </c>
      <c r="U4033">
        <v>2015</v>
      </c>
      <c r="V4033" t="s">
        <v>20</v>
      </c>
      <c r="W4033" t="s">
        <v>27</v>
      </c>
      <c r="X4033">
        <v>23</v>
      </c>
      <c r="Y4033" t="s">
        <v>44</v>
      </c>
      <c r="Z4033">
        <v>4</v>
      </c>
      <c r="AA4033">
        <v>137</v>
      </c>
      <c r="AB4033">
        <v>2.9</v>
      </c>
    </row>
    <row r="4034" spans="10:28">
      <c r="J4034" s="340" t="str">
        <f t="shared" si="173"/>
        <v>2015MaleAllEth231</v>
      </c>
      <c r="K4034">
        <v>2015</v>
      </c>
      <c r="L4034" t="s">
        <v>20</v>
      </c>
      <c r="M4034" t="s">
        <v>27</v>
      </c>
      <c r="N4034">
        <v>23</v>
      </c>
      <c r="O4034">
        <v>1</v>
      </c>
      <c r="P4034">
        <v>17</v>
      </c>
      <c r="Q4034">
        <v>16.041042192189199</v>
      </c>
      <c r="R4034">
        <v>7.6</v>
      </c>
      <c r="T4034" s="340" t="str">
        <f t="shared" si="174"/>
        <v>2015MaleAllEth24Jumping from a high place</v>
      </c>
      <c r="U4034">
        <v>2015</v>
      </c>
      <c r="V4034" t="s">
        <v>20</v>
      </c>
      <c r="W4034" t="s">
        <v>27</v>
      </c>
      <c r="X4034">
        <v>24</v>
      </c>
      <c r="Y4034" t="s">
        <v>44</v>
      </c>
      <c r="Z4034">
        <v>6</v>
      </c>
      <c r="AA4034">
        <v>125</v>
      </c>
      <c r="AB4034">
        <v>4.8</v>
      </c>
    </row>
    <row r="4035" spans="10:28">
      <c r="J4035" s="340" t="str">
        <f t="shared" si="173"/>
        <v>2015MaleAllEth232</v>
      </c>
      <c r="K4035">
        <v>2015</v>
      </c>
      <c r="L4035" t="s">
        <v>20</v>
      </c>
      <c r="M4035" t="s">
        <v>27</v>
      </c>
      <c r="N4035">
        <v>23</v>
      </c>
      <c r="O4035">
        <v>2</v>
      </c>
      <c r="P4035">
        <v>22</v>
      </c>
      <c r="Q4035">
        <v>18.870359453023699</v>
      </c>
      <c r="R4035">
        <v>7.9</v>
      </c>
      <c r="T4035" s="340" t="str">
        <f t="shared" si="174"/>
        <v>2015MaleAllEth25Jumping from a high place</v>
      </c>
      <c r="U4035">
        <v>2015</v>
      </c>
      <c r="V4035" t="s">
        <v>20</v>
      </c>
      <c r="W4035" t="s">
        <v>27</v>
      </c>
      <c r="X4035">
        <v>25</v>
      </c>
      <c r="Y4035" t="s">
        <v>44</v>
      </c>
      <c r="Z4035">
        <v>3</v>
      </c>
      <c r="AA4035">
        <v>49</v>
      </c>
      <c r="AB4035">
        <v>6.1</v>
      </c>
    </row>
    <row r="4036" spans="10:28">
      <c r="J4036" s="340" t="str">
        <f t="shared" ref="J4036:J4099" si="175">K4036&amp;L4036&amp;M4036&amp;N4036&amp;O4036</f>
        <v>2015MaleAllEth233</v>
      </c>
      <c r="K4036">
        <v>2015</v>
      </c>
      <c r="L4036" t="s">
        <v>20</v>
      </c>
      <c r="M4036" t="s">
        <v>27</v>
      </c>
      <c r="N4036">
        <v>23</v>
      </c>
      <c r="O4036">
        <v>3</v>
      </c>
      <c r="P4036">
        <v>23</v>
      </c>
      <c r="Q4036">
        <v>19.039910482652701</v>
      </c>
      <c r="R4036">
        <v>7.8</v>
      </c>
      <c r="T4036" s="340" t="str">
        <f t="shared" si="174"/>
        <v>2015MaleAllEth22Other</v>
      </c>
      <c r="U4036">
        <v>2015</v>
      </c>
      <c r="V4036" t="s">
        <v>20</v>
      </c>
      <c r="W4036" t="s">
        <v>27</v>
      </c>
      <c r="X4036">
        <v>22</v>
      </c>
      <c r="Y4036" t="s">
        <v>45</v>
      </c>
      <c r="Z4036">
        <v>3</v>
      </c>
      <c r="AA4036">
        <v>70</v>
      </c>
      <c r="AB4036">
        <v>4.3</v>
      </c>
    </row>
    <row r="4037" spans="10:28">
      <c r="J4037" s="340" t="str">
        <f t="shared" si="175"/>
        <v>2015MaleAllEth234</v>
      </c>
      <c r="K4037">
        <v>2015</v>
      </c>
      <c r="L4037" t="s">
        <v>20</v>
      </c>
      <c r="M4037" t="s">
        <v>27</v>
      </c>
      <c r="N4037">
        <v>23</v>
      </c>
      <c r="O4037">
        <v>4</v>
      </c>
      <c r="P4037">
        <v>31</v>
      </c>
      <c r="Q4037">
        <v>26.0289919069672</v>
      </c>
      <c r="R4037">
        <v>9.1999999999999993</v>
      </c>
      <c r="T4037" s="340" t="str">
        <f t="shared" ref="T4037:T4100" si="176">U4037&amp;V4037&amp;W4037&amp;X4037&amp;Y4037</f>
        <v>2015MaleAllEth23Other</v>
      </c>
      <c r="U4037">
        <v>2015</v>
      </c>
      <c r="V4037" t="s">
        <v>20</v>
      </c>
      <c r="W4037" t="s">
        <v>27</v>
      </c>
      <c r="X4037">
        <v>23</v>
      </c>
      <c r="Y4037" t="s">
        <v>45</v>
      </c>
      <c r="Z4037">
        <v>5</v>
      </c>
      <c r="AA4037">
        <v>137</v>
      </c>
      <c r="AB4037">
        <v>3.6</v>
      </c>
    </row>
    <row r="4038" spans="10:28">
      <c r="J4038" s="340" t="str">
        <f t="shared" si="175"/>
        <v>2015MaleAllEth235</v>
      </c>
      <c r="K4038">
        <v>2015</v>
      </c>
      <c r="L4038" t="s">
        <v>20</v>
      </c>
      <c r="M4038" t="s">
        <v>27</v>
      </c>
      <c r="N4038">
        <v>23</v>
      </c>
      <c r="O4038">
        <v>5</v>
      </c>
      <c r="P4038">
        <v>42</v>
      </c>
      <c r="Q4038">
        <v>38.414942229626298</v>
      </c>
      <c r="R4038">
        <v>11.6</v>
      </c>
      <c r="T4038" s="340" t="str">
        <f t="shared" si="176"/>
        <v>2015MaleAllEth24Other</v>
      </c>
      <c r="U4038">
        <v>2015</v>
      </c>
      <c r="V4038" t="s">
        <v>20</v>
      </c>
      <c r="W4038" t="s">
        <v>27</v>
      </c>
      <c r="X4038">
        <v>24</v>
      </c>
      <c r="Y4038" t="s">
        <v>45</v>
      </c>
      <c r="Z4038">
        <v>5</v>
      </c>
      <c r="AA4038">
        <v>125</v>
      </c>
      <c r="AB4038">
        <v>4</v>
      </c>
    </row>
    <row r="4039" spans="10:28">
      <c r="J4039" s="340" t="str">
        <f t="shared" si="175"/>
        <v>2015MaleAllEth241</v>
      </c>
      <c r="K4039">
        <v>2015</v>
      </c>
      <c r="L4039" t="s">
        <v>20</v>
      </c>
      <c r="M4039" t="s">
        <v>27</v>
      </c>
      <c r="N4039">
        <v>24</v>
      </c>
      <c r="O4039">
        <v>1</v>
      </c>
      <c r="P4039">
        <v>18</v>
      </c>
      <c r="Q4039">
        <v>12.9787287269089</v>
      </c>
      <c r="R4039">
        <v>6</v>
      </c>
      <c r="T4039" s="340" t="str">
        <f t="shared" si="176"/>
        <v>2015MaleAllEth25Other</v>
      </c>
      <c r="U4039">
        <v>2015</v>
      </c>
      <c r="V4039" t="s">
        <v>20</v>
      </c>
      <c r="W4039" t="s">
        <v>27</v>
      </c>
      <c r="X4039">
        <v>25</v>
      </c>
      <c r="Y4039" t="s">
        <v>45</v>
      </c>
      <c r="Z4039">
        <v>4</v>
      </c>
      <c r="AA4039">
        <v>49</v>
      </c>
      <c r="AB4039">
        <v>8.1999999999999993</v>
      </c>
    </row>
    <row r="4040" spans="10:28">
      <c r="J4040" s="340" t="str">
        <f t="shared" si="175"/>
        <v>2015MaleAllEth242</v>
      </c>
      <c r="K4040">
        <v>2015</v>
      </c>
      <c r="L4040" t="s">
        <v>20</v>
      </c>
      <c r="M4040" t="s">
        <v>27</v>
      </c>
      <c r="N4040">
        <v>24</v>
      </c>
      <c r="O4040">
        <v>2</v>
      </c>
      <c r="P4040">
        <v>28</v>
      </c>
      <c r="Q4040">
        <v>22.7542873051163</v>
      </c>
      <c r="R4040">
        <v>8.4</v>
      </c>
      <c r="T4040" s="340" t="str">
        <f t="shared" si="176"/>
        <v>2015MaleAllEth22Poisoning by gases and vapours</v>
      </c>
      <c r="U4040">
        <v>2015</v>
      </c>
      <c r="V4040" t="s">
        <v>20</v>
      </c>
      <c r="W4040" t="s">
        <v>27</v>
      </c>
      <c r="X4040">
        <v>22</v>
      </c>
      <c r="Y4040" t="s">
        <v>46</v>
      </c>
      <c r="Z4040">
        <v>3</v>
      </c>
      <c r="AA4040">
        <v>70</v>
      </c>
      <c r="AB4040">
        <v>4.3</v>
      </c>
    </row>
    <row r="4041" spans="10:28">
      <c r="J4041" s="340" t="str">
        <f t="shared" si="175"/>
        <v>2015MaleAllEth243</v>
      </c>
      <c r="K4041">
        <v>2015</v>
      </c>
      <c r="L4041" t="s">
        <v>20</v>
      </c>
      <c r="M4041" t="s">
        <v>27</v>
      </c>
      <c r="N4041">
        <v>24</v>
      </c>
      <c r="O4041">
        <v>3</v>
      </c>
      <c r="P4041">
        <v>19</v>
      </c>
      <c r="Q4041">
        <v>17.143467475351301</v>
      </c>
      <c r="R4041">
        <v>7.7</v>
      </c>
      <c r="T4041" s="340" t="str">
        <f t="shared" si="176"/>
        <v>2015MaleAllEth23Poisoning by gases and vapours</v>
      </c>
      <c r="U4041">
        <v>2015</v>
      </c>
      <c r="V4041" t="s">
        <v>20</v>
      </c>
      <c r="W4041" t="s">
        <v>27</v>
      </c>
      <c r="X4041">
        <v>23</v>
      </c>
      <c r="Y4041" t="s">
        <v>46</v>
      </c>
      <c r="Z4041">
        <v>16</v>
      </c>
      <c r="AA4041">
        <v>137</v>
      </c>
      <c r="AB4041">
        <v>11.7</v>
      </c>
    </row>
    <row r="4042" spans="10:28">
      <c r="J4042" s="340" t="str">
        <f t="shared" si="175"/>
        <v>2015MaleAllEth244</v>
      </c>
      <c r="K4042">
        <v>2015</v>
      </c>
      <c r="L4042" t="s">
        <v>20</v>
      </c>
      <c r="M4042" t="s">
        <v>27</v>
      </c>
      <c r="N4042">
        <v>24</v>
      </c>
      <c r="O4042">
        <v>4</v>
      </c>
      <c r="P4042">
        <v>30</v>
      </c>
      <c r="Q4042">
        <v>29.810169006031501</v>
      </c>
      <c r="R4042">
        <v>10.7</v>
      </c>
      <c r="T4042" s="340" t="str">
        <f t="shared" si="176"/>
        <v>2015MaleAllEth24Poisoning by gases and vapours</v>
      </c>
      <c r="U4042">
        <v>2015</v>
      </c>
      <c r="V4042" t="s">
        <v>20</v>
      </c>
      <c r="W4042" t="s">
        <v>27</v>
      </c>
      <c r="X4042">
        <v>24</v>
      </c>
      <c r="Y4042" t="s">
        <v>46</v>
      </c>
      <c r="Z4042">
        <v>17</v>
      </c>
      <c r="AA4042">
        <v>125</v>
      </c>
      <c r="AB4042">
        <v>13.6</v>
      </c>
    </row>
    <row r="4043" spans="10:28">
      <c r="J4043" s="340" t="str">
        <f t="shared" si="175"/>
        <v>2015MaleAllEth245</v>
      </c>
      <c r="K4043">
        <v>2015</v>
      </c>
      <c r="L4043" t="s">
        <v>20</v>
      </c>
      <c r="M4043" t="s">
        <v>27</v>
      </c>
      <c r="N4043">
        <v>24</v>
      </c>
      <c r="O4043">
        <v>5</v>
      </c>
      <c r="P4043">
        <v>27</v>
      </c>
      <c r="Q4043">
        <v>29.395382771030398</v>
      </c>
      <c r="R4043">
        <v>11.1</v>
      </c>
      <c r="T4043" s="340" t="str">
        <f t="shared" si="176"/>
        <v>2015MaleAllEth25Poisoning by gases and vapours</v>
      </c>
      <c r="U4043">
        <v>2015</v>
      </c>
      <c r="V4043" t="s">
        <v>20</v>
      </c>
      <c r="W4043" t="s">
        <v>27</v>
      </c>
      <c r="X4043">
        <v>25</v>
      </c>
      <c r="Y4043" t="s">
        <v>46</v>
      </c>
      <c r="Z4043">
        <v>1</v>
      </c>
      <c r="AA4043">
        <v>49</v>
      </c>
      <c r="AB4043">
        <v>2</v>
      </c>
    </row>
    <row r="4044" spans="10:28">
      <c r="J4044" s="340" t="str">
        <f t="shared" si="175"/>
        <v>2015MaleAllEth251</v>
      </c>
      <c r="K4044">
        <v>2015</v>
      </c>
      <c r="L4044" t="s">
        <v>20</v>
      </c>
      <c r="M4044" t="s">
        <v>27</v>
      </c>
      <c r="N4044">
        <v>25</v>
      </c>
      <c r="O4044">
        <v>1</v>
      </c>
      <c r="P4044">
        <v>11</v>
      </c>
      <c r="Q4044">
        <v>16.212071360919399</v>
      </c>
      <c r="R4044">
        <v>9.6</v>
      </c>
      <c r="T4044" s="340" t="str">
        <f t="shared" si="176"/>
        <v>2015MaleAllEth22Poisoning by solids and liquids</v>
      </c>
      <c r="U4044">
        <v>2015</v>
      </c>
      <c r="V4044" t="s">
        <v>20</v>
      </c>
      <c r="W4044" t="s">
        <v>27</v>
      </c>
      <c r="X4044">
        <v>22</v>
      </c>
      <c r="Y4044" t="s">
        <v>47</v>
      </c>
      <c r="Z4044">
        <v>1</v>
      </c>
      <c r="AA4044">
        <v>70</v>
      </c>
      <c r="AB4044">
        <v>1.4</v>
      </c>
    </row>
    <row r="4045" spans="10:28">
      <c r="J4045" s="340" t="str">
        <f t="shared" si="175"/>
        <v>2015MaleAllEth252</v>
      </c>
      <c r="K4045">
        <v>2015</v>
      </c>
      <c r="L4045" t="s">
        <v>20</v>
      </c>
      <c r="M4045" t="s">
        <v>27</v>
      </c>
      <c r="N4045">
        <v>25</v>
      </c>
      <c r="O4045">
        <v>2</v>
      </c>
      <c r="P4045">
        <v>11</v>
      </c>
      <c r="Q4045">
        <v>16.4675302364682</v>
      </c>
      <c r="R4045">
        <v>9.6999999999999993</v>
      </c>
      <c r="T4045" s="340" t="str">
        <f t="shared" si="176"/>
        <v>2015MaleAllEth23Poisoning by solids and liquids</v>
      </c>
      <c r="U4045">
        <v>2015</v>
      </c>
      <c r="V4045" t="s">
        <v>20</v>
      </c>
      <c r="W4045" t="s">
        <v>27</v>
      </c>
      <c r="X4045">
        <v>23</v>
      </c>
      <c r="Y4045" t="s">
        <v>47</v>
      </c>
      <c r="Z4045">
        <v>3</v>
      </c>
      <c r="AA4045">
        <v>137</v>
      </c>
      <c r="AB4045">
        <v>2.2000000000000002</v>
      </c>
    </row>
    <row r="4046" spans="10:28">
      <c r="J4046" s="340" t="str">
        <f t="shared" si="175"/>
        <v>2015MaleAllEth253</v>
      </c>
      <c r="K4046">
        <v>2015</v>
      </c>
      <c r="L4046" t="s">
        <v>20</v>
      </c>
      <c r="M4046" t="s">
        <v>27</v>
      </c>
      <c r="N4046">
        <v>25</v>
      </c>
      <c r="O4046">
        <v>3</v>
      </c>
      <c r="P4046">
        <v>7</v>
      </c>
      <c r="Q4046">
        <v>10.893007239920101</v>
      </c>
      <c r="R4046">
        <v>8.1</v>
      </c>
      <c r="T4046" s="340" t="str">
        <f t="shared" si="176"/>
        <v>2015MaleAllEth24Poisoning by solids and liquids</v>
      </c>
      <c r="U4046">
        <v>2015</v>
      </c>
      <c r="V4046" t="s">
        <v>20</v>
      </c>
      <c r="W4046" t="s">
        <v>27</v>
      </c>
      <c r="X4046">
        <v>24</v>
      </c>
      <c r="Y4046" t="s">
        <v>47</v>
      </c>
      <c r="Z4046">
        <v>11</v>
      </c>
      <c r="AA4046">
        <v>125</v>
      </c>
      <c r="AB4046">
        <v>8.8000000000000007</v>
      </c>
    </row>
    <row r="4047" spans="10:28">
      <c r="J4047" s="340" t="str">
        <f t="shared" si="175"/>
        <v>2015MaleAllEth254</v>
      </c>
      <c r="K4047">
        <v>2015</v>
      </c>
      <c r="L4047" t="s">
        <v>20</v>
      </c>
      <c r="M4047" t="s">
        <v>27</v>
      </c>
      <c r="N4047">
        <v>25</v>
      </c>
      <c r="O4047">
        <v>4</v>
      </c>
      <c r="P4047">
        <v>13</v>
      </c>
      <c r="Q4047">
        <v>20.864127535481298</v>
      </c>
      <c r="R4047">
        <v>11.3</v>
      </c>
      <c r="T4047" s="340" t="str">
        <f t="shared" si="176"/>
        <v>2015MaleAllEth25Poisoning by solids and liquids</v>
      </c>
      <c r="U4047">
        <v>2015</v>
      </c>
      <c r="V4047" t="s">
        <v>20</v>
      </c>
      <c r="W4047" t="s">
        <v>27</v>
      </c>
      <c r="X4047">
        <v>25</v>
      </c>
      <c r="Y4047" t="s">
        <v>47</v>
      </c>
      <c r="Z4047">
        <v>5</v>
      </c>
      <c r="AA4047">
        <v>49</v>
      </c>
      <c r="AB4047">
        <v>10.199999999999999</v>
      </c>
    </row>
    <row r="4048" spans="10:28">
      <c r="J4048" s="340" t="str">
        <f t="shared" si="175"/>
        <v>2015MaleAllEth255</v>
      </c>
      <c r="K4048">
        <v>2015</v>
      </c>
      <c r="L4048" t="s">
        <v>20</v>
      </c>
      <c r="M4048" t="s">
        <v>27</v>
      </c>
      <c r="N4048">
        <v>25</v>
      </c>
      <c r="O4048">
        <v>5</v>
      </c>
      <c r="P4048">
        <v>7</v>
      </c>
      <c r="Q4048">
        <v>13.5938198539015</v>
      </c>
      <c r="R4048">
        <v>10.1</v>
      </c>
      <c r="T4048" s="340" t="str">
        <f t="shared" si="176"/>
        <v>2015MaleAllEth22Sharp object</v>
      </c>
      <c r="U4048">
        <v>2015</v>
      </c>
      <c r="V4048" t="s">
        <v>20</v>
      </c>
      <c r="W4048" t="s">
        <v>27</v>
      </c>
      <c r="X4048">
        <v>22</v>
      </c>
      <c r="Y4048" t="s">
        <v>48</v>
      </c>
      <c r="Z4048">
        <v>1</v>
      </c>
      <c r="AA4048">
        <v>70</v>
      </c>
      <c r="AB4048">
        <v>1.4</v>
      </c>
    </row>
    <row r="4049" spans="10:28">
      <c r="J4049" s="340" t="str">
        <f t="shared" si="175"/>
        <v>2015MaleMaori211</v>
      </c>
      <c r="K4049">
        <v>2015</v>
      </c>
      <c r="L4049" t="s">
        <v>20</v>
      </c>
      <c r="M4049" t="s">
        <v>18</v>
      </c>
      <c r="N4049">
        <v>21</v>
      </c>
      <c r="O4049">
        <v>1</v>
      </c>
      <c r="P4049">
        <v>0</v>
      </c>
      <c r="Q4049">
        <v>0</v>
      </c>
      <c r="T4049" s="340" t="str">
        <f t="shared" si="176"/>
        <v>2015MaleAllEth23Sharp object</v>
      </c>
      <c r="U4049">
        <v>2015</v>
      </c>
      <c r="V4049" t="s">
        <v>20</v>
      </c>
      <c r="W4049" t="s">
        <v>27</v>
      </c>
      <c r="X4049">
        <v>23</v>
      </c>
      <c r="Y4049" t="s">
        <v>48</v>
      </c>
      <c r="Z4049">
        <v>2</v>
      </c>
      <c r="AA4049">
        <v>137</v>
      </c>
      <c r="AB4049">
        <v>1.5</v>
      </c>
    </row>
    <row r="4050" spans="10:28">
      <c r="J4050" s="340" t="str">
        <f t="shared" si="175"/>
        <v>2015MaleMaori212</v>
      </c>
      <c r="K4050">
        <v>2015</v>
      </c>
      <c r="L4050" t="s">
        <v>20</v>
      </c>
      <c r="M4050" t="s">
        <v>18</v>
      </c>
      <c r="N4050">
        <v>21</v>
      </c>
      <c r="O4050">
        <v>2</v>
      </c>
      <c r="P4050">
        <v>0</v>
      </c>
      <c r="Q4050">
        <v>0</v>
      </c>
      <c r="T4050" s="340" t="str">
        <f t="shared" si="176"/>
        <v>2015MaleAllEth24Sharp object</v>
      </c>
      <c r="U4050">
        <v>2015</v>
      </c>
      <c r="V4050" t="s">
        <v>20</v>
      </c>
      <c r="W4050" t="s">
        <v>27</v>
      </c>
      <c r="X4050">
        <v>24</v>
      </c>
      <c r="Y4050" t="s">
        <v>48</v>
      </c>
      <c r="Z4050">
        <v>3</v>
      </c>
      <c r="AA4050">
        <v>125</v>
      </c>
      <c r="AB4050">
        <v>2.4</v>
      </c>
    </row>
    <row r="4051" spans="10:28">
      <c r="J4051" s="340" t="str">
        <f t="shared" si="175"/>
        <v>2015MaleMaori213</v>
      </c>
      <c r="K4051">
        <v>2015</v>
      </c>
      <c r="L4051" t="s">
        <v>20</v>
      </c>
      <c r="M4051" t="s">
        <v>18</v>
      </c>
      <c r="N4051">
        <v>21</v>
      </c>
      <c r="O4051">
        <v>3</v>
      </c>
      <c r="P4051">
        <v>1</v>
      </c>
      <c r="Q4051">
        <v>5.1453178713600796</v>
      </c>
      <c r="R4051">
        <v>10.1</v>
      </c>
      <c r="T4051" s="340" t="str">
        <f t="shared" si="176"/>
        <v>2015MaleAllEth25Sharp object</v>
      </c>
      <c r="U4051">
        <v>2015</v>
      </c>
      <c r="V4051" t="s">
        <v>20</v>
      </c>
      <c r="W4051" t="s">
        <v>27</v>
      </c>
      <c r="X4051">
        <v>25</v>
      </c>
      <c r="Y4051" t="s">
        <v>48</v>
      </c>
      <c r="Z4051">
        <v>2</v>
      </c>
      <c r="AA4051">
        <v>49</v>
      </c>
      <c r="AB4051">
        <v>4.0999999999999996</v>
      </c>
    </row>
    <row r="4052" spans="10:28">
      <c r="J4052" s="340" t="str">
        <f t="shared" si="175"/>
        <v>2015MaleMaori214</v>
      </c>
      <c r="K4052">
        <v>2015</v>
      </c>
      <c r="L4052" t="s">
        <v>20</v>
      </c>
      <c r="M4052" t="s">
        <v>18</v>
      </c>
      <c r="N4052">
        <v>21</v>
      </c>
      <c r="O4052">
        <v>4</v>
      </c>
      <c r="P4052">
        <v>1</v>
      </c>
      <c r="Q4052">
        <v>3.64633779066145</v>
      </c>
      <c r="R4052">
        <v>7.1</v>
      </c>
      <c r="T4052" s="340" t="str">
        <f t="shared" si="176"/>
        <v>2015MaleAllEth22Submersion (drowning)</v>
      </c>
      <c r="U4052">
        <v>2015</v>
      </c>
      <c r="V4052" t="s">
        <v>20</v>
      </c>
      <c r="W4052" t="s">
        <v>27</v>
      </c>
      <c r="X4052">
        <v>22</v>
      </c>
      <c r="Y4052" t="s">
        <v>49</v>
      </c>
      <c r="Z4052">
        <v>1</v>
      </c>
      <c r="AA4052">
        <v>70</v>
      </c>
      <c r="AB4052">
        <v>1.4</v>
      </c>
    </row>
    <row r="4053" spans="10:28">
      <c r="J4053" s="340" t="str">
        <f t="shared" si="175"/>
        <v>2015MaleMaori215</v>
      </c>
      <c r="K4053">
        <v>2015</v>
      </c>
      <c r="L4053" t="s">
        <v>20</v>
      </c>
      <c r="M4053" t="s">
        <v>18</v>
      </c>
      <c r="N4053">
        <v>21</v>
      </c>
      <c r="O4053">
        <v>5</v>
      </c>
      <c r="P4053">
        <v>1</v>
      </c>
      <c r="Q4053">
        <v>1.9591745496844599</v>
      </c>
      <c r="R4053">
        <v>3.8</v>
      </c>
      <c r="T4053" s="340" t="str">
        <f t="shared" si="176"/>
        <v>2015MaleAllEth23Submersion (drowning)</v>
      </c>
      <c r="U4053">
        <v>2015</v>
      </c>
      <c r="V4053" t="s">
        <v>20</v>
      </c>
      <c r="W4053" t="s">
        <v>27</v>
      </c>
      <c r="X4053">
        <v>23</v>
      </c>
      <c r="Y4053" t="s">
        <v>49</v>
      </c>
      <c r="Z4053">
        <v>1</v>
      </c>
      <c r="AA4053">
        <v>137</v>
      </c>
      <c r="AB4053">
        <v>0.7</v>
      </c>
    </row>
    <row r="4054" spans="10:28">
      <c r="J4054" s="340" t="str">
        <f t="shared" si="175"/>
        <v>2015MaleMaori221</v>
      </c>
      <c r="K4054">
        <v>2015</v>
      </c>
      <c r="L4054" t="s">
        <v>20</v>
      </c>
      <c r="M4054" t="s">
        <v>18</v>
      </c>
      <c r="N4054">
        <v>22</v>
      </c>
      <c r="O4054">
        <v>1</v>
      </c>
      <c r="P4054">
        <v>1</v>
      </c>
      <c r="Q4054">
        <v>16.740286913267301</v>
      </c>
      <c r="R4054">
        <v>32.799999999999997</v>
      </c>
      <c r="T4054" s="340" t="str">
        <f t="shared" si="176"/>
        <v>2015MaleAllEth24Submersion (drowning)</v>
      </c>
      <c r="U4054">
        <v>2015</v>
      </c>
      <c r="V4054" t="s">
        <v>20</v>
      </c>
      <c r="W4054" t="s">
        <v>27</v>
      </c>
      <c r="X4054">
        <v>24</v>
      </c>
      <c r="Y4054" t="s">
        <v>49</v>
      </c>
      <c r="Z4054">
        <v>1</v>
      </c>
      <c r="AA4054">
        <v>125</v>
      </c>
      <c r="AB4054">
        <v>0.8</v>
      </c>
    </row>
    <row r="4055" spans="10:28">
      <c r="J4055" s="340" t="str">
        <f t="shared" si="175"/>
        <v>2015MaleMaori222</v>
      </c>
      <c r="K4055">
        <v>2015</v>
      </c>
      <c r="L4055" t="s">
        <v>20</v>
      </c>
      <c r="M4055" t="s">
        <v>18</v>
      </c>
      <c r="N4055">
        <v>22</v>
      </c>
      <c r="O4055">
        <v>2</v>
      </c>
      <c r="P4055">
        <v>4</v>
      </c>
      <c r="Q4055">
        <v>50.056798480616699</v>
      </c>
      <c r="R4055">
        <v>49.1</v>
      </c>
      <c r="T4055" s="340" t="str">
        <f t="shared" si="176"/>
        <v>2015MaleAllEth25Submersion (drowning)</v>
      </c>
      <c r="U4055">
        <v>2015</v>
      </c>
      <c r="V4055" t="s">
        <v>20</v>
      </c>
      <c r="W4055" t="s">
        <v>27</v>
      </c>
      <c r="X4055">
        <v>25</v>
      </c>
      <c r="Y4055" t="s">
        <v>49</v>
      </c>
      <c r="Z4055">
        <v>5</v>
      </c>
      <c r="AA4055">
        <v>49</v>
      </c>
      <c r="AB4055">
        <v>10.199999999999999</v>
      </c>
    </row>
    <row r="4056" spans="10:28">
      <c r="J4056" s="340" t="str">
        <f t="shared" si="175"/>
        <v>2015MaleMaori223</v>
      </c>
      <c r="K4056">
        <v>2015</v>
      </c>
      <c r="L4056" t="s">
        <v>20</v>
      </c>
      <c r="M4056" t="s">
        <v>18</v>
      </c>
      <c r="N4056">
        <v>22</v>
      </c>
      <c r="O4056">
        <v>3</v>
      </c>
      <c r="P4056">
        <v>5</v>
      </c>
      <c r="Q4056">
        <v>43.675716727741197</v>
      </c>
      <c r="R4056">
        <v>38.299999999999997</v>
      </c>
      <c r="T4056" s="340" t="str">
        <f t="shared" si="176"/>
        <v>2015MaleMaori23Firearms and explosives</v>
      </c>
      <c r="U4056">
        <v>2015</v>
      </c>
      <c r="V4056" t="s">
        <v>20</v>
      </c>
      <c r="W4056" t="s">
        <v>18</v>
      </c>
      <c r="X4056">
        <v>23</v>
      </c>
      <c r="Y4056" t="s">
        <v>42</v>
      </c>
      <c r="Z4056">
        <v>1</v>
      </c>
      <c r="AA4056">
        <v>40</v>
      </c>
      <c r="AB4056">
        <v>2.5</v>
      </c>
    </row>
    <row r="4057" spans="10:28">
      <c r="J4057" s="340" t="str">
        <f t="shared" si="175"/>
        <v>2015MaleMaori224</v>
      </c>
      <c r="K4057">
        <v>2015</v>
      </c>
      <c r="L4057" t="s">
        <v>20</v>
      </c>
      <c r="M4057" t="s">
        <v>18</v>
      </c>
      <c r="N4057">
        <v>22</v>
      </c>
      <c r="O4057">
        <v>4</v>
      </c>
      <c r="P4057">
        <v>3</v>
      </c>
      <c r="Q4057">
        <v>18.557896634137499</v>
      </c>
      <c r="R4057">
        <v>21</v>
      </c>
      <c r="T4057" s="340" t="str">
        <f t="shared" si="176"/>
        <v>2015MaleMaori21Hanging, strangulation and suffocation</v>
      </c>
      <c r="U4057">
        <v>2015</v>
      </c>
      <c r="V4057" t="s">
        <v>20</v>
      </c>
      <c r="W4057" t="s">
        <v>18</v>
      </c>
      <c r="X4057">
        <v>21</v>
      </c>
      <c r="Y4057" t="s">
        <v>43</v>
      </c>
      <c r="Z4057">
        <v>3</v>
      </c>
      <c r="AA4057">
        <v>3</v>
      </c>
      <c r="AB4057">
        <v>100</v>
      </c>
    </row>
    <row r="4058" spans="10:28">
      <c r="J4058" s="340" t="str">
        <f t="shared" si="175"/>
        <v>2015MaleMaori225</v>
      </c>
      <c r="K4058">
        <v>2015</v>
      </c>
      <c r="L4058" t="s">
        <v>20</v>
      </c>
      <c r="M4058" t="s">
        <v>18</v>
      </c>
      <c r="N4058">
        <v>22</v>
      </c>
      <c r="O4058">
        <v>5</v>
      </c>
      <c r="P4058">
        <v>7</v>
      </c>
      <c r="Q4058">
        <v>26.073333082329999</v>
      </c>
      <c r="R4058">
        <v>19.3</v>
      </c>
      <c r="T4058" s="340" t="str">
        <f t="shared" si="176"/>
        <v>2015MaleMaori22Hanging, strangulation and suffocation</v>
      </c>
      <c r="U4058">
        <v>2015</v>
      </c>
      <c r="V4058" t="s">
        <v>20</v>
      </c>
      <c r="W4058" t="s">
        <v>18</v>
      </c>
      <c r="X4058">
        <v>22</v>
      </c>
      <c r="Y4058" t="s">
        <v>43</v>
      </c>
      <c r="Z4058">
        <v>17</v>
      </c>
      <c r="AA4058">
        <v>20</v>
      </c>
      <c r="AB4058">
        <v>85</v>
      </c>
    </row>
    <row r="4059" spans="10:28">
      <c r="J4059" s="340" t="str">
        <f t="shared" si="175"/>
        <v>2015MaleMaori231</v>
      </c>
      <c r="K4059">
        <v>2015</v>
      </c>
      <c r="L4059" t="s">
        <v>20</v>
      </c>
      <c r="M4059" t="s">
        <v>18</v>
      </c>
      <c r="N4059">
        <v>23</v>
      </c>
      <c r="O4059">
        <v>1</v>
      </c>
      <c r="P4059">
        <v>0</v>
      </c>
      <c r="Q4059">
        <v>0</v>
      </c>
      <c r="T4059" s="340" t="str">
        <f t="shared" si="176"/>
        <v>2015MaleMaori23Hanging, strangulation and suffocation</v>
      </c>
      <c r="U4059">
        <v>2015</v>
      </c>
      <c r="V4059" t="s">
        <v>20</v>
      </c>
      <c r="W4059" t="s">
        <v>18</v>
      </c>
      <c r="X4059">
        <v>23</v>
      </c>
      <c r="Y4059" t="s">
        <v>43</v>
      </c>
      <c r="Z4059">
        <v>36</v>
      </c>
      <c r="AA4059">
        <v>40</v>
      </c>
      <c r="AB4059">
        <v>90</v>
      </c>
    </row>
    <row r="4060" spans="10:28">
      <c r="J4060" s="340" t="str">
        <f t="shared" si="175"/>
        <v>2015MaleMaori232</v>
      </c>
      <c r="K4060">
        <v>2015</v>
      </c>
      <c r="L4060" t="s">
        <v>20</v>
      </c>
      <c r="M4060" t="s">
        <v>18</v>
      </c>
      <c r="N4060">
        <v>23</v>
      </c>
      <c r="O4060">
        <v>2</v>
      </c>
      <c r="P4060">
        <v>2</v>
      </c>
      <c r="Q4060">
        <v>19.772682336383699</v>
      </c>
      <c r="R4060">
        <v>27.4</v>
      </c>
      <c r="T4060" s="340" t="str">
        <f t="shared" si="176"/>
        <v>2015MaleMaori24Hanging, strangulation and suffocation</v>
      </c>
      <c r="U4060">
        <v>2015</v>
      </c>
      <c r="V4060" t="s">
        <v>20</v>
      </c>
      <c r="W4060" t="s">
        <v>18</v>
      </c>
      <c r="X4060">
        <v>24</v>
      </c>
      <c r="Y4060" t="s">
        <v>43</v>
      </c>
      <c r="Z4060">
        <v>13</v>
      </c>
      <c r="AA4060">
        <v>15</v>
      </c>
      <c r="AB4060">
        <v>86.7</v>
      </c>
    </row>
    <row r="4061" spans="10:28">
      <c r="J4061" s="340" t="str">
        <f t="shared" si="175"/>
        <v>2015MaleMaori233</v>
      </c>
      <c r="K4061">
        <v>2015</v>
      </c>
      <c r="L4061" t="s">
        <v>20</v>
      </c>
      <c r="M4061" t="s">
        <v>18</v>
      </c>
      <c r="N4061">
        <v>23</v>
      </c>
      <c r="O4061">
        <v>3</v>
      </c>
      <c r="P4061">
        <v>5</v>
      </c>
      <c r="Q4061">
        <v>35.510893696238803</v>
      </c>
      <c r="R4061">
        <v>31.1</v>
      </c>
      <c r="T4061" s="340" t="str">
        <f t="shared" si="176"/>
        <v>2015MaleMaori23Other</v>
      </c>
      <c r="U4061">
        <v>2015</v>
      </c>
      <c r="V4061" t="s">
        <v>20</v>
      </c>
      <c r="W4061" t="s">
        <v>18</v>
      </c>
      <c r="X4061">
        <v>23</v>
      </c>
      <c r="Y4061" t="s">
        <v>45</v>
      </c>
      <c r="Z4061">
        <v>2</v>
      </c>
      <c r="AA4061">
        <v>40</v>
      </c>
      <c r="AB4061">
        <v>5</v>
      </c>
    </row>
    <row r="4062" spans="10:28">
      <c r="J4062" s="340" t="str">
        <f t="shared" si="175"/>
        <v>2015MaleMaori234</v>
      </c>
      <c r="K4062">
        <v>2015</v>
      </c>
      <c r="L4062" t="s">
        <v>20</v>
      </c>
      <c r="M4062" t="s">
        <v>18</v>
      </c>
      <c r="N4062">
        <v>23</v>
      </c>
      <c r="O4062">
        <v>4</v>
      </c>
      <c r="P4062">
        <v>12</v>
      </c>
      <c r="Q4062">
        <v>62.8273574709822</v>
      </c>
      <c r="R4062">
        <v>35.5</v>
      </c>
      <c r="T4062" s="340" t="str">
        <f t="shared" si="176"/>
        <v>2015MaleMaori22Poisoning by gases and vapours</v>
      </c>
      <c r="U4062">
        <v>2015</v>
      </c>
      <c r="V4062" t="s">
        <v>20</v>
      </c>
      <c r="W4062" t="s">
        <v>18</v>
      </c>
      <c r="X4062">
        <v>22</v>
      </c>
      <c r="Y4062" t="s">
        <v>46</v>
      </c>
      <c r="Z4062">
        <v>2</v>
      </c>
      <c r="AA4062">
        <v>20</v>
      </c>
      <c r="AB4062">
        <v>10</v>
      </c>
    </row>
    <row r="4063" spans="10:28">
      <c r="J4063" s="340" t="str">
        <f t="shared" si="175"/>
        <v>2015MaleMaori235</v>
      </c>
      <c r="K4063">
        <v>2015</v>
      </c>
      <c r="L4063" t="s">
        <v>20</v>
      </c>
      <c r="M4063" t="s">
        <v>18</v>
      </c>
      <c r="N4063">
        <v>23</v>
      </c>
      <c r="O4063">
        <v>5</v>
      </c>
      <c r="P4063">
        <v>21</v>
      </c>
      <c r="Q4063">
        <v>73.604394589469607</v>
      </c>
      <c r="R4063">
        <v>31.5</v>
      </c>
      <c r="T4063" s="340" t="str">
        <f t="shared" si="176"/>
        <v>2015MaleMaori23Poisoning by gases and vapours</v>
      </c>
      <c r="U4063">
        <v>2015</v>
      </c>
      <c r="V4063" t="s">
        <v>20</v>
      </c>
      <c r="W4063" t="s">
        <v>18</v>
      </c>
      <c r="X4063">
        <v>23</v>
      </c>
      <c r="Y4063" t="s">
        <v>46</v>
      </c>
      <c r="Z4063">
        <v>1</v>
      </c>
      <c r="AA4063">
        <v>40</v>
      </c>
      <c r="AB4063">
        <v>2.5</v>
      </c>
    </row>
    <row r="4064" spans="10:28">
      <c r="J4064" s="340" t="str">
        <f t="shared" si="175"/>
        <v>2015MaleMaori241</v>
      </c>
      <c r="K4064">
        <v>2015</v>
      </c>
      <c r="L4064" t="s">
        <v>20</v>
      </c>
      <c r="M4064" t="s">
        <v>18</v>
      </c>
      <c r="N4064">
        <v>24</v>
      </c>
      <c r="O4064">
        <v>1</v>
      </c>
      <c r="P4064">
        <v>0</v>
      </c>
      <c r="Q4064">
        <v>0</v>
      </c>
      <c r="T4064" s="340" t="str">
        <f t="shared" si="176"/>
        <v>2015MaleMaori24Poisoning by gases and vapours</v>
      </c>
      <c r="U4064">
        <v>2015</v>
      </c>
      <c r="V4064" t="s">
        <v>20</v>
      </c>
      <c r="W4064" t="s">
        <v>18</v>
      </c>
      <c r="X4064">
        <v>24</v>
      </c>
      <c r="Y4064" t="s">
        <v>46</v>
      </c>
      <c r="Z4064">
        <v>1</v>
      </c>
      <c r="AA4064">
        <v>15</v>
      </c>
      <c r="AB4064">
        <v>6.7</v>
      </c>
    </row>
    <row r="4065" spans="10:28">
      <c r="J4065" s="340" t="str">
        <f t="shared" si="175"/>
        <v>2015MaleMaori242</v>
      </c>
      <c r="K4065">
        <v>2015</v>
      </c>
      <c r="L4065" t="s">
        <v>20</v>
      </c>
      <c r="M4065" t="s">
        <v>18</v>
      </c>
      <c r="N4065">
        <v>24</v>
      </c>
      <c r="O4065">
        <v>2</v>
      </c>
      <c r="P4065">
        <v>3</v>
      </c>
      <c r="Q4065">
        <v>37.129519197872099</v>
      </c>
      <c r="R4065">
        <v>42</v>
      </c>
      <c r="T4065" s="340" t="str">
        <f t="shared" si="176"/>
        <v>2015MaleMaori22Submersion (drowning)</v>
      </c>
      <c r="U4065">
        <v>2015</v>
      </c>
      <c r="V4065" t="s">
        <v>20</v>
      </c>
      <c r="W4065" t="s">
        <v>18</v>
      </c>
      <c r="X4065">
        <v>22</v>
      </c>
      <c r="Y4065" t="s">
        <v>49</v>
      </c>
      <c r="Z4065">
        <v>1</v>
      </c>
      <c r="AA4065">
        <v>20</v>
      </c>
      <c r="AB4065">
        <v>5</v>
      </c>
    </row>
    <row r="4066" spans="10:28">
      <c r="J4066" s="340" t="str">
        <f t="shared" si="175"/>
        <v>2015MaleMaori243</v>
      </c>
      <c r="K4066">
        <v>2015</v>
      </c>
      <c r="L4066" t="s">
        <v>20</v>
      </c>
      <c r="M4066" t="s">
        <v>18</v>
      </c>
      <c r="N4066">
        <v>24</v>
      </c>
      <c r="O4066">
        <v>3</v>
      </c>
      <c r="P4066">
        <v>2</v>
      </c>
      <c r="Q4066">
        <v>19.179424582791299</v>
      </c>
      <c r="R4066">
        <v>26.6</v>
      </c>
      <c r="T4066" s="340" t="str">
        <f t="shared" si="176"/>
        <v>2015MaleMaori24Submersion (drowning)</v>
      </c>
      <c r="U4066">
        <v>2015</v>
      </c>
      <c r="V4066" t="s">
        <v>20</v>
      </c>
      <c r="W4066" t="s">
        <v>18</v>
      </c>
      <c r="X4066">
        <v>24</v>
      </c>
      <c r="Y4066" t="s">
        <v>49</v>
      </c>
      <c r="Z4066">
        <v>1</v>
      </c>
      <c r="AA4066">
        <v>15</v>
      </c>
      <c r="AB4066">
        <v>6.7</v>
      </c>
    </row>
    <row r="4067" spans="10:28">
      <c r="J4067" s="340" t="str">
        <f t="shared" si="175"/>
        <v>2015MaleMaori244</v>
      </c>
      <c r="K4067">
        <v>2015</v>
      </c>
      <c r="L4067" t="s">
        <v>20</v>
      </c>
      <c r="M4067" t="s">
        <v>18</v>
      </c>
      <c r="N4067">
        <v>24</v>
      </c>
      <c r="O4067">
        <v>4</v>
      </c>
      <c r="P4067">
        <v>3</v>
      </c>
      <c r="Q4067">
        <v>21.141146046739401</v>
      </c>
      <c r="R4067">
        <v>23.9</v>
      </c>
      <c r="T4067" s="340" t="str">
        <f t="shared" si="176"/>
        <v>2015MaleNon-Maori22Firearms and explosives</v>
      </c>
      <c r="U4067">
        <v>2015</v>
      </c>
      <c r="V4067" t="s">
        <v>20</v>
      </c>
      <c r="W4067" t="s">
        <v>19</v>
      </c>
      <c r="X4067">
        <v>22</v>
      </c>
      <c r="Y4067" t="s">
        <v>42</v>
      </c>
      <c r="Z4067">
        <v>2</v>
      </c>
      <c r="AA4067">
        <v>50</v>
      </c>
      <c r="AB4067">
        <v>4</v>
      </c>
    </row>
    <row r="4068" spans="10:28">
      <c r="J4068" s="340" t="str">
        <f t="shared" si="175"/>
        <v>2015MaleMaori245</v>
      </c>
      <c r="K4068">
        <v>2015</v>
      </c>
      <c r="L4068" t="s">
        <v>20</v>
      </c>
      <c r="M4068" t="s">
        <v>18</v>
      </c>
      <c r="N4068">
        <v>24</v>
      </c>
      <c r="O4068">
        <v>5</v>
      </c>
      <c r="P4068">
        <v>7</v>
      </c>
      <c r="Q4068">
        <v>29.698919494136199</v>
      </c>
      <c r="R4068">
        <v>22</v>
      </c>
      <c r="T4068" s="340" t="str">
        <f t="shared" si="176"/>
        <v>2015MaleNon-Maori23Firearms and explosives</v>
      </c>
      <c r="U4068">
        <v>2015</v>
      </c>
      <c r="V4068" t="s">
        <v>20</v>
      </c>
      <c r="W4068" t="s">
        <v>19</v>
      </c>
      <c r="X4068">
        <v>23</v>
      </c>
      <c r="Y4068" t="s">
        <v>42</v>
      </c>
      <c r="Z4068">
        <v>7</v>
      </c>
      <c r="AA4068">
        <v>97</v>
      </c>
      <c r="AB4068">
        <v>7.2</v>
      </c>
    </row>
    <row r="4069" spans="10:28">
      <c r="J4069" s="340" t="str">
        <f t="shared" si="175"/>
        <v>2015MaleMaori251</v>
      </c>
      <c r="K4069">
        <v>2015</v>
      </c>
      <c r="L4069" t="s">
        <v>20</v>
      </c>
      <c r="M4069" t="s">
        <v>18</v>
      </c>
      <c r="N4069">
        <v>25</v>
      </c>
      <c r="O4069">
        <v>1</v>
      </c>
      <c r="P4069">
        <v>0</v>
      </c>
      <c r="Q4069">
        <v>0</v>
      </c>
      <c r="T4069" s="340" t="str">
        <f t="shared" si="176"/>
        <v>2015MaleNon-Maori24Firearms and explosives</v>
      </c>
      <c r="U4069">
        <v>2015</v>
      </c>
      <c r="V4069" t="s">
        <v>20</v>
      </c>
      <c r="W4069" t="s">
        <v>19</v>
      </c>
      <c r="X4069">
        <v>24</v>
      </c>
      <c r="Y4069" t="s">
        <v>42</v>
      </c>
      <c r="Z4069">
        <v>13</v>
      </c>
      <c r="AA4069">
        <v>110</v>
      </c>
      <c r="AB4069">
        <v>11.8</v>
      </c>
    </row>
    <row r="4070" spans="10:28">
      <c r="J4070" s="340" t="str">
        <f t="shared" si="175"/>
        <v>2015MaleMaori252</v>
      </c>
      <c r="K4070">
        <v>2015</v>
      </c>
      <c r="L4070" t="s">
        <v>20</v>
      </c>
      <c r="M4070" t="s">
        <v>18</v>
      </c>
      <c r="N4070">
        <v>25</v>
      </c>
      <c r="O4070">
        <v>2</v>
      </c>
      <c r="P4070">
        <v>0</v>
      </c>
      <c r="Q4070">
        <v>0</v>
      </c>
      <c r="T4070" s="340" t="str">
        <f t="shared" si="176"/>
        <v>2015MaleNon-Maori25Firearms and explosives</v>
      </c>
      <c r="U4070">
        <v>2015</v>
      </c>
      <c r="V4070" t="s">
        <v>20</v>
      </c>
      <c r="W4070" t="s">
        <v>19</v>
      </c>
      <c r="X4070">
        <v>25</v>
      </c>
      <c r="Y4070" t="s">
        <v>42</v>
      </c>
      <c r="Z4070">
        <v>15</v>
      </c>
      <c r="AA4070">
        <v>49</v>
      </c>
      <c r="AB4070">
        <v>30.6</v>
      </c>
    </row>
    <row r="4071" spans="10:28">
      <c r="J4071" s="340" t="str">
        <f t="shared" si="175"/>
        <v>2015MaleMaori253</v>
      </c>
      <c r="K4071">
        <v>2015</v>
      </c>
      <c r="L4071" t="s">
        <v>20</v>
      </c>
      <c r="M4071" t="s">
        <v>18</v>
      </c>
      <c r="N4071">
        <v>25</v>
      </c>
      <c r="O4071">
        <v>3</v>
      </c>
      <c r="P4071">
        <v>0</v>
      </c>
      <c r="Q4071">
        <v>0</v>
      </c>
      <c r="T4071" s="340" t="str">
        <f t="shared" si="176"/>
        <v>2015MaleNon-Maori21Hanging, strangulation and suffocation</v>
      </c>
      <c r="U4071">
        <v>2015</v>
      </c>
      <c r="V4071" t="s">
        <v>20</v>
      </c>
      <c r="W4071" t="s">
        <v>19</v>
      </c>
      <c r="X4071">
        <v>21</v>
      </c>
      <c r="Y4071" t="s">
        <v>43</v>
      </c>
      <c r="Z4071">
        <v>2</v>
      </c>
      <c r="AA4071">
        <v>2</v>
      </c>
      <c r="AB4071">
        <v>100</v>
      </c>
    </row>
    <row r="4072" spans="10:28">
      <c r="J4072" s="340" t="str">
        <f t="shared" si="175"/>
        <v>2015MaleMaori254</v>
      </c>
      <c r="K4072">
        <v>2015</v>
      </c>
      <c r="L4072" t="s">
        <v>20</v>
      </c>
      <c r="M4072" t="s">
        <v>18</v>
      </c>
      <c r="N4072">
        <v>25</v>
      </c>
      <c r="O4072">
        <v>4</v>
      </c>
      <c r="P4072">
        <v>0</v>
      </c>
      <c r="Q4072">
        <v>0</v>
      </c>
      <c r="T4072" s="340" t="str">
        <f t="shared" si="176"/>
        <v>2015MaleNon-Maori22Hanging, strangulation and suffocation</v>
      </c>
      <c r="U4072">
        <v>2015</v>
      </c>
      <c r="V4072" t="s">
        <v>20</v>
      </c>
      <c r="W4072" t="s">
        <v>19</v>
      </c>
      <c r="X4072">
        <v>22</v>
      </c>
      <c r="Y4072" t="s">
        <v>43</v>
      </c>
      <c r="Z4072">
        <v>40</v>
      </c>
      <c r="AA4072">
        <v>50</v>
      </c>
      <c r="AB4072">
        <v>80</v>
      </c>
    </row>
    <row r="4073" spans="10:28">
      <c r="J4073" s="340" t="str">
        <f t="shared" si="175"/>
        <v>2015MaleMaori255</v>
      </c>
      <c r="K4073">
        <v>2015</v>
      </c>
      <c r="L4073" t="s">
        <v>20</v>
      </c>
      <c r="M4073" t="s">
        <v>18</v>
      </c>
      <c r="N4073">
        <v>25</v>
      </c>
      <c r="O4073">
        <v>5</v>
      </c>
      <c r="P4073">
        <v>0</v>
      </c>
      <c r="Q4073">
        <v>0</v>
      </c>
      <c r="T4073" s="340" t="str">
        <f t="shared" si="176"/>
        <v>2015MaleNon-Maori23Hanging, strangulation and suffocation</v>
      </c>
      <c r="U4073">
        <v>2015</v>
      </c>
      <c r="V4073" t="s">
        <v>20</v>
      </c>
      <c r="W4073" t="s">
        <v>19</v>
      </c>
      <c r="X4073">
        <v>23</v>
      </c>
      <c r="Y4073" t="s">
        <v>43</v>
      </c>
      <c r="Z4073">
        <v>62</v>
      </c>
      <c r="AA4073">
        <v>97</v>
      </c>
      <c r="AB4073">
        <v>63.9</v>
      </c>
    </row>
    <row r="4074" spans="10:28">
      <c r="J4074" s="340" t="str">
        <f t="shared" si="175"/>
        <v>2015MaleNon-Maori211</v>
      </c>
      <c r="K4074">
        <v>2015</v>
      </c>
      <c r="L4074" t="s">
        <v>20</v>
      </c>
      <c r="M4074" t="s">
        <v>19</v>
      </c>
      <c r="N4074">
        <v>21</v>
      </c>
      <c r="O4074">
        <v>1</v>
      </c>
      <c r="P4074">
        <v>0</v>
      </c>
      <c r="Q4074">
        <v>0</v>
      </c>
      <c r="T4074" s="340" t="str">
        <f t="shared" si="176"/>
        <v>2015MaleNon-Maori24Hanging, strangulation and suffocation</v>
      </c>
      <c r="U4074">
        <v>2015</v>
      </c>
      <c r="V4074" t="s">
        <v>20</v>
      </c>
      <c r="W4074" t="s">
        <v>19</v>
      </c>
      <c r="X4074">
        <v>24</v>
      </c>
      <c r="Y4074" t="s">
        <v>43</v>
      </c>
      <c r="Z4074">
        <v>56</v>
      </c>
      <c r="AA4074">
        <v>110</v>
      </c>
      <c r="AB4074">
        <v>50.9</v>
      </c>
    </row>
    <row r="4075" spans="10:28">
      <c r="J4075" s="340" t="str">
        <f t="shared" si="175"/>
        <v>2015MaleNon-Maori212</v>
      </c>
      <c r="K4075">
        <v>2015</v>
      </c>
      <c r="L4075" t="s">
        <v>20</v>
      </c>
      <c r="M4075" t="s">
        <v>19</v>
      </c>
      <c r="N4075">
        <v>21</v>
      </c>
      <c r="O4075">
        <v>2</v>
      </c>
      <c r="P4075">
        <v>0</v>
      </c>
      <c r="Q4075">
        <v>0</v>
      </c>
      <c r="T4075" s="340" t="str">
        <f t="shared" si="176"/>
        <v>2015MaleNon-Maori25Hanging, strangulation and suffocation</v>
      </c>
      <c r="U4075">
        <v>2015</v>
      </c>
      <c r="V4075" t="s">
        <v>20</v>
      </c>
      <c r="W4075" t="s">
        <v>19</v>
      </c>
      <c r="X4075">
        <v>25</v>
      </c>
      <c r="Y4075" t="s">
        <v>43</v>
      </c>
      <c r="Z4075">
        <v>14</v>
      </c>
      <c r="AA4075">
        <v>49</v>
      </c>
      <c r="AB4075">
        <v>28.6</v>
      </c>
    </row>
    <row r="4076" spans="10:28">
      <c r="J4076" s="340" t="str">
        <f t="shared" si="175"/>
        <v>2015MaleNon-Maori213</v>
      </c>
      <c r="K4076">
        <v>2015</v>
      </c>
      <c r="L4076" t="s">
        <v>20</v>
      </c>
      <c r="M4076" t="s">
        <v>19</v>
      </c>
      <c r="N4076">
        <v>21</v>
      </c>
      <c r="O4076">
        <v>3</v>
      </c>
      <c r="P4076">
        <v>0</v>
      </c>
      <c r="Q4076">
        <v>0</v>
      </c>
      <c r="T4076" s="340" t="str">
        <f t="shared" si="176"/>
        <v>2015MaleNon-Maori22Jumping from a high place</v>
      </c>
      <c r="U4076">
        <v>2015</v>
      </c>
      <c r="V4076" t="s">
        <v>20</v>
      </c>
      <c r="W4076" t="s">
        <v>19</v>
      </c>
      <c r="X4076">
        <v>22</v>
      </c>
      <c r="Y4076" t="s">
        <v>44</v>
      </c>
      <c r="Z4076">
        <v>2</v>
      </c>
      <c r="AA4076">
        <v>50</v>
      </c>
      <c r="AB4076">
        <v>4</v>
      </c>
    </row>
    <row r="4077" spans="10:28">
      <c r="J4077" s="340" t="str">
        <f t="shared" si="175"/>
        <v>2015MaleNon-Maori214</v>
      </c>
      <c r="K4077">
        <v>2015</v>
      </c>
      <c r="L4077" t="s">
        <v>20</v>
      </c>
      <c r="M4077" t="s">
        <v>19</v>
      </c>
      <c r="N4077">
        <v>21</v>
      </c>
      <c r="O4077">
        <v>4</v>
      </c>
      <c r="P4077">
        <v>0</v>
      </c>
      <c r="Q4077">
        <v>0</v>
      </c>
      <c r="T4077" s="340" t="str">
        <f t="shared" si="176"/>
        <v>2015MaleNon-Maori23Jumping from a high place</v>
      </c>
      <c r="U4077">
        <v>2015</v>
      </c>
      <c r="V4077" t="s">
        <v>20</v>
      </c>
      <c r="W4077" t="s">
        <v>19</v>
      </c>
      <c r="X4077">
        <v>23</v>
      </c>
      <c r="Y4077" t="s">
        <v>44</v>
      </c>
      <c r="Z4077">
        <v>4</v>
      </c>
      <c r="AA4077">
        <v>97</v>
      </c>
      <c r="AB4077">
        <v>4.0999999999999996</v>
      </c>
    </row>
    <row r="4078" spans="10:28">
      <c r="J4078" s="340" t="str">
        <f t="shared" si="175"/>
        <v>2015MaleNon-Maori215</v>
      </c>
      <c r="K4078">
        <v>2015</v>
      </c>
      <c r="L4078" t="s">
        <v>20</v>
      </c>
      <c r="M4078" t="s">
        <v>19</v>
      </c>
      <c r="N4078">
        <v>21</v>
      </c>
      <c r="O4078">
        <v>5</v>
      </c>
      <c r="P4078">
        <v>2</v>
      </c>
      <c r="Q4078">
        <v>3.2992191856005602</v>
      </c>
      <c r="R4078">
        <v>4.5999999999999996</v>
      </c>
      <c r="T4078" s="340" t="str">
        <f t="shared" si="176"/>
        <v>2015MaleNon-Maori24Jumping from a high place</v>
      </c>
      <c r="U4078">
        <v>2015</v>
      </c>
      <c r="V4078" t="s">
        <v>20</v>
      </c>
      <c r="W4078" t="s">
        <v>19</v>
      </c>
      <c r="X4078">
        <v>24</v>
      </c>
      <c r="Y4078" t="s">
        <v>44</v>
      </c>
      <c r="Z4078">
        <v>6</v>
      </c>
      <c r="AA4078">
        <v>110</v>
      </c>
      <c r="AB4078">
        <v>5.5</v>
      </c>
    </row>
    <row r="4079" spans="10:28">
      <c r="J4079" s="340" t="str">
        <f t="shared" si="175"/>
        <v>2015MaleNon-Maori221</v>
      </c>
      <c r="K4079">
        <v>2015</v>
      </c>
      <c r="L4079" t="s">
        <v>20</v>
      </c>
      <c r="M4079" t="s">
        <v>19</v>
      </c>
      <c r="N4079">
        <v>22</v>
      </c>
      <c r="O4079">
        <v>1</v>
      </c>
      <c r="P4079">
        <v>12</v>
      </c>
      <c r="Q4079">
        <v>22.127640136625299</v>
      </c>
      <c r="R4079">
        <v>12.5</v>
      </c>
      <c r="T4079" s="340" t="str">
        <f t="shared" si="176"/>
        <v>2015MaleNon-Maori25Jumping from a high place</v>
      </c>
      <c r="U4079">
        <v>2015</v>
      </c>
      <c r="V4079" t="s">
        <v>20</v>
      </c>
      <c r="W4079" t="s">
        <v>19</v>
      </c>
      <c r="X4079">
        <v>25</v>
      </c>
      <c r="Y4079" t="s">
        <v>44</v>
      </c>
      <c r="Z4079">
        <v>3</v>
      </c>
      <c r="AA4079">
        <v>49</v>
      </c>
      <c r="AB4079">
        <v>6.1</v>
      </c>
    </row>
    <row r="4080" spans="10:28">
      <c r="J4080" s="340" t="str">
        <f t="shared" si="175"/>
        <v>2015MaleNon-Maori222</v>
      </c>
      <c r="K4080">
        <v>2015</v>
      </c>
      <c r="L4080" t="s">
        <v>20</v>
      </c>
      <c r="M4080" t="s">
        <v>19</v>
      </c>
      <c r="N4080">
        <v>22</v>
      </c>
      <c r="O4080">
        <v>2</v>
      </c>
      <c r="P4080">
        <v>6</v>
      </c>
      <c r="Q4080">
        <v>11.267421249246199</v>
      </c>
      <c r="R4080">
        <v>9</v>
      </c>
      <c r="T4080" s="340" t="str">
        <f t="shared" si="176"/>
        <v>2015MaleNon-Maori22Other</v>
      </c>
      <c r="U4080">
        <v>2015</v>
      </c>
      <c r="V4080" t="s">
        <v>20</v>
      </c>
      <c r="W4080" t="s">
        <v>19</v>
      </c>
      <c r="X4080">
        <v>22</v>
      </c>
      <c r="Y4080" t="s">
        <v>45</v>
      </c>
      <c r="Z4080">
        <v>3</v>
      </c>
      <c r="AA4080">
        <v>50</v>
      </c>
      <c r="AB4080">
        <v>6</v>
      </c>
    </row>
    <row r="4081" spans="10:28">
      <c r="J4081" s="340" t="str">
        <f t="shared" si="175"/>
        <v>2015MaleNon-Maori223</v>
      </c>
      <c r="K4081">
        <v>2015</v>
      </c>
      <c r="L4081" t="s">
        <v>20</v>
      </c>
      <c r="M4081" t="s">
        <v>19</v>
      </c>
      <c r="N4081">
        <v>22</v>
      </c>
      <c r="O4081">
        <v>3</v>
      </c>
      <c r="P4081">
        <v>6</v>
      </c>
      <c r="Q4081">
        <v>11.2344971638844</v>
      </c>
      <c r="R4081">
        <v>9</v>
      </c>
      <c r="T4081" s="340" t="str">
        <f t="shared" si="176"/>
        <v>2015MaleNon-Maori23Other</v>
      </c>
      <c r="U4081">
        <v>2015</v>
      </c>
      <c r="V4081" t="s">
        <v>20</v>
      </c>
      <c r="W4081" t="s">
        <v>19</v>
      </c>
      <c r="X4081">
        <v>23</v>
      </c>
      <c r="Y4081" t="s">
        <v>45</v>
      </c>
      <c r="Z4081">
        <v>3</v>
      </c>
      <c r="AA4081">
        <v>97</v>
      </c>
      <c r="AB4081">
        <v>3.1</v>
      </c>
    </row>
    <row r="4082" spans="10:28">
      <c r="J4082" s="340" t="str">
        <f t="shared" si="175"/>
        <v>2015MaleNon-Maori224</v>
      </c>
      <c r="K4082">
        <v>2015</v>
      </c>
      <c r="L4082" t="s">
        <v>20</v>
      </c>
      <c r="M4082" t="s">
        <v>19</v>
      </c>
      <c r="N4082">
        <v>22</v>
      </c>
      <c r="O4082">
        <v>4</v>
      </c>
      <c r="P4082">
        <v>12</v>
      </c>
      <c r="Q4082">
        <v>21.651381885514201</v>
      </c>
      <c r="R4082">
        <v>12.3</v>
      </c>
      <c r="T4082" s="340" t="str">
        <f t="shared" si="176"/>
        <v>2015MaleNon-Maori24Other</v>
      </c>
      <c r="U4082">
        <v>2015</v>
      </c>
      <c r="V4082" t="s">
        <v>20</v>
      </c>
      <c r="W4082" t="s">
        <v>19</v>
      </c>
      <c r="X4082">
        <v>24</v>
      </c>
      <c r="Y4082" t="s">
        <v>45</v>
      </c>
      <c r="Z4082">
        <v>5</v>
      </c>
      <c r="AA4082">
        <v>110</v>
      </c>
      <c r="AB4082">
        <v>4.5</v>
      </c>
    </row>
    <row r="4083" spans="10:28">
      <c r="J4083" s="340" t="str">
        <f t="shared" si="175"/>
        <v>2015MaleNon-Maori225</v>
      </c>
      <c r="K4083">
        <v>2015</v>
      </c>
      <c r="L4083" t="s">
        <v>20</v>
      </c>
      <c r="M4083" t="s">
        <v>19</v>
      </c>
      <c r="N4083">
        <v>22</v>
      </c>
      <c r="O4083">
        <v>5</v>
      </c>
      <c r="P4083">
        <v>12</v>
      </c>
      <c r="Q4083">
        <v>22.544251488288001</v>
      </c>
      <c r="R4083">
        <v>12.8</v>
      </c>
      <c r="T4083" s="340" t="str">
        <f t="shared" si="176"/>
        <v>2015MaleNon-Maori25Other</v>
      </c>
      <c r="U4083">
        <v>2015</v>
      </c>
      <c r="V4083" t="s">
        <v>20</v>
      </c>
      <c r="W4083" t="s">
        <v>19</v>
      </c>
      <c r="X4083">
        <v>25</v>
      </c>
      <c r="Y4083" t="s">
        <v>45</v>
      </c>
      <c r="Z4083">
        <v>4</v>
      </c>
      <c r="AA4083">
        <v>49</v>
      </c>
      <c r="AB4083">
        <v>8.1999999999999993</v>
      </c>
    </row>
    <row r="4084" spans="10:28">
      <c r="J4084" s="340" t="str">
        <f t="shared" si="175"/>
        <v>2015MaleNon-Maori231</v>
      </c>
      <c r="K4084">
        <v>2015</v>
      </c>
      <c r="L4084" t="s">
        <v>20</v>
      </c>
      <c r="M4084" t="s">
        <v>19</v>
      </c>
      <c r="N4084">
        <v>23</v>
      </c>
      <c r="O4084">
        <v>1</v>
      </c>
      <c r="P4084">
        <v>17</v>
      </c>
      <c r="Q4084">
        <v>17.136325877844701</v>
      </c>
      <c r="R4084">
        <v>8.1</v>
      </c>
      <c r="T4084" s="340" t="str">
        <f t="shared" si="176"/>
        <v>2015MaleNon-Maori22Poisoning by gases and vapours</v>
      </c>
      <c r="U4084">
        <v>2015</v>
      </c>
      <c r="V4084" t="s">
        <v>20</v>
      </c>
      <c r="W4084" t="s">
        <v>19</v>
      </c>
      <c r="X4084">
        <v>22</v>
      </c>
      <c r="Y4084" t="s">
        <v>46</v>
      </c>
      <c r="Z4084">
        <v>1</v>
      </c>
      <c r="AA4084">
        <v>50</v>
      </c>
      <c r="AB4084">
        <v>2</v>
      </c>
    </row>
    <row r="4085" spans="10:28">
      <c r="J4085" s="340" t="str">
        <f t="shared" si="175"/>
        <v>2015MaleNon-Maori232</v>
      </c>
      <c r="K4085">
        <v>2015</v>
      </c>
      <c r="L4085" t="s">
        <v>20</v>
      </c>
      <c r="M4085" t="s">
        <v>19</v>
      </c>
      <c r="N4085">
        <v>23</v>
      </c>
      <c r="O4085">
        <v>2</v>
      </c>
      <c r="P4085">
        <v>20</v>
      </c>
      <c r="Q4085">
        <v>18.551038510190399</v>
      </c>
      <c r="R4085">
        <v>8.1</v>
      </c>
      <c r="T4085" s="340" t="str">
        <f t="shared" si="176"/>
        <v>2015MaleNon-Maori23Poisoning by gases and vapours</v>
      </c>
      <c r="U4085">
        <v>2015</v>
      </c>
      <c r="V4085" t="s">
        <v>20</v>
      </c>
      <c r="W4085" t="s">
        <v>19</v>
      </c>
      <c r="X4085">
        <v>23</v>
      </c>
      <c r="Y4085" t="s">
        <v>46</v>
      </c>
      <c r="Z4085">
        <v>15</v>
      </c>
      <c r="AA4085">
        <v>97</v>
      </c>
      <c r="AB4085">
        <v>15.5</v>
      </c>
    </row>
    <row r="4086" spans="10:28">
      <c r="J4086" s="340" t="str">
        <f t="shared" si="175"/>
        <v>2015MaleNon-Maori233</v>
      </c>
      <c r="K4086">
        <v>2015</v>
      </c>
      <c r="L4086" t="s">
        <v>20</v>
      </c>
      <c r="M4086" t="s">
        <v>19</v>
      </c>
      <c r="N4086">
        <v>23</v>
      </c>
      <c r="O4086">
        <v>3</v>
      </c>
      <c r="P4086">
        <v>18</v>
      </c>
      <c r="Q4086">
        <v>16.608147582729899</v>
      </c>
      <c r="R4086">
        <v>7.7</v>
      </c>
      <c r="T4086" s="340" t="str">
        <f t="shared" si="176"/>
        <v>2015MaleNon-Maori24Poisoning by gases and vapours</v>
      </c>
      <c r="U4086">
        <v>2015</v>
      </c>
      <c r="V4086" t="s">
        <v>20</v>
      </c>
      <c r="W4086" t="s">
        <v>19</v>
      </c>
      <c r="X4086">
        <v>24</v>
      </c>
      <c r="Y4086" t="s">
        <v>46</v>
      </c>
      <c r="Z4086">
        <v>16</v>
      </c>
      <c r="AA4086">
        <v>110</v>
      </c>
      <c r="AB4086">
        <v>14.5</v>
      </c>
    </row>
    <row r="4087" spans="10:28">
      <c r="J4087" s="340" t="str">
        <f t="shared" si="175"/>
        <v>2015MaleNon-Maori234</v>
      </c>
      <c r="K4087">
        <v>2015</v>
      </c>
      <c r="L4087" t="s">
        <v>20</v>
      </c>
      <c r="M4087" t="s">
        <v>19</v>
      </c>
      <c r="N4087">
        <v>23</v>
      </c>
      <c r="O4087">
        <v>4</v>
      </c>
      <c r="P4087">
        <v>19</v>
      </c>
      <c r="Q4087">
        <v>18.661773438889401</v>
      </c>
      <c r="R4087">
        <v>8.4</v>
      </c>
      <c r="T4087" s="340" t="str">
        <f t="shared" si="176"/>
        <v>2015MaleNon-Maori25Poisoning by gases and vapours</v>
      </c>
      <c r="U4087">
        <v>2015</v>
      </c>
      <c r="V4087" t="s">
        <v>20</v>
      </c>
      <c r="W4087" t="s">
        <v>19</v>
      </c>
      <c r="X4087">
        <v>25</v>
      </c>
      <c r="Y4087" t="s">
        <v>46</v>
      </c>
      <c r="Z4087">
        <v>1</v>
      </c>
      <c r="AA4087">
        <v>49</v>
      </c>
      <c r="AB4087">
        <v>2</v>
      </c>
    </row>
    <row r="4088" spans="10:28">
      <c r="J4088" s="340" t="str">
        <f t="shared" si="175"/>
        <v>2015MaleNon-Maori235</v>
      </c>
      <c r="K4088">
        <v>2015</v>
      </c>
      <c r="L4088" t="s">
        <v>20</v>
      </c>
      <c r="M4088" t="s">
        <v>19</v>
      </c>
      <c r="N4088">
        <v>23</v>
      </c>
      <c r="O4088">
        <v>5</v>
      </c>
      <c r="P4088">
        <v>21</v>
      </c>
      <c r="Q4088">
        <v>25.6319872708068</v>
      </c>
      <c r="R4088">
        <v>11</v>
      </c>
      <c r="T4088" s="340" t="str">
        <f t="shared" si="176"/>
        <v>2015MaleNon-Maori22Poisoning by solids and liquids</v>
      </c>
      <c r="U4088">
        <v>2015</v>
      </c>
      <c r="V4088" t="s">
        <v>20</v>
      </c>
      <c r="W4088" t="s">
        <v>19</v>
      </c>
      <c r="X4088">
        <v>22</v>
      </c>
      <c r="Y4088" t="s">
        <v>47</v>
      </c>
      <c r="Z4088">
        <v>1</v>
      </c>
      <c r="AA4088">
        <v>50</v>
      </c>
      <c r="AB4088">
        <v>2</v>
      </c>
    </row>
    <row r="4089" spans="10:28">
      <c r="J4089" s="340" t="str">
        <f t="shared" si="175"/>
        <v>2015MaleNon-Maori241</v>
      </c>
      <c r="K4089">
        <v>2015</v>
      </c>
      <c r="L4089" t="s">
        <v>20</v>
      </c>
      <c r="M4089" t="s">
        <v>19</v>
      </c>
      <c r="N4089">
        <v>24</v>
      </c>
      <c r="O4089">
        <v>1</v>
      </c>
      <c r="P4089">
        <v>18</v>
      </c>
      <c r="Q4089">
        <v>13.810969125237399</v>
      </c>
      <c r="R4089">
        <v>6.4</v>
      </c>
      <c r="T4089" s="340" t="str">
        <f t="shared" si="176"/>
        <v>2015MaleNon-Maori23Poisoning by solids and liquids</v>
      </c>
      <c r="U4089">
        <v>2015</v>
      </c>
      <c r="V4089" t="s">
        <v>20</v>
      </c>
      <c r="W4089" t="s">
        <v>19</v>
      </c>
      <c r="X4089">
        <v>23</v>
      </c>
      <c r="Y4089" t="s">
        <v>47</v>
      </c>
      <c r="Z4089">
        <v>3</v>
      </c>
      <c r="AA4089">
        <v>97</v>
      </c>
      <c r="AB4089">
        <v>3.1</v>
      </c>
    </row>
    <row r="4090" spans="10:28">
      <c r="J4090" s="340" t="str">
        <f t="shared" si="175"/>
        <v>2015MaleNon-Maori242</v>
      </c>
      <c r="K4090">
        <v>2015</v>
      </c>
      <c r="L4090" t="s">
        <v>20</v>
      </c>
      <c r="M4090" t="s">
        <v>19</v>
      </c>
      <c r="N4090">
        <v>24</v>
      </c>
      <c r="O4090">
        <v>2</v>
      </c>
      <c r="P4090">
        <v>25</v>
      </c>
      <c r="Q4090">
        <v>21.965965880478901</v>
      </c>
      <c r="R4090">
        <v>8.6</v>
      </c>
      <c r="T4090" s="340" t="str">
        <f t="shared" si="176"/>
        <v>2015MaleNon-Maori24Poisoning by solids and liquids</v>
      </c>
      <c r="U4090">
        <v>2015</v>
      </c>
      <c r="V4090" t="s">
        <v>20</v>
      </c>
      <c r="W4090" t="s">
        <v>19</v>
      </c>
      <c r="X4090">
        <v>24</v>
      </c>
      <c r="Y4090" t="s">
        <v>47</v>
      </c>
      <c r="Z4090">
        <v>11</v>
      </c>
      <c r="AA4090">
        <v>110</v>
      </c>
      <c r="AB4090">
        <v>10</v>
      </c>
    </row>
    <row r="4091" spans="10:28">
      <c r="J4091" s="340" t="str">
        <f t="shared" si="175"/>
        <v>2015MaleNon-Maori243</v>
      </c>
      <c r="K4091">
        <v>2015</v>
      </c>
      <c r="L4091" t="s">
        <v>20</v>
      </c>
      <c r="M4091" t="s">
        <v>19</v>
      </c>
      <c r="N4091">
        <v>24</v>
      </c>
      <c r="O4091">
        <v>3</v>
      </c>
      <c r="P4091">
        <v>17</v>
      </c>
      <c r="Q4091">
        <v>17.065256831632698</v>
      </c>
      <c r="R4091">
        <v>8.1</v>
      </c>
      <c r="T4091" s="340" t="str">
        <f t="shared" si="176"/>
        <v>2015MaleNon-Maori25Poisoning by solids and liquids</v>
      </c>
      <c r="U4091">
        <v>2015</v>
      </c>
      <c r="V4091" t="s">
        <v>20</v>
      </c>
      <c r="W4091" t="s">
        <v>19</v>
      </c>
      <c r="X4091">
        <v>25</v>
      </c>
      <c r="Y4091" t="s">
        <v>47</v>
      </c>
      <c r="Z4091">
        <v>5</v>
      </c>
      <c r="AA4091">
        <v>49</v>
      </c>
      <c r="AB4091">
        <v>10.199999999999999</v>
      </c>
    </row>
    <row r="4092" spans="10:28">
      <c r="J4092" s="340" t="str">
        <f t="shared" si="175"/>
        <v>2015MaleNon-Maori244</v>
      </c>
      <c r="K4092">
        <v>2015</v>
      </c>
      <c r="L4092" t="s">
        <v>20</v>
      </c>
      <c r="M4092" t="s">
        <v>19</v>
      </c>
      <c r="N4092">
        <v>24</v>
      </c>
      <c r="O4092">
        <v>4</v>
      </c>
      <c r="P4092">
        <v>27</v>
      </c>
      <c r="Q4092">
        <v>31.334682130108</v>
      </c>
      <c r="R4092">
        <v>11.8</v>
      </c>
      <c r="T4092" s="340" t="str">
        <f t="shared" si="176"/>
        <v>2015MaleNon-Maori22Sharp object</v>
      </c>
      <c r="U4092">
        <v>2015</v>
      </c>
      <c r="V4092" t="s">
        <v>20</v>
      </c>
      <c r="W4092" t="s">
        <v>19</v>
      </c>
      <c r="X4092">
        <v>22</v>
      </c>
      <c r="Y4092" t="s">
        <v>48</v>
      </c>
      <c r="Z4092">
        <v>1</v>
      </c>
      <c r="AA4092">
        <v>50</v>
      </c>
      <c r="AB4092">
        <v>2</v>
      </c>
    </row>
    <row r="4093" spans="10:28">
      <c r="J4093" s="340" t="str">
        <f t="shared" si="175"/>
        <v>2015MaleNon-Maori245</v>
      </c>
      <c r="K4093">
        <v>2015</v>
      </c>
      <c r="L4093" t="s">
        <v>20</v>
      </c>
      <c r="M4093" t="s">
        <v>19</v>
      </c>
      <c r="N4093">
        <v>24</v>
      </c>
      <c r="O4093">
        <v>5</v>
      </c>
      <c r="P4093">
        <v>20</v>
      </c>
      <c r="Q4093">
        <v>29.000765436439199</v>
      </c>
      <c r="R4093">
        <v>12.7</v>
      </c>
      <c r="T4093" s="340" t="str">
        <f t="shared" si="176"/>
        <v>2015MaleNon-Maori23Sharp object</v>
      </c>
      <c r="U4093">
        <v>2015</v>
      </c>
      <c r="V4093" t="s">
        <v>20</v>
      </c>
      <c r="W4093" t="s">
        <v>19</v>
      </c>
      <c r="X4093">
        <v>23</v>
      </c>
      <c r="Y4093" t="s">
        <v>48</v>
      </c>
      <c r="Z4093">
        <v>2</v>
      </c>
      <c r="AA4093">
        <v>97</v>
      </c>
      <c r="AB4093">
        <v>2.1</v>
      </c>
    </row>
    <row r="4094" spans="10:28">
      <c r="J4094" s="340" t="str">
        <f t="shared" si="175"/>
        <v>2015MaleNon-Maori251</v>
      </c>
      <c r="K4094">
        <v>2015</v>
      </c>
      <c r="L4094" t="s">
        <v>20</v>
      </c>
      <c r="M4094" t="s">
        <v>19</v>
      </c>
      <c r="N4094">
        <v>25</v>
      </c>
      <c r="O4094">
        <v>1</v>
      </c>
      <c r="P4094">
        <v>11</v>
      </c>
      <c r="Q4094">
        <v>16.7831760049114</v>
      </c>
      <c r="R4094">
        <v>9.9</v>
      </c>
      <c r="T4094" s="340" t="str">
        <f t="shared" si="176"/>
        <v>2015MaleNon-Maori24Sharp object</v>
      </c>
      <c r="U4094">
        <v>2015</v>
      </c>
      <c r="V4094" t="s">
        <v>20</v>
      </c>
      <c r="W4094" t="s">
        <v>19</v>
      </c>
      <c r="X4094">
        <v>24</v>
      </c>
      <c r="Y4094" t="s">
        <v>48</v>
      </c>
      <c r="Z4094">
        <v>3</v>
      </c>
      <c r="AA4094">
        <v>110</v>
      </c>
      <c r="AB4094">
        <v>2.7</v>
      </c>
    </row>
    <row r="4095" spans="10:28">
      <c r="J4095" s="340" t="str">
        <f t="shared" si="175"/>
        <v>2015MaleNon-Maori252</v>
      </c>
      <c r="K4095">
        <v>2015</v>
      </c>
      <c r="L4095" t="s">
        <v>20</v>
      </c>
      <c r="M4095" t="s">
        <v>19</v>
      </c>
      <c r="N4095">
        <v>25</v>
      </c>
      <c r="O4095">
        <v>2</v>
      </c>
      <c r="P4095">
        <v>11</v>
      </c>
      <c r="Q4095">
        <v>17.167910437395001</v>
      </c>
      <c r="R4095">
        <v>10.1</v>
      </c>
      <c r="T4095" s="340" t="str">
        <f t="shared" si="176"/>
        <v>2015MaleNon-Maori25Sharp object</v>
      </c>
      <c r="U4095">
        <v>2015</v>
      </c>
      <c r="V4095" t="s">
        <v>20</v>
      </c>
      <c r="W4095" t="s">
        <v>19</v>
      </c>
      <c r="X4095">
        <v>25</v>
      </c>
      <c r="Y4095" t="s">
        <v>48</v>
      </c>
      <c r="Z4095">
        <v>2</v>
      </c>
      <c r="AA4095">
        <v>49</v>
      </c>
      <c r="AB4095">
        <v>4.0999999999999996</v>
      </c>
    </row>
    <row r="4096" spans="10:28">
      <c r="J4096" s="340" t="str">
        <f t="shared" si="175"/>
        <v>2015MaleNon-Maori253</v>
      </c>
      <c r="K4096">
        <v>2015</v>
      </c>
      <c r="L4096" t="s">
        <v>20</v>
      </c>
      <c r="M4096" t="s">
        <v>19</v>
      </c>
      <c r="N4096">
        <v>25</v>
      </c>
      <c r="O4096">
        <v>3</v>
      </c>
      <c r="P4096">
        <v>7</v>
      </c>
      <c r="Q4096">
        <v>11.5144965531046</v>
      </c>
      <c r="R4096">
        <v>8.5</v>
      </c>
      <c r="T4096" s="340" t="str">
        <f t="shared" si="176"/>
        <v>2015MaleNon-Maori23Submersion (drowning)</v>
      </c>
      <c r="U4096">
        <v>2015</v>
      </c>
      <c r="V4096" t="s">
        <v>20</v>
      </c>
      <c r="W4096" t="s">
        <v>19</v>
      </c>
      <c r="X4096">
        <v>23</v>
      </c>
      <c r="Y4096" t="s">
        <v>49</v>
      </c>
      <c r="Z4096">
        <v>1</v>
      </c>
      <c r="AA4096">
        <v>97</v>
      </c>
      <c r="AB4096">
        <v>1</v>
      </c>
    </row>
    <row r="4097" spans="10:28">
      <c r="J4097" s="340" t="str">
        <f t="shared" si="175"/>
        <v>2015MaleNon-Maori254</v>
      </c>
      <c r="K4097">
        <v>2015</v>
      </c>
      <c r="L4097" t="s">
        <v>20</v>
      </c>
      <c r="M4097" t="s">
        <v>19</v>
      </c>
      <c r="N4097">
        <v>25</v>
      </c>
      <c r="O4097">
        <v>4</v>
      </c>
      <c r="P4097">
        <v>13</v>
      </c>
      <c r="Q4097">
        <v>22.588113664005501</v>
      </c>
      <c r="R4097">
        <v>12.3</v>
      </c>
      <c r="T4097" s="340" t="str">
        <f t="shared" si="176"/>
        <v>2015MaleNon-Maori25Submersion (drowning)</v>
      </c>
      <c r="U4097">
        <v>2015</v>
      </c>
      <c r="V4097" t="s">
        <v>20</v>
      </c>
      <c r="W4097" t="s">
        <v>19</v>
      </c>
      <c r="X4097">
        <v>25</v>
      </c>
      <c r="Y4097" t="s">
        <v>49</v>
      </c>
      <c r="Z4097">
        <v>5</v>
      </c>
      <c r="AA4097">
        <v>49</v>
      </c>
      <c r="AB4097">
        <v>10.199999999999999</v>
      </c>
    </row>
    <row r="4098" spans="10:28">
      <c r="J4098" s="340" t="str">
        <f t="shared" si="175"/>
        <v>2015MaleNon-Maori255</v>
      </c>
      <c r="K4098">
        <v>2015</v>
      </c>
      <c r="L4098" t="s">
        <v>20</v>
      </c>
      <c r="M4098" t="s">
        <v>19</v>
      </c>
      <c r="N4098">
        <v>25</v>
      </c>
      <c r="O4098">
        <v>5</v>
      </c>
      <c r="P4098">
        <v>7</v>
      </c>
      <c r="Q4098">
        <v>16.015715271726801</v>
      </c>
      <c r="R4098">
        <v>11.9</v>
      </c>
      <c r="T4098" s="340" t="str">
        <f t="shared" si="176"/>
        <v>2016AllSexAllEth22Firearms and explosives</v>
      </c>
      <c r="U4098">
        <v>2016</v>
      </c>
      <c r="V4098" t="s">
        <v>17</v>
      </c>
      <c r="W4098" t="s">
        <v>27</v>
      </c>
      <c r="X4098">
        <v>22</v>
      </c>
      <c r="Y4098" t="s">
        <v>42</v>
      </c>
      <c r="Z4098">
        <v>3</v>
      </c>
      <c r="AA4098">
        <v>112</v>
      </c>
      <c r="AB4098">
        <v>2.7</v>
      </c>
    </row>
    <row r="4099" spans="10:28">
      <c r="J4099" s="340" t="str">
        <f t="shared" si="175"/>
        <v>2016AllSexAllEth211</v>
      </c>
      <c r="K4099">
        <v>2016</v>
      </c>
      <c r="L4099" t="s">
        <v>17</v>
      </c>
      <c r="M4099" t="s">
        <v>27</v>
      </c>
      <c r="N4099">
        <v>21</v>
      </c>
      <c r="O4099">
        <v>1</v>
      </c>
      <c r="P4099">
        <v>2</v>
      </c>
      <c r="Q4099">
        <v>1.07617707033497</v>
      </c>
      <c r="R4099">
        <v>1.5</v>
      </c>
      <c r="T4099" s="340" t="str">
        <f t="shared" si="176"/>
        <v>2016AllSexAllEth23Firearms and explosives</v>
      </c>
      <c r="U4099">
        <v>2016</v>
      </c>
      <c r="V4099" t="s">
        <v>17</v>
      </c>
      <c r="W4099" t="s">
        <v>27</v>
      </c>
      <c r="X4099">
        <v>23</v>
      </c>
      <c r="Y4099" t="s">
        <v>42</v>
      </c>
      <c r="Z4099">
        <v>10</v>
      </c>
      <c r="AA4099">
        <v>200</v>
      </c>
      <c r="AB4099">
        <v>5</v>
      </c>
    </row>
    <row r="4100" spans="10:28">
      <c r="J4100" s="340" t="str">
        <f t="shared" ref="J4100:J4163" si="177">K4100&amp;L4100&amp;M4100&amp;N4100&amp;O4100</f>
        <v>2016AllSexAllEth212</v>
      </c>
      <c r="K4100">
        <v>2016</v>
      </c>
      <c r="L4100" t="s">
        <v>17</v>
      </c>
      <c r="M4100" t="s">
        <v>27</v>
      </c>
      <c r="N4100">
        <v>21</v>
      </c>
      <c r="O4100">
        <v>2</v>
      </c>
      <c r="P4100">
        <v>1</v>
      </c>
      <c r="Q4100">
        <v>0.574308038669892</v>
      </c>
      <c r="R4100">
        <v>1.1000000000000001</v>
      </c>
      <c r="T4100" s="340" t="str">
        <f t="shared" si="176"/>
        <v>2016AllSexAllEth24Firearms and explosives</v>
      </c>
      <c r="U4100">
        <v>2016</v>
      </c>
      <c r="V4100" t="s">
        <v>17</v>
      </c>
      <c r="W4100" t="s">
        <v>27</v>
      </c>
      <c r="X4100">
        <v>24</v>
      </c>
      <c r="Y4100" t="s">
        <v>42</v>
      </c>
      <c r="Z4100">
        <v>15</v>
      </c>
      <c r="AA4100">
        <v>171</v>
      </c>
      <c r="AB4100">
        <v>8.8000000000000007</v>
      </c>
    </row>
    <row r="4101" spans="10:28">
      <c r="J4101" s="340" t="str">
        <f t="shared" si="177"/>
        <v>2016AllSexAllEth213</v>
      </c>
      <c r="K4101">
        <v>2016</v>
      </c>
      <c r="L4101" t="s">
        <v>17</v>
      </c>
      <c r="M4101" t="s">
        <v>27</v>
      </c>
      <c r="N4101">
        <v>21</v>
      </c>
      <c r="O4101">
        <v>3</v>
      </c>
      <c r="P4101">
        <v>1</v>
      </c>
      <c r="Q4101">
        <v>0.58362443685056398</v>
      </c>
      <c r="R4101">
        <v>1.1000000000000001</v>
      </c>
      <c r="T4101" s="340" t="str">
        <f t="shared" ref="T4101:T4164" si="178">U4101&amp;V4101&amp;W4101&amp;X4101&amp;Y4101</f>
        <v>2016AllSexAllEth25Firearms and explosives</v>
      </c>
      <c r="U4101">
        <v>2016</v>
      </c>
      <c r="V4101" t="s">
        <v>17</v>
      </c>
      <c r="W4101" t="s">
        <v>27</v>
      </c>
      <c r="X4101">
        <v>25</v>
      </c>
      <c r="Y4101" t="s">
        <v>42</v>
      </c>
      <c r="Z4101">
        <v>6</v>
      </c>
      <c r="AA4101">
        <v>63</v>
      </c>
      <c r="AB4101">
        <v>9.5</v>
      </c>
    </row>
    <row r="4102" spans="10:28">
      <c r="J4102" s="340" t="str">
        <f t="shared" si="177"/>
        <v>2016AllSexAllEth214</v>
      </c>
      <c r="K4102">
        <v>2016</v>
      </c>
      <c r="L4102" t="s">
        <v>17</v>
      </c>
      <c r="M4102" t="s">
        <v>27</v>
      </c>
      <c r="N4102">
        <v>21</v>
      </c>
      <c r="O4102">
        <v>4</v>
      </c>
      <c r="P4102">
        <v>2</v>
      </c>
      <c r="Q4102">
        <v>1.1591505391599699</v>
      </c>
      <c r="R4102">
        <v>1.6</v>
      </c>
      <c r="T4102" s="340" t="str">
        <f t="shared" si="178"/>
        <v>2016AllSexAllEth21Hanging, strangulation and suffocation</v>
      </c>
      <c r="U4102">
        <v>2016</v>
      </c>
      <c r="V4102" t="s">
        <v>17</v>
      </c>
      <c r="W4102" t="s">
        <v>27</v>
      </c>
      <c r="X4102">
        <v>21</v>
      </c>
      <c r="Y4102" t="s">
        <v>43</v>
      </c>
      <c r="Z4102">
        <v>8</v>
      </c>
      <c r="AA4102">
        <v>8</v>
      </c>
      <c r="AB4102">
        <v>100</v>
      </c>
    </row>
    <row r="4103" spans="10:28">
      <c r="J4103" s="340" t="str">
        <f t="shared" si="177"/>
        <v>2016AllSexAllEth215</v>
      </c>
      <c r="K4103">
        <v>2016</v>
      </c>
      <c r="L4103" t="s">
        <v>17</v>
      </c>
      <c r="M4103" t="s">
        <v>27</v>
      </c>
      <c r="N4103">
        <v>21</v>
      </c>
      <c r="O4103">
        <v>5</v>
      </c>
      <c r="P4103">
        <v>2</v>
      </c>
      <c r="Q4103">
        <v>0.92059585297759206</v>
      </c>
      <c r="R4103">
        <v>1.3</v>
      </c>
      <c r="T4103" s="340" t="str">
        <f t="shared" si="178"/>
        <v>2016AllSexAllEth22Hanging, strangulation and suffocation</v>
      </c>
      <c r="U4103">
        <v>2016</v>
      </c>
      <c r="V4103" t="s">
        <v>17</v>
      </c>
      <c r="W4103" t="s">
        <v>27</v>
      </c>
      <c r="X4103">
        <v>22</v>
      </c>
      <c r="Y4103" t="s">
        <v>43</v>
      </c>
      <c r="Z4103">
        <v>86</v>
      </c>
      <c r="AA4103">
        <v>112</v>
      </c>
      <c r="AB4103">
        <v>76.8</v>
      </c>
    </row>
    <row r="4104" spans="10:28">
      <c r="J4104" s="340" t="str">
        <f t="shared" si="177"/>
        <v>2016AllSexAllEth221</v>
      </c>
      <c r="K4104">
        <v>2016</v>
      </c>
      <c r="L4104" t="s">
        <v>17</v>
      </c>
      <c r="M4104" t="s">
        <v>27</v>
      </c>
      <c r="N4104">
        <v>22</v>
      </c>
      <c r="O4104">
        <v>1</v>
      </c>
      <c r="P4104">
        <v>16</v>
      </c>
      <c r="Q4104">
        <v>13.658011362969001</v>
      </c>
      <c r="R4104">
        <v>6.7</v>
      </c>
      <c r="T4104" s="340" t="str">
        <f t="shared" si="178"/>
        <v>2016AllSexAllEth23Hanging, strangulation and suffocation</v>
      </c>
      <c r="U4104">
        <v>2016</v>
      </c>
      <c r="V4104" t="s">
        <v>17</v>
      </c>
      <c r="W4104" t="s">
        <v>27</v>
      </c>
      <c r="X4104">
        <v>23</v>
      </c>
      <c r="Y4104" t="s">
        <v>43</v>
      </c>
      <c r="Z4104">
        <v>144</v>
      </c>
      <c r="AA4104">
        <v>200</v>
      </c>
      <c r="AB4104">
        <v>72</v>
      </c>
    </row>
    <row r="4105" spans="10:28">
      <c r="J4105" s="340" t="str">
        <f t="shared" si="177"/>
        <v>2016AllSexAllEth222</v>
      </c>
      <c r="K4105">
        <v>2016</v>
      </c>
      <c r="L4105" t="s">
        <v>17</v>
      </c>
      <c r="M4105" t="s">
        <v>27</v>
      </c>
      <c r="N4105">
        <v>22</v>
      </c>
      <c r="O4105">
        <v>2</v>
      </c>
      <c r="P4105">
        <v>11</v>
      </c>
      <c r="Q4105">
        <v>9.2381248361934691</v>
      </c>
      <c r="R4105">
        <v>5.5</v>
      </c>
      <c r="T4105" s="340" t="str">
        <f t="shared" si="178"/>
        <v>2016AllSexAllEth24Hanging, strangulation and suffocation</v>
      </c>
      <c r="U4105">
        <v>2016</v>
      </c>
      <c r="V4105" t="s">
        <v>17</v>
      </c>
      <c r="W4105" t="s">
        <v>27</v>
      </c>
      <c r="X4105">
        <v>24</v>
      </c>
      <c r="Y4105" t="s">
        <v>43</v>
      </c>
      <c r="Z4105">
        <v>99</v>
      </c>
      <c r="AA4105">
        <v>171</v>
      </c>
      <c r="AB4105">
        <v>57.9</v>
      </c>
    </row>
    <row r="4106" spans="10:28">
      <c r="J4106" s="340" t="str">
        <f t="shared" si="177"/>
        <v>2016AllSexAllEth223</v>
      </c>
      <c r="K4106">
        <v>2016</v>
      </c>
      <c r="L4106" t="s">
        <v>17</v>
      </c>
      <c r="M4106" t="s">
        <v>27</v>
      </c>
      <c r="N4106">
        <v>22</v>
      </c>
      <c r="O4106">
        <v>3</v>
      </c>
      <c r="P4106">
        <v>15</v>
      </c>
      <c r="Q4106">
        <v>11.847932712490501</v>
      </c>
      <c r="R4106">
        <v>6</v>
      </c>
      <c r="T4106" s="340" t="str">
        <f t="shared" si="178"/>
        <v>2016AllSexAllEth25Hanging, strangulation and suffocation</v>
      </c>
      <c r="U4106">
        <v>2016</v>
      </c>
      <c r="V4106" t="s">
        <v>17</v>
      </c>
      <c r="W4106" t="s">
        <v>27</v>
      </c>
      <c r="X4106">
        <v>25</v>
      </c>
      <c r="Y4106" t="s">
        <v>43</v>
      </c>
      <c r="Z4106">
        <v>25</v>
      </c>
      <c r="AA4106">
        <v>63</v>
      </c>
      <c r="AB4106">
        <v>39.700000000000003</v>
      </c>
    </row>
    <row r="4107" spans="10:28">
      <c r="J4107" s="340" t="str">
        <f t="shared" si="177"/>
        <v>2016AllSexAllEth224</v>
      </c>
      <c r="K4107">
        <v>2016</v>
      </c>
      <c r="L4107" t="s">
        <v>17</v>
      </c>
      <c r="M4107" t="s">
        <v>27</v>
      </c>
      <c r="N4107">
        <v>22</v>
      </c>
      <c r="O4107">
        <v>4</v>
      </c>
      <c r="P4107">
        <v>43</v>
      </c>
      <c r="Q4107">
        <v>30.1635655844998</v>
      </c>
      <c r="R4107">
        <v>9</v>
      </c>
      <c r="T4107" s="340" t="str">
        <f t="shared" si="178"/>
        <v>2016AllSexAllEth22Jumping from a high place</v>
      </c>
      <c r="U4107">
        <v>2016</v>
      </c>
      <c r="V4107" t="s">
        <v>17</v>
      </c>
      <c r="W4107" t="s">
        <v>27</v>
      </c>
      <c r="X4107">
        <v>22</v>
      </c>
      <c r="Y4107" t="s">
        <v>44</v>
      </c>
      <c r="Z4107">
        <v>6</v>
      </c>
      <c r="AA4107">
        <v>112</v>
      </c>
      <c r="AB4107">
        <v>5.4</v>
      </c>
    </row>
    <row r="4108" spans="10:28">
      <c r="J4108" s="340" t="str">
        <f t="shared" si="177"/>
        <v>2016AllSexAllEth225</v>
      </c>
      <c r="K4108">
        <v>2016</v>
      </c>
      <c r="L4108" t="s">
        <v>17</v>
      </c>
      <c r="M4108" t="s">
        <v>27</v>
      </c>
      <c r="N4108">
        <v>22</v>
      </c>
      <c r="O4108">
        <v>5</v>
      </c>
      <c r="P4108">
        <v>26</v>
      </c>
      <c r="Q4108">
        <v>16.069093561460601</v>
      </c>
      <c r="R4108">
        <v>6.2</v>
      </c>
      <c r="T4108" s="340" t="str">
        <f t="shared" si="178"/>
        <v>2016AllSexAllEth23Jumping from a high place</v>
      </c>
      <c r="U4108">
        <v>2016</v>
      </c>
      <c r="V4108" t="s">
        <v>17</v>
      </c>
      <c r="W4108" t="s">
        <v>27</v>
      </c>
      <c r="X4108">
        <v>23</v>
      </c>
      <c r="Y4108" t="s">
        <v>44</v>
      </c>
      <c r="Z4108">
        <v>13</v>
      </c>
      <c r="AA4108">
        <v>200</v>
      </c>
      <c r="AB4108">
        <v>6.5</v>
      </c>
    </row>
    <row r="4109" spans="10:28">
      <c r="J4109" s="340" t="str">
        <f t="shared" si="177"/>
        <v>2016AllSexAllEth231</v>
      </c>
      <c r="K4109">
        <v>2016</v>
      </c>
      <c r="L4109" t="s">
        <v>17</v>
      </c>
      <c r="M4109" t="s">
        <v>27</v>
      </c>
      <c r="N4109">
        <v>23</v>
      </c>
      <c r="O4109">
        <v>1</v>
      </c>
      <c r="P4109">
        <v>15</v>
      </c>
      <c r="Q4109">
        <v>6.5980302502600097</v>
      </c>
      <c r="R4109">
        <v>3.3</v>
      </c>
      <c r="T4109" s="340" t="str">
        <f t="shared" si="178"/>
        <v>2016AllSexAllEth24Jumping from a high place</v>
      </c>
      <c r="U4109">
        <v>2016</v>
      </c>
      <c r="V4109" t="s">
        <v>17</v>
      </c>
      <c r="W4109" t="s">
        <v>27</v>
      </c>
      <c r="X4109">
        <v>24</v>
      </c>
      <c r="Y4109" t="s">
        <v>44</v>
      </c>
      <c r="Z4109">
        <v>4</v>
      </c>
      <c r="AA4109">
        <v>171</v>
      </c>
      <c r="AB4109">
        <v>2.2999999999999998</v>
      </c>
    </row>
    <row r="4110" spans="10:28">
      <c r="J4110" s="340" t="str">
        <f t="shared" si="177"/>
        <v>2016AllSexAllEth232</v>
      </c>
      <c r="K4110">
        <v>2016</v>
      </c>
      <c r="L4110" t="s">
        <v>17</v>
      </c>
      <c r="M4110" t="s">
        <v>27</v>
      </c>
      <c r="N4110">
        <v>23</v>
      </c>
      <c r="O4110">
        <v>2</v>
      </c>
      <c r="P4110">
        <v>22</v>
      </c>
      <c r="Q4110">
        <v>8.8656129027003008</v>
      </c>
      <c r="R4110">
        <v>3.7</v>
      </c>
      <c r="T4110" s="340" t="str">
        <f t="shared" si="178"/>
        <v>2016AllSexAllEth25Jumping from a high place</v>
      </c>
      <c r="U4110">
        <v>2016</v>
      </c>
      <c r="V4110" t="s">
        <v>17</v>
      </c>
      <c r="W4110" t="s">
        <v>27</v>
      </c>
      <c r="X4110">
        <v>25</v>
      </c>
      <c r="Y4110" t="s">
        <v>44</v>
      </c>
      <c r="Z4110">
        <v>1</v>
      </c>
      <c r="AA4110">
        <v>63</v>
      </c>
      <c r="AB4110">
        <v>1.6</v>
      </c>
    </row>
    <row r="4111" spans="10:28">
      <c r="J4111" s="340" t="str">
        <f t="shared" si="177"/>
        <v>2016AllSexAllEth233</v>
      </c>
      <c r="K4111">
        <v>2016</v>
      </c>
      <c r="L4111" t="s">
        <v>17</v>
      </c>
      <c r="M4111" t="s">
        <v>27</v>
      </c>
      <c r="N4111">
        <v>23</v>
      </c>
      <c r="O4111">
        <v>3</v>
      </c>
      <c r="P4111">
        <v>38</v>
      </c>
      <c r="Q4111">
        <v>14.923692686015301</v>
      </c>
      <c r="R4111">
        <v>4.7</v>
      </c>
      <c r="T4111" s="340" t="str">
        <f t="shared" si="178"/>
        <v>2016AllSexAllEth22Other</v>
      </c>
      <c r="U4111">
        <v>2016</v>
      </c>
      <c r="V4111" t="s">
        <v>17</v>
      </c>
      <c r="W4111" t="s">
        <v>27</v>
      </c>
      <c r="X4111">
        <v>22</v>
      </c>
      <c r="Y4111" t="s">
        <v>45</v>
      </c>
      <c r="Z4111">
        <v>7</v>
      </c>
      <c r="AA4111">
        <v>112</v>
      </c>
      <c r="AB4111">
        <v>6.2</v>
      </c>
    </row>
    <row r="4112" spans="10:28">
      <c r="J4112" s="340" t="str">
        <f t="shared" si="177"/>
        <v>2016AllSexAllEth234</v>
      </c>
      <c r="K4112">
        <v>2016</v>
      </c>
      <c r="L4112" t="s">
        <v>17</v>
      </c>
      <c r="M4112" t="s">
        <v>27</v>
      </c>
      <c r="N4112">
        <v>23</v>
      </c>
      <c r="O4112">
        <v>4</v>
      </c>
      <c r="P4112">
        <v>59</v>
      </c>
      <c r="Q4112">
        <v>23.539152912239</v>
      </c>
      <c r="R4112">
        <v>6</v>
      </c>
      <c r="T4112" s="340" t="str">
        <f t="shared" si="178"/>
        <v>2016AllSexAllEth23Other</v>
      </c>
      <c r="U4112">
        <v>2016</v>
      </c>
      <c r="V4112" t="s">
        <v>17</v>
      </c>
      <c r="W4112" t="s">
        <v>27</v>
      </c>
      <c r="X4112">
        <v>23</v>
      </c>
      <c r="Y4112" t="s">
        <v>45</v>
      </c>
      <c r="Z4112">
        <v>5</v>
      </c>
      <c r="AA4112">
        <v>200</v>
      </c>
      <c r="AB4112">
        <v>2.5</v>
      </c>
    </row>
    <row r="4113" spans="10:28">
      <c r="J4113" s="340" t="str">
        <f t="shared" si="177"/>
        <v>2016AllSexAllEth235</v>
      </c>
      <c r="K4113">
        <v>2016</v>
      </c>
      <c r="L4113" t="s">
        <v>17</v>
      </c>
      <c r="M4113" t="s">
        <v>27</v>
      </c>
      <c r="N4113">
        <v>23</v>
      </c>
      <c r="O4113">
        <v>5</v>
      </c>
      <c r="P4113">
        <v>65</v>
      </c>
      <c r="Q4113">
        <v>27.428910728142899</v>
      </c>
      <c r="R4113">
        <v>6.7</v>
      </c>
      <c r="T4113" s="340" t="str">
        <f t="shared" si="178"/>
        <v>2016AllSexAllEth24Other</v>
      </c>
      <c r="U4113">
        <v>2016</v>
      </c>
      <c r="V4113" t="s">
        <v>17</v>
      </c>
      <c r="W4113" t="s">
        <v>27</v>
      </c>
      <c r="X4113">
        <v>24</v>
      </c>
      <c r="Y4113" t="s">
        <v>45</v>
      </c>
      <c r="Z4113">
        <v>6</v>
      </c>
      <c r="AA4113">
        <v>171</v>
      </c>
      <c r="AB4113">
        <v>3.5</v>
      </c>
    </row>
    <row r="4114" spans="10:28">
      <c r="J4114" s="340" t="str">
        <f t="shared" si="177"/>
        <v>2016AllSexAllEth241</v>
      </c>
      <c r="K4114">
        <v>2016</v>
      </c>
      <c r="L4114" t="s">
        <v>17</v>
      </c>
      <c r="M4114" t="s">
        <v>27</v>
      </c>
      <c r="N4114">
        <v>24</v>
      </c>
      <c r="O4114">
        <v>1</v>
      </c>
      <c r="P4114">
        <v>28</v>
      </c>
      <c r="Q4114">
        <v>9.6898671304373192</v>
      </c>
      <c r="R4114">
        <v>3.6</v>
      </c>
      <c r="T4114" s="340" t="str">
        <f t="shared" si="178"/>
        <v>2016AllSexAllEth25Other</v>
      </c>
      <c r="U4114">
        <v>2016</v>
      </c>
      <c r="V4114" t="s">
        <v>17</v>
      </c>
      <c r="W4114" t="s">
        <v>27</v>
      </c>
      <c r="X4114">
        <v>25</v>
      </c>
      <c r="Y4114" t="s">
        <v>45</v>
      </c>
      <c r="Z4114">
        <v>2</v>
      </c>
      <c r="AA4114">
        <v>63</v>
      </c>
      <c r="AB4114">
        <v>3.2</v>
      </c>
    </row>
    <row r="4115" spans="10:28">
      <c r="J4115" s="340" t="str">
        <f t="shared" si="177"/>
        <v>2016AllSexAllEth242</v>
      </c>
      <c r="K4115">
        <v>2016</v>
      </c>
      <c r="L4115" t="s">
        <v>17</v>
      </c>
      <c r="M4115" t="s">
        <v>27</v>
      </c>
      <c r="N4115">
        <v>24</v>
      </c>
      <c r="O4115">
        <v>2</v>
      </c>
      <c r="P4115">
        <v>26</v>
      </c>
      <c r="Q4115">
        <v>10.072154417831401</v>
      </c>
      <c r="R4115">
        <v>3.9</v>
      </c>
      <c r="T4115" s="340" t="str">
        <f t="shared" si="178"/>
        <v>2016AllSexAllEth22Poisoning by gases and vapours</v>
      </c>
      <c r="U4115">
        <v>2016</v>
      </c>
      <c r="V4115" t="s">
        <v>17</v>
      </c>
      <c r="W4115" t="s">
        <v>27</v>
      </c>
      <c r="X4115">
        <v>22</v>
      </c>
      <c r="Y4115" t="s">
        <v>46</v>
      </c>
      <c r="Z4115">
        <v>6</v>
      </c>
      <c r="AA4115">
        <v>112</v>
      </c>
      <c r="AB4115">
        <v>5.4</v>
      </c>
    </row>
    <row r="4116" spans="10:28">
      <c r="J4116" s="340" t="str">
        <f t="shared" si="177"/>
        <v>2016AllSexAllEth243</v>
      </c>
      <c r="K4116">
        <v>2016</v>
      </c>
      <c r="L4116" t="s">
        <v>17</v>
      </c>
      <c r="M4116" t="s">
        <v>27</v>
      </c>
      <c r="N4116">
        <v>24</v>
      </c>
      <c r="O4116">
        <v>3</v>
      </c>
      <c r="P4116">
        <v>33</v>
      </c>
      <c r="Q4116">
        <v>14.1184218201977</v>
      </c>
      <c r="R4116">
        <v>4.8</v>
      </c>
      <c r="T4116" s="340" t="str">
        <f t="shared" si="178"/>
        <v>2016AllSexAllEth23Poisoning by gases and vapours</v>
      </c>
      <c r="U4116">
        <v>2016</v>
      </c>
      <c r="V4116" t="s">
        <v>17</v>
      </c>
      <c r="W4116" t="s">
        <v>27</v>
      </c>
      <c r="X4116">
        <v>23</v>
      </c>
      <c r="Y4116" t="s">
        <v>46</v>
      </c>
      <c r="Z4116">
        <v>15</v>
      </c>
      <c r="AA4116">
        <v>200</v>
      </c>
      <c r="AB4116">
        <v>7.5</v>
      </c>
    </row>
    <row r="4117" spans="10:28">
      <c r="J4117" s="340" t="str">
        <f t="shared" si="177"/>
        <v>2016AllSexAllEth244</v>
      </c>
      <c r="K4117">
        <v>2016</v>
      </c>
      <c r="L4117" t="s">
        <v>17</v>
      </c>
      <c r="M4117" t="s">
        <v>27</v>
      </c>
      <c r="N4117">
        <v>24</v>
      </c>
      <c r="O4117">
        <v>4</v>
      </c>
      <c r="P4117">
        <v>40</v>
      </c>
      <c r="Q4117">
        <v>18.8329799944777</v>
      </c>
      <c r="R4117">
        <v>5.8</v>
      </c>
      <c r="T4117" s="340" t="str">
        <f t="shared" si="178"/>
        <v>2016AllSexAllEth24Poisoning by gases and vapours</v>
      </c>
      <c r="U4117">
        <v>2016</v>
      </c>
      <c r="V4117" t="s">
        <v>17</v>
      </c>
      <c r="W4117" t="s">
        <v>27</v>
      </c>
      <c r="X4117">
        <v>24</v>
      </c>
      <c r="Y4117" t="s">
        <v>46</v>
      </c>
      <c r="Z4117">
        <v>17</v>
      </c>
      <c r="AA4117">
        <v>171</v>
      </c>
      <c r="AB4117">
        <v>9.9</v>
      </c>
    </row>
    <row r="4118" spans="10:28">
      <c r="J4118" s="340" t="str">
        <f t="shared" si="177"/>
        <v>2016AllSexAllEth245</v>
      </c>
      <c r="K4118">
        <v>2016</v>
      </c>
      <c r="L4118" t="s">
        <v>17</v>
      </c>
      <c r="M4118" t="s">
        <v>27</v>
      </c>
      <c r="N4118">
        <v>24</v>
      </c>
      <c r="O4118">
        <v>5</v>
      </c>
      <c r="P4118">
        <v>44</v>
      </c>
      <c r="Q4118">
        <v>22.556988756146399</v>
      </c>
      <c r="R4118">
        <v>6.7</v>
      </c>
      <c r="T4118" s="340" t="str">
        <f t="shared" si="178"/>
        <v>2016AllSexAllEth25Poisoning by gases and vapours</v>
      </c>
      <c r="U4118">
        <v>2016</v>
      </c>
      <c r="V4118" t="s">
        <v>17</v>
      </c>
      <c r="W4118" t="s">
        <v>27</v>
      </c>
      <c r="X4118">
        <v>25</v>
      </c>
      <c r="Y4118" t="s">
        <v>46</v>
      </c>
      <c r="Z4118">
        <v>6</v>
      </c>
      <c r="AA4118">
        <v>63</v>
      </c>
      <c r="AB4118">
        <v>9.5</v>
      </c>
    </row>
    <row r="4119" spans="10:28">
      <c r="J4119" s="340" t="str">
        <f t="shared" si="177"/>
        <v>2016AllSexAllEth251</v>
      </c>
      <c r="K4119">
        <v>2016</v>
      </c>
      <c r="L4119" t="s">
        <v>17</v>
      </c>
      <c r="M4119" t="s">
        <v>27</v>
      </c>
      <c r="N4119">
        <v>25</v>
      </c>
      <c r="O4119">
        <v>1</v>
      </c>
      <c r="P4119">
        <v>11</v>
      </c>
      <c r="Q4119">
        <v>7.5871376066496099</v>
      </c>
      <c r="R4119">
        <v>4.5</v>
      </c>
      <c r="T4119" s="340" t="str">
        <f t="shared" si="178"/>
        <v>2016AllSexAllEth22Poisoning by solids and liquids</v>
      </c>
      <c r="U4119">
        <v>2016</v>
      </c>
      <c r="V4119" t="s">
        <v>17</v>
      </c>
      <c r="W4119" t="s">
        <v>27</v>
      </c>
      <c r="X4119">
        <v>22</v>
      </c>
      <c r="Y4119" t="s">
        <v>47</v>
      </c>
      <c r="Z4119">
        <v>3</v>
      </c>
      <c r="AA4119">
        <v>112</v>
      </c>
      <c r="AB4119">
        <v>2.7</v>
      </c>
    </row>
    <row r="4120" spans="10:28">
      <c r="J4120" s="340" t="str">
        <f t="shared" si="177"/>
        <v>2016AllSexAllEth252</v>
      </c>
      <c r="K4120">
        <v>2016</v>
      </c>
      <c r="L4120" t="s">
        <v>17</v>
      </c>
      <c r="M4120" t="s">
        <v>27</v>
      </c>
      <c r="N4120">
        <v>25</v>
      </c>
      <c r="O4120">
        <v>2</v>
      </c>
      <c r="P4120">
        <v>11</v>
      </c>
      <c r="Q4120">
        <v>7.5345797223612099</v>
      </c>
      <c r="R4120">
        <v>4.5</v>
      </c>
      <c r="T4120" s="340" t="str">
        <f t="shared" si="178"/>
        <v>2016AllSexAllEth23Poisoning by solids and liquids</v>
      </c>
      <c r="U4120">
        <v>2016</v>
      </c>
      <c r="V4120" t="s">
        <v>17</v>
      </c>
      <c r="W4120" t="s">
        <v>27</v>
      </c>
      <c r="X4120">
        <v>23</v>
      </c>
      <c r="Y4120" t="s">
        <v>47</v>
      </c>
      <c r="Z4120">
        <v>9</v>
      </c>
      <c r="AA4120">
        <v>200</v>
      </c>
      <c r="AB4120">
        <v>4.5</v>
      </c>
    </row>
    <row r="4121" spans="10:28">
      <c r="J4121" s="340" t="str">
        <f t="shared" si="177"/>
        <v>2016AllSexAllEth253</v>
      </c>
      <c r="K4121">
        <v>2016</v>
      </c>
      <c r="L4121" t="s">
        <v>17</v>
      </c>
      <c r="M4121" t="s">
        <v>27</v>
      </c>
      <c r="N4121">
        <v>25</v>
      </c>
      <c r="O4121">
        <v>3</v>
      </c>
      <c r="P4121">
        <v>20</v>
      </c>
      <c r="Q4121">
        <v>13.8824745112838</v>
      </c>
      <c r="R4121">
        <v>6.1</v>
      </c>
      <c r="T4121" s="340" t="str">
        <f t="shared" si="178"/>
        <v>2016AllSexAllEth24Poisoning by solids and liquids</v>
      </c>
      <c r="U4121">
        <v>2016</v>
      </c>
      <c r="V4121" t="s">
        <v>17</v>
      </c>
      <c r="W4121" t="s">
        <v>27</v>
      </c>
      <c r="X4121">
        <v>24</v>
      </c>
      <c r="Y4121" t="s">
        <v>47</v>
      </c>
      <c r="Z4121">
        <v>23</v>
      </c>
      <c r="AA4121">
        <v>171</v>
      </c>
      <c r="AB4121">
        <v>13.5</v>
      </c>
    </row>
    <row r="4122" spans="10:28">
      <c r="J4122" s="340" t="str">
        <f t="shared" si="177"/>
        <v>2016AllSexAllEth254</v>
      </c>
      <c r="K4122">
        <v>2016</v>
      </c>
      <c r="L4122" t="s">
        <v>17</v>
      </c>
      <c r="M4122" t="s">
        <v>27</v>
      </c>
      <c r="N4122">
        <v>25</v>
      </c>
      <c r="O4122">
        <v>4</v>
      </c>
      <c r="P4122">
        <v>11</v>
      </c>
      <c r="Q4122">
        <v>7.5753523579375397</v>
      </c>
      <c r="R4122">
        <v>4.5</v>
      </c>
      <c r="T4122" s="340" t="str">
        <f t="shared" si="178"/>
        <v>2016AllSexAllEth25Poisoning by solids and liquids</v>
      </c>
      <c r="U4122">
        <v>2016</v>
      </c>
      <c r="V4122" t="s">
        <v>17</v>
      </c>
      <c r="W4122" t="s">
        <v>27</v>
      </c>
      <c r="X4122">
        <v>25</v>
      </c>
      <c r="Y4122" t="s">
        <v>47</v>
      </c>
      <c r="Z4122">
        <v>13</v>
      </c>
      <c r="AA4122">
        <v>63</v>
      </c>
      <c r="AB4122">
        <v>20.6</v>
      </c>
    </row>
    <row r="4123" spans="10:28">
      <c r="J4123" s="340" t="str">
        <f t="shared" si="177"/>
        <v>2016AllSexAllEth255</v>
      </c>
      <c r="K4123">
        <v>2016</v>
      </c>
      <c r="L4123" t="s">
        <v>17</v>
      </c>
      <c r="M4123" t="s">
        <v>27</v>
      </c>
      <c r="N4123">
        <v>25</v>
      </c>
      <c r="O4123">
        <v>5</v>
      </c>
      <c r="P4123">
        <v>10</v>
      </c>
      <c r="Q4123">
        <v>8.4634409201556995</v>
      </c>
      <c r="R4123">
        <v>5.2</v>
      </c>
      <c r="T4123" s="340" t="str">
        <f t="shared" si="178"/>
        <v>2016AllSexAllEth22Sharp object</v>
      </c>
      <c r="U4123">
        <v>2016</v>
      </c>
      <c r="V4123" t="s">
        <v>17</v>
      </c>
      <c r="W4123" t="s">
        <v>27</v>
      </c>
      <c r="X4123">
        <v>22</v>
      </c>
      <c r="Y4123" t="s">
        <v>48</v>
      </c>
      <c r="Z4123">
        <v>1</v>
      </c>
      <c r="AA4123">
        <v>112</v>
      </c>
      <c r="AB4123">
        <v>0.9</v>
      </c>
    </row>
    <row r="4124" spans="10:28">
      <c r="J4124" s="340" t="str">
        <f t="shared" si="177"/>
        <v>2016AllSexMaori211</v>
      </c>
      <c r="K4124">
        <v>2016</v>
      </c>
      <c r="L4124" t="s">
        <v>17</v>
      </c>
      <c r="M4124" t="s">
        <v>18</v>
      </c>
      <c r="N4124">
        <v>21</v>
      </c>
      <c r="O4124">
        <v>1</v>
      </c>
      <c r="P4124">
        <v>0</v>
      </c>
      <c r="Q4124">
        <v>0</v>
      </c>
      <c r="T4124" s="340" t="str">
        <f t="shared" si="178"/>
        <v>2016AllSexAllEth23Sharp object</v>
      </c>
      <c r="U4124">
        <v>2016</v>
      </c>
      <c r="V4124" t="s">
        <v>17</v>
      </c>
      <c r="W4124" t="s">
        <v>27</v>
      </c>
      <c r="X4124">
        <v>23</v>
      </c>
      <c r="Y4124" t="s">
        <v>48</v>
      </c>
      <c r="Z4124">
        <v>2</v>
      </c>
      <c r="AA4124">
        <v>200</v>
      </c>
      <c r="AB4124">
        <v>1</v>
      </c>
    </row>
    <row r="4125" spans="10:28">
      <c r="J4125" s="340" t="str">
        <f t="shared" si="177"/>
        <v>2016AllSexMaori212</v>
      </c>
      <c r="K4125">
        <v>2016</v>
      </c>
      <c r="L4125" t="s">
        <v>17</v>
      </c>
      <c r="M4125" t="s">
        <v>18</v>
      </c>
      <c r="N4125">
        <v>21</v>
      </c>
      <c r="O4125">
        <v>2</v>
      </c>
      <c r="P4125">
        <v>1</v>
      </c>
      <c r="Q4125">
        <v>3.6328940437216701</v>
      </c>
      <c r="R4125">
        <v>7.1</v>
      </c>
      <c r="T4125" s="340" t="str">
        <f t="shared" si="178"/>
        <v>2016AllSexAllEth24Sharp object</v>
      </c>
      <c r="U4125">
        <v>2016</v>
      </c>
      <c r="V4125" t="s">
        <v>17</v>
      </c>
      <c r="W4125" t="s">
        <v>27</v>
      </c>
      <c r="X4125">
        <v>24</v>
      </c>
      <c r="Y4125" t="s">
        <v>48</v>
      </c>
      <c r="Z4125">
        <v>4</v>
      </c>
      <c r="AA4125">
        <v>171</v>
      </c>
      <c r="AB4125">
        <v>2.2999999999999998</v>
      </c>
    </row>
    <row r="4126" spans="10:28">
      <c r="J4126" s="340" t="str">
        <f t="shared" si="177"/>
        <v>2016AllSexMaori213</v>
      </c>
      <c r="K4126">
        <v>2016</v>
      </c>
      <c r="L4126" t="s">
        <v>17</v>
      </c>
      <c r="M4126" t="s">
        <v>18</v>
      </c>
      <c r="N4126">
        <v>21</v>
      </c>
      <c r="O4126">
        <v>3</v>
      </c>
      <c r="P4126">
        <v>1</v>
      </c>
      <c r="Q4126">
        <v>2.5867400331565098</v>
      </c>
      <c r="R4126">
        <v>5.0999999999999996</v>
      </c>
      <c r="T4126" s="340" t="str">
        <f t="shared" si="178"/>
        <v>2016AllSexAllEth25Sharp object</v>
      </c>
      <c r="U4126">
        <v>2016</v>
      </c>
      <c r="V4126" t="s">
        <v>17</v>
      </c>
      <c r="W4126" t="s">
        <v>27</v>
      </c>
      <c r="X4126">
        <v>25</v>
      </c>
      <c r="Y4126" t="s">
        <v>48</v>
      </c>
      <c r="Z4126">
        <v>3</v>
      </c>
      <c r="AA4126">
        <v>63</v>
      </c>
      <c r="AB4126">
        <v>4.8</v>
      </c>
    </row>
    <row r="4127" spans="10:28">
      <c r="J4127" s="340" t="str">
        <f t="shared" si="177"/>
        <v>2016AllSexMaori214</v>
      </c>
      <c r="K4127">
        <v>2016</v>
      </c>
      <c r="L4127" t="s">
        <v>17</v>
      </c>
      <c r="M4127" t="s">
        <v>18</v>
      </c>
      <c r="N4127">
        <v>21</v>
      </c>
      <c r="O4127">
        <v>4</v>
      </c>
      <c r="P4127">
        <v>1</v>
      </c>
      <c r="Q4127">
        <v>1.8557590691616599</v>
      </c>
      <c r="R4127">
        <v>3.6</v>
      </c>
      <c r="T4127" s="340" t="str">
        <f t="shared" si="178"/>
        <v>2016AllSexAllEth23Submersion (drowning)</v>
      </c>
      <c r="U4127">
        <v>2016</v>
      </c>
      <c r="V4127" t="s">
        <v>17</v>
      </c>
      <c r="W4127" t="s">
        <v>27</v>
      </c>
      <c r="X4127">
        <v>23</v>
      </c>
      <c r="Y4127" t="s">
        <v>49</v>
      </c>
      <c r="Z4127">
        <v>2</v>
      </c>
      <c r="AA4127">
        <v>200</v>
      </c>
      <c r="AB4127">
        <v>1</v>
      </c>
    </row>
    <row r="4128" spans="10:28">
      <c r="J4128" s="340" t="str">
        <f t="shared" si="177"/>
        <v>2016AllSexMaori215</v>
      </c>
      <c r="K4128">
        <v>2016</v>
      </c>
      <c r="L4128" t="s">
        <v>17</v>
      </c>
      <c r="M4128" t="s">
        <v>18</v>
      </c>
      <c r="N4128">
        <v>21</v>
      </c>
      <c r="O4128">
        <v>5</v>
      </c>
      <c r="P4128">
        <v>1</v>
      </c>
      <c r="Q4128">
        <v>0.99396781710265003</v>
      </c>
      <c r="R4128">
        <v>1.9</v>
      </c>
      <c r="T4128" s="340" t="str">
        <f t="shared" si="178"/>
        <v>2016AllSexAllEth24Submersion (drowning)</v>
      </c>
      <c r="U4128">
        <v>2016</v>
      </c>
      <c r="V4128" t="s">
        <v>17</v>
      </c>
      <c r="W4128" t="s">
        <v>27</v>
      </c>
      <c r="X4128">
        <v>24</v>
      </c>
      <c r="Y4128" t="s">
        <v>49</v>
      </c>
      <c r="Z4128">
        <v>3</v>
      </c>
      <c r="AA4128">
        <v>171</v>
      </c>
      <c r="AB4128">
        <v>1.8</v>
      </c>
    </row>
    <row r="4129" spans="10:28">
      <c r="J4129" s="340" t="str">
        <f t="shared" si="177"/>
        <v>2016AllSexMaori221</v>
      </c>
      <c r="K4129">
        <v>2016</v>
      </c>
      <c r="L4129" t="s">
        <v>17</v>
      </c>
      <c r="M4129" t="s">
        <v>18</v>
      </c>
      <c r="N4129">
        <v>22</v>
      </c>
      <c r="O4129">
        <v>1</v>
      </c>
      <c r="P4129">
        <v>1</v>
      </c>
      <c r="Q4129">
        <v>8.6004642634371802</v>
      </c>
      <c r="R4129">
        <v>16.899999999999999</v>
      </c>
      <c r="T4129" s="340" t="str">
        <f t="shared" si="178"/>
        <v>2016AllSexAllEth25Submersion (drowning)</v>
      </c>
      <c r="U4129">
        <v>2016</v>
      </c>
      <c r="V4129" t="s">
        <v>17</v>
      </c>
      <c r="W4129" t="s">
        <v>27</v>
      </c>
      <c r="X4129">
        <v>25</v>
      </c>
      <c r="Y4129" t="s">
        <v>49</v>
      </c>
      <c r="Z4129">
        <v>7</v>
      </c>
      <c r="AA4129">
        <v>63</v>
      </c>
      <c r="AB4129">
        <v>11.1</v>
      </c>
    </row>
    <row r="4130" spans="10:28">
      <c r="J4130" s="340" t="str">
        <f t="shared" si="177"/>
        <v>2016AllSexMaori222</v>
      </c>
      <c r="K4130">
        <v>2016</v>
      </c>
      <c r="L4130" t="s">
        <v>17</v>
      </c>
      <c r="M4130" t="s">
        <v>18</v>
      </c>
      <c r="N4130">
        <v>22</v>
      </c>
      <c r="O4130">
        <v>2</v>
      </c>
      <c r="P4130">
        <v>1</v>
      </c>
      <c r="Q4130">
        <v>6.4535784243328997</v>
      </c>
      <c r="R4130">
        <v>12.6</v>
      </c>
      <c r="T4130" s="340" t="str">
        <f t="shared" si="178"/>
        <v>2016AllSexMaori22Firearms and explosives</v>
      </c>
      <c r="U4130">
        <v>2016</v>
      </c>
      <c r="V4130" t="s">
        <v>17</v>
      </c>
      <c r="W4130" t="s">
        <v>18</v>
      </c>
      <c r="X4130">
        <v>22</v>
      </c>
      <c r="Y4130" t="s">
        <v>42</v>
      </c>
      <c r="Z4130">
        <v>1</v>
      </c>
      <c r="AA4130">
        <v>45</v>
      </c>
      <c r="AB4130">
        <v>2.2000000000000002</v>
      </c>
    </row>
    <row r="4131" spans="10:28">
      <c r="J4131" s="340" t="str">
        <f t="shared" si="177"/>
        <v>2016AllSexMaori223</v>
      </c>
      <c r="K4131">
        <v>2016</v>
      </c>
      <c r="L4131" t="s">
        <v>17</v>
      </c>
      <c r="M4131" t="s">
        <v>18</v>
      </c>
      <c r="N4131">
        <v>22</v>
      </c>
      <c r="O4131">
        <v>3</v>
      </c>
      <c r="P4131">
        <v>6</v>
      </c>
      <c r="Q4131">
        <v>26.6344795537042</v>
      </c>
      <c r="R4131">
        <v>21.3</v>
      </c>
      <c r="T4131" s="340" t="str">
        <f t="shared" si="178"/>
        <v>2016AllSexMaori23Firearms and explosives</v>
      </c>
      <c r="U4131">
        <v>2016</v>
      </c>
      <c r="V4131" t="s">
        <v>17</v>
      </c>
      <c r="W4131" t="s">
        <v>18</v>
      </c>
      <c r="X4131">
        <v>23</v>
      </c>
      <c r="Y4131" t="s">
        <v>42</v>
      </c>
      <c r="Z4131">
        <v>2</v>
      </c>
      <c r="AA4131">
        <v>59</v>
      </c>
      <c r="AB4131">
        <v>3.4</v>
      </c>
    </row>
    <row r="4132" spans="10:28">
      <c r="J4132" s="340" t="str">
        <f t="shared" si="177"/>
        <v>2016AllSexMaori224</v>
      </c>
      <c r="K4132">
        <v>2016</v>
      </c>
      <c r="L4132" t="s">
        <v>17</v>
      </c>
      <c r="M4132" t="s">
        <v>18</v>
      </c>
      <c r="N4132">
        <v>22</v>
      </c>
      <c r="O4132">
        <v>4</v>
      </c>
      <c r="P4132">
        <v>21</v>
      </c>
      <c r="Q4132">
        <v>64.545408386704196</v>
      </c>
      <c r="R4132">
        <v>27.6</v>
      </c>
      <c r="T4132" s="340" t="str">
        <f t="shared" si="178"/>
        <v>2016AllSexMaori21Hanging, strangulation and suffocation</v>
      </c>
      <c r="U4132">
        <v>2016</v>
      </c>
      <c r="V4132" t="s">
        <v>17</v>
      </c>
      <c r="W4132" t="s">
        <v>18</v>
      </c>
      <c r="X4132">
        <v>21</v>
      </c>
      <c r="Y4132" t="s">
        <v>43</v>
      </c>
      <c r="Z4132">
        <v>4</v>
      </c>
      <c r="AA4132">
        <v>4</v>
      </c>
      <c r="AB4132">
        <v>100</v>
      </c>
    </row>
    <row r="4133" spans="10:28">
      <c r="J4133" s="340" t="str">
        <f t="shared" si="177"/>
        <v>2016AllSexMaori225</v>
      </c>
      <c r="K4133">
        <v>2016</v>
      </c>
      <c r="L4133" t="s">
        <v>17</v>
      </c>
      <c r="M4133" t="s">
        <v>18</v>
      </c>
      <c r="N4133">
        <v>22</v>
      </c>
      <c r="O4133">
        <v>5</v>
      </c>
      <c r="P4133">
        <v>16</v>
      </c>
      <c r="Q4133">
        <v>28.602320559287602</v>
      </c>
      <c r="R4133">
        <v>14</v>
      </c>
      <c r="T4133" s="340" t="str">
        <f t="shared" si="178"/>
        <v>2016AllSexMaori22Hanging, strangulation and suffocation</v>
      </c>
      <c r="U4133">
        <v>2016</v>
      </c>
      <c r="V4133" t="s">
        <v>17</v>
      </c>
      <c r="W4133" t="s">
        <v>18</v>
      </c>
      <c r="X4133">
        <v>22</v>
      </c>
      <c r="Y4133" t="s">
        <v>43</v>
      </c>
      <c r="Z4133">
        <v>40</v>
      </c>
      <c r="AA4133">
        <v>45</v>
      </c>
      <c r="AB4133">
        <v>88.9</v>
      </c>
    </row>
    <row r="4134" spans="10:28">
      <c r="J4134" s="340" t="str">
        <f t="shared" si="177"/>
        <v>2016AllSexMaori231</v>
      </c>
      <c r="K4134">
        <v>2016</v>
      </c>
      <c r="L4134" t="s">
        <v>17</v>
      </c>
      <c r="M4134" t="s">
        <v>18</v>
      </c>
      <c r="N4134">
        <v>23</v>
      </c>
      <c r="O4134">
        <v>1</v>
      </c>
      <c r="P4134">
        <v>1</v>
      </c>
      <c r="Q4134">
        <v>6.50585325971368</v>
      </c>
      <c r="R4134">
        <v>12.8</v>
      </c>
      <c r="T4134" s="340" t="str">
        <f t="shared" si="178"/>
        <v>2016AllSexMaori23Hanging, strangulation and suffocation</v>
      </c>
      <c r="U4134">
        <v>2016</v>
      </c>
      <c r="V4134" t="s">
        <v>17</v>
      </c>
      <c r="W4134" t="s">
        <v>18</v>
      </c>
      <c r="X4134">
        <v>23</v>
      </c>
      <c r="Y4134" t="s">
        <v>43</v>
      </c>
      <c r="Z4134">
        <v>49</v>
      </c>
      <c r="AA4134">
        <v>59</v>
      </c>
      <c r="AB4134">
        <v>83.1</v>
      </c>
    </row>
    <row r="4135" spans="10:28">
      <c r="J4135" s="340" t="str">
        <f t="shared" si="177"/>
        <v>2016AllSexMaori232</v>
      </c>
      <c r="K4135">
        <v>2016</v>
      </c>
      <c r="L4135" t="s">
        <v>17</v>
      </c>
      <c r="M4135" t="s">
        <v>18</v>
      </c>
      <c r="N4135">
        <v>23</v>
      </c>
      <c r="O4135">
        <v>2</v>
      </c>
      <c r="P4135">
        <v>4</v>
      </c>
      <c r="Q4135">
        <v>18.6314380217412</v>
      </c>
      <c r="R4135">
        <v>18.3</v>
      </c>
      <c r="T4135" s="340" t="str">
        <f t="shared" si="178"/>
        <v>2016AllSexMaori24Hanging, strangulation and suffocation</v>
      </c>
      <c r="U4135">
        <v>2016</v>
      </c>
      <c r="V4135" t="s">
        <v>17</v>
      </c>
      <c r="W4135" t="s">
        <v>18</v>
      </c>
      <c r="X4135">
        <v>24</v>
      </c>
      <c r="Y4135" t="s">
        <v>43</v>
      </c>
      <c r="Z4135">
        <v>18</v>
      </c>
      <c r="AA4135">
        <v>24</v>
      </c>
      <c r="AB4135">
        <v>75</v>
      </c>
    </row>
    <row r="4136" spans="10:28">
      <c r="J4136" s="340" t="str">
        <f t="shared" si="177"/>
        <v>2016AllSexMaori233</v>
      </c>
      <c r="K4136">
        <v>2016</v>
      </c>
      <c r="L4136" t="s">
        <v>17</v>
      </c>
      <c r="M4136" t="s">
        <v>18</v>
      </c>
      <c r="N4136">
        <v>23</v>
      </c>
      <c r="O4136">
        <v>3</v>
      </c>
      <c r="P4136">
        <v>8</v>
      </c>
      <c r="Q4136">
        <v>26.721065036152101</v>
      </c>
      <c r="R4136">
        <v>18.5</v>
      </c>
      <c r="T4136" s="340" t="str">
        <f t="shared" si="178"/>
        <v>2016AllSexMaori25Hanging, strangulation and suffocation</v>
      </c>
      <c r="U4136">
        <v>2016</v>
      </c>
      <c r="V4136" t="s">
        <v>17</v>
      </c>
      <c r="W4136" t="s">
        <v>18</v>
      </c>
      <c r="X4136">
        <v>25</v>
      </c>
      <c r="Y4136" t="s">
        <v>43</v>
      </c>
      <c r="Z4136">
        <v>3</v>
      </c>
      <c r="AA4136">
        <v>3</v>
      </c>
      <c r="AB4136">
        <v>100</v>
      </c>
    </row>
    <row r="4137" spans="10:28">
      <c r="J4137" s="340" t="str">
        <f t="shared" si="177"/>
        <v>2016AllSexMaori234</v>
      </c>
      <c r="K4137">
        <v>2016</v>
      </c>
      <c r="L4137" t="s">
        <v>17</v>
      </c>
      <c r="M4137" t="s">
        <v>18</v>
      </c>
      <c r="N4137">
        <v>23</v>
      </c>
      <c r="O4137">
        <v>4</v>
      </c>
      <c r="P4137">
        <v>15</v>
      </c>
      <c r="Q4137">
        <v>36.2184394729817</v>
      </c>
      <c r="R4137">
        <v>18.3</v>
      </c>
      <c r="T4137" s="340" t="str">
        <f t="shared" si="178"/>
        <v>2016AllSexMaori22Jumping from a high place</v>
      </c>
      <c r="U4137">
        <v>2016</v>
      </c>
      <c r="V4137" t="s">
        <v>17</v>
      </c>
      <c r="W4137" t="s">
        <v>18</v>
      </c>
      <c r="X4137">
        <v>22</v>
      </c>
      <c r="Y4137" t="s">
        <v>44</v>
      </c>
      <c r="Z4137">
        <v>1</v>
      </c>
      <c r="AA4137">
        <v>45</v>
      </c>
      <c r="AB4137">
        <v>2.2000000000000002</v>
      </c>
    </row>
    <row r="4138" spans="10:28">
      <c r="J4138" s="340" t="str">
        <f t="shared" si="177"/>
        <v>2016AllSexMaori235</v>
      </c>
      <c r="K4138">
        <v>2016</v>
      </c>
      <c r="L4138" t="s">
        <v>17</v>
      </c>
      <c r="M4138" t="s">
        <v>18</v>
      </c>
      <c r="N4138">
        <v>23</v>
      </c>
      <c r="O4138">
        <v>5</v>
      </c>
      <c r="P4138">
        <v>31</v>
      </c>
      <c r="Q4138">
        <v>46.219052971393701</v>
      </c>
      <c r="R4138">
        <v>16.3</v>
      </c>
      <c r="T4138" s="340" t="str">
        <f t="shared" si="178"/>
        <v>2016AllSexMaori23Jumping from a high place</v>
      </c>
      <c r="U4138">
        <v>2016</v>
      </c>
      <c r="V4138" t="s">
        <v>17</v>
      </c>
      <c r="W4138" t="s">
        <v>18</v>
      </c>
      <c r="X4138">
        <v>23</v>
      </c>
      <c r="Y4138" t="s">
        <v>44</v>
      </c>
      <c r="Z4138">
        <v>3</v>
      </c>
      <c r="AA4138">
        <v>59</v>
      </c>
      <c r="AB4138">
        <v>5.0999999999999996</v>
      </c>
    </row>
    <row r="4139" spans="10:28">
      <c r="J4139" s="340" t="str">
        <f t="shared" si="177"/>
        <v>2016AllSexMaori241</v>
      </c>
      <c r="K4139">
        <v>2016</v>
      </c>
      <c r="L4139" t="s">
        <v>17</v>
      </c>
      <c r="M4139" t="s">
        <v>18</v>
      </c>
      <c r="N4139">
        <v>24</v>
      </c>
      <c r="O4139">
        <v>1</v>
      </c>
      <c r="P4139">
        <v>0</v>
      </c>
      <c r="Q4139">
        <v>0</v>
      </c>
      <c r="T4139" s="340" t="str">
        <f t="shared" si="178"/>
        <v>2016AllSexMaori22Other</v>
      </c>
      <c r="U4139">
        <v>2016</v>
      </c>
      <c r="V4139" t="s">
        <v>17</v>
      </c>
      <c r="W4139" t="s">
        <v>18</v>
      </c>
      <c r="X4139">
        <v>22</v>
      </c>
      <c r="Y4139" t="s">
        <v>45</v>
      </c>
      <c r="Z4139">
        <v>1</v>
      </c>
      <c r="AA4139">
        <v>45</v>
      </c>
      <c r="AB4139">
        <v>2.2000000000000002</v>
      </c>
    </row>
    <row r="4140" spans="10:28">
      <c r="J4140" s="340" t="str">
        <f t="shared" si="177"/>
        <v>2016AllSexMaori242</v>
      </c>
      <c r="K4140">
        <v>2016</v>
      </c>
      <c r="L4140" t="s">
        <v>17</v>
      </c>
      <c r="M4140" t="s">
        <v>18</v>
      </c>
      <c r="N4140">
        <v>24</v>
      </c>
      <c r="O4140">
        <v>2</v>
      </c>
      <c r="P4140">
        <v>0</v>
      </c>
      <c r="Q4140">
        <v>0</v>
      </c>
      <c r="T4140" s="340" t="str">
        <f t="shared" si="178"/>
        <v>2016AllSexMaori23Other</v>
      </c>
      <c r="U4140">
        <v>2016</v>
      </c>
      <c r="V4140" t="s">
        <v>17</v>
      </c>
      <c r="W4140" t="s">
        <v>18</v>
      </c>
      <c r="X4140">
        <v>23</v>
      </c>
      <c r="Y4140" t="s">
        <v>45</v>
      </c>
      <c r="Z4140">
        <v>1</v>
      </c>
      <c r="AA4140">
        <v>59</v>
      </c>
      <c r="AB4140">
        <v>1.7</v>
      </c>
    </row>
    <row r="4141" spans="10:28">
      <c r="J4141" s="340" t="str">
        <f t="shared" si="177"/>
        <v>2016AllSexMaori243</v>
      </c>
      <c r="K4141">
        <v>2016</v>
      </c>
      <c r="L4141" t="s">
        <v>17</v>
      </c>
      <c r="M4141" t="s">
        <v>18</v>
      </c>
      <c r="N4141">
        <v>24</v>
      </c>
      <c r="O4141">
        <v>3</v>
      </c>
      <c r="P4141">
        <v>7</v>
      </c>
      <c r="Q4141">
        <v>31.372220513323999</v>
      </c>
      <c r="R4141">
        <v>23.2</v>
      </c>
      <c r="T4141" s="340" t="str">
        <f t="shared" si="178"/>
        <v>2016AllSexMaori22Poisoning by gases and vapours</v>
      </c>
      <c r="U4141">
        <v>2016</v>
      </c>
      <c r="V4141" t="s">
        <v>17</v>
      </c>
      <c r="W4141" t="s">
        <v>18</v>
      </c>
      <c r="X4141">
        <v>22</v>
      </c>
      <c r="Y4141" t="s">
        <v>46</v>
      </c>
      <c r="Z4141">
        <v>2</v>
      </c>
      <c r="AA4141">
        <v>45</v>
      </c>
      <c r="AB4141">
        <v>4.4000000000000004</v>
      </c>
    </row>
    <row r="4142" spans="10:28">
      <c r="J4142" s="340" t="str">
        <f t="shared" si="177"/>
        <v>2016AllSexMaori244</v>
      </c>
      <c r="K4142">
        <v>2016</v>
      </c>
      <c r="L4142" t="s">
        <v>17</v>
      </c>
      <c r="M4142" t="s">
        <v>18</v>
      </c>
      <c r="N4142">
        <v>24</v>
      </c>
      <c r="O4142">
        <v>4</v>
      </c>
      <c r="P4142">
        <v>3</v>
      </c>
      <c r="Q4142">
        <v>9.6671604925156096</v>
      </c>
      <c r="R4142">
        <v>10.9</v>
      </c>
      <c r="T4142" s="340" t="str">
        <f t="shared" si="178"/>
        <v>2016AllSexMaori23Poisoning by gases and vapours</v>
      </c>
      <c r="U4142">
        <v>2016</v>
      </c>
      <c r="V4142" t="s">
        <v>17</v>
      </c>
      <c r="W4142" t="s">
        <v>18</v>
      </c>
      <c r="X4142">
        <v>23</v>
      </c>
      <c r="Y4142" t="s">
        <v>46</v>
      </c>
      <c r="Z4142">
        <v>1</v>
      </c>
      <c r="AA4142">
        <v>59</v>
      </c>
      <c r="AB4142">
        <v>1.7</v>
      </c>
    </row>
    <row r="4143" spans="10:28">
      <c r="J4143" s="340" t="str">
        <f t="shared" si="177"/>
        <v>2016AllSexMaori245</v>
      </c>
      <c r="K4143">
        <v>2016</v>
      </c>
      <c r="L4143" t="s">
        <v>17</v>
      </c>
      <c r="M4143" t="s">
        <v>18</v>
      </c>
      <c r="N4143">
        <v>24</v>
      </c>
      <c r="O4143">
        <v>5</v>
      </c>
      <c r="P4143">
        <v>14</v>
      </c>
      <c r="Q4143">
        <v>25.8237446635815</v>
      </c>
      <c r="R4143">
        <v>13.5</v>
      </c>
      <c r="T4143" s="340" t="str">
        <f t="shared" si="178"/>
        <v>2016AllSexMaori23Poisoning by solids and liquids</v>
      </c>
      <c r="U4143">
        <v>2016</v>
      </c>
      <c r="V4143" t="s">
        <v>17</v>
      </c>
      <c r="W4143" t="s">
        <v>18</v>
      </c>
      <c r="X4143">
        <v>23</v>
      </c>
      <c r="Y4143" t="s">
        <v>47</v>
      </c>
      <c r="Z4143">
        <v>2</v>
      </c>
      <c r="AA4143">
        <v>59</v>
      </c>
      <c r="AB4143">
        <v>3.4</v>
      </c>
    </row>
    <row r="4144" spans="10:28">
      <c r="J4144" s="340" t="str">
        <f t="shared" si="177"/>
        <v>2016AllSexMaori251</v>
      </c>
      <c r="K4144">
        <v>2016</v>
      </c>
      <c r="L4144" t="s">
        <v>17</v>
      </c>
      <c r="M4144" t="s">
        <v>18</v>
      </c>
      <c r="N4144">
        <v>25</v>
      </c>
      <c r="O4144">
        <v>1</v>
      </c>
      <c r="P4144">
        <v>0</v>
      </c>
      <c r="Q4144">
        <v>0</v>
      </c>
      <c r="T4144" s="340" t="str">
        <f t="shared" si="178"/>
        <v>2016AllSexMaori24Poisoning by solids and liquids</v>
      </c>
      <c r="U4144">
        <v>2016</v>
      </c>
      <c r="V4144" t="s">
        <v>17</v>
      </c>
      <c r="W4144" t="s">
        <v>18</v>
      </c>
      <c r="X4144">
        <v>24</v>
      </c>
      <c r="Y4144" t="s">
        <v>47</v>
      </c>
      <c r="Z4144">
        <v>6</v>
      </c>
      <c r="AA4144">
        <v>24</v>
      </c>
      <c r="AB4144">
        <v>25</v>
      </c>
    </row>
    <row r="4145" spans="10:28">
      <c r="J4145" s="340" t="str">
        <f t="shared" si="177"/>
        <v>2016AllSexMaori252</v>
      </c>
      <c r="K4145">
        <v>2016</v>
      </c>
      <c r="L4145" t="s">
        <v>17</v>
      </c>
      <c r="M4145" t="s">
        <v>18</v>
      </c>
      <c r="N4145">
        <v>25</v>
      </c>
      <c r="O4145">
        <v>2</v>
      </c>
      <c r="P4145">
        <v>0</v>
      </c>
      <c r="Q4145">
        <v>0</v>
      </c>
      <c r="T4145" s="340" t="str">
        <f t="shared" si="178"/>
        <v>2016AllSexMaori23Sharp object</v>
      </c>
      <c r="U4145">
        <v>2016</v>
      </c>
      <c r="V4145" t="s">
        <v>17</v>
      </c>
      <c r="W4145" t="s">
        <v>18</v>
      </c>
      <c r="X4145">
        <v>23</v>
      </c>
      <c r="Y4145" t="s">
        <v>48</v>
      </c>
      <c r="Z4145">
        <v>1</v>
      </c>
      <c r="AA4145">
        <v>59</v>
      </c>
      <c r="AB4145">
        <v>1.7</v>
      </c>
    </row>
    <row r="4146" spans="10:28">
      <c r="J4146" s="340" t="str">
        <f t="shared" si="177"/>
        <v>2016AllSexMaori253</v>
      </c>
      <c r="K4146">
        <v>2016</v>
      </c>
      <c r="L4146" t="s">
        <v>17</v>
      </c>
      <c r="M4146" t="s">
        <v>18</v>
      </c>
      <c r="N4146">
        <v>25</v>
      </c>
      <c r="O4146">
        <v>3</v>
      </c>
      <c r="P4146">
        <v>0</v>
      </c>
      <c r="Q4146">
        <v>0</v>
      </c>
      <c r="T4146" s="340" t="str">
        <f t="shared" si="178"/>
        <v>2016AllSexNon-Maori22Firearms and explosives</v>
      </c>
      <c r="U4146">
        <v>2016</v>
      </c>
      <c r="V4146" t="s">
        <v>17</v>
      </c>
      <c r="W4146" t="s">
        <v>19</v>
      </c>
      <c r="X4146">
        <v>22</v>
      </c>
      <c r="Y4146" t="s">
        <v>42</v>
      </c>
      <c r="Z4146">
        <v>2</v>
      </c>
      <c r="AA4146">
        <v>67</v>
      </c>
      <c r="AB4146">
        <v>3</v>
      </c>
    </row>
    <row r="4147" spans="10:28">
      <c r="J4147" s="340" t="str">
        <f t="shared" si="177"/>
        <v>2016AllSexMaori254</v>
      </c>
      <c r="K4147">
        <v>2016</v>
      </c>
      <c r="L4147" t="s">
        <v>17</v>
      </c>
      <c r="M4147" t="s">
        <v>18</v>
      </c>
      <c r="N4147">
        <v>25</v>
      </c>
      <c r="O4147">
        <v>4</v>
      </c>
      <c r="P4147">
        <v>0</v>
      </c>
      <c r="Q4147">
        <v>0</v>
      </c>
      <c r="T4147" s="340" t="str">
        <f t="shared" si="178"/>
        <v>2016AllSexNon-Maori23Firearms and explosives</v>
      </c>
      <c r="U4147">
        <v>2016</v>
      </c>
      <c r="V4147" t="s">
        <v>17</v>
      </c>
      <c r="W4147" t="s">
        <v>19</v>
      </c>
      <c r="X4147">
        <v>23</v>
      </c>
      <c r="Y4147" t="s">
        <v>42</v>
      </c>
      <c r="Z4147">
        <v>8</v>
      </c>
      <c r="AA4147">
        <v>141</v>
      </c>
      <c r="AB4147">
        <v>5.7</v>
      </c>
    </row>
    <row r="4148" spans="10:28">
      <c r="J4148" s="340" t="str">
        <f t="shared" si="177"/>
        <v>2016AllSexMaori255</v>
      </c>
      <c r="K4148">
        <v>2016</v>
      </c>
      <c r="L4148" t="s">
        <v>17</v>
      </c>
      <c r="M4148" t="s">
        <v>18</v>
      </c>
      <c r="N4148">
        <v>25</v>
      </c>
      <c r="O4148">
        <v>5</v>
      </c>
      <c r="P4148">
        <v>3</v>
      </c>
      <c r="Q4148">
        <v>16.1319614100079</v>
      </c>
      <c r="R4148">
        <v>18.3</v>
      </c>
      <c r="T4148" s="340" t="str">
        <f t="shared" si="178"/>
        <v>2016AllSexNon-Maori24Firearms and explosives</v>
      </c>
      <c r="U4148">
        <v>2016</v>
      </c>
      <c r="V4148" t="s">
        <v>17</v>
      </c>
      <c r="W4148" t="s">
        <v>19</v>
      </c>
      <c r="X4148">
        <v>24</v>
      </c>
      <c r="Y4148" t="s">
        <v>42</v>
      </c>
      <c r="Z4148">
        <v>15</v>
      </c>
      <c r="AA4148">
        <v>147</v>
      </c>
      <c r="AB4148">
        <v>10.199999999999999</v>
      </c>
    </row>
    <row r="4149" spans="10:28">
      <c r="J4149" s="340" t="str">
        <f t="shared" si="177"/>
        <v>2016AllSexNon-Maori211</v>
      </c>
      <c r="K4149">
        <v>2016</v>
      </c>
      <c r="L4149" t="s">
        <v>17</v>
      </c>
      <c r="M4149" t="s">
        <v>19</v>
      </c>
      <c r="N4149">
        <v>21</v>
      </c>
      <c r="O4149">
        <v>1</v>
      </c>
      <c r="P4149">
        <v>2</v>
      </c>
      <c r="Q4149">
        <v>1.23162926798227</v>
      </c>
      <c r="R4149">
        <v>1.7</v>
      </c>
      <c r="T4149" s="340" t="str">
        <f t="shared" si="178"/>
        <v>2016AllSexNon-Maori25Firearms and explosives</v>
      </c>
      <c r="U4149">
        <v>2016</v>
      </c>
      <c r="V4149" t="s">
        <v>17</v>
      </c>
      <c r="W4149" t="s">
        <v>19</v>
      </c>
      <c r="X4149">
        <v>25</v>
      </c>
      <c r="Y4149" t="s">
        <v>42</v>
      </c>
      <c r="Z4149">
        <v>6</v>
      </c>
      <c r="AA4149">
        <v>60</v>
      </c>
      <c r="AB4149">
        <v>10</v>
      </c>
    </row>
    <row r="4150" spans="10:28">
      <c r="J4150" s="340" t="str">
        <f t="shared" si="177"/>
        <v>2016AllSexNon-Maori212</v>
      </c>
      <c r="K4150">
        <v>2016</v>
      </c>
      <c r="L4150" t="s">
        <v>17</v>
      </c>
      <c r="M4150" t="s">
        <v>19</v>
      </c>
      <c r="N4150">
        <v>21</v>
      </c>
      <c r="O4150">
        <v>2</v>
      </c>
      <c r="P4150">
        <v>0</v>
      </c>
      <c r="Q4150">
        <v>0</v>
      </c>
      <c r="T4150" s="340" t="str">
        <f t="shared" si="178"/>
        <v>2016AllSexNon-Maori21Hanging, strangulation and suffocation</v>
      </c>
      <c r="U4150">
        <v>2016</v>
      </c>
      <c r="V4150" t="s">
        <v>17</v>
      </c>
      <c r="W4150" t="s">
        <v>19</v>
      </c>
      <c r="X4150">
        <v>21</v>
      </c>
      <c r="Y4150" t="s">
        <v>43</v>
      </c>
      <c r="Z4150">
        <v>4</v>
      </c>
      <c r="AA4150">
        <v>4</v>
      </c>
      <c r="AB4150">
        <v>100</v>
      </c>
    </row>
    <row r="4151" spans="10:28">
      <c r="J4151" s="340" t="str">
        <f t="shared" si="177"/>
        <v>2016AllSexNon-Maori213</v>
      </c>
      <c r="K4151">
        <v>2016</v>
      </c>
      <c r="L4151" t="s">
        <v>17</v>
      </c>
      <c r="M4151" t="s">
        <v>19</v>
      </c>
      <c r="N4151">
        <v>21</v>
      </c>
      <c r="O4151">
        <v>3</v>
      </c>
      <c r="P4151">
        <v>0</v>
      </c>
      <c r="Q4151">
        <v>0</v>
      </c>
      <c r="T4151" s="340" t="str">
        <f t="shared" si="178"/>
        <v>2016AllSexNon-Maori22Hanging, strangulation and suffocation</v>
      </c>
      <c r="U4151">
        <v>2016</v>
      </c>
      <c r="V4151" t="s">
        <v>17</v>
      </c>
      <c r="W4151" t="s">
        <v>19</v>
      </c>
      <c r="X4151">
        <v>22</v>
      </c>
      <c r="Y4151" t="s">
        <v>43</v>
      </c>
      <c r="Z4151">
        <v>46</v>
      </c>
      <c r="AA4151">
        <v>67</v>
      </c>
      <c r="AB4151">
        <v>68.7</v>
      </c>
    </row>
    <row r="4152" spans="10:28">
      <c r="J4152" s="340" t="str">
        <f t="shared" si="177"/>
        <v>2016AllSexNon-Maori214</v>
      </c>
      <c r="K4152">
        <v>2016</v>
      </c>
      <c r="L4152" t="s">
        <v>17</v>
      </c>
      <c r="M4152" t="s">
        <v>19</v>
      </c>
      <c r="N4152">
        <v>21</v>
      </c>
      <c r="O4152">
        <v>4</v>
      </c>
      <c r="P4152">
        <v>1</v>
      </c>
      <c r="Q4152">
        <v>0.832688725587857</v>
      </c>
      <c r="R4152">
        <v>1.6</v>
      </c>
      <c r="T4152" s="340" t="str">
        <f t="shared" si="178"/>
        <v>2016AllSexNon-Maori23Hanging, strangulation and suffocation</v>
      </c>
      <c r="U4152">
        <v>2016</v>
      </c>
      <c r="V4152" t="s">
        <v>17</v>
      </c>
      <c r="W4152" t="s">
        <v>19</v>
      </c>
      <c r="X4152">
        <v>23</v>
      </c>
      <c r="Y4152" t="s">
        <v>43</v>
      </c>
      <c r="Z4152">
        <v>95</v>
      </c>
      <c r="AA4152">
        <v>141</v>
      </c>
      <c r="AB4152">
        <v>67.400000000000006</v>
      </c>
    </row>
    <row r="4153" spans="10:28">
      <c r="J4153" s="340" t="str">
        <f t="shared" si="177"/>
        <v>2016AllSexNon-Maori215</v>
      </c>
      <c r="K4153">
        <v>2016</v>
      </c>
      <c r="L4153" t="s">
        <v>17</v>
      </c>
      <c r="M4153" t="s">
        <v>19</v>
      </c>
      <c r="N4153">
        <v>21</v>
      </c>
      <c r="O4153">
        <v>5</v>
      </c>
      <c r="P4153">
        <v>1</v>
      </c>
      <c r="Q4153">
        <v>0.83777820066666098</v>
      </c>
      <c r="R4153">
        <v>1.6</v>
      </c>
      <c r="T4153" s="340" t="str">
        <f t="shared" si="178"/>
        <v>2016AllSexNon-Maori24Hanging, strangulation and suffocation</v>
      </c>
      <c r="U4153">
        <v>2016</v>
      </c>
      <c r="V4153" t="s">
        <v>17</v>
      </c>
      <c r="W4153" t="s">
        <v>19</v>
      </c>
      <c r="X4153">
        <v>24</v>
      </c>
      <c r="Y4153" t="s">
        <v>43</v>
      </c>
      <c r="Z4153">
        <v>81</v>
      </c>
      <c r="AA4153">
        <v>147</v>
      </c>
      <c r="AB4153">
        <v>55.1</v>
      </c>
    </row>
    <row r="4154" spans="10:28">
      <c r="J4154" s="340" t="str">
        <f t="shared" si="177"/>
        <v>2016AllSexNon-Maori221</v>
      </c>
      <c r="K4154">
        <v>2016</v>
      </c>
      <c r="L4154" t="s">
        <v>17</v>
      </c>
      <c r="M4154" t="s">
        <v>19</v>
      </c>
      <c r="N4154">
        <v>22</v>
      </c>
      <c r="O4154">
        <v>1</v>
      </c>
      <c r="P4154">
        <v>15</v>
      </c>
      <c r="Q4154">
        <v>14.346037196299299</v>
      </c>
      <c r="R4154">
        <v>7.3</v>
      </c>
      <c r="T4154" s="340" t="str">
        <f t="shared" si="178"/>
        <v>2016AllSexNon-Maori25Hanging, strangulation and suffocation</v>
      </c>
      <c r="U4154">
        <v>2016</v>
      </c>
      <c r="V4154" t="s">
        <v>17</v>
      </c>
      <c r="W4154" t="s">
        <v>19</v>
      </c>
      <c r="X4154">
        <v>25</v>
      </c>
      <c r="Y4154" t="s">
        <v>43</v>
      </c>
      <c r="Z4154">
        <v>22</v>
      </c>
      <c r="AA4154">
        <v>60</v>
      </c>
      <c r="AB4154">
        <v>36.700000000000003</v>
      </c>
    </row>
    <row r="4155" spans="10:28">
      <c r="J4155" s="340" t="str">
        <f t="shared" si="177"/>
        <v>2016AllSexNon-Maori222</v>
      </c>
      <c r="K4155">
        <v>2016</v>
      </c>
      <c r="L4155" t="s">
        <v>17</v>
      </c>
      <c r="M4155" t="s">
        <v>19</v>
      </c>
      <c r="N4155">
        <v>22</v>
      </c>
      <c r="O4155">
        <v>2</v>
      </c>
      <c r="P4155">
        <v>10</v>
      </c>
      <c r="Q4155">
        <v>9.7037449983958108</v>
      </c>
      <c r="R4155">
        <v>6</v>
      </c>
      <c r="T4155" s="340" t="str">
        <f t="shared" si="178"/>
        <v>2016AllSexNon-Maori22Jumping from a high place</v>
      </c>
      <c r="U4155">
        <v>2016</v>
      </c>
      <c r="V4155" t="s">
        <v>17</v>
      </c>
      <c r="W4155" t="s">
        <v>19</v>
      </c>
      <c r="X4155">
        <v>22</v>
      </c>
      <c r="Y4155" t="s">
        <v>44</v>
      </c>
      <c r="Z4155">
        <v>5</v>
      </c>
      <c r="AA4155">
        <v>67</v>
      </c>
      <c r="AB4155">
        <v>7.5</v>
      </c>
    </row>
    <row r="4156" spans="10:28">
      <c r="J4156" s="340" t="str">
        <f t="shared" si="177"/>
        <v>2016AllSexNon-Maori223</v>
      </c>
      <c r="K4156">
        <v>2016</v>
      </c>
      <c r="L4156" t="s">
        <v>17</v>
      </c>
      <c r="M4156" t="s">
        <v>19</v>
      </c>
      <c r="N4156">
        <v>22</v>
      </c>
      <c r="O4156">
        <v>3</v>
      </c>
      <c r="P4156">
        <v>9</v>
      </c>
      <c r="Q4156">
        <v>8.6631874577235894</v>
      </c>
      <c r="R4156">
        <v>5.7</v>
      </c>
      <c r="T4156" s="340" t="str">
        <f t="shared" si="178"/>
        <v>2016AllSexNon-Maori23Jumping from a high place</v>
      </c>
      <c r="U4156">
        <v>2016</v>
      </c>
      <c r="V4156" t="s">
        <v>17</v>
      </c>
      <c r="W4156" t="s">
        <v>19</v>
      </c>
      <c r="X4156">
        <v>23</v>
      </c>
      <c r="Y4156" t="s">
        <v>44</v>
      </c>
      <c r="Z4156">
        <v>10</v>
      </c>
      <c r="AA4156">
        <v>141</v>
      </c>
      <c r="AB4156">
        <v>7.1</v>
      </c>
    </row>
    <row r="4157" spans="10:28">
      <c r="J4157" s="340" t="str">
        <f t="shared" si="177"/>
        <v>2016AllSexNon-Maori224</v>
      </c>
      <c r="K4157">
        <v>2016</v>
      </c>
      <c r="L4157" t="s">
        <v>17</v>
      </c>
      <c r="M4157" t="s">
        <v>19</v>
      </c>
      <c r="N4157">
        <v>22</v>
      </c>
      <c r="O4157">
        <v>4</v>
      </c>
      <c r="P4157">
        <v>22</v>
      </c>
      <c r="Q4157">
        <v>19.982913266788199</v>
      </c>
      <c r="R4157">
        <v>8.4</v>
      </c>
      <c r="T4157" s="340" t="str">
        <f t="shared" si="178"/>
        <v>2016AllSexNon-Maori24Jumping from a high place</v>
      </c>
      <c r="U4157">
        <v>2016</v>
      </c>
      <c r="V4157" t="s">
        <v>17</v>
      </c>
      <c r="W4157" t="s">
        <v>19</v>
      </c>
      <c r="X4157">
        <v>24</v>
      </c>
      <c r="Y4157" t="s">
        <v>44</v>
      </c>
      <c r="Z4157">
        <v>4</v>
      </c>
      <c r="AA4157">
        <v>147</v>
      </c>
      <c r="AB4157">
        <v>2.7</v>
      </c>
    </row>
    <row r="4158" spans="10:28">
      <c r="J4158" s="340" t="str">
        <f t="shared" si="177"/>
        <v>2016AllSexNon-Maori225</v>
      </c>
      <c r="K4158">
        <v>2016</v>
      </c>
      <c r="L4158" t="s">
        <v>17</v>
      </c>
      <c r="M4158" t="s">
        <v>19</v>
      </c>
      <c r="N4158">
        <v>22</v>
      </c>
      <c r="O4158">
        <v>5</v>
      </c>
      <c r="P4158">
        <v>10</v>
      </c>
      <c r="Q4158">
        <v>9.3617117405680208</v>
      </c>
      <c r="R4158">
        <v>5.8</v>
      </c>
      <c r="T4158" s="340" t="str">
        <f t="shared" si="178"/>
        <v>2016AllSexNon-Maori25Jumping from a high place</v>
      </c>
      <c r="U4158">
        <v>2016</v>
      </c>
      <c r="V4158" t="s">
        <v>17</v>
      </c>
      <c r="W4158" t="s">
        <v>19</v>
      </c>
      <c r="X4158">
        <v>25</v>
      </c>
      <c r="Y4158" t="s">
        <v>44</v>
      </c>
      <c r="Z4158">
        <v>1</v>
      </c>
      <c r="AA4158">
        <v>60</v>
      </c>
      <c r="AB4158">
        <v>1.7</v>
      </c>
    </row>
    <row r="4159" spans="10:28">
      <c r="J4159" s="340" t="str">
        <f t="shared" si="177"/>
        <v>2016AllSexNon-Maori231</v>
      </c>
      <c r="K4159">
        <v>2016</v>
      </c>
      <c r="L4159" t="s">
        <v>17</v>
      </c>
      <c r="M4159" t="s">
        <v>19</v>
      </c>
      <c r="N4159">
        <v>23</v>
      </c>
      <c r="O4159">
        <v>1</v>
      </c>
      <c r="P4159">
        <v>14</v>
      </c>
      <c r="Q4159">
        <v>6.5957341401883198</v>
      </c>
      <c r="R4159">
        <v>3.5</v>
      </c>
      <c r="T4159" s="340" t="str">
        <f t="shared" si="178"/>
        <v>2016AllSexNon-Maori22Other</v>
      </c>
      <c r="U4159">
        <v>2016</v>
      </c>
      <c r="V4159" t="s">
        <v>17</v>
      </c>
      <c r="W4159" t="s">
        <v>19</v>
      </c>
      <c r="X4159">
        <v>22</v>
      </c>
      <c r="Y4159" t="s">
        <v>45</v>
      </c>
      <c r="Z4159">
        <v>6</v>
      </c>
      <c r="AA4159">
        <v>67</v>
      </c>
      <c r="AB4159">
        <v>9</v>
      </c>
    </row>
    <row r="4160" spans="10:28">
      <c r="J4160" s="340" t="str">
        <f t="shared" si="177"/>
        <v>2016AllSexNon-Maori232</v>
      </c>
      <c r="K4160">
        <v>2016</v>
      </c>
      <c r="L4160" t="s">
        <v>17</v>
      </c>
      <c r="M4160" t="s">
        <v>19</v>
      </c>
      <c r="N4160">
        <v>23</v>
      </c>
      <c r="O4160">
        <v>2</v>
      </c>
      <c r="P4160">
        <v>18</v>
      </c>
      <c r="Q4160">
        <v>7.8646027950587003</v>
      </c>
      <c r="R4160">
        <v>3.6</v>
      </c>
      <c r="T4160" s="340" t="str">
        <f t="shared" si="178"/>
        <v>2016AllSexNon-Maori23Other</v>
      </c>
      <c r="U4160">
        <v>2016</v>
      </c>
      <c r="V4160" t="s">
        <v>17</v>
      </c>
      <c r="W4160" t="s">
        <v>19</v>
      </c>
      <c r="X4160">
        <v>23</v>
      </c>
      <c r="Y4160" t="s">
        <v>45</v>
      </c>
      <c r="Z4160">
        <v>4</v>
      </c>
      <c r="AA4160">
        <v>141</v>
      </c>
      <c r="AB4160">
        <v>2.8</v>
      </c>
    </row>
    <row r="4161" spans="10:28">
      <c r="J4161" s="340" t="str">
        <f t="shared" si="177"/>
        <v>2016AllSexNon-Maori233</v>
      </c>
      <c r="K4161">
        <v>2016</v>
      </c>
      <c r="L4161" t="s">
        <v>17</v>
      </c>
      <c r="M4161" t="s">
        <v>19</v>
      </c>
      <c r="N4161">
        <v>23</v>
      </c>
      <c r="O4161">
        <v>3</v>
      </c>
      <c r="P4161">
        <v>30</v>
      </c>
      <c r="Q4161">
        <v>13.174981508625301</v>
      </c>
      <c r="R4161">
        <v>4.7</v>
      </c>
      <c r="T4161" s="340" t="str">
        <f t="shared" si="178"/>
        <v>2016AllSexNon-Maori24Other</v>
      </c>
      <c r="U4161">
        <v>2016</v>
      </c>
      <c r="V4161" t="s">
        <v>17</v>
      </c>
      <c r="W4161" t="s">
        <v>19</v>
      </c>
      <c r="X4161">
        <v>24</v>
      </c>
      <c r="Y4161" t="s">
        <v>45</v>
      </c>
      <c r="Z4161">
        <v>6</v>
      </c>
      <c r="AA4161">
        <v>147</v>
      </c>
      <c r="AB4161">
        <v>4.0999999999999996</v>
      </c>
    </row>
    <row r="4162" spans="10:28">
      <c r="J4162" s="340" t="str">
        <f t="shared" si="177"/>
        <v>2016AllSexNon-Maori234</v>
      </c>
      <c r="K4162">
        <v>2016</v>
      </c>
      <c r="L4162" t="s">
        <v>17</v>
      </c>
      <c r="M4162" t="s">
        <v>19</v>
      </c>
      <c r="N4162">
        <v>23</v>
      </c>
      <c r="O4162">
        <v>4</v>
      </c>
      <c r="P4162">
        <v>44</v>
      </c>
      <c r="Q4162">
        <v>20.680970858501301</v>
      </c>
      <c r="R4162">
        <v>6.1</v>
      </c>
      <c r="T4162" s="340" t="str">
        <f t="shared" si="178"/>
        <v>2016AllSexNon-Maori25Other</v>
      </c>
      <c r="U4162">
        <v>2016</v>
      </c>
      <c r="V4162" t="s">
        <v>17</v>
      </c>
      <c r="W4162" t="s">
        <v>19</v>
      </c>
      <c r="X4162">
        <v>25</v>
      </c>
      <c r="Y4162" t="s">
        <v>45</v>
      </c>
      <c r="Z4162">
        <v>2</v>
      </c>
      <c r="AA4162">
        <v>60</v>
      </c>
      <c r="AB4162">
        <v>3.3</v>
      </c>
    </row>
    <row r="4163" spans="10:28">
      <c r="J4163" s="340" t="str">
        <f t="shared" si="177"/>
        <v>2016AllSexNon-Maori235</v>
      </c>
      <c r="K4163">
        <v>2016</v>
      </c>
      <c r="L4163" t="s">
        <v>17</v>
      </c>
      <c r="M4163" t="s">
        <v>19</v>
      </c>
      <c r="N4163">
        <v>23</v>
      </c>
      <c r="O4163">
        <v>5</v>
      </c>
      <c r="P4163">
        <v>34</v>
      </c>
      <c r="Q4163">
        <v>19.773496905502</v>
      </c>
      <c r="R4163">
        <v>6.6</v>
      </c>
      <c r="T4163" s="340" t="str">
        <f t="shared" si="178"/>
        <v>2016AllSexNon-Maori22Poisoning by gases and vapours</v>
      </c>
      <c r="U4163">
        <v>2016</v>
      </c>
      <c r="V4163" t="s">
        <v>17</v>
      </c>
      <c r="W4163" t="s">
        <v>19</v>
      </c>
      <c r="X4163">
        <v>22</v>
      </c>
      <c r="Y4163" t="s">
        <v>46</v>
      </c>
      <c r="Z4163">
        <v>4</v>
      </c>
      <c r="AA4163">
        <v>67</v>
      </c>
      <c r="AB4163">
        <v>6</v>
      </c>
    </row>
    <row r="4164" spans="10:28">
      <c r="J4164" s="340" t="str">
        <f t="shared" ref="J4164:J4227" si="179">K4164&amp;L4164&amp;M4164&amp;N4164&amp;O4164</f>
        <v>2016AllSexNon-Maori241</v>
      </c>
      <c r="K4164">
        <v>2016</v>
      </c>
      <c r="L4164" t="s">
        <v>17</v>
      </c>
      <c r="M4164" t="s">
        <v>19</v>
      </c>
      <c r="N4164">
        <v>24</v>
      </c>
      <c r="O4164">
        <v>1</v>
      </c>
      <c r="P4164">
        <v>28</v>
      </c>
      <c r="Q4164">
        <v>10.3357317946167</v>
      </c>
      <c r="R4164">
        <v>3.8</v>
      </c>
      <c r="T4164" s="340" t="str">
        <f t="shared" si="178"/>
        <v>2016AllSexNon-Maori23Poisoning by gases and vapours</v>
      </c>
      <c r="U4164">
        <v>2016</v>
      </c>
      <c r="V4164" t="s">
        <v>17</v>
      </c>
      <c r="W4164" t="s">
        <v>19</v>
      </c>
      <c r="X4164">
        <v>23</v>
      </c>
      <c r="Y4164" t="s">
        <v>46</v>
      </c>
      <c r="Z4164">
        <v>14</v>
      </c>
      <c r="AA4164">
        <v>141</v>
      </c>
      <c r="AB4164">
        <v>9.9</v>
      </c>
    </row>
    <row r="4165" spans="10:28">
      <c r="J4165" s="340" t="str">
        <f t="shared" si="179"/>
        <v>2016AllSexNon-Maori242</v>
      </c>
      <c r="K4165">
        <v>2016</v>
      </c>
      <c r="L4165" t="s">
        <v>17</v>
      </c>
      <c r="M4165" t="s">
        <v>19</v>
      </c>
      <c r="N4165">
        <v>24</v>
      </c>
      <c r="O4165">
        <v>2</v>
      </c>
      <c r="P4165">
        <v>26</v>
      </c>
      <c r="Q4165">
        <v>10.885936377817</v>
      </c>
      <c r="R4165">
        <v>4.2</v>
      </c>
      <c r="T4165" s="340" t="str">
        <f t="shared" ref="T4165:T4228" si="180">U4165&amp;V4165&amp;W4165&amp;X4165&amp;Y4165</f>
        <v>2016AllSexNon-Maori24Poisoning by gases and vapours</v>
      </c>
      <c r="U4165">
        <v>2016</v>
      </c>
      <c r="V4165" t="s">
        <v>17</v>
      </c>
      <c r="W4165" t="s">
        <v>19</v>
      </c>
      <c r="X4165">
        <v>24</v>
      </c>
      <c r="Y4165" t="s">
        <v>46</v>
      </c>
      <c r="Z4165">
        <v>17</v>
      </c>
      <c r="AA4165">
        <v>147</v>
      </c>
      <c r="AB4165">
        <v>11.6</v>
      </c>
    </row>
    <row r="4166" spans="10:28">
      <c r="J4166" s="340" t="str">
        <f t="shared" si="179"/>
        <v>2016AllSexNon-Maori243</v>
      </c>
      <c r="K4166">
        <v>2016</v>
      </c>
      <c r="L4166" t="s">
        <v>17</v>
      </c>
      <c r="M4166" t="s">
        <v>19</v>
      </c>
      <c r="N4166">
        <v>24</v>
      </c>
      <c r="O4166">
        <v>3</v>
      </c>
      <c r="P4166">
        <v>26</v>
      </c>
      <c r="Q4166">
        <v>12.381104283354</v>
      </c>
      <c r="R4166">
        <v>4.8</v>
      </c>
      <c r="T4166" s="340" t="str">
        <f t="shared" si="180"/>
        <v>2016AllSexNon-Maori25Poisoning by gases and vapours</v>
      </c>
      <c r="U4166">
        <v>2016</v>
      </c>
      <c r="V4166" t="s">
        <v>17</v>
      </c>
      <c r="W4166" t="s">
        <v>19</v>
      </c>
      <c r="X4166">
        <v>25</v>
      </c>
      <c r="Y4166" t="s">
        <v>46</v>
      </c>
      <c r="Z4166">
        <v>6</v>
      </c>
      <c r="AA4166">
        <v>60</v>
      </c>
      <c r="AB4166">
        <v>10</v>
      </c>
    </row>
    <row r="4167" spans="10:28">
      <c r="J4167" s="340" t="str">
        <f t="shared" si="179"/>
        <v>2016AllSexNon-Maori244</v>
      </c>
      <c r="K4167">
        <v>2016</v>
      </c>
      <c r="L4167" t="s">
        <v>17</v>
      </c>
      <c r="M4167" t="s">
        <v>19</v>
      </c>
      <c r="N4167">
        <v>24</v>
      </c>
      <c r="O4167">
        <v>4</v>
      </c>
      <c r="P4167">
        <v>37</v>
      </c>
      <c r="Q4167">
        <v>20.403365733882701</v>
      </c>
      <c r="R4167">
        <v>6.6</v>
      </c>
      <c r="T4167" s="340" t="str">
        <f t="shared" si="180"/>
        <v>2016AllSexNon-Maori22Poisoning by solids and liquids</v>
      </c>
      <c r="U4167">
        <v>2016</v>
      </c>
      <c r="V4167" t="s">
        <v>17</v>
      </c>
      <c r="W4167" t="s">
        <v>19</v>
      </c>
      <c r="X4167">
        <v>22</v>
      </c>
      <c r="Y4167" t="s">
        <v>47</v>
      </c>
      <c r="Z4167">
        <v>3</v>
      </c>
      <c r="AA4167">
        <v>67</v>
      </c>
      <c r="AB4167">
        <v>4.5</v>
      </c>
    </row>
    <row r="4168" spans="10:28">
      <c r="J4168" s="340" t="str">
        <f t="shared" si="179"/>
        <v>2016AllSexNon-Maori245</v>
      </c>
      <c r="K4168">
        <v>2016</v>
      </c>
      <c r="L4168" t="s">
        <v>17</v>
      </c>
      <c r="M4168" t="s">
        <v>19</v>
      </c>
      <c r="N4168">
        <v>24</v>
      </c>
      <c r="O4168">
        <v>5</v>
      </c>
      <c r="P4168">
        <v>30</v>
      </c>
      <c r="Q4168">
        <v>20.8594871912935</v>
      </c>
      <c r="R4168">
        <v>7.5</v>
      </c>
      <c r="T4168" s="340" t="str">
        <f t="shared" si="180"/>
        <v>2016AllSexNon-Maori23Poisoning by solids and liquids</v>
      </c>
      <c r="U4168">
        <v>2016</v>
      </c>
      <c r="V4168" t="s">
        <v>17</v>
      </c>
      <c r="W4168" t="s">
        <v>19</v>
      </c>
      <c r="X4168">
        <v>23</v>
      </c>
      <c r="Y4168" t="s">
        <v>47</v>
      </c>
      <c r="Z4168">
        <v>7</v>
      </c>
      <c r="AA4168">
        <v>141</v>
      </c>
      <c r="AB4168">
        <v>5</v>
      </c>
    </row>
    <row r="4169" spans="10:28">
      <c r="J4169" s="340" t="str">
        <f t="shared" si="179"/>
        <v>2016AllSexNon-Maori251</v>
      </c>
      <c r="K4169">
        <v>2016</v>
      </c>
      <c r="L4169" t="s">
        <v>17</v>
      </c>
      <c r="M4169" t="s">
        <v>19</v>
      </c>
      <c r="N4169">
        <v>25</v>
      </c>
      <c r="O4169">
        <v>1</v>
      </c>
      <c r="P4169">
        <v>11</v>
      </c>
      <c r="Q4169">
        <v>7.8696570914826998</v>
      </c>
      <c r="R4169">
        <v>4.7</v>
      </c>
      <c r="T4169" s="340" t="str">
        <f t="shared" si="180"/>
        <v>2016AllSexNon-Maori24Poisoning by solids and liquids</v>
      </c>
      <c r="U4169">
        <v>2016</v>
      </c>
      <c r="V4169" t="s">
        <v>17</v>
      </c>
      <c r="W4169" t="s">
        <v>19</v>
      </c>
      <c r="X4169">
        <v>24</v>
      </c>
      <c r="Y4169" t="s">
        <v>47</v>
      </c>
      <c r="Z4169">
        <v>17</v>
      </c>
      <c r="AA4169">
        <v>147</v>
      </c>
      <c r="AB4169">
        <v>11.6</v>
      </c>
    </row>
    <row r="4170" spans="10:28">
      <c r="J4170" s="340" t="str">
        <f t="shared" si="179"/>
        <v>2016AllSexNon-Maori252</v>
      </c>
      <c r="K4170">
        <v>2016</v>
      </c>
      <c r="L4170" t="s">
        <v>17</v>
      </c>
      <c r="M4170" t="s">
        <v>19</v>
      </c>
      <c r="N4170">
        <v>25</v>
      </c>
      <c r="O4170">
        <v>2</v>
      </c>
      <c r="P4170">
        <v>11</v>
      </c>
      <c r="Q4170">
        <v>7.8591721899345401</v>
      </c>
      <c r="R4170">
        <v>4.5999999999999996</v>
      </c>
      <c r="T4170" s="340" t="str">
        <f t="shared" si="180"/>
        <v>2016AllSexNon-Maori25Poisoning by solids and liquids</v>
      </c>
      <c r="U4170">
        <v>2016</v>
      </c>
      <c r="V4170" t="s">
        <v>17</v>
      </c>
      <c r="W4170" t="s">
        <v>19</v>
      </c>
      <c r="X4170">
        <v>25</v>
      </c>
      <c r="Y4170" t="s">
        <v>47</v>
      </c>
      <c r="Z4170">
        <v>13</v>
      </c>
      <c r="AA4170">
        <v>60</v>
      </c>
      <c r="AB4170">
        <v>21.7</v>
      </c>
    </row>
    <row r="4171" spans="10:28">
      <c r="J4171" s="340" t="str">
        <f t="shared" si="179"/>
        <v>2016AllSexNon-Maori253</v>
      </c>
      <c r="K4171">
        <v>2016</v>
      </c>
      <c r="L4171" t="s">
        <v>17</v>
      </c>
      <c r="M4171" t="s">
        <v>19</v>
      </c>
      <c r="N4171">
        <v>25</v>
      </c>
      <c r="O4171">
        <v>3</v>
      </c>
      <c r="P4171">
        <v>20</v>
      </c>
      <c r="Q4171">
        <v>14.7038694424841</v>
      </c>
      <c r="R4171">
        <v>6.4</v>
      </c>
      <c r="T4171" s="340" t="str">
        <f t="shared" si="180"/>
        <v>2016AllSexNon-Maori22Sharp object</v>
      </c>
      <c r="U4171">
        <v>2016</v>
      </c>
      <c r="V4171" t="s">
        <v>17</v>
      </c>
      <c r="W4171" t="s">
        <v>19</v>
      </c>
      <c r="X4171">
        <v>22</v>
      </c>
      <c r="Y4171" t="s">
        <v>48</v>
      </c>
      <c r="Z4171">
        <v>1</v>
      </c>
      <c r="AA4171">
        <v>67</v>
      </c>
      <c r="AB4171">
        <v>1.5</v>
      </c>
    </row>
    <row r="4172" spans="10:28">
      <c r="J4172" s="340" t="str">
        <f t="shared" si="179"/>
        <v>2016AllSexNon-Maori254</v>
      </c>
      <c r="K4172">
        <v>2016</v>
      </c>
      <c r="L4172" t="s">
        <v>17</v>
      </c>
      <c r="M4172" t="s">
        <v>19</v>
      </c>
      <c r="N4172">
        <v>25</v>
      </c>
      <c r="O4172">
        <v>4</v>
      </c>
      <c r="P4172">
        <v>11</v>
      </c>
      <c r="Q4172">
        <v>8.2065278778285808</v>
      </c>
      <c r="R4172">
        <v>4.8</v>
      </c>
      <c r="T4172" s="340" t="str">
        <f t="shared" si="180"/>
        <v>2016AllSexNon-Maori23Sharp object</v>
      </c>
      <c r="U4172">
        <v>2016</v>
      </c>
      <c r="V4172" t="s">
        <v>17</v>
      </c>
      <c r="W4172" t="s">
        <v>19</v>
      </c>
      <c r="X4172">
        <v>23</v>
      </c>
      <c r="Y4172" t="s">
        <v>48</v>
      </c>
      <c r="Z4172">
        <v>1</v>
      </c>
      <c r="AA4172">
        <v>141</v>
      </c>
      <c r="AB4172">
        <v>0.7</v>
      </c>
    </row>
    <row r="4173" spans="10:28">
      <c r="J4173" s="340" t="str">
        <f t="shared" si="179"/>
        <v>2016AllSexNon-Maori255</v>
      </c>
      <c r="K4173">
        <v>2016</v>
      </c>
      <c r="L4173" t="s">
        <v>17</v>
      </c>
      <c r="M4173" t="s">
        <v>19</v>
      </c>
      <c r="N4173">
        <v>25</v>
      </c>
      <c r="O4173">
        <v>5</v>
      </c>
      <c r="P4173">
        <v>7</v>
      </c>
      <c r="Q4173">
        <v>7.0074052532308899</v>
      </c>
      <c r="R4173">
        <v>5.2</v>
      </c>
      <c r="T4173" s="340" t="str">
        <f t="shared" si="180"/>
        <v>2016AllSexNon-Maori24Sharp object</v>
      </c>
      <c r="U4173">
        <v>2016</v>
      </c>
      <c r="V4173" t="s">
        <v>17</v>
      </c>
      <c r="W4173" t="s">
        <v>19</v>
      </c>
      <c r="X4173">
        <v>24</v>
      </c>
      <c r="Y4173" t="s">
        <v>48</v>
      </c>
      <c r="Z4173">
        <v>4</v>
      </c>
      <c r="AA4173">
        <v>147</v>
      </c>
      <c r="AB4173">
        <v>2.7</v>
      </c>
    </row>
    <row r="4174" spans="10:28">
      <c r="J4174" s="340" t="str">
        <f t="shared" si="179"/>
        <v>2016FemaleAllEth211</v>
      </c>
      <c r="K4174">
        <v>2016</v>
      </c>
      <c r="L4174" t="s">
        <v>8</v>
      </c>
      <c r="M4174" t="s">
        <v>27</v>
      </c>
      <c r="N4174">
        <v>21</v>
      </c>
      <c r="O4174">
        <v>1</v>
      </c>
      <c r="P4174">
        <v>0</v>
      </c>
      <c r="Q4174">
        <v>0</v>
      </c>
      <c r="T4174" s="340" t="str">
        <f t="shared" si="180"/>
        <v>2016AllSexNon-Maori25Sharp object</v>
      </c>
      <c r="U4174">
        <v>2016</v>
      </c>
      <c r="V4174" t="s">
        <v>17</v>
      </c>
      <c r="W4174" t="s">
        <v>19</v>
      </c>
      <c r="X4174">
        <v>25</v>
      </c>
      <c r="Y4174" t="s">
        <v>48</v>
      </c>
      <c r="Z4174">
        <v>3</v>
      </c>
      <c r="AA4174">
        <v>60</v>
      </c>
      <c r="AB4174">
        <v>5</v>
      </c>
    </row>
    <row r="4175" spans="10:28">
      <c r="J4175" s="340" t="str">
        <f t="shared" si="179"/>
        <v>2016FemaleAllEth212</v>
      </c>
      <c r="K4175">
        <v>2016</v>
      </c>
      <c r="L4175" t="s">
        <v>8</v>
      </c>
      <c r="M4175" t="s">
        <v>27</v>
      </c>
      <c r="N4175">
        <v>21</v>
      </c>
      <c r="O4175">
        <v>2</v>
      </c>
      <c r="P4175">
        <v>0</v>
      </c>
      <c r="Q4175">
        <v>0</v>
      </c>
      <c r="T4175" s="340" t="str">
        <f t="shared" si="180"/>
        <v>2016AllSexNon-Maori23Submersion (drowning)</v>
      </c>
      <c r="U4175">
        <v>2016</v>
      </c>
      <c r="V4175" t="s">
        <v>17</v>
      </c>
      <c r="W4175" t="s">
        <v>19</v>
      </c>
      <c r="X4175">
        <v>23</v>
      </c>
      <c r="Y4175" t="s">
        <v>49</v>
      </c>
      <c r="Z4175">
        <v>2</v>
      </c>
      <c r="AA4175">
        <v>141</v>
      </c>
      <c r="AB4175">
        <v>1.4</v>
      </c>
    </row>
    <row r="4176" spans="10:28">
      <c r="J4176" s="340" t="str">
        <f t="shared" si="179"/>
        <v>2016FemaleAllEth213</v>
      </c>
      <c r="K4176">
        <v>2016</v>
      </c>
      <c r="L4176" t="s">
        <v>8</v>
      </c>
      <c r="M4176" t="s">
        <v>27</v>
      </c>
      <c r="N4176">
        <v>21</v>
      </c>
      <c r="O4176">
        <v>3</v>
      </c>
      <c r="P4176">
        <v>1</v>
      </c>
      <c r="Q4176">
        <v>1.1932233614929899</v>
      </c>
      <c r="R4176">
        <v>2.2999999999999998</v>
      </c>
      <c r="T4176" s="340" t="str">
        <f t="shared" si="180"/>
        <v>2016AllSexNon-Maori24Submersion (drowning)</v>
      </c>
      <c r="U4176">
        <v>2016</v>
      </c>
      <c r="V4176" t="s">
        <v>17</v>
      </c>
      <c r="W4176" t="s">
        <v>19</v>
      </c>
      <c r="X4176">
        <v>24</v>
      </c>
      <c r="Y4176" t="s">
        <v>49</v>
      </c>
      <c r="Z4176">
        <v>3</v>
      </c>
      <c r="AA4176">
        <v>147</v>
      </c>
      <c r="AB4176">
        <v>2</v>
      </c>
    </row>
    <row r="4177" spans="10:28">
      <c r="J4177" s="340" t="str">
        <f t="shared" si="179"/>
        <v>2016FemaleAllEth214</v>
      </c>
      <c r="K4177">
        <v>2016</v>
      </c>
      <c r="L4177" t="s">
        <v>8</v>
      </c>
      <c r="M4177" t="s">
        <v>27</v>
      </c>
      <c r="N4177">
        <v>21</v>
      </c>
      <c r="O4177">
        <v>4</v>
      </c>
      <c r="P4177">
        <v>0</v>
      </c>
      <c r="Q4177">
        <v>0</v>
      </c>
      <c r="T4177" s="340" t="str">
        <f t="shared" si="180"/>
        <v>2016AllSexNon-Maori25Submersion (drowning)</v>
      </c>
      <c r="U4177">
        <v>2016</v>
      </c>
      <c r="V4177" t="s">
        <v>17</v>
      </c>
      <c r="W4177" t="s">
        <v>19</v>
      </c>
      <c r="X4177">
        <v>25</v>
      </c>
      <c r="Y4177" t="s">
        <v>49</v>
      </c>
      <c r="Z4177">
        <v>7</v>
      </c>
      <c r="AA4177">
        <v>60</v>
      </c>
      <c r="AB4177">
        <v>11.7</v>
      </c>
    </row>
    <row r="4178" spans="10:28">
      <c r="J4178" s="340" t="str">
        <f t="shared" si="179"/>
        <v>2016FemaleAllEth215</v>
      </c>
      <c r="K4178">
        <v>2016</v>
      </c>
      <c r="L4178" t="s">
        <v>8</v>
      </c>
      <c r="M4178" t="s">
        <v>27</v>
      </c>
      <c r="N4178">
        <v>21</v>
      </c>
      <c r="O4178">
        <v>5</v>
      </c>
      <c r="P4178">
        <v>2</v>
      </c>
      <c r="Q4178">
        <v>1.89402273123159</v>
      </c>
      <c r="R4178">
        <v>2.6</v>
      </c>
      <c r="T4178" s="340" t="str">
        <f t="shared" si="180"/>
        <v>2016FemaleAllEth21Hanging, strangulation and suffocation</v>
      </c>
      <c r="U4178">
        <v>2016</v>
      </c>
      <c r="V4178" t="s">
        <v>8</v>
      </c>
      <c r="W4178" t="s">
        <v>27</v>
      </c>
      <c r="X4178">
        <v>21</v>
      </c>
      <c r="Y4178" t="s">
        <v>43</v>
      </c>
      <c r="Z4178">
        <v>3</v>
      </c>
      <c r="AA4178">
        <v>3</v>
      </c>
      <c r="AB4178">
        <v>100</v>
      </c>
    </row>
    <row r="4179" spans="10:28">
      <c r="J4179" s="340" t="str">
        <f t="shared" si="179"/>
        <v>2016FemaleAllEth221</v>
      </c>
      <c r="K4179">
        <v>2016</v>
      </c>
      <c r="L4179" t="s">
        <v>8</v>
      </c>
      <c r="M4179" t="s">
        <v>27</v>
      </c>
      <c r="N4179">
        <v>22</v>
      </c>
      <c r="O4179">
        <v>1</v>
      </c>
      <c r="P4179">
        <v>6</v>
      </c>
      <c r="Q4179">
        <v>10.830454819903199</v>
      </c>
      <c r="R4179">
        <v>8.6999999999999993</v>
      </c>
      <c r="T4179" s="340" t="str">
        <f t="shared" si="180"/>
        <v>2016FemaleAllEth22Hanging, strangulation and suffocation</v>
      </c>
      <c r="U4179">
        <v>2016</v>
      </c>
      <c r="V4179" t="s">
        <v>8</v>
      </c>
      <c r="W4179" t="s">
        <v>27</v>
      </c>
      <c r="X4179">
        <v>22</v>
      </c>
      <c r="Y4179" t="s">
        <v>43</v>
      </c>
      <c r="Z4179">
        <v>19</v>
      </c>
      <c r="AA4179">
        <v>26</v>
      </c>
      <c r="AB4179">
        <v>73.099999999999994</v>
      </c>
    </row>
    <row r="4180" spans="10:28">
      <c r="J4180" s="340" t="str">
        <f t="shared" si="179"/>
        <v>2016FemaleAllEth222</v>
      </c>
      <c r="K4180">
        <v>2016</v>
      </c>
      <c r="L4180" t="s">
        <v>8</v>
      </c>
      <c r="M4180" t="s">
        <v>27</v>
      </c>
      <c r="N4180">
        <v>22</v>
      </c>
      <c r="O4180">
        <v>2</v>
      </c>
      <c r="P4180">
        <v>2</v>
      </c>
      <c r="Q4180">
        <v>3.5535616119775302</v>
      </c>
      <c r="R4180">
        <v>4.9000000000000004</v>
      </c>
      <c r="T4180" s="340" t="str">
        <f t="shared" si="180"/>
        <v>2016FemaleAllEth23Hanging, strangulation and suffocation</v>
      </c>
      <c r="U4180">
        <v>2016</v>
      </c>
      <c r="V4180" t="s">
        <v>8</v>
      </c>
      <c r="W4180" t="s">
        <v>27</v>
      </c>
      <c r="X4180">
        <v>23</v>
      </c>
      <c r="Y4180" t="s">
        <v>43</v>
      </c>
      <c r="Z4180">
        <v>40</v>
      </c>
      <c r="AA4180">
        <v>57</v>
      </c>
      <c r="AB4180">
        <v>70.2</v>
      </c>
    </row>
    <row r="4181" spans="10:28">
      <c r="J4181" s="340" t="str">
        <f t="shared" si="179"/>
        <v>2016FemaleAllEth223</v>
      </c>
      <c r="K4181">
        <v>2016</v>
      </c>
      <c r="L4181" t="s">
        <v>8</v>
      </c>
      <c r="M4181" t="s">
        <v>27</v>
      </c>
      <c r="N4181">
        <v>22</v>
      </c>
      <c r="O4181">
        <v>3</v>
      </c>
      <c r="P4181">
        <v>3</v>
      </c>
      <c r="Q4181">
        <v>4.9859293781398204</v>
      </c>
      <c r="R4181">
        <v>5.6</v>
      </c>
      <c r="T4181" s="340" t="str">
        <f t="shared" si="180"/>
        <v>2016FemaleAllEth24Hanging, strangulation and suffocation</v>
      </c>
      <c r="U4181">
        <v>2016</v>
      </c>
      <c r="V4181" t="s">
        <v>8</v>
      </c>
      <c r="W4181" t="s">
        <v>27</v>
      </c>
      <c r="X4181">
        <v>24</v>
      </c>
      <c r="Y4181" t="s">
        <v>43</v>
      </c>
      <c r="Z4181">
        <v>20</v>
      </c>
      <c r="AA4181">
        <v>44</v>
      </c>
      <c r="AB4181">
        <v>45.5</v>
      </c>
    </row>
    <row r="4182" spans="10:28">
      <c r="J4182" s="340" t="str">
        <f t="shared" si="179"/>
        <v>2016FemaleAllEth224</v>
      </c>
      <c r="K4182">
        <v>2016</v>
      </c>
      <c r="L4182" t="s">
        <v>8</v>
      </c>
      <c r="M4182" t="s">
        <v>27</v>
      </c>
      <c r="N4182">
        <v>22</v>
      </c>
      <c r="O4182">
        <v>4</v>
      </c>
      <c r="P4182">
        <v>8</v>
      </c>
      <c r="Q4182">
        <v>11.558057272918299</v>
      </c>
      <c r="R4182">
        <v>8</v>
      </c>
      <c r="T4182" s="340" t="str">
        <f t="shared" si="180"/>
        <v>2016FemaleAllEth25Hanging, strangulation and suffocation</v>
      </c>
      <c r="U4182">
        <v>2016</v>
      </c>
      <c r="V4182" t="s">
        <v>8</v>
      </c>
      <c r="W4182" t="s">
        <v>27</v>
      </c>
      <c r="X4182">
        <v>25</v>
      </c>
      <c r="Y4182" t="s">
        <v>43</v>
      </c>
      <c r="Z4182">
        <v>5</v>
      </c>
      <c r="AA4182">
        <v>12</v>
      </c>
      <c r="AB4182">
        <v>41.7</v>
      </c>
    </row>
    <row r="4183" spans="10:28">
      <c r="J4183" s="340" t="str">
        <f t="shared" si="179"/>
        <v>2016FemaleAllEth225</v>
      </c>
      <c r="K4183">
        <v>2016</v>
      </c>
      <c r="L4183" t="s">
        <v>8</v>
      </c>
      <c r="M4183" t="s">
        <v>27</v>
      </c>
      <c r="N4183">
        <v>22</v>
      </c>
      <c r="O4183">
        <v>5</v>
      </c>
      <c r="P4183">
        <v>6</v>
      </c>
      <c r="Q4183">
        <v>7.4921997194663099</v>
      </c>
      <c r="R4183">
        <v>6</v>
      </c>
      <c r="T4183" s="340" t="str">
        <f t="shared" si="180"/>
        <v>2016FemaleAllEth22Jumping from a high place</v>
      </c>
      <c r="U4183">
        <v>2016</v>
      </c>
      <c r="V4183" t="s">
        <v>8</v>
      </c>
      <c r="W4183" t="s">
        <v>27</v>
      </c>
      <c r="X4183">
        <v>22</v>
      </c>
      <c r="Y4183" t="s">
        <v>44</v>
      </c>
      <c r="Z4183">
        <v>2</v>
      </c>
      <c r="AA4183">
        <v>26</v>
      </c>
      <c r="AB4183">
        <v>7.7</v>
      </c>
    </row>
    <row r="4184" spans="10:28">
      <c r="J4184" s="340" t="str">
        <f t="shared" si="179"/>
        <v>2016FemaleAllEth231</v>
      </c>
      <c r="K4184">
        <v>2016</v>
      </c>
      <c r="L4184" t="s">
        <v>8</v>
      </c>
      <c r="M4184" t="s">
        <v>27</v>
      </c>
      <c r="N4184">
        <v>23</v>
      </c>
      <c r="O4184">
        <v>1</v>
      </c>
      <c r="P4184">
        <v>5</v>
      </c>
      <c r="Q4184">
        <v>4.2271868545924001</v>
      </c>
      <c r="R4184">
        <v>3.7</v>
      </c>
      <c r="T4184" s="340" t="str">
        <f t="shared" si="180"/>
        <v>2016FemaleAllEth23Jumping from a high place</v>
      </c>
      <c r="U4184">
        <v>2016</v>
      </c>
      <c r="V4184" t="s">
        <v>8</v>
      </c>
      <c r="W4184" t="s">
        <v>27</v>
      </c>
      <c r="X4184">
        <v>23</v>
      </c>
      <c r="Y4184" t="s">
        <v>44</v>
      </c>
      <c r="Z4184">
        <v>3</v>
      </c>
      <c r="AA4184">
        <v>57</v>
      </c>
      <c r="AB4184">
        <v>5.3</v>
      </c>
    </row>
    <row r="4185" spans="10:28">
      <c r="J4185" s="340" t="str">
        <f t="shared" si="179"/>
        <v>2016FemaleAllEth232</v>
      </c>
      <c r="K4185">
        <v>2016</v>
      </c>
      <c r="L4185" t="s">
        <v>8</v>
      </c>
      <c r="M4185" t="s">
        <v>27</v>
      </c>
      <c r="N4185">
        <v>23</v>
      </c>
      <c r="O4185">
        <v>2</v>
      </c>
      <c r="P4185">
        <v>2</v>
      </c>
      <c r="Q4185">
        <v>1.5678944041056</v>
      </c>
      <c r="R4185">
        <v>2.2000000000000002</v>
      </c>
      <c r="T4185" s="340" t="str">
        <f t="shared" si="180"/>
        <v>2016FemaleAllEth22Other</v>
      </c>
      <c r="U4185">
        <v>2016</v>
      </c>
      <c r="V4185" t="s">
        <v>8</v>
      </c>
      <c r="W4185" t="s">
        <v>27</v>
      </c>
      <c r="X4185">
        <v>22</v>
      </c>
      <c r="Y4185" t="s">
        <v>45</v>
      </c>
      <c r="Z4185">
        <v>1</v>
      </c>
      <c r="AA4185">
        <v>26</v>
      </c>
      <c r="AB4185">
        <v>3.8</v>
      </c>
    </row>
    <row r="4186" spans="10:28">
      <c r="J4186" s="340" t="str">
        <f t="shared" si="179"/>
        <v>2016FemaleAllEth233</v>
      </c>
      <c r="K4186">
        <v>2016</v>
      </c>
      <c r="L4186" t="s">
        <v>8</v>
      </c>
      <c r="M4186" t="s">
        <v>27</v>
      </c>
      <c r="N4186">
        <v>23</v>
      </c>
      <c r="O4186">
        <v>3</v>
      </c>
      <c r="P4186">
        <v>13</v>
      </c>
      <c r="Q4186">
        <v>10.0505978723128</v>
      </c>
      <c r="R4186">
        <v>5.5</v>
      </c>
      <c r="T4186" s="340" t="str">
        <f t="shared" si="180"/>
        <v>2016FemaleAllEth23Other</v>
      </c>
      <c r="U4186">
        <v>2016</v>
      </c>
      <c r="V4186" t="s">
        <v>8</v>
      </c>
      <c r="W4186" t="s">
        <v>27</v>
      </c>
      <c r="X4186">
        <v>23</v>
      </c>
      <c r="Y4186" t="s">
        <v>45</v>
      </c>
      <c r="Z4186">
        <v>2</v>
      </c>
      <c r="AA4186">
        <v>57</v>
      </c>
      <c r="AB4186">
        <v>3.5</v>
      </c>
    </row>
    <row r="4187" spans="10:28">
      <c r="J4187" s="340" t="str">
        <f t="shared" si="179"/>
        <v>2016FemaleAllEth234</v>
      </c>
      <c r="K4187">
        <v>2016</v>
      </c>
      <c r="L4187" t="s">
        <v>8</v>
      </c>
      <c r="M4187" t="s">
        <v>27</v>
      </c>
      <c r="N4187">
        <v>23</v>
      </c>
      <c r="O4187">
        <v>4</v>
      </c>
      <c r="P4187">
        <v>17</v>
      </c>
      <c r="Q4187">
        <v>13.391101730965801</v>
      </c>
      <c r="R4187">
        <v>6.4</v>
      </c>
      <c r="T4187" s="340" t="str">
        <f t="shared" si="180"/>
        <v>2016FemaleAllEth24Other</v>
      </c>
      <c r="U4187">
        <v>2016</v>
      </c>
      <c r="V4187" t="s">
        <v>8</v>
      </c>
      <c r="W4187" t="s">
        <v>27</v>
      </c>
      <c r="X4187">
        <v>24</v>
      </c>
      <c r="Y4187" t="s">
        <v>45</v>
      </c>
      <c r="Z4187">
        <v>1</v>
      </c>
      <c r="AA4187">
        <v>44</v>
      </c>
      <c r="AB4187">
        <v>2.2999999999999998</v>
      </c>
    </row>
    <row r="4188" spans="10:28">
      <c r="J4188" s="340" t="str">
        <f t="shared" si="179"/>
        <v>2016FemaleAllEth235</v>
      </c>
      <c r="K4188">
        <v>2016</v>
      </c>
      <c r="L4188" t="s">
        <v>8</v>
      </c>
      <c r="M4188" t="s">
        <v>27</v>
      </c>
      <c r="N4188">
        <v>23</v>
      </c>
      <c r="O4188">
        <v>5</v>
      </c>
      <c r="P4188">
        <v>20</v>
      </c>
      <c r="Q4188">
        <v>16.232180757779702</v>
      </c>
      <c r="R4188">
        <v>7.1</v>
      </c>
      <c r="T4188" s="340" t="str">
        <f t="shared" si="180"/>
        <v>2016FemaleAllEth22Poisoning by gases and vapours</v>
      </c>
      <c r="U4188">
        <v>2016</v>
      </c>
      <c r="V4188" t="s">
        <v>8</v>
      </c>
      <c r="W4188" t="s">
        <v>27</v>
      </c>
      <c r="X4188">
        <v>22</v>
      </c>
      <c r="Y4188" t="s">
        <v>46</v>
      </c>
      <c r="Z4188">
        <v>2</v>
      </c>
      <c r="AA4188">
        <v>26</v>
      </c>
      <c r="AB4188">
        <v>7.7</v>
      </c>
    </row>
    <row r="4189" spans="10:28">
      <c r="J4189" s="340" t="str">
        <f t="shared" si="179"/>
        <v>2016FemaleAllEth241</v>
      </c>
      <c r="K4189">
        <v>2016</v>
      </c>
      <c r="L4189" t="s">
        <v>8</v>
      </c>
      <c r="M4189" t="s">
        <v>27</v>
      </c>
      <c r="N4189">
        <v>24</v>
      </c>
      <c r="O4189">
        <v>1</v>
      </c>
      <c r="P4189">
        <v>6</v>
      </c>
      <c r="Q4189">
        <v>4.0462516156834498</v>
      </c>
      <c r="R4189">
        <v>3.2</v>
      </c>
      <c r="T4189" s="340" t="str">
        <f t="shared" si="180"/>
        <v>2016FemaleAllEth23Poisoning by gases and vapours</v>
      </c>
      <c r="U4189">
        <v>2016</v>
      </c>
      <c r="V4189" t="s">
        <v>8</v>
      </c>
      <c r="W4189" t="s">
        <v>27</v>
      </c>
      <c r="X4189">
        <v>23</v>
      </c>
      <c r="Y4189" t="s">
        <v>46</v>
      </c>
      <c r="Z4189">
        <v>5</v>
      </c>
      <c r="AA4189">
        <v>57</v>
      </c>
      <c r="AB4189">
        <v>8.8000000000000007</v>
      </c>
    </row>
    <row r="4190" spans="10:28">
      <c r="J4190" s="340" t="str">
        <f t="shared" si="179"/>
        <v>2016FemaleAllEth242</v>
      </c>
      <c r="K4190">
        <v>2016</v>
      </c>
      <c r="L4190" t="s">
        <v>8</v>
      </c>
      <c r="M4190" t="s">
        <v>27</v>
      </c>
      <c r="N4190">
        <v>24</v>
      </c>
      <c r="O4190">
        <v>2</v>
      </c>
      <c r="P4190">
        <v>5</v>
      </c>
      <c r="Q4190">
        <v>3.7501894077026301</v>
      </c>
      <c r="R4190">
        <v>3.3</v>
      </c>
      <c r="T4190" s="340" t="str">
        <f t="shared" si="180"/>
        <v>2016FemaleAllEth24Poisoning by gases and vapours</v>
      </c>
      <c r="U4190">
        <v>2016</v>
      </c>
      <c r="V4190" t="s">
        <v>8</v>
      </c>
      <c r="W4190" t="s">
        <v>27</v>
      </c>
      <c r="X4190">
        <v>24</v>
      </c>
      <c r="Y4190" t="s">
        <v>46</v>
      </c>
      <c r="Z4190">
        <v>5</v>
      </c>
      <c r="AA4190">
        <v>44</v>
      </c>
      <c r="AB4190">
        <v>11.4</v>
      </c>
    </row>
    <row r="4191" spans="10:28">
      <c r="J4191" s="340" t="str">
        <f t="shared" si="179"/>
        <v>2016FemaleAllEth243</v>
      </c>
      <c r="K4191">
        <v>2016</v>
      </c>
      <c r="L4191" t="s">
        <v>8</v>
      </c>
      <c r="M4191" t="s">
        <v>27</v>
      </c>
      <c r="N4191">
        <v>24</v>
      </c>
      <c r="O4191">
        <v>3</v>
      </c>
      <c r="P4191">
        <v>13</v>
      </c>
      <c r="Q4191">
        <v>10.714057569588199</v>
      </c>
      <c r="R4191">
        <v>5.8</v>
      </c>
      <c r="T4191" s="340" t="str">
        <f t="shared" si="180"/>
        <v>2016FemaleAllEth22Poisoning by solids and liquids</v>
      </c>
      <c r="U4191">
        <v>2016</v>
      </c>
      <c r="V4191" t="s">
        <v>8</v>
      </c>
      <c r="W4191" t="s">
        <v>27</v>
      </c>
      <c r="X4191">
        <v>22</v>
      </c>
      <c r="Y4191" t="s">
        <v>47</v>
      </c>
      <c r="Z4191">
        <v>1</v>
      </c>
      <c r="AA4191">
        <v>26</v>
      </c>
      <c r="AB4191">
        <v>3.8</v>
      </c>
    </row>
    <row r="4192" spans="10:28">
      <c r="J4192" s="340" t="str">
        <f t="shared" si="179"/>
        <v>2016FemaleAllEth244</v>
      </c>
      <c r="K4192">
        <v>2016</v>
      </c>
      <c r="L4192" t="s">
        <v>8</v>
      </c>
      <c r="M4192" t="s">
        <v>27</v>
      </c>
      <c r="N4192">
        <v>24</v>
      </c>
      <c r="O4192">
        <v>4</v>
      </c>
      <c r="P4192">
        <v>8</v>
      </c>
      <c r="Q4192">
        <v>7.2512608154024401</v>
      </c>
      <c r="R4192">
        <v>5</v>
      </c>
      <c r="T4192" s="340" t="str">
        <f t="shared" si="180"/>
        <v>2016FemaleAllEth23Poisoning by solids and liquids</v>
      </c>
      <c r="U4192">
        <v>2016</v>
      </c>
      <c r="V4192" t="s">
        <v>8</v>
      </c>
      <c r="W4192" t="s">
        <v>27</v>
      </c>
      <c r="X4192">
        <v>23</v>
      </c>
      <c r="Y4192" t="s">
        <v>47</v>
      </c>
      <c r="Z4192">
        <v>6</v>
      </c>
      <c r="AA4192">
        <v>57</v>
      </c>
      <c r="AB4192">
        <v>10.5</v>
      </c>
    </row>
    <row r="4193" spans="10:28">
      <c r="J4193" s="340" t="str">
        <f t="shared" si="179"/>
        <v>2016FemaleAllEth245</v>
      </c>
      <c r="K4193">
        <v>2016</v>
      </c>
      <c r="L4193" t="s">
        <v>8</v>
      </c>
      <c r="M4193" t="s">
        <v>27</v>
      </c>
      <c r="N4193">
        <v>24</v>
      </c>
      <c r="O4193">
        <v>5</v>
      </c>
      <c r="P4193">
        <v>12</v>
      </c>
      <c r="Q4193">
        <v>11.7743173074689</v>
      </c>
      <c r="R4193">
        <v>6.7</v>
      </c>
      <c r="T4193" s="340" t="str">
        <f t="shared" si="180"/>
        <v>2016FemaleAllEth24Poisoning by solids and liquids</v>
      </c>
      <c r="U4193">
        <v>2016</v>
      </c>
      <c r="V4193" t="s">
        <v>8</v>
      </c>
      <c r="W4193" t="s">
        <v>27</v>
      </c>
      <c r="X4193">
        <v>24</v>
      </c>
      <c r="Y4193" t="s">
        <v>47</v>
      </c>
      <c r="Z4193">
        <v>17</v>
      </c>
      <c r="AA4193">
        <v>44</v>
      </c>
      <c r="AB4193">
        <v>38.6</v>
      </c>
    </row>
    <row r="4194" spans="10:28">
      <c r="J4194" s="340" t="str">
        <f t="shared" si="179"/>
        <v>2016FemaleAllEth251</v>
      </c>
      <c r="K4194">
        <v>2016</v>
      </c>
      <c r="L4194" t="s">
        <v>8</v>
      </c>
      <c r="M4194" t="s">
        <v>27</v>
      </c>
      <c r="N4194">
        <v>25</v>
      </c>
      <c r="O4194">
        <v>1</v>
      </c>
      <c r="P4194">
        <v>1</v>
      </c>
      <c r="Q4194">
        <v>1.3410644879815601</v>
      </c>
      <c r="R4194">
        <v>2.6</v>
      </c>
      <c r="T4194" s="340" t="str">
        <f t="shared" si="180"/>
        <v>2016FemaleAllEth25Poisoning by solids and liquids</v>
      </c>
      <c r="U4194">
        <v>2016</v>
      </c>
      <c r="V4194" t="s">
        <v>8</v>
      </c>
      <c r="W4194" t="s">
        <v>27</v>
      </c>
      <c r="X4194">
        <v>25</v>
      </c>
      <c r="Y4194" t="s">
        <v>47</v>
      </c>
      <c r="Z4194">
        <v>6</v>
      </c>
      <c r="AA4194">
        <v>12</v>
      </c>
      <c r="AB4194">
        <v>50</v>
      </c>
    </row>
    <row r="4195" spans="10:28">
      <c r="J4195" s="340" t="str">
        <f t="shared" si="179"/>
        <v>2016FemaleAllEth252</v>
      </c>
      <c r="K4195">
        <v>2016</v>
      </c>
      <c r="L4195" t="s">
        <v>8</v>
      </c>
      <c r="M4195" t="s">
        <v>27</v>
      </c>
      <c r="N4195">
        <v>25</v>
      </c>
      <c r="O4195">
        <v>2</v>
      </c>
      <c r="P4195">
        <v>1</v>
      </c>
      <c r="Q4195">
        <v>1.3050485382736801</v>
      </c>
      <c r="R4195">
        <v>2.6</v>
      </c>
      <c r="T4195" s="340" t="str">
        <f t="shared" si="180"/>
        <v>2016FemaleAllEth22Sharp object</v>
      </c>
      <c r="U4195">
        <v>2016</v>
      </c>
      <c r="V4195" t="s">
        <v>8</v>
      </c>
      <c r="W4195" t="s">
        <v>27</v>
      </c>
      <c r="X4195">
        <v>22</v>
      </c>
      <c r="Y4195" t="s">
        <v>48</v>
      </c>
      <c r="Z4195">
        <v>1</v>
      </c>
      <c r="AA4195">
        <v>26</v>
      </c>
      <c r="AB4195">
        <v>3.8</v>
      </c>
    </row>
    <row r="4196" spans="10:28">
      <c r="J4196" s="340" t="str">
        <f t="shared" si="179"/>
        <v>2016FemaleAllEth253</v>
      </c>
      <c r="K4196">
        <v>2016</v>
      </c>
      <c r="L4196" t="s">
        <v>8</v>
      </c>
      <c r="M4196" t="s">
        <v>27</v>
      </c>
      <c r="N4196">
        <v>25</v>
      </c>
      <c r="O4196">
        <v>3</v>
      </c>
      <c r="P4196">
        <v>6</v>
      </c>
      <c r="Q4196">
        <v>7.76405081112277</v>
      </c>
      <c r="R4196">
        <v>6.2</v>
      </c>
      <c r="T4196" s="340" t="str">
        <f t="shared" si="180"/>
        <v>2016FemaleAllEth23Submersion (drowning)</v>
      </c>
      <c r="U4196">
        <v>2016</v>
      </c>
      <c r="V4196" t="s">
        <v>8</v>
      </c>
      <c r="W4196" t="s">
        <v>27</v>
      </c>
      <c r="X4196">
        <v>23</v>
      </c>
      <c r="Y4196" t="s">
        <v>49</v>
      </c>
      <c r="Z4196">
        <v>1</v>
      </c>
      <c r="AA4196">
        <v>57</v>
      </c>
      <c r="AB4196">
        <v>1.8</v>
      </c>
    </row>
    <row r="4197" spans="10:28">
      <c r="J4197" s="340" t="str">
        <f t="shared" si="179"/>
        <v>2016FemaleAllEth254</v>
      </c>
      <c r="K4197">
        <v>2016</v>
      </c>
      <c r="L4197" t="s">
        <v>8</v>
      </c>
      <c r="M4197" t="s">
        <v>27</v>
      </c>
      <c r="N4197">
        <v>25</v>
      </c>
      <c r="O4197">
        <v>4</v>
      </c>
      <c r="P4197">
        <v>2</v>
      </c>
      <c r="Q4197">
        <v>2.4863299257252902</v>
      </c>
      <c r="R4197">
        <v>3.4</v>
      </c>
      <c r="T4197" s="340" t="str">
        <f t="shared" si="180"/>
        <v>2016FemaleAllEth24Submersion (drowning)</v>
      </c>
      <c r="U4197">
        <v>2016</v>
      </c>
      <c r="V4197" t="s">
        <v>8</v>
      </c>
      <c r="W4197" t="s">
        <v>27</v>
      </c>
      <c r="X4197">
        <v>24</v>
      </c>
      <c r="Y4197" t="s">
        <v>49</v>
      </c>
      <c r="Z4197">
        <v>1</v>
      </c>
      <c r="AA4197">
        <v>44</v>
      </c>
      <c r="AB4197">
        <v>2.2999999999999998</v>
      </c>
    </row>
    <row r="4198" spans="10:28">
      <c r="J4198" s="340" t="str">
        <f t="shared" si="179"/>
        <v>2016FemaleAllEth255</v>
      </c>
      <c r="K4198">
        <v>2016</v>
      </c>
      <c r="L4198" t="s">
        <v>8</v>
      </c>
      <c r="M4198" t="s">
        <v>27</v>
      </c>
      <c r="N4198">
        <v>25</v>
      </c>
      <c r="O4198">
        <v>5</v>
      </c>
      <c r="P4198">
        <v>2</v>
      </c>
      <c r="Q4198">
        <v>3.0942277195188201</v>
      </c>
      <c r="R4198">
        <v>4.3</v>
      </c>
      <c r="T4198" s="340" t="str">
        <f t="shared" si="180"/>
        <v>2016FemaleAllEth25Submersion (drowning)</v>
      </c>
      <c r="U4198">
        <v>2016</v>
      </c>
      <c r="V4198" t="s">
        <v>8</v>
      </c>
      <c r="W4198" t="s">
        <v>27</v>
      </c>
      <c r="X4198">
        <v>25</v>
      </c>
      <c r="Y4198" t="s">
        <v>49</v>
      </c>
      <c r="Z4198">
        <v>1</v>
      </c>
      <c r="AA4198">
        <v>12</v>
      </c>
      <c r="AB4198">
        <v>8.3000000000000007</v>
      </c>
    </row>
    <row r="4199" spans="10:28">
      <c r="J4199" s="340" t="str">
        <f t="shared" si="179"/>
        <v>2016FemaleMaori211</v>
      </c>
      <c r="K4199">
        <v>2016</v>
      </c>
      <c r="L4199" t="s">
        <v>8</v>
      </c>
      <c r="M4199" t="s">
        <v>18</v>
      </c>
      <c r="N4199">
        <v>21</v>
      </c>
      <c r="O4199">
        <v>1</v>
      </c>
      <c r="P4199">
        <v>0</v>
      </c>
      <c r="Q4199">
        <v>0</v>
      </c>
      <c r="T4199" s="340" t="str">
        <f t="shared" si="180"/>
        <v>2016FemaleMaori21Hanging, strangulation and suffocation</v>
      </c>
      <c r="U4199">
        <v>2016</v>
      </c>
      <c r="V4199" t="s">
        <v>8</v>
      </c>
      <c r="W4199" t="s">
        <v>18</v>
      </c>
      <c r="X4199">
        <v>21</v>
      </c>
      <c r="Y4199" t="s">
        <v>43</v>
      </c>
      <c r="Z4199">
        <v>2</v>
      </c>
      <c r="AA4199">
        <v>2</v>
      </c>
      <c r="AB4199">
        <v>100</v>
      </c>
    </row>
    <row r="4200" spans="10:28">
      <c r="J4200" s="340" t="str">
        <f t="shared" si="179"/>
        <v>2016FemaleMaori212</v>
      </c>
      <c r="K4200">
        <v>2016</v>
      </c>
      <c r="L4200" t="s">
        <v>8</v>
      </c>
      <c r="M4200" t="s">
        <v>18</v>
      </c>
      <c r="N4200">
        <v>21</v>
      </c>
      <c r="O4200">
        <v>2</v>
      </c>
      <c r="P4200">
        <v>0</v>
      </c>
      <c r="Q4200">
        <v>0</v>
      </c>
      <c r="T4200" s="340" t="str">
        <f t="shared" si="180"/>
        <v>2016FemaleMaori22Hanging, strangulation and suffocation</v>
      </c>
      <c r="U4200">
        <v>2016</v>
      </c>
      <c r="V4200" t="s">
        <v>8</v>
      </c>
      <c r="W4200" t="s">
        <v>18</v>
      </c>
      <c r="X4200">
        <v>22</v>
      </c>
      <c r="Y4200" t="s">
        <v>43</v>
      </c>
      <c r="Z4200">
        <v>10</v>
      </c>
      <c r="AA4200">
        <v>11</v>
      </c>
      <c r="AB4200">
        <v>90.9</v>
      </c>
    </row>
    <row r="4201" spans="10:28">
      <c r="J4201" s="340" t="str">
        <f t="shared" si="179"/>
        <v>2016FemaleMaori213</v>
      </c>
      <c r="K4201">
        <v>2016</v>
      </c>
      <c r="L4201" t="s">
        <v>8</v>
      </c>
      <c r="M4201" t="s">
        <v>18</v>
      </c>
      <c r="N4201">
        <v>21</v>
      </c>
      <c r="O4201">
        <v>3</v>
      </c>
      <c r="P4201">
        <v>1</v>
      </c>
      <c r="Q4201">
        <v>5.2746664737117497</v>
      </c>
      <c r="R4201">
        <v>10.3</v>
      </c>
      <c r="T4201" s="340" t="str">
        <f t="shared" si="180"/>
        <v>2016FemaleMaori23Hanging, strangulation and suffocation</v>
      </c>
      <c r="U4201">
        <v>2016</v>
      </c>
      <c r="V4201" t="s">
        <v>8</v>
      </c>
      <c r="W4201" t="s">
        <v>18</v>
      </c>
      <c r="X4201">
        <v>23</v>
      </c>
      <c r="Y4201" t="s">
        <v>43</v>
      </c>
      <c r="Z4201">
        <v>13</v>
      </c>
      <c r="AA4201">
        <v>15</v>
      </c>
      <c r="AB4201">
        <v>86.7</v>
      </c>
    </row>
    <row r="4202" spans="10:28">
      <c r="J4202" s="340" t="str">
        <f t="shared" si="179"/>
        <v>2016FemaleMaori214</v>
      </c>
      <c r="K4202">
        <v>2016</v>
      </c>
      <c r="L4202" t="s">
        <v>8</v>
      </c>
      <c r="M4202" t="s">
        <v>18</v>
      </c>
      <c r="N4202">
        <v>21</v>
      </c>
      <c r="O4202">
        <v>4</v>
      </c>
      <c r="P4202">
        <v>0</v>
      </c>
      <c r="Q4202">
        <v>0</v>
      </c>
      <c r="T4202" s="340" t="str">
        <f t="shared" si="180"/>
        <v>2016FemaleMaori24Hanging, strangulation and suffocation</v>
      </c>
      <c r="U4202">
        <v>2016</v>
      </c>
      <c r="V4202" t="s">
        <v>8</v>
      </c>
      <c r="W4202" t="s">
        <v>18</v>
      </c>
      <c r="X4202">
        <v>24</v>
      </c>
      <c r="Y4202" t="s">
        <v>43</v>
      </c>
      <c r="Z4202">
        <v>5</v>
      </c>
      <c r="AA4202">
        <v>9</v>
      </c>
      <c r="AB4202">
        <v>55.6</v>
      </c>
    </row>
    <row r="4203" spans="10:28">
      <c r="J4203" s="340" t="str">
        <f t="shared" si="179"/>
        <v>2016FemaleMaori215</v>
      </c>
      <c r="K4203">
        <v>2016</v>
      </c>
      <c r="L4203" t="s">
        <v>8</v>
      </c>
      <c r="M4203" t="s">
        <v>18</v>
      </c>
      <c r="N4203">
        <v>21</v>
      </c>
      <c r="O4203">
        <v>5</v>
      </c>
      <c r="P4203">
        <v>1</v>
      </c>
      <c r="Q4203">
        <v>2.04506335389395</v>
      </c>
      <c r="R4203">
        <v>4</v>
      </c>
      <c r="T4203" s="340" t="str">
        <f t="shared" si="180"/>
        <v>2016FemaleMaori22Poisoning by gases and vapours</v>
      </c>
      <c r="U4203">
        <v>2016</v>
      </c>
      <c r="V4203" t="s">
        <v>8</v>
      </c>
      <c r="W4203" t="s">
        <v>18</v>
      </c>
      <c r="X4203">
        <v>22</v>
      </c>
      <c r="Y4203" t="s">
        <v>46</v>
      </c>
      <c r="Z4203">
        <v>1</v>
      </c>
      <c r="AA4203">
        <v>11</v>
      </c>
      <c r="AB4203">
        <v>9.1</v>
      </c>
    </row>
    <row r="4204" spans="10:28">
      <c r="J4204" s="340" t="str">
        <f t="shared" si="179"/>
        <v>2016FemaleMaori221</v>
      </c>
      <c r="K4204">
        <v>2016</v>
      </c>
      <c r="L4204" t="s">
        <v>8</v>
      </c>
      <c r="M4204" t="s">
        <v>18</v>
      </c>
      <c r="N4204">
        <v>22</v>
      </c>
      <c r="O4204">
        <v>1</v>
      </c>
      <c r="P4204">
        <v>1</v>
      </c>
      <c r="Q4204">
        <v>18.126096600176702</v>
      </c>
      <c r="R4204">
        <v>35.5</v>
      </c>
      <c r="T4204" s="340" t="str">
        <f t="shared" si="180"/>
        <v>2016FemaleMaori23Poisoning by gases and vapours</v>
      </c>
      <c r="U4204">
        <v>2016</v>
      </c>
      <c r="V4204" t="s">
        <v>8</v>
      </c>
      <c r="W4204" t="s">
        <v>18</v>
      </c>
      <c r="X4204">
        <v>23</v>
      </c>
      <c r="Y4204" t="s">
        <v>46</v>
      </c>
      <c r="Z4204">
        <v>1</v>
      </c>
      <c r="AA4204">
        <v>15</v>
      </c>
      <c r="AB4204">
        <v>6.7</v>
      </c>
    </row>
    <row r="4205" spans="10:28">
      <c r="J4205" s="340" t="str">
        <f t="shared" si="179"/>
        <v>2016FemaleMaori222</v>
      </c>
      <c r="K4205">
        <v>2016</v>
      </c>
      <c r="L4205" t="s">
        <v>8</v>
      </c>
      <c r="M4205" t="s">
        <v>18</v>
      </c>
      <c r="N4205">
        <v>22</v>
      </c>
      <c r="O4205">
        <v>2</v>
      </c>
      <c r="P4205">
        <v>0</v>
      </c>
      <c r="Q4205">
        <v>0</v>
      </c>
      <c r="T4205" s="340" t="str">
        <f t="shared" si="180"/>
        <v>2016FemaleMaori23Poisoning by solids and liquids</v>
      </c>
      <c r="U4205">
        <v>2016</v>
      </c>
      <c r="V4205" t="s">
        <v>8</v>
      </c>
      <c r="W4205" t="s">
        <v>18</v>
      </c>
      <c r="X4205">
        <v>23</v>
      </c>
      <c r="Y4205" t="s">
        <v>47</v>
      </c>
      <c r="Z4205">
        <v>1</v>
      </c>
      <c r="AA4205">
        <v>15</v>
      </c>
      <c r="AB4205">
        <v>6.7</v>
      </c>
    </row>
    <row r="4206" spans="10:28">
      <c r="J4206" s="340" t="str">
        <f t="shared" si="179"/>
        <v>2016FemaleMaori223</v>
      </c>
      <c r="K4206">
        <v>2016</v>
      </c>
      <c r="L4206" t="s">
        <v>8</v>
      </c>
      <c r="M4206" t="s">
        <v>18</v>
      </c>
      <c r="N4206">
        <v>22</v>
      </c>
      <c r="O4206">
        <v>3</v>
      </c>
      <c r="P4206">
        <v>2</v>
      </c>
      <c r="Q4206">
        <v>18.575343956579299</v>
      </c>
      <c r="R4206">
        <v>25.7</v>
      </c>
      <c r="T4206" s="340" t="str">
        <f t="shared" si="180"/>
        <v>2016FemaleMaori24Poisoning by solids and liquids</v>
      </c>
      <c r="U4206">
        <v>2016</v>
      </c>
      <c r="V4206" t="s">
        <v>8</v>
      </c>
      <c r="W4206" t="s">
        <v>18</v>
      </c>
      <c r="X4206">
        <v>24</v>
      </c>
      <c r="Y4206" t="s">
        <v>47</v>
      </c>
      <c r="Z4206">
        <v>4</v>
      </c>
      <c r="AA4206">
        <v>9</v>
      </c>
      <c r="AB4206">
        <v>44.4</v>
      </c>
    </row>
    <row r="4207" spans="10:28">
      <c r="J4207" s="340" t="str">
        <f t="shared" si="179"/>
        <v>2016FemaleMaori224</v>
      </c>
      <c r="K4207">
        <v>2016</v>
      </c>
      <c r="L4207" t="s">
        <v>8</v>
      </c>
      <c r="M4207" t="s">
        <v>18</v>
      </c>
      <c r="N4207">
        <v>22</v>
      </c>
      <c r="O4207">
        <v>4</v>
      </c>
      <c r="P4207">
        <v>3</v>
      </c>
      <c r="Q4207">
        <v>18.8282040370127</v>
      </c>
      <c r="R4207">
        <v>21.3</v>
      </c>
      <c r="T4207" s="340" t="str">
        <f t="shared" si="180"/>
        <v>2016FemaleNon-Maori21Hanging, strangulation and suffocation</v>
      </c>
      <c r="U4207">
        <v>2016</v>
      </c>
      <c r="V4207" t="s">
        <v>8</v>
      </c>
      <c r="W4207" t="s">
        <v>19</v>
      </c>
      <c r="X4207">
        <v>21</v>
      </c>
      <c r="Y4207" t="s">
        <v>43</v>
      </c>
      <c r="Z4207">
        <v>1</v>
      </c>
      <c r="AA4207">
        <v>1</v>
      </c>
      <c r="AB4207">
        <v>100</v>
      </c>
    </row>
    <row r="4208" spans="10:28">
      <c r="J4208" s="340" t="str">
        <f t="shared" si="179"/>
        <v>2016FemaleMaori225</v>
      </c>
      <c r="K4208">
        <v>2016</v>
      </c>
      <c r="L4208" t="s">
        <v>8</v>
      </c>
      <c r="M4208" t="s">
        <v>18</v>
      </c>
      <c r="N4208">
        <v>22</v>
      </c>
      <c r="O4208">
        <v>5</v>
      </c>
      <c r="P4208">
        <v>5</v>
      </c>
      <c r="Q4208">
        <v>17.670394440398201</v>
      </c>
      <c r="R4208">
        <v>15.5</v>
      </c>
      <c r="T4208" s="340" t="str">
        <f t="shared" si="180"/>
        <v>2016FemaleNon-Maori22Hanging, strangulation and suffocation</v>
      </c>
      <c r="U4208">
        <v>2016</v>
      </c>
      <c r="V4208" t="s">
        <v>8</v>
      </c>
      <c r="W4208" t="s">
        <v>19</v>
      </c>
      <c r="X4208">
        <v>22</v>
      </c>
      <c r="Y4208" t="s">
        <v>43</v>
      </c>
      <c r="Z4208">
        <v>9</v>
      </c>
      <c r="AA4208">
        <v>15</v>
      </c>
      <c r="AB4208">
        <v>60</v>
      </c>
    </row>
    <row r="4209" spans="10:28">
      <c r="J4209" s="340" t="str">
        <f t="shared" si="179"/>
        <v>2016FemaleMaori231</v>
      </c>
      <c r="K4209">
        <v>2016</v>
      </c>
      <c r="L4209" t="s">
        <v>8</v>
      </c>
      <c r="M4209" t="s">
        <v>18</v>
      </c>
      <c r="N4209">
        <v>23</v>
      </c>
      <c r="O4209">
        <v>1</v>
      </c>
      <c r="P4209">
        <v>1</v>
      </c>
      <c r="Q4209">
        <v>12.7506335605487</v>
      </c>
      <c r="R4209">
        <v>25</v>
      </c>
      <c r="T4209" s="340" t="str">
        <f t="shared" si="180"/>
        <v>2016FemaleNon-Maori23Hanging, strangulation and suffocation</v>
      </c>
      <c r="U4209">
        <v>2016</v>
      </c>
      <c r="V4209" t="s">
        <v>8</v>
      </c>
      <c r="W4209" t="s">
        <v>19</v>
      </c>
      <c r="X4209">
        <v>23</v>
      </c>
      <c r="Y4209" t="s">
        <v>43</v>
      </c>
      <c r="Z4209">
        <v>27</v>
      </c>
      <c r="AA4209">
        <v>42</v>
      </c>
      <c r="AB4209">
        <v>64.3</v>
      </c>
    </row>
    <row r="4210" spans="10:28">
      <c r="J4210" s="340" t="str">
        <f t="shared" si="179"/>
        <v>2016FemaleMaori232</v>
      </c>
      <c r="K4210">
        <v>2016</v>
      </c>
      <c r="L4210" t="s">
        <v>8</v>
      </c>
      <c r="M4210" t="s">
        <v>18</v>
      </c>
      <c r="N4210">
        <v>23</v>
      </c>
      <c r="O4210">
        <v>2</v>
      </c>
      <c r="P4210">
        <v>1</v>
      </c>
      <c r="Q4210">
        <v>8.9528111448149801</v>
      </c>
      <c r="R4210">
        <v>17.5</v>
      </c>
      <c r="T4210" s="340" t="str">
        <f t="shared" si="180"/>
        <v>2016FemaleNon-Maori24Hanging, strangulation and suffocation</v>
      </c>
      <c r="U4210">
        <v>2016</v>
      </c>
      <c r="V4210" t="s">
        <v>8</v>
      </c>
      <c r="W4210" t="s">
        <v>19</v>
      </c>
      <c r="X4210">
        <v>24</v>
      </c>
      <c r="Y4210" t="s">
        <v>43</v>
      </c>
      <c r="Z4210">
        <v>15</v>
      </c>
      <c r="AA4210">
        <v>35</v>
      </c>
      <c r="AB4210">
        <v>42.9</v>
      </c>
    </row>
    <row r="4211" spans="10:28">
      <c r="J4211" s="340" t="str">
        <f t="shared" si="179"/>
        <v>2016FemaleMaori233</v>
      </c>
      <c r="K4211">
        <v>2016</v>
      </c>
      <c r="L4211" t="s">
        <v>8</v>
      </c>
      <c r="M4211" t="s">
        <v>18</v>
      </c>
      <c r="N4211">
        <v>23</v>
      </c>
      <c r="O4211">
        <v>3</v>
      </c>
      <c r="P4211">
        <v>4</v>
      </c>
      <c r="Q4211">
        <v>25.616353687569301</v>
      </c>
      <c r="R4211">
        <v>25.1</v>
      </c>
      <c r="T4211" s="340" t="str">
        <f t="shared" si="180"/>
        <v>2016FemaleNon-Maori25Hanging, strangulation and suffocation</v>
      </c>
      <c r="U4211">
        <v>2016</v>
      </c>
      <c r="V4211" t="s">
        <v>8</v>
      </c>
      <c r="W4211" t="s">
        <v>19</v>
      </c>
      <c r="X4211">
        <v>25</v>
      </c>
      <c r="Y4211" t="s">
        <v>43</v>
      </c>
      <c r="Z4211">
        <v>5</v>
      </c>
      <c r="AA4211">
        <v>12</v>
      </c>
      <c r="AB4211">
        <v>41.7</v>
      </c>
    </row>
    <row r="4212" spans="10:28">
      <c r="J4212" s="340" t="str">
        <f t="shared" si="179"/>
        <v>2016FemaleMaori234</v>
      </c>
      <c r="K4212">
        <v>2016</v>
      </c>
      <c r="L4212" t="s">
        <v>8</v>
      </c>
      <c r="M4212" t="s">
        <v>18</v>
      </c>
      <c r="N4212">
        <v>23</v>
      </c>
      <c r="O4212">
        <v>4</v>
      </c>
      <c r="P4212">
        <v>3</v>
      </c>
      <c r="Q4212">
        <v>13.6748942081613</v>
      </c>
      <c r="R4212">
        <v>15.5</v>
      </c>
      <c r="T4212" s="340" t="str">
        <f t="shared" si="180"/>
        <v>2016FemaleNon-Maori22Jumping from a high place</v>
      </c>
      <c r="U4212">
        <v>2016</v>
      </c>
      <c r="V4212" t="s">
        <v>8</v>
      </c>
      <c r="W4212" t="s">
        <v>19</v>
      </c>
      <c r="X4212">
        <v>22</v>
      </c>
      <c r="Y4212" t="s">
        <v>44</v>
      </c>
      <c r="Z4212">
        <v>2</v>
      </c>
      <c r="AA4212">
        <v>15</v>
      </c>
      <c r="AB4212">
        <v>13.3</v>
      </c>
    </row>
    <row r="4213" spans="10:28">
      <c r="J4213" s="340" t="str">
        <f t="shared" si="179"/>
        <v>2016FemaleMaori235</v>
      </c>
      <c r="K4213">
        <v>2016</v>
      </c>
      <c r="L4213" t="s">
        <v>8</v>
      </c>
      <c r="M4213" t="s">
        <v>18</v>
      </c>
      <c r="N4213">
        <v>23</v>
      </c>
      <c r="O4213">
        <v>5</v>
      </c>
      <c r="P4213">
        <v>6</v>
      </c>
      <c r="Q4213">
        <v>15.795834207136901</v>
      </c>
      <c r="R4213">
        <v>12.6</v>
      </c>
      <c r="T4213" s="340" t="str">
        <f t="shared" si="180"/>
        <v>2016FemaleNon-Maori23Jumping from a high place</v>
      </c>
      <c r="U4213">
        <v>2016</v>
      </c>
      <c r="V4213" t="s">
        <v>8</v>
      </c>
      <c r="W4213" t="s">
        <v>19</v>
      </c>
      <c r="X4213">
        <v>23</v>
      </c>
      <c r="Y4213" t="s">
        <v>44</v>
      </c>
      <c r="Z4213">
        <v>3</v>
      </c>
      <c r="AA4213">
        <v>42</v>
      </c>
      <c r="AB4213">
        <v>7.1</v>
      </c>
    </row>
    <row r="4214" spans="10:28">
      <c r="J4214" s="340" t="str">
        <f t="shared" si="179"/>
        <v>2016FemaleMaori241</v>
      </c>
      <c r="K4214">
        <v>2016</v>
      </c>
      <c r="L4214" t="s">
        <v>8</v>
      </c>
      <c r="M4214" t="s">
        <v>18</v>
      </c>
      <c r="N4214">
        <v>24</v>
      </c>
      <c r="O4214">
        <v>1</v>
      </c>
      <c r="P4214">
        <v>0</v>
      </c>
      <c r="Q4214">
        <v>0</v>
      </c>
      <c r="T4214" s="340" t="str">
        <f t="shared" si="180"/>
        <v>2016FemaleNon-Maori22Other</v>
      </c>
      <c r="U4214">
        <v>2016</v>
      </c>
      <c r="V4214" t="s">
        <v>8</v>
      </c>
      <c r="W4214" t="s">
        <v>19</v>
      </c>
      <c r="X4214">
        <v>22</v>
      </c>
      <c r="Y4214" t="s">
        <v>45</v>
      </c>
      <c r="Z4214">
        <v>1</v>
      </c>
      <c r="AA4214">
        <v>15</v>
      </c>
      <c r="AB4214">
        <v>6.7</v>
      </c>
    </row>
    <row r="4215" spans="10:28">
      <c r="J4215" s="340" t="str">
        <f t="shared" si="179"/>
        <v>2016FemaleMaori242</v>
      </c>
      <c r="K4215">
        <v>2016</v>
      </c>
      <c r="L4215" t="s">
        <v>8</v>
      </c>
      <c r="M4215" t="s">
        <v>18</v>
      </c>
      <c r="N4215">
        <v>24</v>
      </c>
      <c r="O4215">
        <v>2</v>
      </c>
      <c r="P4215">
        <v>0</v>
      </c>
      <c r="Q4215">
        <v>0</v>
      </c>
      <c r="T4215" s="340" t="str">
        <f t="shared" si="180"/>
        <v>2016FemaleNon-Maori23Other</v>
      </c>
      <c r="U4215">
        <v>2016</v>
      </c>
      <c r="V4215" t="s">
        <v>8</v>
      </c>
      <c r="W4215" t="s">
        <v>19</v>
      </c>
      <c r="X4215">
        <v>23</v>
      </c>
      <c r="Y4215" t="s">
        <v>45</v>
      </c>
      <c r="Z4215">
        <v>2</v>
      </c>
      <c r="AA4215">
        <v>42</v>
      </c>
      <c r="AB4215">
        <v>4.8</v>
      </c>
    </row>
    <row r="4216" spans="10:28">
      <c r="J4216" s="340" t="str">
        <f t="shared" si="179"/>
        <v>2016FemaleMaori243</v>
      </c>
      <c r="K4216">
        <v>2016</v>
      </c>
      <c r="L4216" t="s">
        <v>8</v>
      </c>
      <c r="M4216" t="s">
        <v>18</v>
      </c>
      <c r="N4216">
        <v>24</v>
      </c>
      <c r="O4216">
        <v>3</v>
      </c>
      <c r="P4216">
        <v>5</v>
      </c>
      <c r="Q4216">
        <v>43.231272598418002</v>
      </c>
      <c r="R4216">
        <v>37.9</v>
      </c>
      <c r="T4216" s="340" t="str">
        <f t="shared" si="180"/>
        <v>2016FemaleNon-Maori24Other</v>
      </c>
      <c r="U4216">
        <v>2016</v>
      </c>
      <c r="V4216" t="s">
        <v>8</v>
      </c>
      <c r="W4216" t="s">
        <v>19</v>
      </c>
      <c r="X4216">
        <v>24</v>
      </c>
      <c r="Y4216" t="s">
        <v>45</v>
      </c>
      <c r="Z4216">
        <v>1</v>
      </c>
      <c r="AA4216">
        <v>35</v>
      </c>
      <c r="AB4216">
        <v>2.9</v>
      </c>
    </row>
    <row r="4217" spans="10:28">
      <c r="J4217" s="340" t="str">
        <f t="shared" si="179"/>
        <v>2016FemaleMaori244</v>
      </c>
      <c r="K4217">
        <v>2016</v>
      </c>
      <c r="L4217" t="s">
        <v>8</v>
      </c>
      <c r="M4217" t="s">
        <v>18</v>
      </c>
      <c r="N4217">
        <v>24</v>
      </c>
      <c r="O4217">
        <v>4</v>
      </c>
      <c r="P4217">
        <v>0</v>
      </c>
      <c r="Q4217">
        <v>0</v>
      </c>
      <c r="T4217" s="340" t="str">
        <f t="shared" si="180"/>
        <v>2016FemaleNon-Maori22Poisoning by gases and vapours</v>
      </c>
      <c r="U4217">
        <v>2016</v>
      </c>
      <c r="V4217" t="s">
        <v>8</v>
      </c>
      <c r="W4217" t="s">
        <v>19</v>
      </c>
      <c r="X4217">
        <v>22</v>
      </c>
      <c r="Y4217" t="s">
        <v>46</v>
      </c>
      <c r="Z4217">
        <v>1</v>
      </c>
      <c r="AA4217">
        <v>15</v>
      </c>
      <c r="AB4217">
        <v>6.7</v>
      </c>
    </row>
    <row r="4218" spans="10:28">
      <c r="J4218" s="340" t="str">
        <f t="shared" si="179"/>
        <v>2016FemaleMaori245</v>
      </c>
      <c r="K4218">
        <v>2016</v>
      </c>
      <c r="L4218" t="s">
        <v>8</v>
      </c>
      <c r="M4218" t="s">
        <v>18</v>
      </c>
      <c r="N4218">
        <v>24</v>
      </c>
      <c r="O4218">
        <v>5</v>
      </c>
      <c r="P4218">
        <v>4</v>
      </c>
      <c r="Q4218">
        <v>13.333236366472899</v>
      </c>
      <c r="R4218">
        <v>13.1</v>
      </c>
      <c r="T4218" s="340" t="str">
        <f t="shared" si="180"/>
        <v>2016FemaleNon-Maori23Poisoning by gases and vapours</v>
      </c>
      <c r="U4218">
        <v>2016</v>
      </c>
      <c r="V4218" t="s">
        <v>8</v>
      </c>
      <c r="W4218" t="s">
        <v>19</v>
      </c>
      <c r="X4218">
        <v>23</v>
      </c>
      <c r="Y4218" t="s">
        <v>46</v>
      </c>
      <c r="Z4218">
        <v>4</v>
      </c>
      <c r="AA4218">
        <v>42</v>
      </c>
      <c r="AB4218">
        <v>9.5</v>
      </c>
    </row>
    <row r="4219" spans="10:28">
      <c r="J4219" s="340" t="str">
        <f t="shared" si="179"/>
        <v>2016FemaleMaori251</v>
      </c>
      <c r="K4219">
        <v>2016</v>
      </c>
      <c r="L4219" t="s">
        <v>8</v>
      </c>
      <c r="M4219" t="s">
        <v>18</v>
      </c>
      <c r="N4219">
        <v>25</v>
      </c>
      <c r="O4219">
        <v>1</v>
      </c>
      <c r="P4219">
        <v>0</v>
      </c>
      <c r="Q4219">
        <v>0</v>
      </c>
      <c r="T4219" s="340" t="str">
        <f t="shared" si="180"/>
        <v>2016FemaleNon-Maori24Poisoning by gases and vapours</v>
      </c>
      <c r="U4219">
        <v>2016</v>
      </c>
      <c r="V4219" t="s">
        <v>8</v>
      </c>
      <c r="W4219" t="s">
        <v>19</v>
      </c>
      <c r="X4219">
        <v>24</v>
      </c>
      <c r="Y4219" t="s">
        <v>46</v>
      </c>
      <c r="Z4219">
        <v>5</v>
      </c>
      <c r="AA4219">
        <v>35</v>
      </c>
      <c r="AB4219">
        <v>14.3</v>
      </c>
    </row>
    <row r="4220" spans="10:28">
      <c r="J4220" s="340" t="str">
        <f t="shared" si="179"/>
        <v>2016FemaleMaori252</v>
      </c>
      <c r="K4220">
        <v>2016</v>
      </c>
      <c r="L4220" t="s">
        <v>8</v>
      </c>
      <c r="M4220" t="s">
        <v>18</v>
      </c>
      <c r="N4220">
        <v>25</v>
      </c>
      <c r="O4220">
        <v>2</v>
      </c>
      <c r="P4220">
        <v>0</v>
      </c>
      <c r="Q4220">
        <v>0</v>
      </c>
      <c r="T4220" s="340" t="str">
        <f t="shared" si="180"/>
        <v>2016FemaleNon-Maori22Poisoning by solids and liquids</v>
      </c>
      <c r="U4220">
        <v>2016</v>
      </c>
      <c r="V4220" t="s">
        <v>8</v>
      </c>
      <c r="W4220" t="s">
        <v>19</v>
      </c>
      <c r="X4220">
        <v>22</v>
      </c>
      <c r="Y4220" t="s">
        <v>47</v>
      </c>
      <c r="Z4220">
        <v>1</v>
      </c>
      <c r="AA4220">
        <v>15</v>
      </c>
      <c r="AB4220">
        <v>6.7</v>
      </c>
    </row>
    <row r="4221" spans="10:28">
      <c r="J4221" s="340" t="str">
        <f t="shared" si="179"/>
        <v>2016FemaleMaori253</v>
      </c>
      <c r="K4221">
        <v>2016</v>
      </c>
      <c r="L4221" t="s">
        <v>8</v>
      </c>
      <c r="M4221" t="s">
        <v>18</v>
      </c>
      <c r="N4221">
        <v>25</v>
      </c>
      <c r="O4221">
        <v>3</v>
      </c>
      <c r="P4221">
        <v>0</v>
      </c>
      <c r="Q4221">
        <v>0</v>
      </c>
      <c r="T4221" s="340" t="str">
        <f t="shared" si="180"/>
        <v>2016FemaleNon-Maori23Poisoning by solids and liquids</v>
      </c>
      <c r="U4221">
        <v>2016</v>
      </c>
      <c r="V4221" t="s">
        <v>8</v>
      </c>
      <c r="W4221" t="s">
        <v>19</v>
      </c>
      <c r="X4221">
        <v>23</v>
      </c>
      <c r="Y4221" t="s">
        <v>47</v>
      </c>
      <c r="Z4221">
        <v>5</v>
      </c>
      <c r="AA4221">
        <v>42</v>
      </c>
      <c r="AB4221">
        <v>11.9</v>
      </c>
    </row>
    <row r="4222" spans="10:28">
      <c r="J4222" s="340" t="str">
        <f t="shared" si="179"/>
        <v>2016FemaleMaori254</v>
      </c>
      <c r="K4222">
        <v>2016</v>
      </c>
      <c r="L4222" t="s">
        <v>8</v>
      </c>
      <c r="M4222" t="s">
        <v>18</v>
      </c>
      <c r="N4222">
        <v>25</v>
      </c>
      <c r="O4222">
        <v>4</v>
      </c>
      <c r="P4222">
        <v>0</v>
      </c>
      <c r="Q4222">
        <v>0</v>
      </c>
      <c r="T4222" s="340" t="str">
        <f t="shared" si="180"/>
        <v>2016FemaleNon-Maori24Poisoning by solids and liquids</v>
      </c>
      <c r="U4222">
        <v>2016</v>
      </c>
      <c r="V4222" t="s">
        <v>8</v>
      </c>
      <c r="W4222" t="s">
        <v>19</v>
      </c>
      <c r="X4222">
        <v>24</v>
      </c>
      <c r="Y4222" t="s">
        <v>47</v>
      </c>
      <c r="Z4222">
        <v>13</v>
      </c>
      <c r="AA4222">
        <v>35</v>
      </c>
      <c r="AB4222">
        <v>37.1</v>
      </c>
    </row>
    <row r="4223" spans="10:28">
      <c r="J4223" s="340" t="str">
        <f t="shared" si="179"/>
        <v>2016FemaleMaori255</v>
      </c>
      <c r="K4223">
        <v>2016</v>
      </c>
      <c r="L4223" t="s">
        <v>8</v>
      </c>
      <c r="M4223" t="s">
        <v>18</v>
      </c>
      <c r="N4223">
        <v>25</v>
      </c>
      <c r="O4223">
        <v>5</v>
      </c>
      <c r="P4223">
        <v>0</v>
      </c>
      <c r="Q4223">
        <v>0</v>
      </c>
      <c r="T4223" s="340" t="str">
        <f t="shared" si="180"/>
        <v>2016FemaleNon-Maori25Poisoning by solids and liquids</v>
      </c>
      <c r="U4223">
        <v>2016</v>
      </c>
      <c r="V4223" t="s">
        <v>8</v>
      </c>
      <c r="W4223" t="s">
        <v>19</v>
      </c>
      <c r="X4223">
        <v>25</v>
      </c>
      <c r="Y4223" t="s">
        <v>47</v>
      </c>
      <c r="Z4223">
        <v>6</v>
      </c>
      <c r="AA4223">
        <v>12</v>
      </c>
      <c r="AB4223">
        <v>50</v>
      </c>
    </row>
    <row r="4224" spans="10:28">
      <c r="J4224" s="340" t="str">
        <f t="shared" si="179"/>
        <v>2016FemaleNon-Maori211</v>
      </c>
      <c r="K4224">
        <v>2016</v>
      </c>
      <c r="L4224" t="s">
        <v>8</v>
      </c>
      <c r="M4224" t="s">
        <v>19</v>
      </c>
      <c r="N4224">
        <v>21</v>
      </c>
      <c r="O4224">
        <v>1</v>
      </c>
      <c r="P4224">
        <v>0</v>
      </c>
      <c r="Q4224">
        <v>0</v>
      </c>
      <c r="T4224" s="340" t="str">
        <f t="shared" si="180"/>
        <v>2016FemaleNon-Maori22Sharp object</v>
      </c>
      <c r="U4224">
        <v>2016</v>
      </c>
      <c r="V4224" t="s">
        <v>8</v>
      </c>
      <c r="W4224" t="s">
        <v>19</v>
      </c>
      <c r="X4224">
        <v>22</v>
      </c>
      <c r="Y4224" t="s">
        <v>48</v>
      </c>
      <c r="Z4224">
        <v>1</v>
      </c>
      <c r="AA4224">
        <v>15</v>
      </c>
      <c r="AB4224">
        <v>6.7</v>
      </c>
    </row>
    <row r="4225" spans="10:28">
      <c r="J4225" s="340" t="str">
        <f t="shared" si="179"/>
        <v>2016FemaleNon-Maori212</v>
      </c>
      <c r="K4225">
        <v>2016</v>
      </c>
      <c r="L4225" t="s">
        <v>8</v>
      </c>
      <c r="M4225" t="s">
        <v>19</v>
      </c>
      <c r="N4225">
        <v>21</v>
      </c>
      <c r="O4225">
        <v>2</v>
      </c>
      <c r="P4225">
        <v>0</v>
      </c>
      <c r="Q4225">
        <v>0</v>
      </c>
      <c r="T4225" s="340" t="str">
        <f t="shared" si="180"/>
        <v>2016FemaleNon-Maori23Submersion (drowning)</v>
      </c>
      <c r="U4225">
        <v>2016</v>
      </c>
      <c r="V4225" t="s">
        <v>8</v>
      </c>
      <c r="W4225" t="s">
        <v>19</v>
      </c>
      <c r="X4225">
        <v>23</v>
      </c>
      <c r="Y4225" t="s">
        <v>49</v>
      </c>
      <c r="Z4225">
        <v>1</v>
      </c>
      <c r="AA4225">
        <v>42</v>
      </c>
      <c r="AB4225">
        <v>2.4</v>
      </c>
    </row>
    <row r="4226" spans="10:28">
      <c r="J4226" s="340" t="str">
        <f t="shared" si="179"/>
        <v>2016FemaleNon-Maori213</v>
      </c>
      <c r="K4226">
        <v>2016</v>
      </c>
      <c r="L4226" t="s">
        <v>8</v>
      </c>
      <c r="M4226" t="s">
        <v>19</v>
      </c>
      <c r="N4226">
        <v>21</v>
      </c>
      <c r="O4226">
        <v>3</v>
      </c>
      <c r="P4226">
        <v>0</v>
      </c>
      <c r="Q4226">
        <v>0</v>
      </c>
      <c r="T4226" s="340" t="str">
        <f t="shared" si="180"/>
        <v>2016FemaleNon-Maori24Submersion (drowning)</v>
      </c>
      <c r="U4226">
        <v>2016</v>
      </c>
      <c r="V4226" t="s">
        <v>8</v>
      </c>
      <c r="W4226" t="s">
        <v>19</v>
      </c>
      <c r="X4226">
        <v>24</v>
      </c>
      <c r="Y4226" t="s">
        <v>49</v>
      </c>
      <c r="Z4226">
        <v>1</v>
      </c>
      <c r="AA4226">
        <v>35</v>
      </c>
      <c r="AB4226">
        <v>2.9</v>
      </c>
    </row>
    <row r="4227" spans="10:28">
      <c r="J4227" s="340" t="str">
        <f t="shared" si="179"/>
        <v>2016FemaleNon-Maori214</v>
      </c>
      <c r="K4227">
        <v>2016</v>
      </c>
      <c r="L4227" t="s">
        <v>8</v>
      </c>
      <c r="M4227" t="s">
        <v>19</v>
      </c>
      <c r="N4227">
        <v>21</v>
      </c>
      <c r="O4227">
        <v>4</v>
      </c>
      <c r="P4227">
        <v>0</v>
      </c>
      <c r="Q4227">
        <v>0</v>
      </c>
      <c r="T4227" s="340" t="str">
        <f t="shared" si="180"/>
        <v>2016FemaleNon-Maori25Submersion (drowning)</v>
      </c>
      <c r="U4227">
        <v>2016</v>
      </c>
      <c r="V4227" t="s">
        <v>8</v>
      </c>
      <c r="W4227" t="s">
        <v>19</v>
      </c>
      <c r="X4227">
        <v>25</v>
      </c>
      <c r="Y4227" t="s">
        <v>49</v>
      </c>
      <c r="Z4227">
        <v>1</v>
      </c>
      <c r="AA4227">
        <v>12</v>
      </c>
      <c r="AB4227">
        <v>8.3000000000000007</v>
      </c>
    </row>
    <row r="4228" spans="10:28">
      <c r="J4228" s="340" t="str">
        <f t="shared" ref="J4228:J4291" si="181">K4228&amp;L4228&amp;M4228&amp;N4228&amp;O4228</f>
        <v>2016FemaleNon-Maori215</v>
      </c>
      <c r="K4228">
        <v>2016</v>
      </c>
      <c r="L4228" t="s">
        <v>8</v>
      </c>
      <c r="M4228" t="s">
        <v>19</v>
      </c>
      <c r="N4228">
        <v>21</v>
      </c>
      <c r="O4228">
        <v>5</v>
      </c>
      <c r="P4228">
        <v>1</v>
      </c>
      <c r="Q4228">
        <v>1.7204135434123</v>
      </c>
      <c r="R4228">
        <v>3.4</v>
      </c>
      <c r="T4228" s="340" t="str">
        <f t="shared" si="180"/>
        <v>2016MaleAllEth22Firearms and explosives</v>
      </c>
      <c r="U4228">
        <v>2016</v>
      </c>
      <c r="V4228" t="s">
        <v>20</v>
      </c>
      <c r="W4228" t="s">
        <v>27</v>
      </c>
      <c r="X4228">
        <v>22</v>
      </c>
      <c r="Y4228" t="s">
        <v>42</v>
      </c>
      <c r="Z4228">
        <v>3</v>
      </c>
      <c r="AA4228">
        <v>86</v>
      </c>
      <c r="AB4228">
        <v>3.5</v>
      </c>
    </row>
    <row r="4229" spans="10:28">
      <c r="J4229" s="340" t="str">
        <f t="shared" si="181"/>
        <v>2016FemaleNon-Maori221</v>
      </c>
      <c r="K4229">
        <v>2016</v>
      </c>
      <c r="L4229" t="s">
        <v>8</v>
      </c>
      <c r="M4229" t="s">
        <v>19</v>
      </c>
      <c r="N4229">
        <v>22</v>
      </c>
      <c r="O4229">
        <v>1</v>
      </c>
      <c r="P4229">
        <v>5</v>
      </c>
      <c r="Q4229">
        <v>10.0134751977969</v>
      </c>
      <c r="R4229">
        <v>8.8000000000000007</v>
      </c>
      <c r="T4229" s="340" t="str">
        <f t="shared" ref="T4229:T4292" si="182">U4229&amp;V4229&amp;W4229&amp;X4229&amp;Y4229</f>
        <v>2016MaleAllEth23Firearms and explosives</v>
      </c>
      <c r="U4229">
        <v>2016</v>
      </c>
      <c r="V4229" t="s">
        <v>20</v>
      </c>
      <c r="W4229" t="s">
        <v>27</v>
      </c>
      <c r="X4229">
        <v>23</v>
      </c>
      <c r="Y4229" t="s">
        <v>42</v>
      </c>
      <c r="Z4229">
        <v>10</v>
      </c>
      <c r="AA4229">
        <v>143</v>
      </c>
      <c r="AB4229">
        <v>7</v>
      </c>
    </row>
    <row r="4230" spans="10:28">
      <c r="J4230" s="340" t="str">
        <f t="shared" si="181"/>
        <v>2016FemaleNon-Maori222</v>
      </c>
      <c r="K4230">
        <v>2016</v>
      </c>
      <c r="L4230" t="s">
        <v>8</v>
      </c>
      <c r="M4230" t="s">
        <v>19</v>
      </c>
      <c r="N4230">
        <v>22</v>
      </c>
      <c r="O4230">
        <v>2</v>
      </c>
      <c r="P4230">
        <v>2</v>
      </c>
      <c r="Q4230">
        <v>4.0617277392270701</v>
      </c>
      <c r="R4230">
        <v>5.6</v>
      </c>
      <c r="T4230" s="340" t="str">
        <f t="shared" si="182"/>
        <v>2016MaleAllEth24Firearms and explosives</v>
      </c>
      <c r="U4230">
        <v>2016</v>
      </c>
      <c r="V4230" t="s">
        <v>20</v>
      </c>
      <c r="W4230" t="s">
        <v>27</v>
      </c>
      <c r="X4230">
        <v>24</v>
      </c>
      <c r="Y4230" t="s">
        <v>42</v>
      </c>
      <c r="Z4230">
        <v>15</v>
      </c>
      <c r="AA4230">
        <v>127</v>
      </c>
      <c r="AB4230">
        <v>11.8</v>
      </c>
    </row>
    <row r="4231" spans="10:28">
      <c r="J4231" s="340" t="str">
        <f t="shared" si="181"/>
        <v>2016FemaleNon-Maori223</v>
      </c>
      <c r="K4231">
        <v>2016</v>
      </c>
      <c r="L4231" t="s">
        <v>8</v>
      </c>
      <c r="M4231" t="s">
        <v>19</v>
      </c>
      <c r="N4231">
        <v>22</v>
      </c>
      <c r="O4231">
        <v>3</v>
      </c>
      <c r="P4231">
        <v>1</v>
      </c>
      <c r="Q4231">
        <v>2.0080694526334302</v>
      </c>
      <c r="R4231">
        <v>3.9</v>
      </c>
      <c r="T4231" s="340" t="str">
        <f t="shared" si="182"/>
        <v>2016MaleAllEth25Firearms and explosives</v>
      </c>
      <c r="U4231">
        <v>2016</v>
      </c>
      <c r="V4231" t="s">
        <v>20</v>
      </c>
      <c r="W4231" t="s">
        <v>27</v>
      </c>
      <c r="X4231">
        <v>25</v>
      </c>
      <c r="Y4231" t="s">
        <v>42</v>
      </c>
      <c r="Z4231">
        <v>6</v>
      </c>
      <c r="AA4231">
        <v>51</v>
      </c>
      <c r="AB4231">
        <v>11.8</v>
      </c>
    </row>
    <row r="4232" spans="10:28">
      <c r="J4232" s="340" t="str">
        <f t="shared" si="181"/>
        <v>2016FemaleNon-Maori224</v>
      </c>
      <c r="K4232">
        <v>2016</v>
      </c>
      <c r="L4232" t="s">
        <v>8</v>
      </c>
      <c r="M4232" t="s">
        <v>19</v>
      </c>
      <c r="N4232">
        <v>22</v>
      </c>
      <c r="O4232">
        <v>4</v>
      </c>
      <c r="P4232">
        <v>5</v>
      </c>
      <c r="Q4232">
        <v>9.2864864282883293</v>
      </c>
      <c r="R4232">
        <v>8.1</v>
      </c>
      <c r="T4232" s="340" t="str">
        <f t="shared" si="182"/>
        <v>2016MaleAllEth21Hanging, strangulation and suffocation</v>
      </c>
      <c r="U4232">
        <v>2016</v>
      </c>
      <c r="V4232" t="s">
        <v>20</v>
      </c>
      <c r="W4232" t="s">
        <v>27</v>
      </c>
      <c r="X4232">
        <v>21</v>
      </c>
      <c r="Y4232" t="s">
        <v>43</v>
      </c>
      <c r="Z4232">
        <v>5</v>
      </c>
      <c r="AA4232">
        <v>5</v>
      </c>
      <c r="AB4232">
        <v>100</v>
      </c>
    </row>
    <row r="4233" spans="10:28">
      <c r="J4233" s="340" t="str">
        <f t="shared" si="181"/>
        <v>2016FemaleNon-Maori225</v>
      </c>
      <c r="K4233">
        <v>2016</v>
      </c>
      <c r="L4233" t="s">
        <v>8</v>
      </c>
      <c r="M4233" t="s">
        <v>19</v>
      </c>
      <c r="N4233">
        <v>22</v>
      </c>
      <c r="O4233">
        <v>5</v>
      </c>
      <c r="P4233">
        <v>1</v>
      </c>
      <c r="Q4233">
        <v>1.89976166782445</v>
      </c>
      <c r="R4233">
        <v>3.7</v>
      </c>
      <c r="T4233" s="340" t="str">
        <f t="shared" si="182"/>
        <v>2016MaleAllEth22Hanging, strangulation and suffocation</v>
      </c>
      <c r="U4233">
        <v>2016</v>
      </c>
      <c r="V4233" t="s">
        <v>20</v>
      </c>
      <c r="W4233" t="s">
        <v>27</v>
      </c>
      <c r="X4233">
        <v>22</v>
      </c>
      <c r="Y4233" t="s">
        <v>43</v>
      </c>
      <c r="Z4233">
        <v>67</v>
      </c>
      <c r="AA4233">
        <v>86</v>
      </c>
      <c r="AB4233">
        <v>77.900000000000006</v>
      </c>
    </row>
    <row r="4234" spans="10:28">
      <c r="J4234" s="340" t="str">
        <f t="shared" si="181"/>
        <v>2016FemaleNon-Maori231</v>
      </c>
      <c r="K4234">
        <v>2016</v>
      </c>
      <c r="L4234" t="s">
        <v>8</v>
      </c>
      <c r="M4234" t="s">
        <v>19</v>
      </c>
      <c r="N4234">
        <v>23</v>
      </c>
      <c r="O4234">
        <v>1</v>
      </c>
      <c r="P4234">
        <v>4</v>
      </c>
      <c r="Q4234">
        <v>3.6264474391916002</v>
      </c>
      <c r="R4234">
        <v>3.6</v>
      </c>
      <c r="T4234" s="340" t="str">
        <f t="shared" si="182"/>
        <v>2016MaleAllEth23Hanging, strangulation and suffocation</v>
      </c>
      <c r="U4234">
        <v>2016</v>
      </c>
      <c r="V4234" t="s">
        <v>20</v>
      </c>
      <c r="W4234" t="s">
        <v>27</v>
      </c>
      <c r="X4234">
        <v>23</v>
      </c>
      <c r="Y4234" t="s">
        <v>43</v>
      </c>
      <c r="Z4234">
        <v>104</v>
      </c>
      <c r="AA4234">
        <v>143</v>
      </c>
      <c r="AB4234">
        <v>72.7</v>
      </c>
    </row>
    <row r="4235" spans="10:28">
      <c r="J4235" s="340" t="str">
        <f t="shared" si="181"/>
        <v>2016FemaleNon-Maori232</v>
      </c>
      <c r="K4235">
        <v>2016</v>
      </c>
      <c r="L4235" t="s">
        <v>8</v>
      </c>
      <c r="M4235" t="s">
        <v>19</v>
      </c>
      <c r="N4235">
        <v>23</v>
      </c>
      <c r="O4235">
        <v>2</v>
      </c>
      <c r="P4235">
        <v>1</v>
      </c>
      <c r="Q4235">
        <v>0.85319965615079296</v>
      </c>
      <c r="R4235">
        <v>1.7</v>
      </c>
      <c r="T4235" s="340" t="str">
        <f t="shared" si="182"/>
        <v>2016MaleAllEth24Hanging, strangulation and suffocation</v>
      </c>
      <c r="U4235">
        <v>2016</v>
      </c>
      <c r="V4235" t="s">
        <v>20</v>
      </c>
      <c r="W4235" t="s">
        <v>27</v>
      </c>
      <c r="X4235">
        <v>24</v>
      </c>
      <c r="Y4235" t="s">
        <v>43</v>
      </c>
      <c r="Z4235">
        <v>79</v>
      </c>
      <c r="AA4235">
        <v>127</v>
      </c>
      <c r="AB4235">
        <v>62.2</v>
      </c>
    </row>
    <row r="4236" spans="10:28">
      <c r="J4236" s="340" t="str">
        <f t="shared" si="181"/>
        <v>2016FemaleNon-Maori233</v>
      </c>
      <c r="K4236">
        <v>2016</v>
      </c>
      <c r="L4236" t="s">
        <v>8</v>
      </c>
      <c r="M4236" t="s">
        <v>19</v>
      </c>
      <c r="N4236">
        <v>23</v>
      </c>
      <c r="O4236">
        <v>3</v>
      </c>
      <c r="P4236">
        <v>9</v>
      </c>
      <c r="Q4236">
        <v>7.8244636025764001</v>
      </c>
      <c r="R4236">
        <v>5.0999999999999996</v>
      </c>
      <c r="T4236" s="340" t="str">
        <f t="shared" si="182"/>
        <v>2016MaleAllEth25Hanging, strangulation and suffocation</v>
      </c>
      <c r="U4236">
        <v>2016</v>
      </c>
      <c r="V4236" t="s">
        <v>20</v>
      </c>
      <c r="W4236" t="s">
        <v>27</v>
      </c>
      <c r="X4236">
        <v>25</v>
      </c>
      <c r="Y4236" t="s">
        <v>43</v>
      </c>
      <c r="Z4236">
        <v>20</v>
      </c>
      <c r="AA4236">
        <v>51</v>
      </c>
      <c r="AB4236">
        <v>39.200000000000003</v>
      </c>
    </row>
    <row r="4237" spans="10:28">
      <c r="J4237" s="340" t="str">
        <f t="shared" si="181"/>
        <v>2016FemaleNon-Maori234</v>
      </c>
      <c r="K4237">
        <v>2016</v>
      </c>
      <c r="L4237" t="s">
        <v>8</v>
      </c>
      <c r="M4237" t="s">
        <v>19</v>
      </c>
      <c r="N4237">
        <v>23</v>
      </c>
      <c r="O4237">
        <v>4</v>
      </c>
      <c r="P4237">
        <v>14</v>
      </c>
      <c r="Q4237">
        <v>13.134245964588301</v>
      </c>
      <c r="R4237">
        <v>6.9</v>
      </c>
      <c r="T4237" s="340" t="str">
        <f t="shared" si="182"/>
        <v>2016MaleAllEth22Jumping from a high place</v>
      </c>
      <c r="U4237">
        <v>2016</v>
      </c>
      <c r="V4237" t="s">
        <v>20</v>
      </c>
      <c r="W4237" t="s">
        <v>27</v>
      </c>
      <c r="X4237">
        <v>22</v>
      </c>
      <c r="Y4237" t="s">
        <v>44</v>
      </c>
      <c r="Z4237">
        <v>4</v>
      </c>
      <c r="AA4237">
        <v>86</v>
      </c>
      <c r="AB4237">
        <v>4.7</v>
      </c>
    </row>
    <row r="4238" spans="10:28">
      <c r="J4238" s="340" t="str">
        <f t="shared" si="181"/>
        <v>2016FemaleNon-Maori235</v>
      </c>
      <c r="K4238">
        <v>2016</v>
      </c>
      <c r="L4238" t="s">
        <v>8</v>
      </c>
      <c r="M4238" t="s">
        <v>19</v>
      </c>
      <c r="N4238">
        <v>23</v>
      </c>
      <c r="O4238">
        <v>5</v>
      </c>
      <c r="P4238">
        <v>14</v>
      </c>
      <c r="Q4238">
        <v>16.179430508697401</v>
      </c>
      <c r="R4238">
        <v>8.5</v>
      </c>
      <c r="T4238" s="340" t="str">
        <f t="shared" si="182"/>
        <v>2016MaleAllEth23Jumping from a high place</v>
      </c>
      <c r="U4238">
        <v>2016</v>
      </c>
      <c r="V4238" t="s">
        <v>20</v>
      </c>
      <c r="W4238" t="s">
        <v>27</v>
      </c>
      <c r="X4238">
        <v>23</v>
      </c>
      <c r="Y4238" t="s">
        <v>44</v>
      </c>
      <c r="Z4238">
        <v>10</v>
      </c>
      <c r="AA4238">
        <v>143</v>
      </c>
      <c r="AB4238">
        <v>7</v>
      </c>
    </row>
    <row r="4239" spans="10:28">
      <c r="J4239" s="340" t="str">
        <f t="shared" si="181"/>
        <v>2016FemaleNon-Maori241</v>
      </c>
      <c r="K4239">
        <v>2016</v>
      </c>
      <c r="L4239" t="s">
        <v>8</v>
      </c>
      <c r="M4239" t="s">
        <v>19</v>
      </c>
      <c r="N4239">
        <v>24</v>
      </c>
      <c r="O4239">
        <v>1</v>
      </c>
      <c r="P4239">
        <v>6</v>
      </c>
      <c r="Q4239">
        <v>4.3162721207121502</v>
      </c>
      <c r="R4239">
        <v>3.5</v>
      </c>
      <c r="T4239" s="340" t="str">
        <f t="shared" si="182"/>
        <v>2016MaleAllEth24Jumping from a high place</v>
      </c>
      <c r="U4239">
        <v>2016</v>
      </c>
      <c r="V4239" t="s">
        <v>20</v>
      </c>
      <c r="W4239" t="s">
        <v>27</v>
      </c>
      <c r="X4239">
        <v>24</v>
      </c>
      <c r="Y4239" t="s">
        <v>44</v>
      </c>
      <c r="Z4239">
        <v>4</v>
      </c>
      <c r="AA4239">
        <v>127</v>
      </c>
      <c r="AB4239">
        <v>3.1</v>
      </c>
    </row>
    <row r="4240" spans="10:28">
      <c r="J4240" s="340" t="str">
        <f t="shared" si="181"/>
        <v>2016FemaleNon-Maori242</v>
      </c>
      <c r="K4240">
        <v>2016</v>
      </c>
      <c r="L4240" t="s">
        <v>8</v>
      </c>
      <c r="M4240" t="s">
        <v>19</v>
      </c>
      <c r="N4240">
        <v>24</v>
      </c>
      <c r="O4240">
        <v>2</v>
      </c>
      <c r="P4240">
        <v>5</v>
      </c>
      <c r="Q4240">
        <v>4.0530073164495803</v>
      </c>
      <c r="R4240">
        <v>3.6</v>
      </c>
      <c r="T4240" s="340" t="str">
        <f t="shared" si="182"/>
        <v>2016MaleAllEth25Jumping from a high place</v>
      </c>
      <c r="U4240">
        <v>2016</v>
      </c>
      <c r="V4240" t="s">
        <v>20</v>
      </c>
      <c r="W4240" t="s">
        <v>27</v>
      </c>
      <c r="X4240">
        <v>25</v>
      </c>
      <c r="Y4240" t="s">
        <v>44</v>
      </c>
      <c r="Z4240">
        <v>1</v>
      </c>
      <c r="AA4240">
        <v>51</v>
      </c>
      <c r="AB4240">
        <v>2</v>
      </c>
    </row>
    <row r="4241" spans="10:28">
      <c r="J4241" s="340" t="str">
        <f t="shared" si="181"/>
        <v>2016FemaleNon-Maori243</v>
      </c>
      <c r="K4241">
        <v>2016</v>
      </c>
      <c r="L4241" t="s">
        <v>8</v>
      </c>
      <c r="M4241" t="s">
        <v>19</v>
      </c>
      <c r="N4241">
        <v>24</v>
      </c>
      <c r="O4241">
        <v>3</v>
      </c>
      <c r="P4241">
        <v>8</v>
      </c>
      <c r="Q4241">
        <v>7.3444655159723604</v>
      </c>
      <c r="R4241">
        <v>5.0999999999999996</v>
      </c>
      <c r="T4241" s="340" t="str">
        <f t="shared" si="182"/>
        <v>2016MaleAllEth22Other</v>
      </c>
      <c r="U4241">
        <v>2016</v>
      </c>
      <c r="V4241" t="s">
        <v>20</v>
      </c>
      <c r="W4241" t="s">
        <v>27</v>
      </c>
      <c r="X4241">
        <v>22</v>
      </c>
      <c r="Y4241" t="s">
        <v>45</v>
      </c>
      <c r="Z4241">
        <v>6</v>
      </c>
      <c r="AA4241">
        <v>86</v>
      </c>
      <c r="AB4241">
        <v>7</v>
      </c>
    </row>
    <row r="4242" spans="10:28">
      <c r="J4242" s="340" t="str">
        <f t="shared" si="181"/>
        <v>2016FemaleNon-Maori244</v>
      </c>
      <c r="K4242">
        <v>2016</v>
      </c>
      <c r="L4242" t="s">
        <v>8</v>
      </c>
      <c r="M4242" t="s">
        <v>19</v>
      </c>
      <c r="N4242">
        <v>24</v>
      </c>
      <c r="O4242">
        <v>4</v>
      </c>
      <c r="P4242">
        <v>8</v>
      </c>
      <c r="Q4242">
        <v>8.5289588976193897</v>
      </c>
      <c r="R4242">
        <v>5.9</v>
      </c>
      <c r="T4242" s="340" t="str">
        <f t="shared" si="182"/>
        <v>2016MaleAllEth23Other</v>
      </c>
      <c r="U4242">
        <v>2016</v>
      </c>
      <c r="V4242" t="s">
        <v>20</v>
      </c>
      <c r="W4242" t="s">
        <v>27</v>
      </c>
      <c r="X4242">
        <v>23</v>
      </c>
      <c r="Y4242" t="s">
        <v>45</v>
      </c>
      <c r="Z4242">
        <v>3</v>
      </c>
      <c r="AA4242">
        <v>143</v>
      </c>
      <c r="AB4242">
        <v>2.1</v>
      </c>
    </row>
    <row r="4243" spans="10:28">
      <c r="J4243" s="340" t="str">
        <f t="shared" si="181"/>
        <v>2016FemaleNon-Maori245</v>
      </c>
      <c r="K4243">
        <v>2016</v>
      </c>
      <c r="L4243" t="s">
        <v>8</v>
      </c>
      <c r="M4243" t="s">
        <v>19</v>
      </c>
      <c r="N4243">
        <v>24</v>
      </c>
      <c r="O4243">
        <v>5</v>
      </c>
      <c r="P4243">
        <v>8</v>
      </c>
      <c r="Q4243">
        <v>10.880827171741601</v>
      </c>
      <c r="R4243">
        <v>7.5</v>
      </c>
      <c r="T4243" s="340" t="str">
        <f t="shared" si="182"/>
        <v>2016MaleAllEth24Other</v>
      </c>
      <c r="U4243">
        <v>2016</v>
      </c>
      <c r="V4243" t="s">
        <v>20</v>
      </c>
      <c r="W4243" t="s">
        <v>27</v>
      </c>
      <c r="X4243">
        <v>24</v>
      </c>
      <c r="Y4243" t="s">
        <v>45</v>
      </c>
      <c r="Z4243">
        <v>5</v>
      </c>
      <c r="AA4243">
        <v>127</v>
      </c>
      <c r="AB4243">
        <v>3.9</v>
      </c>
    </row>
    <row r="4244" spans="10:28">
      <c r="J4244" s="340" t="str">
        <f t="shared" si="181"/>
        <v>2016FemaleNon-Maori251</v>
      </c>
      <c r="K4244">
        <v>2016</v>
      </c>
      <c r="L4244" t="s">
        <v>8</v>
      </c>
      <c r="M4244" t="s">
        <v>19</v>
      </c>
      <c r="N4244">
        <v>25</v>
      </c>
      <c r="O4244">
        <v>1</v>
      </c>
      <c r="P4244">
        <v>1</v>
      </c>
      <c r="Q4244">
        <v>1.39238134448183</v>
      </c>
      <c r="R4244">
        <v>2.7</v>
      </c>
      <c r="T4244" s="340" t="str">
        <f t="shared" si="182"/>
        <v>2016MaleAllEth25Other</v>
      </c>
      <c r="U4244">
        <v>2016</v>
      </c>
      <c r="V4244" t="s">
        <v>20</v>
      </c>
      <c r="W4244" t="s">
        <v>27</v>
      </c>
      <c r="X4244">
        <v>25</v>
      </c>
      <c r="Y4244" t="s">
        <v>45</v>
      </c>
      <c r="Z4244">
        <v>2</v>
      </c>
      <c r="AA4244">
        <v>51</v>
      </c>
      <c r="AB4244">
        <v>3.9</v>
      </c>
    </row>
    <row r="4245" spans="10:28">
      <c r="J4245" s="340" t="str">
        <f t="shared" si="181"/>
        <v>2016FemaleNon-Maori252</v>
      </c>
      <c r="K4245">
        <v>2016</v>
      </c>
      <c r="L4245" t="s">
        <v>8</v>
      </c>
      <c r="M4245" t="s">
        <v>19</v>
      </c>
      <c r="N4245">
        <v>25</v>
      </c>
      <c r="O4245">
        <v>2</v>
      </c>
      <c r="P4245">
        <v>1</v>
      </c>
      <c r="Q4245">
        <v>1.36049734703929</v>
      </c>
      <c r="R4245">
        <v>2.7</v>
      </c>
      <c r="T4245" s="340" t="str">
        <f t="shared" si="182"/>
        <v>2016MaleAllEth22Poisoning by gases and vapours</v>
      </c>
      <c r="U4245">
        <v>2016</v>
      </c>
      <c r="V4245" t="s">
        <v>20</v>
      </c>
      <c r="W4245" t="s">
        <v>27</v>
      </c>
      <c r="X4245">
        <v>22</v>
      </c>
      <c r="Y4245" t="s">
        <v>46</v>
      </c>
      <c r="Z4245">
        <v>4</v>
      </c>
      <c r="AA4245">
        <v>86</v>
      </c>
      <c r="AB4245">
        <v>4.7</v>
      </c>
    </row>
    <row r="4246" spans="10:28">
      <c r="J4246" s="340" t="str">
        <f t="shared" si="181"/>
        <v>2016FemaleNon-Maori253</v>
      </c>
      <c r="K4246">
        <v>2016</v>
      </c>
      <c r="L4246" t="s">
        <v>8</v>
      </c>
      <c r="M4246" t="s">
        <v>19</v>
      </c>
      <c r="N4246">
        <v>25</v>
      </c>
      <c r="O4246">
        <v>3</v>
      </c>
      <c r="P4246">
        <v>6</v>
      </c>
      <c r="Q4246">
        <v>8.2316222205634304</v>
      </c>
      <c r="R4246">
        <v>6.6</v>
      </c>
      <c r="T4246" s="340" t="str">
        <f t="shared" si="182"/>
        <v>2016MaleAllEth23Poisoning by gases and vapours</v>
      </c>
      <c r="U4246">
        <v>2016</v>
      </c>
      <c r="V4246" t="s">
        <v>20</v>
      </c>
      <c r="W4246" t="s">
        <v>27</v>
      </c>
      <c r="X4246">
        <v>23</v>
      </c>
      <c r="Y4246" t="s">
        <v>46</v>
      </c>
      <c r="Z4246">
        <v>10</v>
      </c>
      <c r="AA4246">
        <v>143</v>
      </c>
      <c r="AB4246">
        <v>7</v>
      </c>
    </row>
    <row r="4247" spans="10:28">
      <c r="J4247" s="340" t="str">
        <f t="shared" si="181"/>
        <v>2016FemaleNon-Maori254</v>
      </c>
      <c r="K4247">
        <v>2016</v>
      </c>
      <c r="L4247" t="s">
        <v>8</v>
      </c>
      <c r="M4247" t="s">
        <v>19</v>
      </c>
      <c r="N4247">
        <v>25</v>
      </c>
      <c r="O4247">
        <v>4</v>
      </c>
      <c r="P4247">
        <v>2</v>
      </c>
      <c r="Q4247">
        <v>2.6960456867316598</v>
      </c>
      <c r="R4247">
        <v>3.7</v>
      </c>
      <c r="T4247" s="340" t="str">
        <f t="shared" si="182"/>
        <v>2016MaleAllEth24Poisoning by gases and vapours</v>
      </c>
      <c r="U4247">
        <v>2016</v>
      </c>
      <c r="V4247" t="s">
        <v>20</v>
      </c>
      <c r="W4247" t="s">
        <v>27</v>
      </c>
      <c r="X4247">
        <v>24</v>
      </c>
      <c r="Y4247" t="s">
        <v>46</v>
      </c>
      <c r="Z4247">
        <v>12</v>
      </c>
      <c r="AA4247">
        <v>127</v>
      </c>
      <c r="AB4247">
        <v>9.4</v>
      </c>
    </row>
    <row r="4248" spans="10:28">
      <c r="J4248" s="340" t="str">
        <f t="shared" si="181"/>
        <v>2016FemaleNon-Maori255</v>
      </c>
      <c r="K4248">
        <v>2016</v>
      </c>
      <c r="L4248" t="s">
        <v>8</v>
      </c>
      <c r="M4248" t="s">
        <v>19</v>
      </c>
      <c r="N4248">
        <v>25</v>
      </c>
      <c r="O4248">
        <v>5</v>
      </c>
      <c r="P4248">
        <v>2</v>
      </c>
      <c r="Q4248">
        <v>3.6843616748070298</v>
      </c>
      <c r="R4248">
        <v>5.0999999999999996</v>
      </c>
      <c r="T4248" s="340" t="str">
        <f t="shared" si="182"/>
        <v>2016MaleAllEth25Poisoning by gases and vapours</v>
      </c>
      <c r="U4248">
        <v>2016</v>
      </c>
      <c r="V4248" t="s">
        <v>20</v>
      </c>
      <c r="W4248" t="s">
        <v>27</v>
      </c>
      <c r="X4248">
        <v>25</v>
      </c>
      <c r="Y4248" t="s">
        <v>46</v>
      </c>
      <c r="Z4248">
        <v>6</v>
      </c>
      <c r="AA4248">
        <v>51</v>
      </c>
      <c r="AB4248">
        <v>11.8</v>
      </c>
    </row>
    <row r="4249" spans="10:28">
      <c r="J4249" s="340" t="str">
        <f t="shared" si="181"/>
        <v>2016MaleAllEth211</v>
      </c>
      <c r="K4249">
        <v>2016</v>
      </c>
      <c r="L4249" t="s">
        <v>20</v>
      </c>
      <c r="M4249" t="s">
        <v>27</v>
      </c>
      <c r="N4249">
        <v>21</v>
      </c>
      <c r="O4249">
        <v>1</v>
      </c>
      <c r="P4249">
        <v>2</v>
      </c>
      <c r="Q4249">
        <v>2.1043230756754898</v>
      </c>
      <c r="R4249">
        <v>2.9</v>
      </c>
      <c r="T4249" s="340" t="str">
        <f t="shared" si="182"/>
        <v>2016MaleAllEth22Poisoning by solids and liquids</v>
      </c>
      <c r="U4249">
        <v>2016</v>
      </c>
      <c r="V4249" t="s">
        <v>20</v>
      </c>
      <c r="W4249" t="s">
        <v>27</v>
      </c>
      <c r="X4249">
        <v>22</v>
      </c>
      <c r="Y4249" t="s">
        <v>47</v>
      </c>
      <c r="Z4249">
        <v>2</v>
      </c>
      <c r="AA4249">
        <v>86</v>
      </c>
      <c r="AB4249">
        <v>2.2999999999999998</v>
      </c>
    </row>
    <row r="4250" spans="10:28">
      <c r="J4250" s="340" t="str">
        <f t="shared" si="181"/>
        <v>2016MaleAllEth212</v>
      </c>
      <c r="K4250">
        <v>2016</v>
      </c>
      <c r="L4250" t="s">
        <v>20</v>
      </c>
      <c r="M4250" t="s">
        <v>27</v>
      </c>
      <c r="N4250">
        <v>21</v>
      </c>
      <c r="O4250">
        <v>2</v>
      </c>
      <c r="P4250">
        <v>1</v>
      </c>
      <c r="Q4250">
        <v>1.1159333564338301</v>
      </c>
      <c r="R4250">
        <v>2.2000000000000002</v>
      </c>
      <c r="T4250" s="340" t="str">
        <f t="shared" si="182"/>
        <v>2016MaleAllEth23Poisoning by solids and liquids</v>
      </c>
      <c r="U4250">
        <v>2016</v>
      </c>
      <c r="V4250" t="s">
        <v>20</v>
      </c>
      <c r="W4250" t="s">
        <v>27</v>
      </c>
      <c r="X4250">
        <v>23</v>
      </c>
      <c r="Y4250" t="s">
        <v>47</v>
      </c>
      <c r="Z4250">
        <v>3</v>
      </c>
      <c r="AA4250">
        <v>143</v>
      </c>
      <c r="AB4250">
        <v>2.1</v>
      </c>
    </row>
    <row r="4251" spans="10:28">
      <c r="J4251" s="340" t="str">
        <f t="shared" si="181"/>
        <v>2016MaleAllEth213</v>
      </c>
      <c r="K4251">
        <v>2016</v>
      </c>
      <c r="L4251" t="s">
        <v>20</v>
      </c>
      <c r="M4251" t="s">
        <v>27</v>
      </c>
      <c r="N4251">
        <v>21</v>
      </c>
      <c r="O4251">
        <v>3</v>
      </c>
      <c r="P4251">
        <v>0</v>
      </c>
      <c r="Q4251">
        <v>0</v>
      </c>
      <c r="T4251" s="340" t="str">
        <f t="shared" si="182"/>
        <v>2016MaleAllEth24Poisoning by solids and liquids</v>
      </c>
      <c r="U4251">
        <v>2016</v>
      </c>
      <c r="V4251" t="s">
        <v>20</v>
      </c>
      <c r="W4251" t="s">
        <v>27</v>
      </c>
      <c r="X4251">
        <v>24</v>
      </c>
      <c r="Y4251" t="s">
        <v>47</v>
      </c>
      <c r="Z4251">
        <v>6</v>
      </c>
      <c r="AA4251">
        <v>127</v>
      </c>
      <c r="AB4251">
        <v>4.7</v>
      </c>
    </row>
    <row r="4252" spans="10:28">
      <c r="J4252" s="340" t="str">
        <f t="shared" si="181"/>
        <v>2016MaleAllEth214</v>
      </c>
      <c r="K4252">
        <v>2016</v>
      </c>
      <c r="L4252" t="s">
        <v>20</v>
      </c>
      <c r="M4252" t="s">
        <v>27</v>
      </c>
      <c r="N4252">
        <v>21</v>
      </c>
      <c r="O4252">
        <v>4</v>
      </c>
      <c r="P4252">
        <v>2</v>
      </c>
      <c r="Q4252">
        <v>2.2558151639882702</v>
      </c>
      <c r="R4252">
        <v>3.1</v>
      </c>
      <c r="T4252" s="340" t="str">
        <f t="shared" si="182"/>
        <v>2016MaleAllEth25Poisoning by solids and liquids</v>
      </c>
      <c r="U4252">
        <v>2016</v>
      </c>
      <c r="V4252" t="s">
        <v>20</v>
      </c>
      <c r="W4252" t="s">
        <v>27</v>
      </c>
      <c r="X4252">
        <v>25</v>
      </c>
      <c r="Y4252" t="s">
        <v>47</v>
      </c>
      <c r="Z4252">
        <v>7</v>
      </c>
      <c r="AA4252">
        <v>51</v>
      </c>
      <c r="AB4252">
        <v>13.7</v>
      </c>
    </row>
    <row r="4253" spans="10:28">
      <c r="J4253" s="340" t="str">
        <f t="shared" si="181"/>
        <v>2016MaleAllEth215</v>
      </c>
      <c r="K4253">
        <v>2016</v>
      </c>
      <c r="L4253" t="s">
        <v>20</v>
      </c>
      <c r="M4253" t="s">
        <v>27</v>
      </c>
      <c r="N4253">
        <v>21</v>
      </c>
      <c r="O4253">
        <v>5</v>
      </c>
      <c r="P4253">
        <v>0</v>
      </c>
      <c r="Q4253">
        <v>0</v>
      </c>
      <c r="T4253" s="340" t="str">
        <f t="shared" si="182"/>
        <v>2016MaleAllEth23Sharp object</v>
      </c>
      <c r="U4253">
        <v>2016</v>
      </c>
      <c r="V4253" t="s">
        <v>20</v>
      </c>
      <c r="W4253" t="s">
        <v>27</v>
      </c>
      <c r="X4253">
        <v>23</v>
      </c>
      <c r="Y4253" t="s">
        <v>48</v>
      </c>
      <c r="Z4253">
        <v>2</v>
      </c>
      <c r="AA4253">
        <v>143</v>
      </c>
      <c r="AB4253">
        <v>1.4</v>
      </c>
    </row>
    <row r="4254" spans="10:28">
      <c r="J4254" s="340" t="str">
        <f t="shared" si="181"/>
        <v>2016MaleAllEth221</v>
      </c>
      <c r="K4254">
        <v>2016</v>
      </c>
      <c r="L4254" t="s">
        <v>20</v>
      </c>
      <c r="M4254" t="s">
        <v>27</v>
      </c>
      <c r="N4254">
        <v>22</v>
      </c>
      <c r="O4254">
        <v>1</v>
      </c>
      <c r="P4254">
        <v>10</v>
      </c>
      <c r="Q4254">
        <v>16.181331373086099</v>
      </c>
      <c r="R4254">
        <v>10</v>
      </c>
      <c r="T4254" s="340" t="str">
        <f t="shared" si="182"/>
        <v>2016MaleAllEth24Sharp object</v>
      </c>
      <c r="U4254">
        <v>2016</v>
      </c>
      <c r="V4254" t="s">
        <v>20</v>
      </c>
      <c r="W4254" t="s">
        <v>27</v>
      </c>
      <c r="X4254">
        <v>24</v>
      </c>
      <c r="Y4254" t="s">
        <v>48</v>
      </c>
      <c r="Z4254">
        <v>4</v>
      </c>
      <c r="AA4254">
        <v>127</v>
      </c>
      <c r="AB4254">
        <v>3.1</v>
      </c>
    </row>
    <row r="4255" spans="10:28">
      <c r="J4255" s="340" t="str">
        <f t="shared" si="181"/>
        <v>2016MaleAllEth222</v>
      </c>
      <c r="K4255">
        <v>2016</v>
      </c>
      <c r="L4255" t="s">
        <v>20</v>
      </c>
      <c r="M4255" t="s">
        <v>27</v>
      </c>
      <c r="N4255">
        <v>22</v>
      </c>
      <c r="O4255">
        <v>2</v>
      </c>
      <c r="P4255">
        <v>9</v>
      </c>
      <c r="Q4255">
        <v>14.323524346786</v>
      </c>
      <c r="R4255">
        <v>9.4</v>
      </c>
      <c r="T4255" s="340" t="str">
        <f t="shared" si="182"/>
        <v>2016MaleAllEth25Sharp object</v>
      </c>
      <c r="U4255">
        <v>2016</v>
      </c>
      <c r="V4255" t="s">
        <v>20</v>
      </c>
      <c r="W4255" t="s">
        <v>27</v>
      </c>
      <c r="X4255">
        <v>25</v>
      </c>
      <c r="Y4255" t="s">
        <v>48</v>
      </c>
      <c r="Z4255">
        <v>3</v>
      </c>
      <c r="AA4255">
        <v>51</v>
      </c>
      <c r="AB4255">
        <v>5.9</v>
      </c>
    </row>
    <row r="4256" spans="10:28">
      <c r="J4256" s="340" t="str">
        <f t="shared" si="181"/>
        <v>2016MaleAllEth223</v>
      </c>
      <c r="K4256">
        <v>2016</v>
      </c>
      <c r="L4256" t="s">
        <v>20</v>
      </c>
      <c r="M4256" t="s">
        <v>27</v>
      </c>
      <c r="N4256">
        <v>22</v>
      </c>
      <c r="O4256">
        <v>3</v>
      </c>
      <c r="P4256">
        <v>12</v>
      </c>
      <c r="Q4256">
        <v>18.056050522067</v>
      </c>
      <c r="R4256">
        <v>10.199999999999999</v>
      </c>
      <c r="T4256" s="340" t="str">
        <f t="shared" si="182"/>
        <v>2016MaleAllEth23Submersion (drowning)</v>
      </c>
      <c r="U4256">
        <v>2016</v>
      </c>
      <c r="V4256" t="s">
        <v>20</v>
      </c>
      <c r="W4256" t="s">
        <v>27</v>
      </c>
      <c r="X4256">
        <v>23</v>
      </c>
      <c r="Y4256" t="s">
        <v>49</v>
      </c>
      <c r="Z4256">
        <v>1</v>
      </c>
      <c r="AA4256">
        <v>143</v>
      </c>
      <c r="AB4256">
        <v>0.7</v>
      </c>
    </row>
    <row r="4257" spans="10:28">
      <c r="J4257" s="340" t="str">
        <f t="shared" si="181"/>
        <v>2016MaleAllEth224</v>
      </c>
      <c r="K4257">
        <v>2016</v>
      </c>
      <c r="L4257" t="s">
        <v>20</v>
      </c>
      <c r="M4257" t="s">
        <v>27</v>
      </c>
      <c r="N4257">
        <v>22</v>
      </c>
      <c r="O4257">
        <v>4</v>
      </c>
      <c r="P4257">
        <v>35</v>
      </c>
      <c r="Q4257">
        <v>47.746960157524697</v>
      </c>
      <c r="R4257">
        <v>15.8</v>
      </c>
      <c r="T4257" s="340" t="str">
        <f t="shared" si="182"/>
        <v>2016MaleAllEth24Submersion (drowning)</v>
      </c>
      <c r="U4257">
        <v>2016</v>
      </c>
      <c r="V4257" t="s">
        <v>20</v>
      </c>
      <c r="W4257" t="s">
        <v>27</v>
      </c>
      <c r="X4257">
        <v>24</v>
      </c>
      <c r="Y4257" t="s">
        <v>49</v>
      </c>
      <c r="Z4257">
        <v>2</v>
      </c>
      <c r="AA4257">
        <v>127</v>
      </c>
      <c r="AB4257">
        <v>1.6</v>
      </c>
    </row>
    <row r="4258" spans="10:28">
      <c r="J4258" s="340" t="str">
        <f t="shared" si="181"/>
        <v>2016MaleAllEth225</v>
      </c>
      <c r="K4258">
        <v>2016</v>
      </c>
      <c r="L4258" t="s">
        <v>20</v>
      </c>
      <c r="M4258" t="s">
        <v>27</v>
      </c>
      <c r="N4258">
        <v>22</v>
      </c>
      <c r="O4258">
        <v>5</v>
      </c>
      <c r="P4258">
        <v>20</v>
      </c>
      <c r="Q4258">
        <v>24.506071197742301</v>
      </c>
      <c r="R4258">
        <v>10.7</v>
      </c>
      <c r="T4258" s="340" t="str">
        <f t="shared" si="182"/>
        <v>2016MaleAllEth25Submersion (drowning)</v>
      </c>
      <c r="U4258">
        <v>2016</v>
      </c>
      <c r="V4258" t="s">
        <v>20</v>
      </c>
      <c r="W4258" t="s">
        <v>27</v>
      </c>
      <c r="X4258">
        <v>25</v>
      </c>
      <c r="Y4258" t="s">
        <v>49</v>
      </c>
      <c r="Z4258">
        <v>6</v>
      </c>
      <c r="AA4258">
        <v>51</v>
      </c>
      <c r="AB4258">
        <v>11.8</v>
      </c>
    </row>
    <row r="4259" spans="10:28">
      <c r="J4259" s="340" t="str">
        <f t="shared" si="181"/>
        <v>2016MaleAllEth231</v>
      </c>
      <c r="K4259">
        <v>2016</v>
      </c>
      <c r="L4259" t="s">
        <v>20</v>
      </c>
      <c r="M4259" t="s">
        <v>27</v>
      </c>
      <c r="N4259">
        <v>23</v>
      </c>
      <c r="O4259">
        <v>1</v>
      </c>
      <c r="P4259">
        <v>10</v>
      </c>
      <c r="Q4259">
        <v>9.1693701085042694</v>
      </c>
      <c r="R4259">
        <v>5.7</v>
      </c>
      <c r="T4259" s="340" t="str">
        <f t="shared" si="182"/>
        <v>2016MaleMaori22Firearms and explosives</v>
      </c>
      <c r="U4259">
        <v>2016</v>
      </c>
      <c r="V4259" t="s">
        <v>20</v>
      </c>
      <c r="W4259" t="s">
        <v>18</v>
      </c>
      <c r="X4259">
        <v>22</v>
      </c>
      <c r="Y4259" t="s">
        <v>42</v>
      </c>
      <c r="Z4259">
        <v>1</v>
      </c>
      <c r="AA4259">
        <v>34</v>
      </c>
      <c r="AB4259">
        <v>2.9</v>
      </c>
    </row>
    <row r="4260" spans="10:28">
      <c r="J4260" s="340" t="str">
        <f t="shared" si="181"/>
        <v>2016MaleAllEth232</v>
      </c>
      <c r="K4260">
        <v>2016</v>
      </c>
      <c r="L4260" t="s">
        <v>20</v>
      </c>
      <c r="M4260" t="s">
        <v>27</v>
      </c>
      <c r="N4260">
        <v>23</v>
      </c>
      <c r="O4260">
        <v>2</v>
      </c>
      <c r="P4260">
        <v>20</v>
      </c>
      <c r="Q4260">
        <v>16.586415481593399</v>
      </c>
      <c r="R4260">
        <v>7.3</v>
      </c>
      <c r="T4260" s="340" t="str">
        <f t="shared" si="182"/>
        <v>2016MaleMaori23Firearms and explosives</v>
      </c>
      <c r="U4260">
        <v>2016</v>
      </c>
      <c r="V4260" t="s">
        <v>20</v>
      </c>
      <c r="W4260" t="s">
        <v>18</v>
      </c>
      <c r="X4260">
        <v>23</v>
      </c>
      <c r="Y4260" t="s">
        <v>42</v>
      </c>
      <c r="Z4260">
        <v>2</v>
      </c>
      <c r="AA4260">
        <v>44</v>
      </c>
      <c r="AB4260">
        <v>4.5</v>
      </c>
    </row>
    <row r="4261" spans="10:28">
      <c r="J4261" s="340" t="str">
        <f t="shared" si="181"/>
        <v>2016MaleAllEth233</v>
      </c>
      <c r="K4261">
        <v>2016</v>
      </c>
      <c r="L4261" t="s">
        <v>20</v>
      </c>
      <c r="M4261" t="s">
        <v>27</v>
      </c>
      <c r="N4261">
        <v>23</v>
      </c>
      <c r="O4261">
        <v>3</v>
      </c>
      <c r="P4261">
        <v>25</v>
      </c>
      <c r="Q4261">
        <v>19.950813135290002</v>
      </c>
      <c r="R4261">
        <v>7.8</v>
      </c>
      <c r="T4261" s="340" t="str">
        <f t="shared" si="182"/>
        <v>2016MaleMaori21Hanging, strangulation and suffocation</v>
      </c>
      <c r="U4261">
        <v>2016</v>
      </c>
      <c r="V4261" t="s">
        <v>20</v>
      </c>
      <c r="W4261" t="s">
        <v>18</v>
      </c>
      <c r="X4261">
        <v>21</v>
      </c>
      <c r="Y4261" t="s">
        <v>43</v>
      </c>
      <c r="Z4261">
        <v>2</v>
      </c>
      <c r="AA4261">
        <v>2</v>
      </c>
      <c r="AB4261">
        <v>100</v>
      </c>
    </row>
    <row r="4262" spans="10:28">
      <c r="J4262" s="340" t="str">
        <f t="shared" si="181"/>
        <v>2016MaleAllEth234</v>
      </c>
      <c r="K4262">
        <v>2016</v>
      </c>
      <c r="L4262" t="s">
        <v>20</v>
      </c>
      <c r="M4262" t="s">
        <v>27</v>
      </c>
      <c r="N4262">
        <v>23</v>
      </c>
      <c r="O4262">
        <v>4</v>
      </c>
      <c r="P4262">
        <v>42</v>
      </c>
      <c r="Q4262">
        <v>33.933120595236304</v>
      </c>
      <c r="R4262">
        <v>10.3</v>
      </c>
      <c r="T4262" s="340" t="str">
        <f t="shared" si="182"/>
        <v>2016MaleMaori22Hanging, strangulation and suffocation</v>
      </c>
      <c r="U4262">
        <v>2016</v>
      </c>
      <c r="V4262" t="s">
        <v>20</v>
      </c>
      <c r="W4262" t="s">
        <v>18</v>
      </c>
      <c r="X4262">
        <v>22</v>
      </c>
      <c r="Y4262" t="s">
        <v>43</v>
      </c>
      <c r="Z4262">
        <v>30</v>
      </c>
      <c r="AA4262">
        <v>34</v>
      </c>
      <c r="AB4262">
        <v>88.2</v>
      </c>
    </row>
    <row r="4263" spans="10:28">
      <c r="J4263" s="340" t="str">
        <f t="shared" si="181"/>
        <v>2016MaleAllEth235</v>
      </c>
      <c r="K4263">
        <v>2016</v>
      </c>
      <c r="L4263" t="s">
        <v>20</v>
      </c>
      <c r="M4263" t="s">
        <v>27</v>
      </c>
      <c r="N4263">
        <v>23</v>
      </c>
      <c r="O4263">
        <v>5</v>
      </c>
      <c r="P4263">
        <v>45</v>
      </c>
      <c r="Q4263">
        <v>39.583493882779599</v>
      </c>
      <c r="R4263">
        <v>11.6</v>
      </c>
      <c r="T4263" s="340" t="str">
        <f t="shared" si="182"/>
        <v>2016MaleMaori23Hanging, strangulation and suffocation</v>
      </c>
      <c r="U4263">
        <v>2016</v>
      </c>
      <c r="V4263" t="s">
        <v>20</v>
      </c>
      <c r="W4263" t="s">
        <v>18</v>
      </c>
      <c r="X4263">
        <v>23</v>
      </c>
      <c r="Y4263" t="s">
        <v>43</v>
      </c>
      <c r="Z4263">
        <v>36</v>
      </c>
      <c r="AA4263">
        <v>44</v>
      </c>
      <c r="AB4263">
        <v>81.8</v>
      </c>
    </row>
    <row r="4264" spans="10:28">
      <c r="J4264" s="340" t="str">
        <f t="shared" si="181"/>
        <v>2016MaleAllEth241</v>
      </c>
      <c r="K4264">
        <v>2016</v>
      </c>
      <c r="L4264" t="s">
        <v>20</v>
      </c>
      <c r="M4264" t="s">
        <v>27</v>
      </c>
      <c r="N4264">
        <v>24</v>
      </c>
      <c r="O4264">
        <v>1</v>
      </c>
      <c r="P4264">
        <v>22</v>
      </c>
      <c r="Q4264">
        <v>15.640872426084799</v>
      </c>
      <c r="R4264">
        <v>6.5</v>
      </c>
      <c r="T4264" s="340" t="str">
        <f t="shared" si="182"/>
        <v>2016MaleMaori24Hanging, strangulation and suffocation</v>
      </c>
      <c r="U4264">
        <v>2016</v>
      </c>
      <c r="V4264" t="s">
        <v>20</v>
      </c>
      <c r="W4264" t="s">
        <v>18</v>
      </c>
      <c r="X4264">
        <v>24</v>
      </c>
      <c r="Y4264" t="s">
        <v>43</v>
      </c>
      <c r="Z4264">
        <v>13</v>
      </c>
      <c r="AA4264">
        <v>15</v>
      </c>
      <c r="AB4264">
        <v>86.7</v>
      </c>
    </row>
    <row r="4265" spans="10:28">
      <c r="J4265" s="340" t="str">
        <f t="shared" si="181"/>
        <v>2016MaleAllEth242</v>
      </c>
      <c r="K4265">
        <v>2016</v>
      </c>
      <c r="L4265" t="s">
        <v>20</v>
      </c>
      <c r="M4265" t="s">
        <v>27</v>
      </c>
      <c r="N4265">
        <v>24</v>
      </c>
      <c r="O4265">
        <v>2</v>
      </c>
      <c r="P4265">
        <v>21</v>
      </c>
      <c r="Q4265">
        <v>16.826172054982798</v>
      </c>
      <c r="R4265">
        <v>7.2</v>
      </c>
      <c r="T4265" s="340" t="str">
        <f t="shared" si="182"/>
        <v>2016MaleMaori25Hanging, strangulation and suffocation</v>
      </c>
      <c r="U4265">
        <v>2016</v>
      </c>
      <c r="V4265" t="s">
        <v>20</v>
      </c>
      <c r="W4265" t="s">
        <v>18</v>
      </c>
      <c r="X4265">
        <v>25</v>
      </c>
      <c r="Y4265" t="s">
        <v>43</v>
      </c>
      <c r="Z4265">
        <v>3</v>
      </c>
      <c r="AA4265">
        <v>3</v>
      </c>
      <c r="AB4265">
        <v>100</v>
      </c>
    </row>
    <row r="4266" spans="10:28">
      <c r="J4266" s="340" t="str">
        <f t="shared" si="181"/>
        <v>2016MaleAllEth243</v>
      </c>
      <c r="K4266">
        <v>2016</v>
      </c>
      <c r="L4266" t="s">
        <v>20</v>
      </c>
      <c r="M4266" t="s">
        <v>27</v>
      </c>
      <c r="N4266">
        <v>24</v>
      </c>
      <c r="O4266">
        <v>3</v>
      </c>
      <c r="P4266">
        <v>20</v>
      </c>
      <c r="Q4266">
        <v>17.7926320602344</v>
      </c>
      <c r="R4266">
        <v>7.8</v>
      </c>
      <c r="T4266" s="340" t="str">
        <f t="shared" si="182"/>
        <v>2016MaleMaori22Jumping from a high place</v>
      </c>
      <c r="U4266">
        <v>2016</v>
      </c>
      <c r="V4266" t="s">
        <v>20</v>
      </c>
      <c r="W4266" t="s">
        <v>18</v>
      </c>
      <c r="X4266">
        <v>22</v>
      </c>
      <c r="Y4266" t="s">
        <v>44</v>
      </c>
      <c r="Z4266">
        <v>1</v>
      </c>
      <c r="AA4266">
        <v>34</v>
      </c>
      <c r="AB4266">
        <v>2.9</v>
      </c>
    </row>
    <row r="4267" spans="10:28">
      <c r="J4267" s="340" t="str">
        <f t="shared" si="181"/>
        <v>2016MaleAllEth244</v>
      </c>
      <c r="K4267">
        <v>2016</v>
      </c>
      <c r="L4267" t="s">
        <v>20</v>
      </c>
      <c r="M4267" t="s">
        <v>27</v>
      </c>
      <c r="N4267">
        <v>24</v>
      </c>
      <c r="O4267">
        <v>4</v>
      </c>
      <c r="P4267">
        <v>32</v>
      </c>
      <c r="Q4267">
        <v>31.3483413724292</v>
      </c>
      <c r="R4267">
        <v>10.9</v>
      </c>
      <c r="T4267" s="340" t="str">
        <f t="shared" si="182"/>
        <v>2016MaleMaori23Jumping from a high place</v>
      </c>
      <c r="U4267">
        <v>2016</v>
      </c>
      <c r="V4267" t="s">
        <v>20</v>
      </c>
      <c r="W4267" t="s">
        <v>18</v>
      </c>
      <c r="X4267">
        <v>23</v>
      </c>
      <c r="Y4267" t="s">
        <v>44</v>
      </c>
      <c r="Z4267">
        <v>3</v>
      </c>
      <c r="AA4267">
        <v>44</v>
      </c>
      <c r="AB4267">
        <v>6.8</v>
      </c>
    </row>
    <row r="4268" spans="10:28">
      <c r="J4268" s="340" t="str">
        <f t="shared" si="181"/>
        <v>2016MaleAllEth245</v>
      </c>
      <c r="K4268">
        <v>2016</v>
      </c>
      <c r="L4268" t="s">
        <v>20</v>
      </c>
      <c r="M4268" t="s">
        <v>27</v>
      </c>
      <c r="N4268">
        <v>24</v>
      </c>
      <c r="O4268">
        <v>5</v>
      </c>
      <c r="P4268">
        <v>32</v>
      </c>
      <c r="Q4268">
        <v>34.352426724426401</v>
      </c>
      <c r="R4268">
        <v>11.9</v>
      </c>
      <c r="T4268" s="340" t="str">
        <f t="shared" si="182"/>
        <v>2016MaleMaori22Other</v>
      </c>
      <c r="U4268">
        <v>2016</v>
      </c>
      <c r="V4268" t="s">
        <v>20</v>
      </c>
      <c r="W4268" t="s">
        <v>18</v>
      </c>
      <c r="X4268">
        <v>22</v>
      </c>
      <c r="Y4268" t="s">
        <v>45</v>
      </c>
      <c r="Z4268">
        <v>1</v>
      </c>
      <c r="AA4268">
        <v>34</v>
      </c>
      <c r="AB4268">
        <v>2.9</v>
      </c>
    </row>
    <row r="4269" spans="10:28">
      <c r="J4269" s="340" t="str">
        <f t="shared" si="181"/>
        <v>2016MaleAllEth251</v>
      </c>
      <c r="K4269">
        <v>2016</v>
      </c>
      <c r="L4269" t="s">
        <v>20</v>
      </c>
      <c r="M4269" t="s">
        <v>27</v>
      </c>
      <c r="N4269">
        <v>25</v>
      </c>
      <c r="O4269">
        <v>1</v>
      </c>
      <c r="P4269">
        <v>10</v>
      </c>
      <c r="Q4269">
        <v>14.194391107293299</v>
      </c>
      <c r="R4269">
        <v>8.8000000000000007</v>
      </c>
      <c r="T4269" s="340" t="str">
        <f t="shared" si="182"/>
        <v>2016MaleMaori23Other</v>
      </c>
      <c r="U4269">
        <v>2016</v>
      </c>
      <c r="V4269" t="s">
        <v>20</v>
      </c>
      <c r="W4269" t="s">
        <v>18</v>
      </c>
      <c r="X4269">
        <v>23</v>
      </c>
      <c r="Y4269" t="s">
        <v>45</v>
      </c>
      <c r="Z4269">
        <v>1</v>
      </c>
      <c r="AA4269">
        <v>44</v>
      </c>
      <c r="AB4269">
        <v>2.2999999999999998</v>
      </c>
    </row>
    <row r="4270" spans="10:28">
      <c r="J4270" s="340" t="str">
        <f t="shared" si="181"/>
        <v>2016MaleAllEth252</v>
      </c>
      <c r="K4270">
        <v>2016</v>
      </c>
      <c r="L4270" t="s">
        <v>20</v>
      </c>
      <c r="M4270" t="s">
        <v>27</v>
      </c>
      <c r="N4270">
        <v>25</v>
      </c>
      <c r="O4270">
        <v>2</v>
      </c>
      <c r="P4270">
        <v>10</v>
      </c>
      <c r="Q4270">
        <v>14.413654900038299</v>
      </c>
      <c r="R4270">
        <v>8.9</v>
      </c>
      <c r="T4270" s="340" t="str">
        <f t="shared" si="182"/>
        <v>2016MaleMaori22Poisoning by gases and vapours</v>
      </c>
      <c r="U4270">
        <v>2016</v>
      </c>
      <c r="V4270" t="s">
        <v>20</v>
      </c>
      <c r="W4270" t="s">
        <v>18</v>
      </c>
      <c r="X4270">
        <v>22</v>
      </c>
      <c r="Y4270" t="s">
        <v>46</v>
      </c>
      <c r="Z4270">
        <v>1</v>
      </c>
      <c r="AA4270">
        <v>34</v>
      </c>
      <c r="AB4270">
        <v>2.9</v>
      </c>
    </row>
    <row r="4271" spans="10:28">
      <c r="J4271" s="340" t="str">
        <f t="shared" si="181"/>
        <v>2016MaleAllEth253</v>
      </c>
      <c r="K4271">
        <v>2016</v>
      </c>
      <c r="L4271" t="s">
        <v>20</v>
      </c>
      <c r="M4271" t="s">
        <v>27</v>
      </c>
      <c r="N4271">
        <v>25</v>
      </c>
      <c r="O4271">
        <v>3</v>
      </c>
      <c r="P4271">
        <v>14</v>
      </c>
      <c r="Q4271">
        <v>20.9724339464181</v>
      </c>
      <c r="R4271">
        <v>11</v>
      </c>
      <c r="T4271" s="340" t="str">
        <f t="shared" si="182"/>
        <v>2016MaleMaori23Poisoning by solids and liquids</v>
      </c>
      <c r="U4271">
        <v>2016</v>
      </c>
      <c r="V4271" t="s">
        <v>20</v>
      </c>
      <c r="W4271" t="s">
        <v>18</v>
      </c>
      <c r="X4271">
        <v>23</v>
      </c>
      <c r="Y4271" t="s">
        <v>47</v>
      </c>
      <c r="Z4271">
        <v>1</v>
      </c>
      <c r="AA4271">
        <v>44</v>
      </c>
      <c r="AB4271">
        <v>2.2999999999999998</v>
      </c>
    </row>
    <row r="4272" spans="10:28">
      <c r="J4272" s="340" t="str">
        <f t="shared" si="181"/>
        <v>2016MaleAllEth254</v>
      </c>
      <c r="K4272">
        <v>2016</v>
      </c>
      <c r="L4272" t="s">
        <v>20</v>
      </c>
      <c r="M4272" t="s">
        <v>27</v>
      </c>
      <c r="N4272">
        <v>25</v>
      </c>
      <c r="O4272">
        <v>4</v>
      </c>
      <c r="P4272">
        <v>9</v>
      </c>
      <c r="Q4272">
        <v>13.8994050711593</v>
      </c>
      <c r="R4272">
        <v>9.1</v>
      </c>
      <c r="T4272" s="340" t="str">
        <f t="shared" si="182"/>
        <v>2016MaleMaori24Poisoning by solids and liquids</v>
      </c>
      <c r="U4272">
        <v>2016</v>
      </c>
      <c r="V4272" t="s">
        <v>20</v>
      </c>
      <c r="W4272" t="s">
        <v>18</v>
      </c>
      <c r="X4272">
        <v>24</v>
      </c>
      <c r="Y4272" t="s">
        <v>47</v>
      </c>
      <c r="Z4272">
        <v>2</v>
      </c>
      <c r="AA4272">
        <v>15</v>
      </c>
      <c r="AB4272">
        <v>13.3</v>
      </c>
    </row>
    <row r="4273" spans="10:28">
      <c r="J4273" s="340" t="str">
        <f t="shared" si="181"/>
        <v>2016MaleAllEth255</v>
      </c>
      <c r="K4273">
        <v>2016</v>
      </c>
      <c r="L4273" t="s">
        <v>20</v>
      </c>
      <c r="M4273" t="s">
        <v>27</v>
      </c>
      <c r="N4273">
        <v>25</v>
      </c>
      <c r="O4273">
        <v>5</v>
      </c>
      <c r="P4273">
        <v>8</v>
      </c>
      <c r="Q4273">
        <v>14.9564724224825</v>
      </c>
      <c r="R4273">
        <v>10.4</v>
      </c>
      <c r="T4273" s="340" t="str">
        <f t="shared" si="182"/>
        <v>2016MaleMaori23Sharp object</v>
      </c>
      <c r="U4273">
        <v>2016</v>
      </c>
      <c r="V4273" t="s">
        <v>20</v>
      </c>
      <c r="W4273" t="s">
        <v>18</v>
      </c>
      <c r="X4273">
        <v>23</v>
      </c>
      <c r="Y4273" t="s">
        <v>48</v>
      </c>
      <c r="Z4273">
        <v>1</v>
      </c>
      <c r="AA4273">
        <v>44</v>
      </c>
      <c r="AB4273">
        <v>2.2999999999999998</v>
      </c>
    </row>
    <row r="4274" spans="10:28">
      <c r="J4274" s="340" t="str">
        <f t="shared" si="181"/>
        <v>2016MaleMaori211</v>
      </c>
      <c r="K4274">
        <v>2016</v>
      </c>
      <c r="L4274" t="s">
        <v>20</v>
      </c>
      <c r="M4274" t="s">
        <v>18</v>
      </c>
      <c r="N4274">
        <v>21</v>
      </c>
      <c r="O4274">
        <v>1</v>
      </c>
      <c r="P4274">
        <v>0</v>
      </c>
      <c r="Q4274">
        <v>0</v>
      </c>
      <c r="T4274" s="340" t="str">
        <f t="shared" si="182"/>
        <v>2016MaleNon-Maori22Firearms and explosives</v>
      </c>
      <c r="U4274">
        <v>2016</v>
      </c>
      <c r="V4274" t="s">
        <v>20</v>
      </c>
      <c r="W4274" t="s">
        <v>19</v>
      </c>
      <c r="X4274">
        <v>22</v>
      </c>
      <c r="Y4274" t="s">
        <v>42</v>
      </c>
      <c r="Z4274">
        <v>2</v>
      </c>
      <c r="AA4274">
        <v>52</v>
      </c>
      <c r="AB4274">
        <v>3.8</v>
      </c>
    </row>
    <row r="4275" spans="10:28">
      <c r="J4275" s="340" t="str">
        <f t="shared" si="181"/>
        <v>2016MaleMaori212</v>
      </c>
      <c r="K4275">
        <v>2016</v>
      </c>
      <c r="L4275" t="s">
        <v>20</v>
      </c>
      <c r="M4275" t="s">
        <v>18</v>
      </c>
      <c r="N4275">
        <v>21</v>
      </c>
      <c r="O4275">
        <v>2</v>
      </c>
      <c r="P4275">
        <v>1</v>
      </c>
      <c r="Q4275">
        <v>7.0212886784473501</v>
      </c>
      <c r="R4275">
        <v>13.8</v>
      </c>
      <c r="T4275" s="340" t="str">
        <f t="shared" si="182"/>
        <v>2016MaleNon-Maori23Firearms and explosives</v>
      </c>
      <c r="U4275">
        <v>2016</v>
      </c>
      <c r="V4275" t="s">
        <v>20</v>
      </c>
      <c r="W4275" t="s">
        <v>19</v>
      </c>
      <c r="X4275">
        <v>23</v>
      </c>
      <c r="Y4275" t="s">
        <v>42</v>
      </c>
      <c r="Z4275">
        <v>8</v>
      </c>
      <c r="AA4275">
        <v>99</v>
      </c>
      <c r="AB4275">
        <v>8.1</v>
      </c>
    </row>
    <row r="4276" spans="10:28">
      <c r="J4276" s="340" t="str">
        <f t="shared" si="181"/>
        <v>2016MaleMaori213</v>
      </c>
      <c r="K4276">
        <v>2016</v>
      </c>
      <c r="L4276" t="s">
        <v>20</v>
      </c>
      <c r="M4276" t="s">
        <v>18</v>
      </c>
      <c r="N4276">
        <v>21</v>
      </c>
      <c r="O4276">
        <v>3</v>
      </c>
      <c r="P4276">
        <v>0</v>
      </c>
      <c r="Q4276">
        <v>0</v>
      </c>
      <c r="T4276" s="340" t="str">
        <f t="shared" si="182"/>
        <v>2016MaleNon-Maori24Firearms and explosives</v>
      </c>
      <c r="U4276">
        <v>2016</v>
      </c>
      <c r="V4276" t="s">
        <v>20</v>
      </c>
      <c r="W4276" t="s">
        <v>19</v>
      </c>
      <c r="X4276">
        <v>24</v>
      </c>
      <c r="Y4276" t="s">
        <v>42</v>
      </c>
      <c r="Z4276">
        <v>15</v>
      </c>
      <c r="AA4276">
        <v>112</v>
      </c>
      <c r="AB4276">
        <v>13.4</v>
      </c>
    </row>
    <row r="4277" spans="10:28">
      <c r="J4277" s="340" t="str">
        <f t="shared" si="181"/>
        <v>2016MaleMaori214</v>
      </c>
      <c r="K4277">
        <v>2016</v>
      </c>
      <c r="L4277" t="s">
        <v>20</v>
      </c>
      <c r="M4277" t="s">
        <v>18</v>
      </c>
      <c r="N4277">
        <v>21</v>
      </c>
      <c r="O4277">
        <v>4</v>
      </c>
      <c r="P4277">
        <v>1</v>
      </c>
      <c r="Q4277">
        <v>3.6000056001526302</v>
      </c>
      <c r="R4277">
        <v>7.1</v>
      </c>
      <c r="T4277" s="340" t="str">
        <f t="shared" si="182"/>
        <v>2016MaleNon-Maori25Firearms and explosives</v>
      </c>
      <c r="U4277">
        <v>2016</v>
      </c>
      <c r="V4277" t="s">
        <v>20</v>
      </c>
      <c r="W4277" t="s">
        <v>19</v>
      </c>
      <c r="X4277">
        <v>25</v>
      </c>
      <c r="Y4277" t="s">
        <v>42</v>
      </c>
      <c r="Z4277">
        <v>6</v>
      </c>
      <c r="AA4277">
        <v>48</v>
      </c>
      <c r="AB4277">
        <v>12.5</v>
      </c>
    </row>
    <row r="4278" spans="10:28">
      <c r="J4278" s="340" t="str">
        <f t="shared" si="181"/>
        <v>2016MaleMaori215</v>
      </c>
      <c r="K4278">
        <v>2016</v>
      </c>
      <c r="L4278" t="s">
        <v>20</v>
      </c>
      <c r="M4278" t="s">
        <v>18</v>
      </c>
      <c r="N4278">
        <v>21</v>
      </c>
      <c r="O4278">
        <v>5</v>
      </c>
      <c r="P4278">
        <v>0</v>
      </c>
      <c r="Q4278">
        <v>0</v>
      </c>
      <c r="T4278" s="340" t="str">
        <f t="shared" si="182"/>
        <v>2016MaleNon-Maori21Hanging, strangulation and suffocation</v>
      </c>
      <c r="U4278">
        <v>2016</v>
      </c>
      <c r="V4278" t="s">
        <v>20</v>
      </c>
      <c r="W4278" t="s">
        <v>19</v>
      </c>
      <c r="X4278">
        <v>21</v>
      </c>
      <c r="Y4278" t="s">
        <v>43</v>
      </c>
      <c r="Z4278">
        <v>3</v>
      </c>
      <c r="AA4278">
        <v>3</v>
      </c>
      <c r="AB4278">
        <v>100</v>
      </c>
    </row>
    <row r="4279" spans="10:28">
      <c r="J4279" s="340" t="str">
        <f t="shared" si="181"/>
        <v>2016MaleMaori221</v>
      </c>
      <c r="K4279">
        <v>2016</v>
      </c>
      <c r="L4279" t="s">
        <v>20</v>
      </c>
      <c r="M4279" t="s">
        <v>18</v>
      </c>
      <c r="N4279">
        <v>22</v>
      </c>
      <c r="O4279">
        <v>1</v>
      </c>
      <c r="P4279">
        <v>0</v>
      </c>
      <c r="Q4279">
        <v>0</v>
      </c>
      <c r="T4279" s="340" t="str">
        <f t="shared" si="182"/>
        <v>2016MaleNon-Maori22Hanging, strangulation and suffocation</v>
      </c>
      <c r="U4279">
        <v>2016</v>
      </c>
      <c r="V4279" t="s">
        <v>20</v>
      </c>
      <c r="W4279" t="s">
        <v>19</v>
      </c>
      <c r="X4279">
        <v>22</v>
      </c>
      <c r="Y4279" t="s">
        <v>43</v>
      </c>
      <c r="Z4279">
        <v>37</v>
      </c>
      <c r="AA4279">
        <v>52</v>
      </c>
      <c r="AB4279">
        <v>71.2</v>
      </c>
    </row>
    <row r="4280" spans="10:28">
      <c r="J4280" s="340" t="str">
        <f t="shared" si="181"/>
        <v>2016MaleMaori222</v>
      </c>
      <c r="K4280">
        <v>2016</v>
      </c>
      <c r="L4280" t="s">
        <v>20</v>
      </c>
      <c r="M4280" t="s">
        <v>18</v>
      </c>
      <c r="N4280">
        <v>22</v>
      </c>
      <c r="O4280">
        <v>2</v>
      </c>
      <c r="P4280">
        <v>1</v>
      </c>
      <c r="Q4280">
        <v>12.1766859425316</v>
      </c>
      <c r="R4280">
        <v>23.9</v>
      </c>
      <c r="T4280" s="340" t="str">
        <f t="shared" si="182"/>
        <v>2016MaleNon-Maori23Hanging, strangulation and suffocation</v>
      </c>
      <c r="U4280">
        <v>2016</v>
      </c>
      <c r="V4280" t="s">
        <v>20</v>
      </c>
      <c r="W4280" t="s">
        <v>19</v>
      </c>
      <c r="X4280">
        <v>23</v>
      </c>
      <c r="Y4280" t="s">
        <v>43</v>
      </c>
      <c r="Z4280">
        <v>68</v>
      </c>
      <c r="AA4280">
        <v>99</v>
      </c>
      <c r="AB4280">
        <v>68.7</v>
      </c>
    </row>
    <row r="4281" spans="10:28">
      <c r="J4281" s="340" t="str">
        <f t="shared" si="181"/>
        <v>2016MaleMaori223</v>
      </c>
      <c r="K4281">
        <v>2016</v>
      </c>
      <c r="L4281" t="s">
        <v>20</v>
      </c>
      <c r="M4281" t="s">
        <v>18</v>
      </c>
      <c r="N4281">
        <v>22</v>
      </c>
      <c r="O4281">
        <v>3</v>
      </c>
      <c r="P4281">
        <v>4</v>
      </c>
      <c r="Q4281">
        <v>33.9826998035212</v>
      </c>
      <c r="R4281">
        <v>33.299999999999997</v>
      </c>
      <c r="T4281" s="340" t="str">
        <f t="shared" si="182"/>
        <v>2016MaleNon-Maori24Hanging, strangulation and suffocation</v>
      </c>
      <c r="U4281">
        <v>2016</v>
      </c>
      <c r="V4281" t="s">
        <v>20</v>
      </c>
      <c r="W4281" t="s">
        <v>19</v>
      </c>
      <c r="X4281">
        <v>24</v>
      </c>
      <c r="Y4281" t="s">
        <v>43</v>
      </c>
      <c r="Z4281">
        <v>66</v>
      </c>
      <c r="AA4281">
        <v>112</v>
      </c>
      <c r="AB4281">
        <v>58.9</v>
      </c>
    </row>
    <row r="4282" spans="10:28">
      <c r="J4282" s="340" t="str">
        <f t="shared" si="181"/>
        <v>2016MaleMaori224</v>
      </c>
      <c r="K4282">
        <v>2016</v>
      </c>
      <c r="L4282" t="s">
        <v>20</v>
      </c>
      <c r="M4282" t="s">
        <v>18</v>
      </c>
      <c r="N4282">
        <v>22</v>
      </c>
      <c r="O4282">
        <v>4</v>
      </c>
      <c r="P4282">
        <v>18</v>
      </c>
      <c r="Q4282">
        <v>108.307341784358</v>
      </c>
      <c r="R4282">
        <v>50</v>
      </c>
      <c r="T4282" s="340" t="str">
        <f t="shared" si="182"/>
        <v>2016MaleNon-Maori25Hanging, strangulation and suffocation</v>
      </c>
      <c r="U4282">
        <v>2016</v>
      </c>
      <c r="V4282" t="s">
        <v>20</v>
      </c>
      <c r="W4282" t="s">
        <v>19</v>
      </c>
      <c r="X4282">
        <v>25</v>
      </c>
      <c r="Y4282" t="s">
        <v>43</v>
      </c>
      <c r="Z4282">
        <v>17</v>
      </c>
      <c r="AA4282">
        <v>48</v>
      </c>
      <c r="AB4282">
        <v>35.4</v>
      </c>
    </row>
    <row r="4283" spans="10:28">
      <c r="J4283" s="340" t="str">
        <f t="shared" si="181"/>
        <v>2016MaleMaori225</v>
      </c>
      <c r="K4283">
        <v>2016</v>
      </c>
      <c r="L4283" t="s">
        <v>20</v>
      </c>
      <c r="M4283" t="s">
        <v>18</v>
      </c>
      <c r="N4283">
        <v>22</v>
      </c>
      <c r="O4283">
        <v>5</v>
      </c>
      <c r="P4283">
        <v>11</v>
      </c>
      <c r="Q4283">
        <v>39.875637709827799</v>
      </c>
      <c r="R4283">
        <v>23.6</v>
      </c>
      <c r="T4283" s="340" t="str">
        <f t="shared" si="182"/>
        <v>2016MaleNon-Maori22Jumping from a high place</v>
      </c>
      <c r="U4283">
        <v>2016</v>
      </c>
      <c r="V4283" t="s">
        <v>20</v>
      </c>
      <c r="W4283" t="s">
        <v>19</v>
      </c>
      <c r="X4283">
        <v>22</v>
      </c>
      <c r="Y4283" t="s">
        <v>44</v>
      </c>
      <c r="Z4283">
        <v>3</v>
      </c>
      <c r="AA4283">
        <v>52</v>
      </c>
      <c r="AB4283">
        <v>5.8</v>
      </c>
    </row>
    <row r="4284" spans="10:28">
      <c r="J4284" s="340" t="str">
        <f t="shared" si="181"/>
        <v>2016MaleMaori231</v>
      </c>
      <c r="K4284">
        <v>2016</v>
      </c>
      <c r="L4284" t="s">
        <v>20</v>
      </c>
      <c r="M4284" t="s">
        <v>18</v>
      </c>
      <c r="N4284">
        <v>23</v>
      </c>
      <c r="O4284">
        <v>1</v>
      </c>
      <c r="P4284">
        <v>0</v>
      </c>
      <c r="Q4284">
        <v>0</v>
      </c>
      <c r="T4284" s="340" t="str">
        <f t="shared" si="182"/>
        <v>2016MaleNon-Maori23Jumping from a high place</v>
      </c>
      <c r="U4284">
        <v>2016</v>
      </c>
      <c r="V4284" t="s">
        <v>20</v>
      </c>
      <c r="W4284" t="s">
        <v>19</v>
      </c>
      <c r="X4284">
        <v>23</v>
      </c>
      <c r="Y4284" t="s">
        <v>44</v>
      </c>
      <c r="Z4284">
        <v>7</v>
      </c>
      <c r="AA4284">
        <v>99</v>
      </c>
      <c r="AB4284">
        <v>7.1</v>
      </c>
    </row>
    <row r="4285" spans="10:28">
      <c r="J4285" s="340" t="str">
        <f t="shared" si="181"/>
        <v>2016MaleMaori232</v>
      </c>
      <c r="K4285">
        <v>2016</v>
      </c>
      <c r="L4285" t="s">
        <v>20</v>
      </c>
      <c r="M4285" t="s">
        <v>18</v>
      </c>
      <c r="N4285">
        <v>23</v>
      </c>
      <c r="O4285">
        <v>2</v>
      </c>
      <c r="P4285">
        <v>3</v>
      </c>
      <c r="Q4285">
        <v>29.157795848507899</v>
      </c>
      <c r="R4285">
        <v>33</v>
      </c>
      <c r="T4285" s="340" t="str">
        <f t="shared" si="182"/>
        <v>2016MaleNon-Maori24Jumping from a high place</v>
      </c>
      <c r="U4285">
        <v>2016</v>
      </c>
      <c r="V4285" t="s">
        <v>20</v>
      </c>
      <c r="W4285" t="s">
        <v>19</v>
      </c>
      <c r="X4285">
        <v>24</v>
      </c>
      <c r="Y4285" t="s">
        <v>44</v>
      </c>
      <c r="Z4285">
        <v>4</v>
      </c>
      <c r="AA4285">
        <v>112</v>
      </c>
      <c r="AB4285">
        <v>3.6</v>
      </c>
    </row>
    <row r="4286" spans="10:28">
      <c r="J4286" s="340" t="str">
        <f t="shared" si="181"/>
        <v>2016MaleMaori233</v>
      </c>
      <c r="K4286">
        <v>2016</v>
      </c>
      <c r="L4286" t="s">
        <v>20</v>
      </c>
      <c r="M4286" t="s">
        <v>18</v>
      </c>
      <c r="N4286">
        <v>23</v>
      </c>
      <c r="O4286">
        <v>3</v>
      </c>
      <c r="P4286">
        <v>4</v>
      </c>
      <c r="Q4286">
        <v>27.896583789036999</v>
      </c>
      <c r="R4286">
        <v>27.3</v>
      </c>
      <c r="T4286" s="340" t="str">
        <f t="shared" si="182"/>
        <v>2016MaleNon-Maori25Jumping from a high place</v>
      </c>
      <c r="U4286">
        <v>2016</v>
      </c>
      <c r="V4286" t="s">
        <v>20</v>
      </c>
      <c r="W4286" t="s">
        <v>19</v>
      </c>
      <c r="X4286">
        <v>25</v>
      </c>
      <c r="Y4286" t="s">
        <v>44</v>
      </c>
      <c r="Z4286">
        <v>1</v>
      </c>
      <c r="AA4286">
        <v>48</v>
      </c>
      <c r="AB4286">
        <v>2.1</v>
      </c>
    </row>
    <row r="4287" spans="10:28">
      <c r="J4287" s="340" t="str">
        <f t="shared" si="181"/>
        <v>2016MaleMaori234</v>
      </c>
      <c r="K4287">
        <v>2016</v>
      </c>
      <c r="L4287" t="s">
        <v>20</v>
      </c>
      <c r="M4287" t="s">
        <v>18</v>
      </c>
      <c r="N4287">
        <v>23</v>
      </c>
      <c r="O4287">
        <v>4</v>
      </c>
      <c r="P4287">
        <v>12</v>
      </c>
      <c r="Q4287">
        <v>61.639802173407503</v>
      </c>
      <c r="R4287">
        <v>34.9</v>
      </c>
      <c r="T4287" s="340" t="str">
        <f t="shared" si="182"/>
        <v>2016MaleNon-Maori22Other</v>
      </c>
      <c r="U4287">
        <v>2016</v>
      </c>
      <c r="V4287" t="s">
        <v>20</v>
      </c>
      <c r="W4287" t="s">
        <v>19</v>
      </c>
      <c r="X4287">
        <v>22</v>
      </c>
      <c r="Y4287" t="s">
        <v>45</v>
      </c>
      <c r="Z4287">
        <v>5</v>
      </c>
      <c r="AA4287">
        <v>52</v>
      </c>
      <c r="AB4287">
        <v>9.6</v>
      </c>
    </row>
    <row r="4288" spans="10:28">
      <c r="J4288" s="340" t="str">
        <f t="shared" si="181"/>
        <v>2016MaleMaori235</v>
      </c>
      <c r="K4288">
        <v>2016</v>
      </c>
      <c r="L4288" t="s">
        <v>20</v>
      </c>
      <c r="M4288" t="s">
        <v>18</v>
      </c>
      <c r="N4288">
        <v>23</v>
      </c>
      <c r="O4288">
        <v>5</v>
      </c>
      <c r="P4288">
        <v>25</v>
      </c>
      <c r="Q4288">
        <v>85.967768408466</v>
      </c>
      <c r="R4288">
        <v>33.700000000000003</v>
      </c>
      <c r="T4288" s="340" t="str">
        <f t="shared" si="182"/>
        <v>2016MaleNon-Maori23Other</v>
      </c>
      <c r="U4288">
        <v>2016</v>
      </c>
      <c r="V4288" t="s">
        <v>20</v>
      </c>
      <c r="W4288" t="s">
        <v>19</v>
      </c>
      <c r="X4288">
        <v>23</v>
      </c>
      <c r="Y4288" t="s">
        <v>45</v>
      </c>
      <c r="Z4288">
        <v>2</v>
      </c>
      <c r="AA4288">
        <v>99</v>
      </c>
      <c r="AB4288">
        <v>2</v>
      </c>
    </row>
    <row r="4289" spans="10:28">
      <c r="J4289" s="340" t="str">
        <f t="shared" si="181"/>
        <v>2016MaleMaori241</v>
      </c>
      <c r="K4289">
        <v>2016</v>
      </c>
      <c r="L4289" t="s">
        <v>20</v>
      </c>
      <c r="M4289" t="s">
        <v>18</v>
      </c>
      <c r="N4289">
        <v>24</v>
      </c>
      <c r="O4289">
        <v>1</v>
      </c>
      <c r="P4289">
        <v>0</v>
      </c>
      <c r="Q4289">
        <v>0</v>
      </c>
      <c r="T4289" s="340" t="str">
        <f t="shared" si="182"/>
        <v>2016MaleNon-Maori24Other</v>
      </c>
      <c r="U4289">
        <v>2016</v>
      </c>
      <c r="V4289" t="s">
        <v>20</v>
      </c>
      <c r="W4289" t="s">
        <v>19</v>
      </c>
      <c r="X4289">
        <v>24</v>
      </c>
      <c r="Y4289" t="s">
        <v>45</v>
      </c>
      <c r="Z4289">
        <v>5</v>
      </c>
      <c r="AA4289">
        <v>112</v>
      </c>
      <c r="AB4289">
        <v>4.5</v>
      </c>
    </row>
    <row r="4290" spans="10:28">
      <c r="J4290" s="340" t="str">
        <f t="shared" si="181"/>
        <v>2016MaleMaori242</v>
      </c>
      <c r="K4290">
        <v>2016</v>
      </c>
      <c r="L4290" t="s">
        <v>20</v>
      </c>
      <c r="M4290" t="s">
        <v>18</v>
      </c>
      <c r="N4290">
        <v>24</v>
      </c>
      <c r="O4290">
        <v>2</v>
      </c>
      <c r="P4290">
        <v>0</v>
      </c>
      <c r="Q4290">
        <v>0</v>
      </c>
      <c r="T4290" s="340" t="str">
        <f t="shared" si="182"/>
        <v>2016MaleNon-Maori25Other</v>
      </c>
      <c r="U4290">
        <v>2016</v>
      </c>
      <c r="V4290" t="s">
        <v>20</v>
      </c>
      <c r="W4290" t="s">
        <v>19</v>
      </c>
      <c r="X4290">
        <v>25</v>
      </c>
      <c r="Y4290" t="s">
        <v>45</v>
      </c>
      <c r="Z4290">
        <v>2</v>
      </c>
      <c r="AA4290">
        <v>48</v>
      </c>
      <c r="AB4290">
        <v>4.2</v>
      </c>
    </row>
    <row r="4291" spans="10:28">
      <c r="J4291" s="340" t="str">
        <f t="shared" si="181"/>
        <v>2016MaleMaori243</v>
      </c>
      <c r="K4291">
        <v>2016</v>
      </c>
      <c r="L4291" t="s">
        <v>20</v>
      </c>
      <c r="M4291" t="s">
        <v>18</v>
      </c>
      <c r="N4291">
        <v>24</v>
      </c>
      <c r="O4291">
        <v>3</v>
      </c>
      <c r="P4291">
        <v>2</v>
      </c>
      <c r="Q4291">
        <v>18.6761554058636</v>
      </c>
      <c r="R4291">
        <v>25.9</v>
      </c>
      <c r="T4291" s="340" t="str">
        <f t="shared" si="182"/>
        <v>2016MaleNon-Maori22Poisoning by gases and vapours</v>
      </c>
      <c r="U4291">
        <v>2016</v>
      </c>
      <c r="V4291" t="s">
        <v>20</v>
      </c>
      <c r="W4291" t="s">
        <v>19</v>
      </c>
      <c r="X4291">
        <v>22</v>
      </c>
      <c r="Y4291" t="s">
        <v>46</v>
      </c>
      <c r="Z4291">
        <v>3</v>
      </c>
      <c r="AA4291">
        <v>52</v>
      </c>
      <c r="AB4291">
        <v>5.8</v>
      </c>
    </row>
    <row r="4292" spans="10:28">
      <c r="J4292" s="340" t="str">
        <f t="shared" ref="J4292:J4324" si="183">K4292&amp;L4292&amp;M4292&amp;N4292&amp;O4292</f>
        <v>2016MaleMaori244</v>
      </c>
      <c r="K4292">
        <v>2016</v>
      </c>
      <c r="L4292" t="s">
        <v>20</v>
      </c>
      <c r="M4292" t="s">
        <v>18</v>
      </c>
      <c r="N4292">
        <v>24</v>
      </c>
      <c r="O4292">
        <v>4</v>
      </c>
      <c r="P4292">
        <v>3</v>
      </c>
      <c r="Q4292">
        <v>20.5848515440249</v>
      </c>
      <c r="R4292">
        <v>23.3</v>
      </c>
      <c r="T4292" s="340" t="str">
        <f t="shared" si="182"/>
        <v>2016MaleNon-Maori23Poisoning by gases and vapours</v>
      </c>
      <c r="U4292">
        <v>2016</v>
      </c>
      <c r="V4292" t="s">
        <v>20</v>
      </c>
      <c r="W4292" t="s">
        <v>19</v>
      </c>
      <c r="X4292">
        <v>23</v>
      </c>
      <c r="Y4292" t="s">
        <v>46</v>
      </c>
      <c r="Z4292">
        <v>10</v>
      </c>
      <c r="AA4292">
        <v>99</v>
      </c>
      <c r="AB4292">
        <v>10.1</v>
      </c>
    </row>
    <row r="4293" spans="10:28">
      <c r="J4293" s="340" t="str">
        <f t="shared" si="183"/>
        <v>2016MaleMaori245</v>
      </c>
      <c r="K4293">
        <v>2016</v>
      </c>
      <c r="L4293" t="s">
        <v>20</v>
      </c>
      <c r="M4293" t="s">
        <v>18</v>
      </c>
      <c r="N4293">
        <v>24</v>
      </c>
      <c r="O4293">
        <v>5</v>
      </c>
      <c r="P4293">
        <v>10</v>
      </c>
      <c r="Q4293">
        <v>41.3079009037776</v>
      </c>
      <c r="R4293">
        <v>25.6</v>
      </c>
      <c r="T4293" s="340" t="str">
        <f t="shared" ref="T4293:T4356" si="184">U4293&amp;V4293&amp;W4293&amp;X4293&amp;Y4293</f>
        <v>2016MaleNon-Maori24Poisoning by gases and vapours</v>
      </c>
      <c r="U4293">
        <v>2016</v>
      </c>
      <c r="V4293" t="s">
        <v>20</v>
      </c>
      <c r="W4293" t="s">
        <v>19</v>
      </c>
      <c r="X4293">
        <v>24</v>
      </c>
      <c r="Y4293" t="s">
        <v>46</v>
      </c>
      <c r="Z4293">
        <v>12</v>
      </c>
      <c r="AA4293">
        <v>112</v>
      </c>
      <c r="AB4293">
        <v>10.7</v>
      </c>
    </row>
    <row r="4294" spans="10:28">
      <c r="J4294" s="340" t="str">
        <f t="shared" si="183"/>
        <v>2016MaleMaori251</v>
      </c>
      <c r="K4294">
        <v>2016</v>
      </c>
      <c r="L4294" t="s">
        <v>20</v>
      </c>
      <c r="M4294" t="s">
        <v>18</v>
      </c>
      <c r="N4294">
        <v>25</v>
      </c>
      <c r="O4294">
        <v>1</v>
      </c>
      <c r="P4294">
        <v>0</v>
      </c>
      <c r="Q4294">
        <v>0</v>
      </c>
      <c r="T4294" s="340" t="str">
        <f t="shared" si="184"/>
        <v>2016MaleNon-Maori25Poisoning by gases and vapours</v>
      </c>
      <c r="U4294">
        <v>2016</v>
      </c>
      <c r="V4294" t="s">
        <v>20</v>
      </c>
      <c r="W4294" t="s">
        <v>19</v>
      </c>
      <c r="X4294">
        <v>25</v>
      </c>
      <c r="Y4294" t="s">
        <v>46</v>
      </c>
      <c r="Z4294">
        <v>6</v>
      </c>
      <c r="AA4294">
        <v>48</v>
      </c>
      <c r="AB4294">
        <v>12.5</v>
      </c>
    </row>
    <row r="4295" spans="10:28">
      <c r="J4295" s="340" t="str">
        <f t="shared" si="183"/>
        <v>2016MaleMaori252</v>
      </c>
      <c r="K4295">
        <v>2016</v>
      </c>
      <c r="L4295" t="s">
        <v>20</v>
      </c>
      <c r="M4295" t="s">
        <v>18</v>
      </c>
      <c r="N4295">
        <v>25</v>
      </c>
      <c r="O4295">
        <v>2</v>
      </c>
      <c r="P4295">
        <v>0</v>
      </c>
      <c r="Q4295">
        <v>0</v>
      </c>
      <c r="T4295" s="340" t="str">
        <f t="shared" si="184"/>
        <v>2016MaleNon-Maori22Poisoning by solids and liquids</v>
      </c>
      <c r="U4295">
        <v>2016</v>
      </c>
      <c r="V4295" t="s">
        <v>20</v>
      </c>
      <c r="W4295" t="s">
        <v>19</v>
      </c>
      <c r="X4295">
        <v>22</v>
      </c>
      <c r="Y4295" t="s">
        <v>47</v>
      </c>
      <c r="Z4295">
        <v>2</v>
      </c>
      <c r="AA4295">
        <v>52</v>
      </c>
      <c r="AB4295">
        <v>3.8</v>
      </c>
    </row>
    <row r="4296" spans="10:28">
      <c r="J4296" s="340" t="str">
        <f t="shared" si="183"/>
        <v>2016MaleMaori253</v>
      </c>
      <c r="K4296">
        <v>2016</v>
      </c>
      <c r="L4296" t="s">
        <v>20</v>
      </c>
      <c r="M4296" t="s">
        <v>18</v>
      </c>
      <c r="N4296">
        <v>25</v>
      </c>
      <c r="O4296">
        <v>3</v>
      </c>
      <c r="P4296">
        <v>0</v>
      </c>
      <c r="Q4296">
        <v>0</v>
      </c>
      <c r="T4296" s="340" t="str">
        <f t="shared" si="184"/>
        <v>2016MaleNon-Maori23Poisoning by solids and liquids</v>
      </c>
      <c r="U4296">
        <v>2016</v>
      </c>
      <c r="V4296" t="s">
        <v>20</v>
      </c>
      <c r="W4296" t="s">
        <v>19</v>
      </c>
      <c r="X4296">
        <v>23</v>
      </c>
      <c r="Y4296" t="s">
        <v>47</v>
      </c>
      <c r="Z4296">
        <v>2</v>
      </c>
      <c r="AA4296">
        <v>99</v>
      </c>
      <c r="AB4296">
        <v>2</v>
      </c>
    </row>
    <row r="4297" spans="10:28">
      <c r="J4297" s="340" t="str">
        <f t="shared" si="183"/>
        <v>2016MaleMaori254</v>
      </c>
      <c r="K4297">
        <v>2016</v>
      </c>
      <c r="L4297" t="s">
        <v>20</v>
      </c>
      <c r="M4297" t="s">
        <v>18</v>
      </c>
      <c r="N4297">
        <v>25</v>
      </c>
      <c r="O4297">
        <v>4</v>
      </c>
      <c r="P4297">
        <v>0</v>
      </c>
      <c r="Q4297">
        <v>0</v>
      </c>
      <c r="T4297" s="340" t="str">
        <f t="shared" si="184"/>
        <v>2016MaleNon-Maori24Poisoning by solids and liquids</v>
      </c>
      <c r="U4297">
        <v>2016</v>
      </c>
      <c r="V4297" t="s">
        <v>20</v>
      </c>
      <c r="W4297" t="s">
        <v>19</v>
      </c>
      <c r="X4297">
        <v>24</v>
      </c>
      <c r="Y4297" t="s">
        <v>47</v>
      </c>
      <c r="Z4297">
        <v>4</v>
      </c>
      <c r="AA4297">
        <v>112</v>
      </c>
      <c r="AB4297">
        <v>3.6</v>
      </c>
    </row>
    <row r="4298" spans="10:28">
      <c r="J4298" s="340" t="str">
        <f t="shared" si="183"/>
        <v>2016MaleMaori255</v>
      </c>
      <c r="K4298">
        <v>2016</v>
      </c>
      <c r="L4298" t="s">
        <v>20</v>
      </c>
      <c r="M4298" t="s">
        <v>18</v>
      </c>
      <c r="N4298">
        <v>25</v>
      </c>
      <c r="O4298">
        <v>5</v>
      </c>
      <c r="P4298">
        <v>3</v>
      </c>
      <c r="Q4298">
        <v>36.587942553170102</v>
      </c>
      <c r="R4298">
        <v>41.4</v>
      </c>
      <c r="T4298" s="340" t="str">
        <f t="shared" si="184"/>
        <v>2016MaleNon-Maori25Poisoning by solids and liquids</v>
      </c>
      <c r="U4298">
        <v>2016</v>
      </c>
      <c r="V4298" t="s">
        <v>20</v>
      </c>
      <c r="W4298" t="s">
        <v>19</v>
      </c>
      <c r="X4298">
        <v>25</v>
      </c>
      <c r="Y4298" t="s">
        <v>47</v>
      </c>
      <c r="Z4298">
        <v>7</v>
      </c>
      <c r="AA4298">
        <v>48</v>
      </c>
      <c r="AB4298">
        <v>14.6</v>
      </c>
    </row>
    <row r="4299" spans="10:28">
      <c r="J4299" s="340" t="str">
        <f t="shared" si="183"/>
        <v>2016MaleNon-Maori211</v>
      </c>
      <c r="K4299">
        <v>2016</v>
      </c>
      <c r="L4299" t="s">
        <v>20</v>
      </c>
      <c r="M4299" t="s">
        <v>19</v>
      </c>
      <c r="N4299">
        <v>21</v>
      </c>
      <c r="O4299">
        <v>1</v>
      </c>
      <c r="P4299">
        <v>2</v>
      </c>
      <c r="Q4299">
        <v>2.4091525582142301</v>
      </c>
      <c r="R4299">
        <v>3.3</v>
      </c>
      <c r="T4299" s="340" t="str">
        <f t="shared" si="184"/>
        <v>2016MaleNon-Maori23Sharp object</v>
      </c>
      <c r="U4299">
        <v>2016</v>
      </c>
      <c r="V4299" t="s">
        <v>20</v>
      </c>
      <c r="W4299" t="s">
        <v>19</v>
      </c>
      <c r="X4299">
        <v>23</v>
      </c>
      <c r="Y4299" t="s">
        <v>48</v>
      </c>
      <c r="Z4299">
        <v>1</v>
      </c>
      <c r="AA4299">
        <v>99</v>
      </c>
      <c r="AB4299">
        <v>1</v>
      </c>
    </row>
    <row r="4300" spans="10:28">
      <c r="J4300" s="340" t="str">
        <f t="shared" si="183"/>
        <v>2016MaleNon-Maori212</v>
      </c>
      <c r="K4300">
        <v>2016</v>
      </c>
      <c r="L4300" t="s">
        <v>20</v>
      </c>
      <c r="M4300" t="s">
        <v>19</v>
      </c>
      <c r="N4300">
        <v>21</v>
      </c>
      <c r="O4300">
        <v>2</v>
      </c>
      <c r="P4300">
        <v>0</v>
      </c>
      <c r="Q4300">
        <v>0</v>
      </c>
      <c r="T4300" s="340" t="str">
        <f t="shared" si="184"/>
        <v>2016MaleNon-Maori24Sharp object</v>
      </c>
      <c r="U4300">
        <v>2016</v>
      </c>
      <c r="V4300" t="s">
        <v>20</v>
      </c>
      <c r="W4300" t="s">
        <v>19</v>
      </c>
      <c r="X4300">
        <v>24</v>
      </c>
      <c r="Y4300" t="s">
        <v>48</v>
      </c>
      <c r="Z4300">
        <v>4</v>
      </c>
      <c r="AA4300">
        <v>112</v>
      </c>
      <c r="AB4300">
        <v>3.6</v>
      </c>
    </row>
    <row r="4301" spans="10:28">
      <c r="J4301" s="340" t="str">
        <f t="shared" si="183"/>
        <v>2016MaleNon-Maori213</v>
      </c>
      <c r="K4301">
        <v>2016</v>
      </c>
      <c r="L4301" t="s">
        <v>20</v>
      </c>
      <c r="M4301" t="s">
        <v>19</v>
      </c>
      <c r="N4301">
        <v>21</v>
      </c>
      <c r="O4301">
        <v>3</v>
      </c>
      <c r="P4301">
        <v>0</v>
      </c>
      <c r="Q4301">
        <v>0</v>
      </c>
      <c r="T4301" s="340" t="str">
        <f t="shared" si="184"/>
        <v>2016MaleNon-Maori25Sharp object</v>
      </c>
      <c r="U4301">
        <v>2016</v>
      </c>
      <c r="V4301" t="s">
        <v>20</v>
      </c>
      <c r="W4301" t="s">
        <v>19</v>
      </c>
      <c r="X4301">
        <v>25</v>
      </c>
      <c r="Y4301" t="s">
        <v>48</v>
      </c>
      <c r="Z4301">
        <v>3</v>
      </c>
      <c r="AA4301">
        <v>48</v>
      </c>
      <c r="AB4301">
        <v>6.2</v>
      </c>
    </row>
    <row r="4302" spans="10:28">
      <c r="J4302" s="340" t="str">
        <f t="shared" si="183"/>
        <v>2016MaleNon-Maori214</v>
      </c>
      <c r="K4302">
        <v>2016</v>
      </c>
      <c r="L4302" t="s">
        <v>20</v>
      </c>
      <c r="M4302" t="s">
        <v>19</v>
      </c>
      <c r="N4302">
        <v>21</v>
      </c>
      <c r="O4302">
        <v>4</v>
      </c>
      <c r="P4302">
        <v>1</v>
      </c>
      <c r="Q4302">
        <v>1.62557405049248</v>
      </c>
      <c r="R4302">
        <v>3.2</v>
      </c>
      <c r="T4302" s="340" t="str">
        <f t="shared" si="184"/>
        <v>2016MaleNon-Maori23Submersion (drowning)</v>
      </c>
      <c r="U4302">
        <v>2016</v>
      </c>
      <c r="V4302" t="s">
        <v>20</v>
      </c>
      <c r="W4302" t="s">
        <v>19</v>
      </c>
      <c r="X4302">
        <v>23</v>
      </c>
      <c r="Y4302" t="s">
        <v>49</v>
      </c>
      <c r="Z4302">
        <v>1</v>
      </c>
      <c r="AA4302">
        <v>99</v>
      </c>
      <c r="AB4302">
        <v>1</v>
      </c>
    </row>
    <row r="4303" spans="10:28">
      <c r="J4303" s="340" t="str">
        <f t="shared" si="183"/>
        <v>2016MaleNon-Maori215</v>
      </c>
      <c r="K4303">
        <v>2016</v>
      </c>
      <c r="L4303" t="s">
        <v>20</v>
      </c>
      <c r="M4303" t="s">
        <v>19</v>
      </c>
      <c r="N4303">
        <v>21</v>
      </c>
      <c r="O4303">
        <v>5</v>
      </c>
      <c r="P4303">
        <v>0</v>
      </c>
      <c r="Q4303">
        <v>0</v>
      </c>
      <c r="T4303" s="340" t="str">
        <f t="shared" si="184"/>
        <v>2016MaleNon-Maori24Submersion (drowning)</v>
      </c>
      <c r="U4303">
        <v>2016</v>
      </c>
      <c r="V4303" t="s">
        <v>20</v>
      </c>
      <c r="W4303" t="s">
        <v>19</v>
      </c>
      <c r="X4303">
        <v>24</v>
      </c>
      <c r="Y4303" t="s">
        <v>49</v>
      </c>
      <c r="Z4303">
        <v>2</v>
      </c>
      <c r="AA4303">
        <v>112</v>
      </c>
      <c r="AB4303">
        <v>1.8</v>
      </c>
    </row>
    <row r="4304" spans="10:28">
      <c r="J4304" s="340" t="str">
        <f t="shared" si="183"/>
        <v>2016MaleNon-Maori221</v>
      </c>
      <c r="K4304">
        <v>2016</v>
      </c>
      <c r="L4304" t="s">
        <v>20</v>
      </c>
      <c r="M4304" t="s">
        <v>19</v>
      </c>
      <c r="N4304">
        <v>22</v>
      </c>
      <c r="O4304">
        <v>1</v>
      </c>
      <c r="P4304">
        <v>10</v>
      </c>
      <c r="Q4304">
        <v>18.294019224878699</v>
      </c>
      <c r="R4304">
        <v>11.3</v>
      </c>
      <c r="T4304" s="340" t="str">
        <f t="shared" si="184"/>
        <v>2016MaleNon-Maori25Submersion (drowning)</v>
      </c>
      <c r="U4304">
        <v>2016</v>
      </c>
      <c r="V4304" t="s">
        <v>20</v>
      </c>
      <c r="W4304" t="s">
        <v>19</v>
      </c>
      <c r="X4304">
        <v>25</v>
      </c>
      <c r="Y4304" t="s">
        <v>49</v>
      </c>
      <c r="Z4304">
        <v>6</v>
      </c>
      <c r="AA4304">
        <v>48</v>
      </c>
      <c r="AB4304">
        <v>12.5</v>
      </c>
    </row>
    <row r="4305" spans="10:28">
      <c r="J4305" s="340" t="str">
        <f t="shared" si="183"/>
        <v>2016MaleNon-Maori222</v>
      </c>
      <c r="K4305">
        <v>2016</v>
      </c>
      <c r="L4305" t="s">
        <v>20</v>
      </c>
      <c r="M4305" t="s">
        <v>19</v>
      </c>
      <c r="N4305">
        <v>22</v>
      </c>
      <c r="O4305">
        <v>2</v>
      </c>
      <c r="P4305">
        <v>8</v>
      </c>
      <c r="Q4305">
        <v>14.859147377257299</v>
      </c>
      <c r="R4305">
        <v>10.3</v>
      </c>
      <c r="T4305" s="340" t="str">
        <f t="shared" si="184"/>
        <v>1996AllSexAllEth19Firearms and explosives</v>
      </c>
      <c r="U4305">
        <v>1996</v>
      </c>
      <c r="V4305" t="s">
        <v>17</v>
      </c>
      <c r="W4305" t="s">
        <v>27</v>
      </c>
      <c r="X4305">
        <v>19</v>
      </c>
      <c r="Y4305" t="s">
        <v>42</v>
      </c>
      <c r="Z4305">
        <v>47</v>
      </c>
      <c r="AA4305">
        <v>540</v>
      </c>
      <c r="AB4305">
        <v>8.6999999999999993</v>
      </c>
    </row>
    <row r="4306" spans="10:28">
      <c r="J4306" s="340" t="str">
        <f t="shared" si="183"/>
        <v>2016MaleNon-Maori223</v>
      </c>
      <c r="K4306">
        <v>2016</v>
      </c>
      <c r="L4306" t="s">
        <v>20</v>
      </c>
      <c r="M4306" t="s">
        <v>19</v>
      </c>
      <c r="N4306">
        <v>22</v>
      </c>
      <c r="O4306">
        <v>3</v>
      </c>
      <c r="P4306">
        <v>8</v>
      </c>
      <c r="Q4306">
        <v>14.7908954939521</v>
      </c>
      <c r="R4306">
        <v>10.199999999999999</v>
      </c>
      <c r="T4306" s="340" t="str">
        <f t="shared" si="184"/>
        <v>1996AllSexAllEth19Hanging, strangulation and suffocation</v>
      </c>
      <c r="U4306">
        <v>1996</v>
      </c>
      <c r="V4306" t="s">
        <v>17</v>
      </c>
      <c r="W4306" t="s">
        <v>27</v>
      </c>
      <c r="X4306">
        <v>19</v>
      </c>
      <c r="Y4306" t="s">
        <v>43</v>
      </c>
      <c r="Z4306">
        <v>230</v>
      </c>
      <c r="AA4306">
        <v>540</v>
      </c>
      <c r="AB4306">
        <v>42.6</v>
      </c>
    </row>
    <row r="4307" spans="10:28">
      <c r="J4307" s="340" t="str">
        <f t="shared" si="183"/>
        <v>2016MaleNon-Maori224</v>
      </c>
      <c r="K4307">
        <v>2016</v>
      </c>
      <c r="L4307" t="s">
        <v>20</v>
      </c>
      <c r="M4307" t="s">
        <v>19</v>
      </c>
      <c r="N4307">
        <v>22</v>
      </c>
      <c r="O4307">
        <v>4</v>
      </c>
      <c r="P4307">
        <v>17</v>
      </c>
      <c r="Q4307">
        <v>30.2280160617645</v>
      </c>
      <c r="R4307">
        <v>14.4</v>
      </c>
      <c r="T4307" s="340" t="str">
        <f t="shared" si="184"/>
        <v>1996AllSexAllEth19Jumping from a high place</v>
      </c>
      <c r="U4307">
        <v>1996</v>
      </c>
      <c r="V4307" t="s">
        <v>17</v>
      </c>
      <c r="W4307" t="s">
        <v>27</v>
      </c>
      <c r="X4307">
        <v>19</v>
      </c>
      <c r="Y4307" t="s">
        <v>44</v>
      </c>
      <c r="Z4307">
        <v>12</v>
      </c>
      <c r="AA4307">
        <v>540</v>
      </c>
      <c r="AB4307">
        <v>2.2000000000000002</v>
      </c>
    </row>
    <row r="4308" spans="10:28">
      <c r="J4308" s="340" t="str">
        <f t="shared" si="183"/>
        <v>2016MaleNon-Maori225</v>
      </c>
      <c r="K4308">
        <v>2016</v>
      </c>
      <c r="L4308" t="s">
        <v>20</v>
      </c>
      <c r="M4308" t="s">
        <v>19</v>
      </c>
      <c r="N4308">
        <v>22</v>
      </c>
      <c r="O4308">
        <v>5</v>
      </c>
      <c r="P4308">
        <v>9</v>
      </c>
      <c r="Q4308">
        <v>16.6075518975947</v>
      </c>
      <c r="R4308">
        <v>10.9</v>
      </c>
      <c r="T4308" s="340" t="str">
        <f t="shared" si="184"/>
        <v>1996AllSexAllEth19Other</v>
      </c>
      <c r="U4308">
        <v>1996</v>
      </c>
      <c r="V4308" t="s">
        <v>17</v>
      </c>
      <c r="W4308" t="s">
        <v>27</v>
      </c>
      <c r="X4308">
        <v>19</v>
      </c>
      <c r="Y4308" t="s">
        <v>45</v>
      </c>
      <c r="Z4308">
        <v>17</v>
      </c>
      <c r="AA4308">
        <v>540</v>
      </c>
      <c r="AB4308">
        <v>3.1</v>
      </c>
    </row>
    <row r="4309" spans="10:28">
      <c r="J4309" s="340" t="str">
        <f t="shared" si="183"/>
        <v>2016MaleNon-Maori231</v>
      </c>
      <c r="K4309">
        <v>2016</v>
      </c>
      <c r="L4309" t="s">
        <v>20</v>
      </c>
      <c r="M4309" t="s">
        <v>19</v>
      </c>
      <c r="N4309">
        <v>23</v>
      </c>
      <c r="O4309">
        <v>1</v>
      </c>
      <c r="P4309">
        <v>10</v>
      </c>
      <c r="Q4309">
        <v>9.8141680759084693</v>
      </c>
      <c r="R4309">
        <v>6.1</v>
      </c>
      <c r="T4309" s="340" t="str">
        <f t="shared" si="184"/>
        <v>1996AllSexAllEth19Poisoning by gases and vapours</v>
      </c>
      <c r="U4309">
        <v>1996</v>
      </c>
      <c r="V4309" t="s">
        <v>17</v>
      </c>
      <c r="W4309" t="s">
        <v>27</v>
      </c>
      <c r="X4309">
        <v>19</v>
      </c>
      <c r="Y4309" t="s">
        <v>46</v>
      </c>
      <c r="Z4309">
        <v>157</v>
      </c>
      <c r="AA4309">
        <v>540</v>
      </c>
      <c r="AB4309">
        <v>29.1</v>
      </c>
    </row>
    <row r="4310" spans="10:28">
      <c r="J4310" s="340" t="str">
        <f t="shared" si="183"/>
        <v>2016MaleNon-Maori232</v>
      </c>
      <c r="K4310">
        <v>2016</v>
      </c>
      <c r="L4310" t="s">
        <v>20</v>
      </c>
      <c r="M4310" t="s">
        <v>19</v>
      </c>
      <c r="N4310">
        <v>23</v>
      </c>
      <c r="O4310">
        <v>2</v>
      </c>
      <c r="P4310">
        <v>17</v>
      </c>
      <c r="Q4310">
        <v>15.2338782310899</v>
      </c>
      <c r="R4310">
        <v>7.2</v>
      </c>
      <c r="T4310" s="340" t="str">
        <f t="shared" si="184"/>
        <v>1996AllSexAllEth19Poisoning by solids and liquids</v>
      </c>
      <c r="U4310">
        <v>1996</v>
      </c>
      <c r="V4310" t="s">
        <v>17</v>
      </c>
      <c r="W4310" t="s">
        <v>27</v>
      </c>
      <c r="X4310">
        <v>19</v>
      </c>
      <c r="Y4310" t="s">
        <v>47</v>
      </c>
      <c r="Z4310">
        <v>59</v>
      </c>
      <c r="AA4310">
        <v>540</v>
      </c>
      <c r="AB4310">
        <v>10.9</v>
      </c>
    </row>
    <row r="4311" spans="10:28">
      <c r="J4311" s="340" t="str">
        <f t="shared" si="183"/>
        <v>2016MaleNon-Maori233</v>
      </c>
      <c r="K4311">
        <v>2016</v>
      </c>
      <c r="L4311" t="s">
        <v>20</v>
      </c>
      <c r="M4311" t="s">
        <v>19</v>
      </c>
      <c r="N4311">
        <v>23</v>
      </c>
      <c r="O4311">
        <v>3</v>
      </c>
      <c r="P4311">
        <v>21</v>
      </c>
      <c r="Q4311">
        <v>18.6384059374084</v>
      </c>
      <c r="R4311">
        <v>8</v>
      </c>
      <c r="T4311" s="340" t="str">
        <f t="shared" si="184"/>
        <v>1996AllSexAllEth19Sharp object</v>
      </c>
      <c r="U4311">
        <v>1996</v>
      </c>
      <c r="V4311" t="s">
        <v>17</v>
      </c>
      <c r="W4311" t="s">
        <v>27</v>
      </c>
      <c r="X4311">
        <v>19</v>
      </c>
      <c r="Y4311" t="s">
        <v>48</v>
      </c>
      <c r="Z4311">
        <v>7</v>
      </c>
      <c r="AA4311">
        <v>540</v>
      </c>
      <c r="AB4311">
        <v>1.3</v>
      </c>
    </row>
    <row r="4312" spans="10:28">
      <c r="J4312" s="340" t="str">
        <f t="shared" si="183"/>
        <v>2016MaleNon-Maori234</v>
      </c>
      <c r="K4312">
        <v>2016</v>
      </c>
      <c r="L4312" t="s">
        <v>20</v>
      </c>
      <c r="M4312" t="s">
        <v>19</v>
      </c>
      <c r="N4312">
        <v>23</v>
      </c>
      <c r="O4312">
        <v>4</v>
      </c>
      <c r="P4312">
        <v>30</v>
      </c>
      <c r="Q4312">
        <v>28.2358814302955</v>
      </c>
      <c r="R4312">
        <v>10.1</v>
      </c>
      <c r="T4312" s="340" t="str">
        <f t="shared" si="184"/>
        <v>1996AllSexAllEth19Submersion (drowning)</v>
      </c>
      <c r="U4312">
        <v>1996</v>
      </c>
      <c r="V4312" t="s">
        <v>17</v>
      </c>
      <c r="W4312" t="s">
        <v>27</v>
      </c>
      <c r="X4312">
        <v>19</v>
      </c>
      <c r="Y4312" t="s">
        <v>49</v>
      </c>
      <c r="Z4312">
        <v>11</v>
      </c>
      <c r="AA4312">
        <v>540</v>
      </c>
      <c r="AB4312">
        <v>2</v>
      </c>
    </row>
    <row r="4313" spans="10:28">
      <c r="J4313" s="340" t="str">
        <f t="shared" si="183"/>
        <v>2016MaleNon-Maori235</v>
      </c>
      <c r="K4313">
        <v>2016</v>
      </c>
      <c r="L4313" t="s">
        <v>20</v>
      </c>
      <c r="M4313" t="s">
        <v>19</v>
      </c>
      <c r="N4313">
        <v>23</v>
      </c>
      <c r="O4313">
        <v>5</v>
      </c>
      <c r="P4313">
        <v>20</v>
      </c>
      <c r="Q4313">
        <v>23.387170632107001</v>
      </c>
      <c r="R4313">
        <v>10.199999999999999</v>
      </c>
      <c r="T4313" s="340" t="str">
        <f t="shared" si="184"/>
        <v>1996AllSexMaori19Firearms and explosives</v>
      </c>
      <c r="U4313">
        <v>1996</v>
      </c>
      <c r="V4313" t="s">
        <v>17</v>
      </c>
      <c r="W4313" t="s">
        <v>18</v>
      </c>
      <c r="X4313">
        <v>19</v>
      </c>
      <c r="Y4313" t="s">
        <v>42</v>
      </c>
      <c r="Z4313">
        <v>4</v>
      </c>
      <c r="AA4313">
        <v>97</v>
      </c>
      <c r="AB4313">
        <v>4.0999999999999996</v>
      </c>
    </row>
    <row r="4314" spans="10:28">
      <c r="J4314" s="340" t="str">
        <f t="shared" si="183"/>
        <v>2016MaleNon-Maori241</v>
      </c>
      <c r="K4314">
        <v>2016</v>
      </c>
      <c r="L4314" t="s">
        <v>20</v>
      </c>
      <c r="M4314" t="s">
        <v>19</v>
      </c>
      <c r="N4314">
        <v>24</v>
      </c>
      <c r="O4314">
        <v>1</v>
      </c>
      <c r="P4314">
        <v>22</v>
      </c>
      <c r="Q4314">
        <v>16.6771128291075</v>
      </c>
      <c r="R4314">
        <v>7</v>
      </c>
      <c r="T4314" s="340" t="str">
        <f t="shared" si="184"/>
        <v>1996AllSexMaori19Hanging, strangulation and suffocation</v>
      </c>
      <c r="U4314">
        <v>1996</v>
      </c>
      <c r="V4314" t="s">
        <v>17</v>
      </c>
      <c r="W4314" t="s">
        <v>18</v>
      </c>
      <c r="X4314">
        <v>19</v>
      </c>
      <c r="Y4314" t="s">
        <v>43</v>
      </c>
      <c r="Z4314">
        <v>66</v>
      </c>
      <c r="AA4314">
        <v>97</v>
      </c>
      <c r="AB4314">
        <v>68</v>
      </c>
    </row>
    <row r="4315" spans="10:28">
      <c r="J4315" s="340" t="str">
        <f t="shared" si="183"/>
        <v>2016MaleNon-Maori242</v>
      </c>
      <c r="K4315">
        <v>2016</v>
      </c>
      <c r="L4315" t="s">
        <v>20</v>
      </c>
      <c r="M4315" t="s">
        <v>19</v>
      </c>
      <c r="N4315">
        <v>24</v>
      </c>
      <c r="O4315">
        <v>2</v>
      </c>
      <c r="P4315">
        <v>21</v>
      </c>
      <c r="Q4315">
        <v>18.190117122626798</v>
      </c>
      <c r="R4315">
        <v>7.8</v>
      </c>
      <c r="T4315" s="340" t="str">
        <f t="shared" si="184"/>
        <v>1996AllSexMaori19Jumping from a high place</v>
      </c>
      <c r="U4315">
        <v>1996</v>
      </c>
      <c r="V4315" t="s">
        <v>17</v>
      </c>
      <c r="W4315" t="s">
        <v>18</v>
      </c>
      <c r="X4315">
        <v>19</v>
      </c>
      <c r="Y4315" t="s">
        <v>44</v>
      </c>
      <c r="Z4315">
        <v>1</v>
      </c>
      <c r="AA4315">
        <v>97</v>
      </c>
      <c r="AB4315">
        <v>1</v>
      </c>
    </row>
    <row r="4316" spans="10:28">
      <c r="J4316" s="340" t="str">
        <f t="shared" si="183"/>
        <v>2016MaleNon-Maori243</v>
      </c>
      <c r="K4316">
        <v>2016</v>
      </c>
      <c r="L4316" t="s">
        <v>20</v>
      </c>
      <c r="M4316" t="s">
        <v>19</v>
      </c>
      <c r="N4316">
        <v>24</v>
      </c>
      <c r="O4316">
        <v>3</v>
      </c>
      <c r="P4316">
        <v>18</v>
      </c>
      <c r="Q4316">
        <v>17.802685823966598</v>
      </c>
      <c r="R4316">
        <v>8.1999999999999993</v>
      </c>
      <c r="T4316" s="340" t="str">
        <f t="shared" si="184"/>
        <v>1996AllSexMaori19Other</v>
      </c>
      <c r="U4316">
        <v>1996</v>
      </c>
      <c r="V4316" t="s">
        <v>17</v>
      </c>
      <c r="W4316" t="s">
        <v>18</v>
      </c>
      <c r="X4316">
        <v>19</v>
      </c>
      <c r="Y4316" t="s">
        <v>45</v>
      </c>
      <c r="Z4316">
        <v>2</v>
      </c>
      <c r="AA4316">
        <v>97</v>
      </c>
      <c r="AB4316">
        <v>2.1</v>
      </c>
    </row>
    <row r="4317" spans="10:28">
      <c r="J4317" s="340" t="str">
        <f t="shared" si="183"/>
        <v>2016MaleNon-Maori244</v>
      </c>
      <c r="K4317">
        <v>2016</v>
      </c>
      <c r="L4317" t="s">
        <v>20</v>
      </c>
      <c r="M4317" t="s">
        <v>19</v>
      </c>
      <c r="N4317">
        <v>24</v>
      </c>
      <c r="O4317">
        <v>4</v>
      </c>
      <c r="P4317">
        <v>29</v>
      </c>
      <c r="Q4317">
        <v>33.105664569918197</v>
      </c>
      <c r="R4317">
        <v>12</v>
      </c>
      <c r="T4317" s="340" t="str">
        <f t="shared" si="184"/>
        <v>1996AllSexMaori19Poisoning by gases and vapours</v>
      </c>
      <c r="U4317">
        <v>1996</v>
      </c>
      <c r="V4317" t="s">
        <v>17</v>
      </c>
      <c r="W4317" t="s">
        <v>18</v>
      </c>
      <c r="X4317">
        <v>19</v>
      </c>
      <c r="Y4317" t="s">
        <v>46</v>
      </c>
      <c r="Z4317">
        <v>10</v>
      </c>
      <c r="AA4317">
        <v>97</v>
      </c>
      <c r="AB4317">
        <v>10.3</v>
      </c>
    </row>
    <row r="4318" spans="10:28">
      <c r="J4318" s="340" t="str">
        <f t="shared" si="183"/>
        <v>2016MaleNon-Maori245</v>
      </c>
      <c r="K4318">
        <v>2016</v>
      </c>
      <c r="L4318" t="s">
        <v>20</v>
      </c>
      <c r="M4318" t="s">
        <v>19</v>
      </c>
      <c r="N4318">
        <v>24</v>
      </c>
      <c r="O4318">
        <v>5</v>
      </c>
      <c r="P4318">
        <v>22</v>
      </c>
      <c r="Q4318">
        <v>31.276074544585502</v>
      </c>
      <c r="R4318">
        <v>13.1</v>
      </c>
      <c r="T4318" s="340" t="str">
        <f t="shared" si="184"/>
        <v>1996AllSexMaori19Poisoning by solids and liquids</v>
      </c>
      <c r="U4318">
        <v>1996</v>
      </c>
      <c r="V4318" t="s">
        <v>17</v>
      </c>
      <c r="W4318" t="s">
        <v>18</v>
      </c>
      <c r="X4318">
        <v>19</v>
      </c>
      <c r="Y4318" t="s">
        <v>47</v>
      </c>
      <c r="Z4318">
        <v>11</v>
      </c>
      <c r="AA4318">
        <v>97</v>
      </c>
      <c r="AB4318">
        <v>11.3</v>
      </c>
    </row>
    <row r="4319" spans="10:28">
      <c r="J4319" s="340" t="str">
        <f t="shared" si="183"/>
        <v>2016MaleNon-Maori251</v>
      </c>
      <c r="K4319">
        <v>2016</v>
      </c>
      <c r="L4319" t="s">
        <v>20</v>
      </c>
      <c r="M4319" t="s">
        <v>19</v>
      </c>
      <c r="N4319">
        <v>25</v>
      </c>
      <c r="O4319">
        <v>1</v>
      </c>
      <c r="P4319">
        <v>10</v>
      </c>
      <c r="Q4319">
        <v>14.709395808994101</v>
      </c>
      <c r="R4319">
        <v>9.1</v>
      </c>
      <c r="T4319" s="340" t="str">
        <f t="shared" si="184"/>
        <v>1996AllSexMaori19Sharp object</v>
      </c>
      <c r="U4319">
        <v>1996</v>
      </c>
      <c r="V4319" t="s">
        <v>17</v>
      </c>
      <c r="W4319" t="s">
        <v>18</v>
      </c>
      <c r="X4319">
        <v>19</v>
      </c>
      <c r="Y4319" t="s">
        <v>48</v>
      </c>
      <c r="Z4319">
        <v>3</v>
      </c>
      <c r="AA4319">
        <v>97</v>
      </c>
      <c r="AB4319">
        <v>3.1</v>
      </c>
    </row>
    <row r="4320" spans="10:28">
      <c r="J4320" s="340" t="str">
        <f t="shared" si="183"/>
        <v>2016MaleNon-Maori252</v>
      </c>
      <c r="K4320">
        <v>2016</v>
      </c>
      <c r="L4320" t="s">
        <v>20</v>
      </c>
      <c r="M4320" t="s">
        <v>19</v>
      </c>
      <c r="N4320">
        <v>25</v>
      </c>
      <c r="O4320">
        <v>2</v>
      </c>
      <c r="P4320">
        <v>10</v>
      </c>
      <c r="Q4320">
        <v>15.0282537647879</v>
      </c>
      <c r="R4320">
        <v>9.3000000000000007</v>
      </c>
      <c r="T4320" s="340" t="str">
        <f t="shared" si="184"/>
        <v>1996AllSexNon-Maori19Firearms and explosives</v>
      </c>
      <c r="U4320">
        <v>1996</v>
      </c>
      <c r="V4320" t="s">
        <v>17</v>
      </c>
      <c r="W4320" t="s">
        <v>19</v>
      </c>
      <c r="X4320">
        <v>19</v>
      </c>
      <c r="Y4320" t="s">
        <v>42</v>
      </c>
      <c r="Z4320">
        <v>43</v>
      </c>
      <c r="AA4320">
        <v>443</v>
      </c>
      <c r="AB4320">
        <v>9.6999999999999993</v>
      </c>
    </row>
    <row r="4321" spans="10:28">
      <c r="J4321" s="340" t="str">
        <f t="shared" si="183"/>
        <v>2016MaleNon-Maori253</v>
      </c>
      <c r="K4321">
        <v>2016</v>
      </c>
      <c r="L4321" t="s">
        <v>20</v>
      </c>
      <c r="M4321" t="s">
        <v>19</v>
      </c>
      <c r="N4321">
        <v>25</v>
      </c>
      <c r="O4321">
        <v>3</v>
      </c>
      <c r="P4321">
        <v>14</v>
      </c>
      <c r="Q4321">
        <v>22.170251091517802</v>
      </c>
      <c r="R4321">
        <v>11.6</v>
      </c>
      <c r="T4321" s="340" t="str">
        <f t="shared" si="184"/>
        <v>1996AllSexNon-Maori19Hanging, strangulation and suffocation</v>
      </c>
      <c r="U4321">
        <v>1996</v>
      </c>
      <c r="V4321" t="s">
        <v>17</v>
      </c>
      <c r="W4321" t="s">
        <v>19</v>
      </c>
      <c r="X4321">
        <v>19</v>
      </c>
      <c r="Y4321" t="s">
        <v>43</v>
      </c>
      <c r="Z4321">
        <v>164</v>
      </c>
      <c r="AA4321">
        <v>443</v>
      </c>
      <c r="AB4321">
        <v>37</v>
      </c>
    </row>
    <row r="4322" spans="10:28">
      <c r="J4322" s="340" t="str">
        <f t="shared" si="183"/>
        <v>2016MaleNon-Maori254</v>
      </c>
      <c r="K4322">
        <v>2016</v>
      </c>
      <c r="L4322" t="s">
        <v>20</v>
      </c>
      <c r="M4322" t="s">
        <v>19</v>
      </c>
      <c r="N4322">
        <v>25</v>
      </c>
      <c r="O4322">
        <v>4</v>
      </c>
      <c r="P4322">
        <v>9</v>
      </c>
      <c r="Q4322">
        <v>15.047761327462799</v>
      </c>
      <c r="R4322">
        <v>9.8000000000000007</v>
      </c>
      <c r="T4322" s="340" t="str">
        <f t="shared" si="184"/>
        <v>1996AllSexNon-Maori19Jumping from a high place</v>
      </c>
      <c r="U4322">
        <v>1996</v>
      </c>
      <c r="V4322" t="s">
        <v>17</v>
      </c>
      <c r="W4322" t="s">
        <v>19</v>
      </c>
      <c r="X4322">
        <v>19</v>
      </c>
      <c r="Y4322" t="s">
        <v>44</v>
      </c>
      <c r="Z4322">
        <v>11</v>
      </c>
      <c r="AA4322">
        <v>443</v>
      </c>
      <c r="AB4322">
        <v>2.5</v>
      </c>
    </row>
    <row r="4323" spans="10:28">
      <c r="J4323" s="340" t="str">
        <f t="shared" si="183"/>
        <v>2016MaleNon-Maori255</v>
      </c>
      <c r="K4323">
        <v>2016</v>
      </c>
      <c r="L4323" t="s">
        <v>20</v>
      </c>
      <c r="M4323" t="s">
        <v>19</v>
      </c>
      <c r="N4323">
        <v>25</v>
      </c>
      <c r="O4323">
        <v>5</v>
      </c>
      <c r="P4323">
        <v>5</v>
      </c>
      <c r="Q4323">
        <v>10.984895940027799</v>
      </c>
      <c r="R4323">
        <v>9.6</v>
      </c>
      <c r="T4323" s="340" t="str">
        <f t="shared" si="184"/>
        <v>1996AllSexNon-Maori19Other</v>
      </c>
      <c r="U4323">
        <v>1996</v>
      </c>
      <c r="V4323" t="s">
        <v>17</v>
      </c>
      <c r="W4323" t="s">
        <v>19</v>
      </c>
      <c r="X4323">
        <v>19</v>
      </c>
      <c r="Y4323" t="s">
        <v>45</v>
      </c>
      <c r="Z4323">
        <v>15</v>
      </c>
      <c r="AA4323">
        <v>443</v>
      </c>
      <c r="AB4323">
        <v>3.4</v>
      </c>
    </row>
    <row r="4324" spans="10:28">
      <c r="J4324" s="340" t="str">
        <f t="shared" si="183"/>
        <v/>
      </c>
      <c r="T4324" s="340" t="str">
        <f t="shared" si="184"/>
        <v>1996AllSexNon-Maori19Poisoning by gases and vapours</v>
      </c>
      <c r="U4324">
        <v>1996</v>
      </c>
      <c r="V4324" t="s">
        <v>17</v>
      </c>
      <c r="W4324" t="s">
        <v>19</v>
      </c>
      <c r="X4324">
        <v>19</v>
      </c>
      <c r="Y4324" t="s">
        <v>46</v>
      </c>
      <c r="Z4324">
        <v>147</v>
      </c>
      <c r="AA4324">
        <v>443</v>
      </c>
      <c r="AB4324">
        <v>33.200000000000003</v>
      </c>
    </row>
    <row r="4325" spans="10:28">
      <c r="T4325" s="340" t="str">
        <f t="shared" si="184"/>
        <v>1996AllSexNon-Maori19Poisoning by solids and liquids</v>
      </c>
      <c r="U4325">
        <v>1996</v>
      </c>
      <c r="V4325" t="s">
        <v>17</v>
      </c>
      <c r="W4325" t="s">
        <v>19</v>
      </c>
      <c r="X4325">
        <v>19</v>
      </c>
      <c r="Y4325" t="s">
        <v>47</v>
      </c>
      <c r="Z4325">
        <v>48</v>
      </c>
      <c r="AA4325">
        <v>443</v>
      </c>
      <c r="AB4325">
        <v>10.8</v>
      </c>
    </row>
    <row r="4326" spans="10:28">
      <c r="T4326" s="340" t="str">
        <f t="shared" si="184"/>
        <v>1996AllSexNon-Maori19Sharp object</v>
      </c>
      <c r="U4326">
        <v>1996</v>
      </c>
      <c r="V4326" t="s">
        <v>17</v>
      </c>
      <c r="W4326" t="s">
        <v>19</v>
      </c>
      <c r="X4326">
        <v>19</v>
      </c>
      <c r="Y4326" t="s">
        <v>48</v>
      </c>
      <c r="Z4326">
        <v>4</v>
      </c>
      <c r="AA4326">
        <v>443</v>
      </c>
      <c r="AB4326">
        <v>0.9</v>
      </c>
    </row>
    <row r="4327" spans="10:28">
      <c r="T4327" s="340" t="str">
        <f t="shared" si="184"/>
        <v>1996AllSexNon-Maori19Submersion (drowning)</v>
      </c>
      <c r="U4327">
        <v>1996</v>
      </c>
      <c r="V4327" t="s">
        <v>17</v>
      </c>
      <c r="W4327" t="s">
        <v>19</v>
      </c>
      <c r="X4327">
        <v>19</v>
      </c>
      <c r="Y4327" t="s">
        <v>49</v>
      </c>
      <c r="Z4327">
        <v>11</v>
      </c>
      <c r="AA4327">
        <v>443</v>
      </c>
      <c r="AB4327">
        <v>2.5</v>
      </c>
    </row>
    <row r="4328" spans="10:28">
      <c r="T4328" s="340" t="str">
        <f t="shared" si="184"/>
        <v>1996FemaleAllEth19Firearms and explosives</v>
      </c>
      <c r="U4328">
        <v>1996</v>
      </c>
      <c r="V4328" t="s">
        <v>8</v>
      </c>
      <c r="W4328" t="s">
        <v>27</v>
      </c>
      <c r="X4328">
        <v>19</v>
      </c>
      <c r="Y4328" t="s">
        <v>42</v>
      </c>
      <c r="Z4328">
        <v>1</v>
      </c>
      <c r="AA4328">
        <v>111</v>
      </c>
      <c r="AB4328">
        <v>0.9</v>
      </c>
    </row>
    <row r="4329" spans="10:28">
      <c r="T4329" s="340" t="str">
        <f t="shared" si="184"/>
        <v>1996FemaleAllEth19Hanging, strangulation and suffocation</v>
      </c>
      <c r="U4329">
        <v>1996</v>
      </c>
      <c r="V4329" t="s">
        <v>8</v>
      </c>
      <c r="W4329" t="s">
        <v>27</v>
      </c>
      <c r="X4329">
        <v>19</v>
      </c>
      <c r="Y4329" t="s">
        <v>43</v>
      </c>
      <c r="Z4329">
        <v>40</v>
      </c>
      <c r="AA4329">
        <v>111</v>
      </c>
      <c r="AB4329">
        <v>36</v>
      </c>
    </row>
    <row r="4330" spans="10:28">
      <c r="T4330" s="340" t="str">
        <f t="shared" si="184"/>
        <v>1996FemaleAllEth19Jumping from a high place</v>
      </c>
      <c r="U4330">
        <v>1996</v>
      </c>
      <c r="V4330" t="s">
        <v>8</v>
      </c>
      <c r="W4330" t="s">
        <v>27</v>
      </c>
      <c r="X4330">
        <v>19</v>
      </c>
      <c r="Y4330" t="s">
        <v>44</v>
      </c>
      <c r="Z4330">
        <v>1</v>
      </c>
      <c r="AA4330">
        <v>111</v>
      </c>
      <c r="AB4330">
        <v>0.9</v>
      </c>
    </row>
    <row r="4331" spans="10:28">
      <c r="T4331" s="340" t="str">
        <f t="shared" si="184"/>
        <v>1996FemaleAllEth19Other</v>
      </c>
      <c r="U4331">
        <v>1996</v>
      </c>
      <c r="V4331" t="s">
        <v>8</v>
      </c>
      <c r="W4331" t="s">
        <v>27</v>
      </c>
      <c r="X4331">
        <v>19</v>
      </c>
      <c r="Y4331" t="s">
        <v>45</v>
      </c>
      <c r="Z4331">
        <v>4</v>
      </c>
      <c r="AA4331">
        <v>111</v>
      </c>
      <c r="AB4331">
        <v>3.6</v>
      </c>
    </row>
    <row r="4332" spans="10:28">
      <c r="T4332" s="340" t="str">
        <f t="shared" si="184"/>
        <v>1996FemaleAllEth19Poisoning by gases and vapours</v>
      </c>
      <c r="U4332">
        <v>1996</v>
      </c>
      <c r="V4332" t="s">
        <v>8</v>
      </c>
      <c r="W4332" t="s">
        <v>27</v>
      </c>
      <c r="X4332">
        <v>19</v>
      </c>
      <c r="Y4332" t="s">
        <v>46</v>
      </c>
      <c r="Z4332">
        <v>31</v>
      </c>
      <c r="AA4332">
        <v>111</v>
      </c>
      <c r="AB4332">
        <v>27.9</v>
      </c>
    </row>
    <row r="4333" spans="10:28">
      <c r="T4333" s="340" t="str">
        <f t="shared" si="184"/>
        <v>1996FemaleAllEth19Poisoning by solids and liquids</v>
      </c>
      <c r="U4333">
        <v>1996</v>
      </c>
      <c r="V4333" t="s">
        <v>8</v>
      </c>
      <c r="W4333" t="s">
        <v>27</v>
      </c>
      <c r="X4333">
        <v>19</v>
      </c>
      <c r="Y4333" t="s">
        <v>47</v>
      </c>
      <c r="Z4333">
        <v>29</v>
      </c>
      <c r="AA4333">
        <v>111</v>
      </c>
      <c r="AB4333">
        <v>26.1</v>
      </c>
    </row>
    <row r="4334" spans="10:28">
      <c r="T4334" s="340" t="str">
        <f t="shared" si="184"/>
        <v>1996FemaleAllEth19Sharp object</v>
      </c>
      <c r="U4334">
        <v>1996</v>
      </c>
      <c r="V4334" t="s">
        <v>8</v>
      </c>
      <c r="W4334" t="s">
        <v>27</v>
      </c>
      <c r="X4334">
        <v>19</v>
      </c>
      <c r="Y4334" t="s">
        <v>48</v>
      </c>
      <c r="Z4334">
        <v>2</v>
      </c>
      <c r="AA4334">
        <v>111</v>
      </c>
      <c r="AB4334">
        <v>1.8</v>
      </c>
    </row>
    <row r="4335" spans="10:28">
      <c r="T4335" s="340" t="str">
        <f t="shared" si="184"/>
        <v>1996FemaleAllEth19Submersion (drowning)</v>
      </c>
      <c r="U4335">
        <v>1996</v>
      </c>
      <c r="V4335" t="s">
        <v>8</v>
      </c>
      <c r="W4335" t="s">
        <v>27</v>
      </c>
      <c r="X4335">
        <v>19</v>
      </c>
      <c r="Y4335" t="s">
        <v>49</v>
      </c>
      <c r="Z4335">
        <v>3</v>
      </c>
      <c r="AA4335">
        <v>111</v>
      </c>
      <c r="AB4335">
        <v>2.7</v>
      </c>
    </row>
    <row r="4336" spans="10:28">
      <c r="T4336" s="340" t="str">
        <f t="shared" si="184"/>
        <v>1996FemaleMaori19Firearms and explosives</v>
      </c>
      <c r="U4336">
        <v>1996</v>
      </c>
      <c r="V4336" t="s">
        <v>8</v>
      </c>
      <c r="W4336" t="s">
        <v>18</v>
      </c>
      <c r="X4336">
        <v>19</v>
      </c>
      <c r="Y4336" t="s">
        <v>42</v>
      </c>
      <c r="Z4336">
        <v>1</v>
      </c>
      <c r="AA4336">
        <v>24</v>
      </c>
      <c r="AB4336">
        <v>4.2</v>
      </c>
    </row>
    <row r="4337" spans="20:28">
      <c r="T4337" s="340" t="str">
        <f t="shared" si="184"/>
        <v>1996FemaleMaori19Hanging, strangulation and suffocation</v>
      </c>
      <c r="U4337">
        <v>1996</v>
      </c>
      <c r="V4337" t="s">
        <v>8</v>
      </c>
      <c r="W4337" t="s">
        <v>18</v>
      </c>
      <c r="X4337">
        <v>19</v>
      </c>
      <c r="Y4337" t="s">
        <v>43</v>
      </c>
      <c r="Z4337">
        <v>14</v>
      </c>
      <c r="AA4337">
        <v>24</v>
      </c>
      <c r="AB4337">
        <v>58.3</v>
      </c>
    </row>
    <row r="4338" spans="20:28">
      <c r="T4338" s="340" t="str">
        <f t="shared" si="184"/>
        <v>1996FemaleMaori19Poisoning by gases and vapours</v>
      </c>
      <c r="U4338">
        <v>1996</v>
      </c>
      <c r="V4338" t="s">
        <v>8</v>
      </c>
      <c r="W4338" t="s">
        <v>18</v>
      </c>
      <c r="X4338">
        <v>19</v>
      </c>
      <c r="Y4338" t="s">
        <v>46</v>
      </c>
      <c r="Z4338">
        <v>1</v>
      </c>
      <c r="AA4338">
        <v>24</v>
      </c>
      <c r="AB4338">
        <v>4.2</v>
      </c>
    </row>
    <row r="4339" spans="20:28">
      <c r="T4339" s="340" t="str">
        <f t="shared" si="184"/>
        <v>1996FemaleMaori19Poisoning by solids and liquids</v>
      </c>
      <c r="U4339">
        <v>1996</v>
      </c>
      <c r="V4339" t="s">
        <v>8</v>
      </c>
      <c r="W4339" t="s">
        <v>18</v>
      </c>
      <c r="X4339">
        <v>19</v>
      </c>
      <c r="Y4339" t="s">
        <v>47</v>
      </c>
      <c r="Z4339">
        <v>7</v>
      </c>
      <c r="AA4339">
        <v>24</v>
      </c>
      <c r="AB4339">
        <v>29.2</v>
      </c>
    </row>
    <row r="4340" spans="20:28">
      <c r="T4340" s="340" t="str">
        <f t="shared" si="184"/>
        <v>1996FemaleMaori19Sharp object</v>
      </c>
      <c r="U4340">
        <v>1996</v>
      </c>
      <c r="V4340" t="s">
        <v>8</v>
      </c>
      <c r="W4340" t="s">
        <v>18</v>
      </c>
      <c r="X4340">
        <v>19</v>
      </c>
      <c r="Y4340" t="s">
        <v>48</v>
      </c>
      <c r="Z4340">
        <v>1</v>
      </c>
      <c r="AA4340">
        <v>24</v>
      </c>
      <c r="AB4340">
        <v>4.2</v>
      </c>
    </row>
    <row r="4341" spans="20:28">
      <c r="T4341" s="340" t="str">
        <f t="shared" si="184"/>
        <v>1996FemaleNon-Maori19Hanging, strangulation and suffocation</v>
      </c>
      <c r="U4341">
        <v>1996</v>
      </c>
      <c r="V4341" t="s">
        <v>8</v>
      </c>
      <c r="W4341" t="s">
        <v>19</v>
      </c>
      <c r="X4341">
        <v>19</v>
      </c>
      <c r="Y4341" t="s">
        <v>43</v>
      </c>
      <c r="Z4341">
        <v>26</v>
      </c>
      <c r="AA4341">
        <v>87</v>
      </c>
      <c r="AB4341">
        <v>29.9</v>
      </c>
    </row>
    <row r="4342" spans="20:28">
      <c r="T4342" s="340" t="str">
        <f t="shared" si="184"/>
        <v>1996FemaleNon-Maori19Jumping from a high place</v>
      </c>
      <c r="U4342">
        <v>1996</v>
      </c>
      <c r="V4342" t="s">
        <v>8</v>
      </c>
      <c r="W4342" t="s">
        <v>19</v>
      </c>
      <c r="X4342">
        <v>19</v>
      </c>
      <c r="Y4342" t="s">
        <v>44</v>
      </c>
      <c r="Z4342">
        <v>1</v>
      </c>
      <c r="AA4342">
        <v>87</v>
      </c>
      <c r="AB4342">
        <v>1.1000000000000001</v>
      </c>
    </row>
    <row r="4343" spans="20:28">
      <c r="T4343" s="340" t="str">
        <f t="shared" si="184"/>
        <v>1996FemaleNon-Maori19Other</v>
      </c>
      <c r="U4343">
        <v>1996</v>
      </c>
      <c r="V4343" t="s">
        <v>8</v>
      </c>
      <c r="W4343" t="s">
        <v>19</v>
      </c>
      <c r="X4343">
        <v>19</v>
      </c>
      <c r="Y4343" t="s">
        <v>45</v>
      </c>
      <c r="Z4343">
        <v>4</v>
      </c>
      <c r="AA4343">
        <v>87</v>
      </c>
      <c r="AB4343">
        <v>4.5999999999999996</v>
      </c>
    </row>
    <row r="4344" spans="20:28">
      <c r="T4344" s="340" t="str">
        <f t="shared" si="184"/>
        <v>1996FemaleNon-Maori19Poisoning by gases and vapours</v>
      </c>
      <c r="U4344">
        <v>1996</v>
      </c>
      <c r="V4344" t="s">
        <v>8</v>
      </c>
      <c r="W4344" t="s">
        <v>19</v>
      </c>
      <c r="X4344">
        <v>19</v>
      </c>
      <c r="Y4344" t="s">
        <v>46</v>
      </c>
      <c r="Z4344">
        <v>30</v>
      </c>
      <c r="AA4344">
        <v>87</v>
      </c>
      <c r="AB4344">
        <v>34.5</v>
      </c>
    </row>
    <row r="4345" spans="20:28">
      <c r="T4345" s="340" t="str">
        <f t="shared" si="184"/>
        <v>1996FemaleNon-Maori19Poisoning by solids and liquids</v>
      </c>
      <c r="U4345">
        <v>1996</v>
      </c>
      <c r="V4345" t="s">
        <v>8</v>
      </c>
      <c r="W4345" t="s">
        <v>19</v>
      </c>
      <c r="X4345">
        <v>19</v>
      </c>
      <c r="Y4345" t="s">
        <v>47</v>
      </c>
      <c r="Z4345">
        <v>22</v>
      </c>
      <c r="AA4345">
        <v>87</v>
      </c>
      <c r="AB4345">
        <v>25.3</v>
      </c>
    </row>
    <row r="4346" spans="20:28">
      <c r="T4346" s="340" t="str">
        <f t="shared" si="184"/>
        <v>1996FemaleNon-Maori19Sharp object</v>
      </c>
      <c r="U4346">
        <v>1996</v>
      </c>
      <c r="V4346" t="s">
        <v>8</v>
      </c>
      <c r="W4346" t="s">
        <v>19</v>
      </c>
      <c r="X4346">
        <v>19</v>
      </c>
      <c r="Y4346" t="s">
        <v>48</v>
      </c>
      <c r="Z4346">
        <v>1</v>
      </c>
      <c r="AA4346">
        <v>87</v>
      </c>
      <c r="AB4346">
        <v>1.1000000000000001</v>
      </c>
    </row>
    <row r="4347" spans="20:28">
      <c r="T4347" s="340" t="str">
        <f t="shared" si="184"/>
        <v>1996FemaleNon-Maori19Submersion (drowning)</v>
      </c>
      <c r="U4347">
        <v>1996</v>
      </c>
      <c r="V4347" t="s">
        <v>8</v>
      </c>
      <c r="W4347" t="s">
        <v>19</v>
      </c>
      <c r="X4347">
        <v>19</v>
      </c>
      <c r="Y4347" t="s">
        <v>49</v>
      </c>
      <c r="Z4347">
        <v>3</v>
      </c>
      <c r="AA4347">
        <v>87</v>
      </c>
      <c r="AB4347">
        <v>3.4</v>
      </c>
    </row>
    <row r="4348" spans="20:28">
      <c r="T4348" s="340" t="str">
        <f t="shared" si="184"/>
        <v>1996MaleAllEth19Firearms and explosives</v>
      </c>
      <c r="U4348">
        <v>1996</v>
      </c>
      <c r="V4348" t="s">
        <v>20</v>
      </c>
      <c r="W4348" t="s">
        <v>27</v>
      </c>
      <c r="X4348">
        <v>19</v>
      </c>
      <c r="Y4348" t="s">
        <v>42</v>
      </c>
      <c r="Z4348">
        <v>46</v>
      </c>
      <c r="AA4348">
        <v>429</v>
      </c>
      <c r="AB4348">
        <v>10.7</v>
      </c>
    </row>
    <row r="4349" spans="20:28">
      <c r="T4349" s="340" t="str">
        <f t="shared" si="184"/>
        <v>1996MaleAllEth19Hanging, strangulation and suffocation</v>
      </c>
      <c r="U4349">
        <v>1996</v>
      </c>
      <c r="V4349" t="s">
        <v>20</v>
      </c>
      <c r="W4349" t="s">
        <v>27</v>
      </c>
      <c r="X4349">
        <v>19</v>
      </c>
      <c r="Y4349" t="s">
        <v>43</v>
      </c>
      <c r="Z4349">
        <v>190</v>
      </c>
      <c r="AA4349">
        <v>429</v>
      </c>
      <c r="AB4349">
        <v>44.3</v>
      </c>
    </row>
    <row r="4350" spans="20:28">
      <c r="T4350" s="340" t="str">
        <f t="shared" si="184"/>
        <v>1996MaleAllEth19Jumping from a high place</v>
      </c>
      <c r="U4350">
        <v>1996</v>
      </c>
      <c r="V4350" t="s">
        <v>20</v>
      </c>
      <c r="W4350" t="s">
        <v>27</v>
      </c>
      <c r="X4350">
        <v>19</v>
      </c>
      <c r="Y4350" t="s">
        <v>44</v>
      </c>
      <c r="Z4350">
        <v>11</v>
      </c>
      <c r="AA4350">
        <v>429</v>
      </c>
      <c r="AB4350">
        <v>2.6</v>
      </c>
    </row>
    <row r="4351" spans="20:28">
      <c r="T4351" s="340" t="str">
        <f t="shared" si="184"/>
        <v>1996MaleAllEth19Other</v>
      </c>
      <c r="U4351">
        <v>1996</v>
      </c>
      <c r="V4351" t="s">
        <v>20</v>
      </c>
      <c r="W4351" t="s">
        <v>27</v>
      </c>
      <c r="X4351">
        <v>19</v>
      </c>
      <c r="Y4351" t="s">
        <v>45</v>
      </c>
      <c r="Z4351">
        <v>13</v>
      </c>
      <c r="AA4351">
        <v>429</v>
      </c>
      <c r="AB4351">
        <v>3</v>
      </c>
    </row>
    <row r="4352" spans="20:28">
      <c r="T4352" s="340" t="str">
        <f t="shared" si="184"/>
        <v>1996MaleAllEth19Poisoning by gases and vapours</v>
      </c>
      <c r="U4352">
        <v>1996</v>
      </c>
      <c r="V4352" t="s">
        <v>20</v>
      </c>
      <c r="W4352" t="s">
        <v>27</v>
      </c>
      <c r="X4352">
        <v>19</v>
      </c>
      <c r="Y4352" t="s">
        <v>46</v>
      </c>
      <c r="Z4352">
        <v>126</v>
      </c>
      <c r="AA4352">
        <v>429</v>
      </c>
      <c r="AB4352">
        <v>29.4</v>
      </c>
    </row>
    <row r="4353" spans="20:28">
      <c r="T4353" s="340" t="str">
        <f t="shared" si="184"/>
        <v>1996MaleAllEth19Poisoning by solids and liquids</v>
      </c>
      <c r="U4353">
        <v>1996</v>
      </c>
      <c r="V4353" t="s">
        <v>20</v>
      </c>
      <c r="W4353" t="s">
        <v>27</v>
      </c>
      <c r="X4353">
        <v>19</v>
      </c>
      <c r="Y4353" t="s">
        <v>47</v>
      </c>
      <c r="Z4353">
        <v>30</v>
      </c>
      <c r="AA4353">
        <v>429</v>
      </c>
      <c r="AB4353">
        <v>7</v>
      </c>
    </row>
    <row r="4354" spans="20:28">
      <c r="T4354" s="340" t="str">
        <f t="shared" si="184"/>
        <v>1996MaleAllEth19Sharp object</v>
      </c>
      <c r="U4354">
        <v>1996</v>
      </c>
      <c r="V4354" t="s">
        <v>20</v>
      </c>
      <c r="W4354" t="s">
        <v>27</v>
      </c>
      <c r="X4354">
        <v>19</v>
      </c>
      <c r="Y4354" t="s">
        <v>48</v>
      </c>
      <c r="Z4354">
        <v>5</v>
      </c>
      <c r="AA4354">
        <v>429</v>
      </c>
      <c r="AB4354">
        <v>1.2</v>
      </c>
    </row>
    <row r="4355" spans="20:28">
      <c r="T4355" s="340" t="str">
        <f t="shared" si="184"/>
        <v>1996MaleAllEth19Submersion (drowning)</v>
      </c>
      <c r="U4355">
        <v>1996</v>
      </c>
      <c r="V4355" t="s">
        <v>20</v>
      </c>
      <c r="W4355" t="s">
        <v>27</v>
      </c>
      <c r="X4355">
        <v>19</v>
      </c>
      <c r="Y4355" t="s">
        <v>49</v>
      </c>
      <c r="Z4355">
        <v>8</v>
      </c>
      <c r="AA4355">
        <v>429</v>
      </c>
      <c r="AB4355">
        <v>1.9</v>
      </c>
    </row>
    <row r="4356" spans="20:28">
      <c r="T4356" s="340" t="str">
        <f t="shared" si="184"/>
        <v>1996MaleMaori19Firearms and explosives</v>
      </c>
      <c r="U4356">
        <v>1996</v>
      </c>
      <c r="V4356" t="s">
        <v>20</v>
      </c>
      <c r="W4356" t="s">
        <v>18</v>
      </c>
      <c r="X4356">
        <v>19</v>
      </c>
      <c r="Y4356" t="s">
        <v>42</v>
      </c>
      <c r="Z4356">
        <v>3</v>
      </c>
      <c r="AA4356">
        <v>73</v>
      </c>
      <c r="AB4356">
        <v>4.0999999999999996</v>
      </c>
    </row>
    <row r="4357" spans="20:28">
      <c r="T4357" s="340" t="str">
        <f t="shared" ref="T4357:T4420" si="185">U4357&amp;V4357&amp;W4357&amp;X4357&amp;Y4357</f>
        <v>1996MaleMaori19Hanging, strangulation and suffocation</v>
      </c>
      <c r="U4357">
        <v>1996</v>
      </c>
      <c r="V4357" t="s">
        <v>20</v>
      </c>
      <c r="W4357" t="s">
        <v>18</v>
      </c>
      <c r="X4357">
        <v>19</v>
      </c>
      <c r="Y4357" t="s">
        <v>43</v>
      </c>
      <c r="Z4357">
        <v>52</v>
      </c>
      <c r="AA4357">
        <v>73</v>
      </c>
      <c r="AB4357">
        <v>71.2</v>
      </c>
    </row>
    <row r="4358" spans="20:28">
      <c r="T4358" s="340" t="str">
        <f t="shared" si="185"/>
        <v>1996MaleMaori19Jumping from a high place</v>
      </c>
      <c r="U4358">
        <v>1996</v>
      </c>
      <c r="V4358" t="s">
        <v>20</v>
      </c>
      <c r="W4358" t="s">
        <v>18</v>
      </c>
      <c r="X4358">
        <v>19</v>
      </c>
      <c r="Y4358" t="s">
        <v>44</v>
      </c>
      <c r="Z4358">
        <v>1</v>
      </c>
      <c r="AA4358">
        <v>73</v>
      </c>
      <c r="AB4358">
        <v>1.4</v>
      </c>
    </row>
    <row r="4359" spans="20:28">
      <c r="T4359" s="340" t="str">
        <f t="shared" si="185"/>
        <v>1996MaleMaori19Other</v>
      </c>
      <c r="U4359">
        <v>1996</v>
      </c>
      <c r="V4359" t="s">
        <v>20</v>
      </c>
      <c r="W4359" t="s">
        <v>18</v>
      </c>
      <c r="X4359">
        <v>19</v>
      </c>
      <c r="Y4359" t="s">
        <v>45</v>
      </c>
      <c r="Z4359">
        <v>2</v>
      </c>
      <c r="AA4359">
        <v>73</v>
      </c>
      <c r="AB4359">
        <v>2.7</v>
      </c>
    </row>
    <row r="4360" spans="20:28">
      <c r="T4360" s="340" t="str">
        <f t="shared" si="185"/>
        <v>1996MaleMaori19Poisoning by gases and vapours</v>
      </c>
      <c r="U4360">
        <v>1996</v>
      </c>
      <c r="V4360" t="s">
        <v>20</v>
      </c>
      <c r="W4360" t="s">
        <v>18</v>
      </c>
      <c r="X4360">
        <v>19</v>
      </c>
      <c r="Y4360" t="s">
        <v>46</v>
      </c>
      <c r="Z4360">
        <v>9</v>
      </c>
      <c r="AA4360">
        <v>73</v>
      </c>
      <c r="AB4360">
        <v>12.3</v>
      </c>
    </row>
    <row r="4361" spans="20:28">
      <c r="T4361" s="340" t="str">
        <f t="shared" si="185"/>
        <v>1996MaleMaori19Poisoning by solids and liquids</v>
      </c>
      <c r="U4361">
        <v>1996</v>
      </c>
      <c r="V4361" t="s">
        <v>20</v>
      </c>
      <c r="W4361" t="s">
        <v>18</v>
      </c>
      <c r="X4361">
        <v>19</v>
      </c>
      <c r="Y4361" t="s">
        <v>47</v>
      </c>
      <c r="Z4361">
        <v>4</v>
      </c>
      <c r="AA4361">
        <v>73</v>
      </c>
      <c r="AB4361">
        <v>5.5</v>
      </c>
    </row>
    <row r="4362" spans="20:28">
      <c r="T4362" s="340" t="str">
        <f t="shared" si="185"/>
        <v>1996MaleMaori19Sharp object</v>
      </c>
      <c r="U4362">
        <v>1996</v>
      </c>
      <c r="V4362" t="s">
        <v>20</v>
      </c>
      <c r="W4362" t="s">
        <v>18</v>
      </c>
      <c r="X4362">
        <v>19</v>
      </c>
      <c r="Y4362" t="s">
        <v>48</v>
      </c>
      <c r="Z4362">
        <v>2</v>
      </c>
      <c r="AA4362">
        <v>73</v>
      </c>
      <c r="AB4362">
        <v>2.7</v>
      </c>
    </row>
    <row r="4363" spans="20:28">
      <c r="T4363" s="340" t="str">
        <f t="shared" si="185"/>
        <v>1996MaleNon-Maori19Firearms and explosives</v>
      </c>
      <c r="U4363">
        <v>1996</v>
      </c>
      <c r="V4363" t="s">
        <v>20</v>
      </c>
      <c r="W4363" t="s">
        <v>19</v>
      </c>
      <c r="X4363">
        <v>19</v>
      </c>
      <c r="Y4363" t="s">
        <v>42</v>
      </c>
      <c r="Z4363">
        <v>43</v>
      </c>
      <c r="AA4363">
        <v>356</v>
      </c>
      <c r="AB4363">
        <v>12.1</v>
      </c>
    </row>
    <row r="4364" spans="20:28">
      <c r="T4364" s="340" t="str">
        <f t="shared" si="185"/>
        <v>1996MaleNon-Maori19Hanging, strangulation and suffocation</v>
      </c>
      <c r="U4364">
        <v>1996</v>
      </c>
      <c r="V4364" t="s">
        <v>20</v>
      </c>
      <c r="W4364" t="s">
        <v>19</v>
      </c>
      <c r="X4364">
        <v>19</v>
      </c>
      <c r="Y4364" t="s">
        <v>43</v>
      </c>
      <c r="Z4364">
        <v>138</v>
      </c>
      <c r="AA4364">
        <v>356</v>
      </c>
      <c r="AB4364">
        <v>38.799999999999997</v>
      </c>
    </row>
    <row r="4365" spans="20:28">
      <c r="T4365" s="340" t="str">
        <f t="shared" si="185"/>
        <v>1996MaleNon-Maori19Jumping from a high place</v>
      </c>
      <c r="U4365">
        <v>1996</v>
      </c>
      <c r="V4365" t="s">
        <v>20</v>
      </c>
      <c r="W4365" t="s">
        <v>19</v>
      </c>
      <c r="X4365">
        <v>19</v>
      </c>
      <c r="Y4365" t="s">
        <v>44</v>
      </c>
      <c r="Z4365">
        <v>10</v>
      </c>
      <c r="AA4365">
        <v>356</v>
      </c>
      <c r="AB4365">
        <v>2.8</v>
      </c>
    </row>
    <row r="4366" spans="20:28">
      <c r="T4366" s="340" t="str">
        <f t="shared" si="185"/>
        <v>1996MaleNon-Maori19Other</v>
      </c>
      <c r="U4366">
        <v>1996</v>
      </c>
      <c r="V4366" t="s">
        <v>20</v>
      </c>
      <c r="W4366" t="s">
        <v>19</v>
      </c>
      <c r="X4366">
        <v>19</v>
      </c>
      <c r="Y4366" t="s">
        <v>45</v>
      </c>
      <c r="Z4366">
        <v>11</v>
      </c>
      <c r="AA4366">
        <v>356</v>
      </c>
      <c r="AB4366">
        <v>3.1</v>
      </c>
    </row>
    <row r="4367" spans="20:28">
      <c r="T4367" s="340" t="str">
        <f t="shared" si="185"/>
        <v>1996MaleNon-Maori19Poisoning by gases and vapours</v>
      </c>
      <c r="U4367">
        <v>1996</v>
      </c>
      <c r="V4367" t="s">
        <v>20</v>
      </c>
      <c r="W4367" t="s">
        <v>19</v>
      </c>
      <c r="X4367">
        <v>19</v>
      </c>
      <c r="Y4367" t="s">
        <v>46</v>
      </c>
      <c r="Z4367">
        <v>117</v>
      </c>
      <c r="AA4367">
        <v>356</v>
      </c>
      <c r="AB4367">
        <v>32.9</v>
      </c>
    </row>
    <row r="4368" spans="20:28">
      <c r="T4368" s="340" t="str">
        <f t="shared" si="185"/>
        <v>1996MaleNon-Maori19Poisoning by solids and liquids</v>
      </c>
      <c r="U4368">
        <v>1996</v>
      </c>
      <c r="V4368" t="s">
        <v>20</v>
      </c>
      <c r="W4368" t="s">
        <v>19</v>
      </c>
      <c r="X4368">
        <v>19</v>
      </c>
      <c r="Y4368" t="s">
        <v>47</v>
      </c>
      <c r="Z4368">
        <v>26</v>
      </c>
      <c r="AA4368">
        <v>356</v>
      </c>
      <c r="AB4368">
        <v>7.3</v>
      </c>
    </row>
    <row r="4369" spans="20:28">
      <c r="T4369" s="340" t="str">
        <f t="shared" si="185"/>
        <v>1996MaleNon-Maori19Sharp object</v>
      </c>
      <c r="U4369">
        <v>1996</v>
      </c>
      <c r="V4369" t="s">
        <v>20</v>
      </c>
      <c r="W4369" t="s">
        <v>19</v>
      </c>
      <c r="X4369">
        <v>19</v>
      </c>
      <c r="Y4369" t="s">
        <v>48</v>
      </c>
      <c r="Z4369">
        <v>3</v>
      </c>
      <c r="AA4369">
        <v>356</v>
      </c>
      <c r="AB4369">
        <v>0.8</v>
      </c>
    </row>
    <row r="4370" spans="20:28">
      <c r="T4370" s="340" t="str">
        <f t="shared" si="185"/>
        <v>1996MaleNon-Maori19Submersion (drowning)</v>
      </c>
      <c r="U4370">
        <v>1996</v>
      </c>
      <c r="V4370" t="s">
        <v>20</v>
      </c>
      <c r="W4370" t="s">
        <v>19</v>
      </c>
      <c r="X4370">
        <v>19</v>
      </c>
      <c r="Y4370" t="s">
        <v>49</v>
      </c>
      <c r="Z4370">
        <v>8</v>
      </c>
      <c r="AA4370">
        <v>356</v>
      </c>
      <c r="AB4370">
        <v>2.2000000000000002</v>
      </c>
    </row>
    <row r="4371" spans="20:28">
      <c r="T4371" s="340" t="str">
        <f t="shared" si="185"/>
        <v>1997AllSexAllEth19Firearms and explosives</v>
      </c>
      <c r="U4371">
        <v>1997</v>
      </c>
      <c r="V4371" t="s">
        <v>17</v>
      </c>
      <c r="W4371" t="s">
        <v>27</v>
      </c>
      <c r="X4371">
        <v>19</v>
      </c>
      <c r="Y4371" t="s">
        <v>42</v>
      </c>
      <c r="Z4371">
        <v>56</v>
      </c>
      <c r="AA4371">
        <v>562</v>
      </c>
      <c r="AB4371">
        <v>10</v>
      </c>
    </row>
    <row r="4372" spans="20:28">
      <c r="T4372" s="340" t="str">
        <f t="shared" si="185"/>
        <v>1997AllSexAllEth19Hanging, strangulation and suffocation</v>
      </c>
      <c r="U4372">
        <v>1997</v>
      </c>
      <c r="V4372" t="s">
        <v>17</v>
      </c>
      <c r="W4372" t="s">
        <v>27</v>
      </c>
      <c r="X4372">
        <v>19</v>
      </c>
      <c r="Y4372" t="s">
        <v>43</v>
      </c>
      <c r="Z4372">
        <v>232</v>
      </c>
      <c r="AA4372">
        <v>562</v>
      </c>
      <c r="AB4372">
        <v>41.3</v>
      </c>
    </row>
    <row r="4373" spans="20:28">
      <c r="T4373" s="340" t="str">
        <f t="shared" si="185"/>
        <v>1997AllSexAllEth19Jumping from a high place</v>
      </c>
      <c r="U4373">
        <v>1997</v>
      </c>
      <c r="V4373" t="s">
        <v>17</v>
      </c>
      <c r="W4373" t="s">
        <v>27</v>
      </c>
      <c r="X4373">
        <v>19</v>
      </c>
      <c r="Y4373" t="s">
        <v>44</v>
      </c>
      <c r="Z4373">
        <v>11</v>
      </c>
      <c r="AA4373">
        <v>562</v>
      </c>
      <c r="AB4373">
        <v>2</v>
      </c>
    </row>
    <row r="4374" spans="20:28">
      <c r="T4374" s="340" t="str">
        <f t="shared" si="185"/>
        <v>1997AllSexAllEth19Other</v>
      </c>
      <c r="U4374">
        <v>1997</v>
      </c>
      <c r="V4374" t="s">
        <v>17</v>
      </c>
      <c r="W4374" t="s">
        <v>27</v>
      </c>
      <c r="X4374">
        <v>19</v>
      </c>
      <c r="Y4374" t="s">
        <v>45</v>
      </c>
      <c r="Z4374">
        <v>16</v>
      </c>
      <c r="AA4374">
        <v>562</v>
      </c>
      <c r="AB4374">
        <v>2.8</v>
      </c>
    </row>
    <row r="4375" spans="20:28">
      <c r="T4375" s="340" t="str">
        <f t="shared" si="185"/>
        <v>1997AllSexAllEth19Poisoning by gases and vapours</v>
      </c>
      <c r="U4375">
        <v>1997</v>
      </c>
      <c r="V4375" t="s">
        <v>17</v>
      </c>
      <c r="W4375" t="s">
        <v>27</v>
      </c>
      <c r="X4375">
        <v>19</v>
      </c>
      <c r="Y4375" t="s">
        <v>46</v>
      </c>
      <c r="Z4375">
        <v>157</v>
      </c>
      <c r="AA4375">
        <v>562</v>
      </c>
      <c r="AB4375">
        <v>27.9</v>
      </c>
    </row>
    <row r="4376" spans="20:28">
      <c r="T4376" s="340" t="str">
        <f t="shared" si="185"/>
        <v>1997AllSexAllEth19Poisoning by solids and liquids</v>
      </c>
      <c r="U4376">
        <v>1997</v>
      </c>
      <c r="V4376" t="s">
        <v>17</v>
      </c>
      <c r="W4376" t="s">
        <v>27</v>
      </c>
      <c r="X4376">
        <v>19</v>
      </c>
      <c r="Y4376" t="s">
        <v>47</v>
      </c>
      <c r="Z4376">
        <v>59</v>
      </c>
      <c r="AA4376">
        <v>562</v>
      </c>
      <c r="AB4376">
        <v>10.5</v>
      </c>
    </row>
    <row r="4377" spans="20:28">
      <c r="T4377" s="340" t="str">
        <f t="shared" si="185"/>
        <v>1997AllSexAllEth19Sharp object</v>
      </c>
      <c r="U4377">
        <v>1997</v>
      </c>
      <c r="V4377" t="s">
        <v>17</v>
      </c>
      <c r="W4377" t="s">
        <v>27</v>
      </c>
      <c r="X4377">
        <v>19</v>
      </c>
      <c r="Y4377" t="s">
        <v>48</v>
      </c>
      <c r="Z4377">
        <v>14</v>
      </c>
      <c r="AA4377">
        <v>562</v>
      </c>
      <c r="AB4377">
        <v>2.5</v>
      </c>
    </row>
    <row r="4378" spans="20:28">
      <c r="T4378" s="340" t="str">
        <f t="shared" si="185"/>
        <v>1997AllSexAllEth19Submersion (drowning)</v>
      </c>
      <c r="U4378">
        <v>1997</v>
      </c>
      <c r="V4378" t="s">
        <v>17</v>
      </c>
      <c r="W4378" t="s">
        <v>27</v>
      </c>
      <c r="X4378">
        <v>19</v>
      </c>
      <c r="Y4378" t="s">
        <v>49</v>
      </c>
      <c r="Z4378">
        <v>17</v>
      </c>
      <c r="AA4378">
        <v>562</v>
      </c>
      <c r="AB4378">
        <v>3</v>
      </c>
    </row>
    <row r="4379" spans="20:28">
      <c r="T4379" s="340" t="str">
        <f t="shared" si="185"/>
        <v>1997AllSexMaori19Firearms and explosives</v>
      </c>
      <c r="U4379">
        <v>1997</v>
      </c>
      <c r="V4379" t="s">
        <v>17</v>
      </c>
      <c r="W4379" t="s">
        <v>18</v>
      </c>
      <c r="X4379">
        <v>19</v>
      </c>
      <c r="Y4379" t="s">
        <v>42</v>
      </c>
      <c r="Z4379">
        <v>8</v>
      </c>
      <c r="AA4379">
        <v>106</v>
      </c>
      <c r="AB4379">
        <v>7.5</v>
      </c>
    </row>
    <row r="4380" spans="20:28">
      <c r="T4380" s="340" t="str">
        <f t="shared" si="185"/>
        <v>1997AllSexMaori19Hanging, strangulation and suffocation</v>
      </c>
      <c r="U4380">
        <v>1997</v>
      </c>
      <c r="V4380" t="s">
        <v>17</v>
      </c>
      <c r="W4380" t="s">
        <v>18</v>
      </c>
      <c r="X4380">
        <v>19</v>
      </c>
      <c r="Y4380" t="s">
        <v>43</v>
      </c>
      <c r="Z4380">
        <v>70</v>
      </c>
      <c r="AA4380">
        <v>106</v>
      </c>
      <c r="AB4380">
        <v>66</v>
      </c>
    </row>
    <row r="4381" spans="20:28">
      <c r="T4381" s="340" t="str">
        <f t="shared" si="185"/>
        <v>1997AllSexMaori19Jumping from a high place</v>
      </c>
      <c r="U4381">
        <v>1997</v>
      </c>
      <c r="V4381" t="s">
        <v>17</v>
      </c>
      <c r="W4381" t="s">
        <v>18</v>
      </c>
      <c r="X4381">
        <v>19</v>
      </c>
      <c r="Y4381" t="s">
        <v>44</v>
      </c>
      <c r="Z4381">
        <v>1</v>
      </c>
      <c r="AA4381">
        <v>106</v>
      </c>
      <c r="AB4381">
        <v>0.9</v>
      </c>
    </row>
    <row r="4382" spans="20:28">
      <c r="T4382" s="340" t="str">
        <f t="shared" si="185"/>
        <v>1997AllSexMaori19Other</v>
      </c>
      <c r="U4382">
        <v>1997</v>
      </c>
      <c r="V4382" t="s">
        <v>17</v>
      </c>
      <c r="W4382" t="s">
        <v>18</v>
      </c>
      <c r="X4382">
        <v>19</v>
      </c>
      <c r="Y4382" t="s">
        <v>45</v>
      </c>
      <c r="Z4382">
        <v>5</v>
      </c>
      <c r="AA4382">
        <v>106</v>
      </c>
      <c r="AB4382">
        <v>4.7</v>
      </c>
    </row>
    <row r="4383" spans="20:28">
      <c r="T4383" s="340" t="str">
        <f t="shared" si="185"/>
        <v>1997AllSexMaori19Poisoning by gases and vapours</v>
      </c>
      <c r="U4383">
        <v>1997</v>
      </c>
      <c r="V4383" t="s">
        <v>17</v>
      </c>
      <c r="W4383" t="s">
        <v>18</v>
      </c>
      <c r="X4383">
        <v>19</v>
      </c>
      <c r="Y4383" t="s">
        <v>46</v>
      </c>
      <c r="Z4383">
        <v>8</v>
      </c>
      <c r="AA4383">
        <v>106</v>
      </c>
      <c r="AB4383">
        <v>7.5</v>
      </c>
    </row>
    <row r="4384" spans="20:28">
      <c r="T4384" s="340" t="str">
        <f t="shared" si="185"/>
        <v>1997AllSexMaori19Poisoning by solids and liquids</v>
      </c>
      <c r="U4384">
        <v>1997</v>
      </c>
      <c r="V4384" t="s">
        <v>17</v>
      </c>
      <c r="W4384" t="s">
        <v>18</v>
      </c>
      <c r="X4384">
        <v>19</v>
      </c>
      <c r="Y4384" t="s">
        <v>47</v>
      </c>
      <c r="Z4384">
        <v>11</v>
      </c>
      <c r="AA4384">
        <v>106</v>
      </c>
      <c r="AB4384">
        <v>10.4</v>
      </c>
    </row>
    <row r="4385" spans="20:28">
      <c r="T4385" s="340" t="str">
        <f t="shared" si="185"/>
        <v>1997AllSexMaori19Sharp object</v>
      </c>
      <c r="U4385">
        <v>1997</v>
      </c>
      <c r="V4385" t="s">
        <v>17</v>
      </c>
      <c r="W4385" t="s">
        <v>18</v>
      </c>
      <c r="X4385">
        <v>19</v>
      </c>
      <c r="Y4385" t="s">
        <v>48</v>
      </c>
      <c r="Z4385">
        <v>1</v>
      </c>
      <c r="AA4385">
        <v>106</v>
      </c>
      <c r="AB4385">
        <v>0.9</v>
      </c>
    </row>
    <row r="4386" spans="20:28">
      <c r="T4386" s="340" t="str">
        <f t="shared" si="185"/>
        <v>1997AllSexMaori19Submersion (drowning)</v>
      </c>
      <c r="U4386">
        <v>1997</v>
      </c>
      <c r="V4386" t="s">
        <v>17</v>
      </c>
      <c r="W4386" t="s">
        <v>18</v>
      </c>
      <c r="X4386">
        <v>19</v>
      </c>
      <c r="Y4386" t="s">
        <v>49</v>
      </c>
      <c r="Z4386">
        <v>2</v>
      </c>
      <c r="AA4386">
        <v>106</v>
      </c>
      <c r="AB4386">
        <v>1.9</v>
      </c>
    </row>
    <row r="4387" spans="20:28">
      <c r="T4387" s="340" t="str">
        <f t="shared" si="185"/>
        <v>1997AllSexNon-Maori19Firearms and explosives</v>
      </c>
      <c r="U4387">
        <v>1997</v>
      </c>
      <c r="V4387" t="s">
        <v>17</v>
      </c>
      <c r="W4387" t="s">
        <v>19</v>
      </c>
      <c r="X4387">
        <v>19</v>
      </c>
      <c r="Y4387" t="s">
        <v>42</v>
      </c>
      <c r="Z4387">
        <v>48</v>
      </c>
      <c r="AA4387">
        <v>456</v>
      </c>
      <c r="AB4387">
        <v>10.5</v>
      </c>
    </row>
    <row r="4388" spans="20:28">
      <c r="T4388" s="340" t="str">
        <f t="shared" si="185"/>
        <v>1997AllSexNon-Maori19Hanging, strangulation and suffocation</v>
      </c>
      <c r="U4388">
        <v>1997</v>
      </c>
      <c r="V4388" t="s">
        <v>17</v>
      </c>
      <c r="W4388" t="s">
        <v>19</v>
      </c>
      <c r="X4388">
        <v>19</v>
      </c>
      <c r="Y4388" t="s">
        <v>43</v>
      </c>
      <c r="Z4388">
        <v>162</v>
      </c>
      <c r="AA4388">
        <v>456</v>
      </c>
      <c r="AB4388">
        <v>35.5</v>
      </c>
    </row>
    <row r="4389" spans="20:28">
      <c r="T4389" s="340" t="str">
        <f t="shared" si="185"/>
        <v>1997AllSexNon-Maori19Jumping from a high place</v>
      </c>
      <c r="U4389">
        <v>1997</v>
      </c>
      <c r="V4389" t="s">
        <v>17</v>
      </c>
      <c r="W4389" t="s">
        <v>19</v>
      </c>
      <c r="X4389">
        <v>19</v>
      </c>
      <c r="Y4389" t="s">
        <v>44</v>
      </c>
      <c r="Z4389">
        <v>10</v>
      </c>
      <c r="AA4389">
        <v>456</v>
      </c>
      <c r="AB4389">
        <v>2.2000000000000002</v>
      </c>
    </row>
    <row r="4390" spans="20:28">
      <c r="T4390" s="340" t="str">
        <f t="shared" si="185"/>
        <v>1997AllSexNon-Maori19Other</v>
      </c>
      <c r="U4390">
        <v>1997</v>
      </c>
      <c r="V4390" t="s">
        <v>17</v>
      </c>
      <c r="W4390" t="s">
        <v>19</v>
      </c>
      <c r="X4390">
        <v>19</v>
      </c>
      <c r="Y4390" t="s">
        <v>45</v>
      </c>
      <c r="Z4390">
        <v>11</v>
      </c>
      <c r="AA4390">
        <v>456</v>
      </c>
      <c r="AB4390">
        <v>2.4</v>
      </c>
    </row>
    <row r="4391" spans="20:28">
      <c r="T4391" s="340" t="str">
        <f t="shared" si="185"/>
        <v>1997AllSexNon-Maori19Poisoning by gases and vapours</v>
      </c>
      <c r="U4391">
        <v>1997</v>
      </c>
      <c r="V4391" t="s">
        <v>17</v>
      </c>
      <c r="W4391" t="s">
        <v>19</v>
      </c>
      <c r="X4391">
        <v>19</v>
      </c>
      <c r="Y4391" t="s">
        <v>46</v>
      </c>
      <c r="Z4391">
        <v>149</v>
      </c>
      <c r="AA4391">
        <v>456</v>
      </c>
      <c r="AB4391">
        <v>32.700000000000003</v>
      </c>
    </row>
    <row r="4392" spans="20:28">
      <c r="T4392" s="340" t="str">
        <f t="shared" si="185"/>
        <v>1997AllSexNon-Maori19Poisoning by solids and liquids</v>
      </c>
      <c r="U4392">
        <v>1997</v>
      </c>
      <c r="V4392" t="s">
        <v>17</v>
      </c>
      <c r="W4392" t="s">
        <v>19</v>
      </c>
      <c r="X4392">
        <v>19</v>
      </c>
      <c r="Y4392" t="s">
        <v>47</v>
      </c>
      <c r="Z4392">
        <v>48</v>
      </c>
      <c r="AA4392">
        <v>456</v>
      </c>
      <c r="AB4392">
        <v>10.5</v>
      </c>
    </row>
    <row r="4393" spans="20:28">
      <c r="T4393" s="340" t="str">
        <f t="shared" si="185"/>
        <v>1997AllSexNon-Maori19Sharp object</v>
      </c>
      <c r="U4393">
        <v>1997</v>
      </c>
      <c r="V4393" t="s">
        <v>17</v>
      </c>
      <c r="W4393" t="s">
        <v>19</v>
      </c>
      <c r="X4393">
        <v>19</v>
      </c>
      <c r="Y4393" t="s">
        <v>48</v>
      </c>
      <c r="Z4393">
        <v>13</v>
      </c>
      <c r="AA4393">
        <v>456</v>
      </c>
      <c r="AB4393">
        <v>2.9</v>
      </c>
    </row>
    <row r="4394" spans="20:28">
      <c r="T4394" s="340" t="str">
        <f t="shared" si="185"/>
        <v>1997AllSexNon-Maori19Submersion (drowning)</v>
      </c>
      <c r="U4394">
        <v>1997</v>
      </c>
      <c r="V4394" t="s">
        <v>17</v>
      </c>
      <c r="W4394" t="s">
        <v>19</v>
      </c>
      <c r="X4394">
        <v>19</v>
      </c>
      <c r="Y4394" t="s">
        <v>49</v>
      </c>
      <c r="Z4394">
        <v>15</v>
      </c>
      <c r="AA4394">
        <v>456</v>
      </c>
      <c r="AB4394">
        <v>3.3</v>
      </c>
    </row>
    <row r="4395" spans="20:28">
      <c r="T4395" s="340" t="str">
        <f t="shared" si="185"/>
        <v>1997FemaleAllEth19Firearms and explosives</v>
      </c>
      <c r="U4395">
        <v>1997</v>
      </c>
      <c r="V4395" t="s">
        <v>8</v>
      </c>
      <c r="W4395" t="s">
        <v>27</v>
      </c>
      <c r="X4395">
        <v>19</v>
      </c>
      <c r="Y4395" t="s">
        <v>42</v>
      </c>
      <c r="Z4395">
        <v>4</v>
      </c>
      <c r="AA4395">
        <v>121</v>
      </c>
      <c r="AB4395">
        <v>3.3</v>
      </c>
    </row>
    <row r="4396" spans="20:28">
      <c r="T4396" s="340" t="str">
        <f t="shared" si="185"/>
        <v>1997FemaleAllEth19Hanging, strangulation and suffocation</v>
      </c>
      <c r="U4396">
        <v>1997</v>
      </c>
      <c r="V4396" t="s">
        <v>8</v>
      </c>
      <c r="W4396" t="s">
        <v>27</v>
      </c>
      <c r="X4396">
        <v>19</v>
      </c>
      <c r="Y4396" t="s">
        <v>43</v>
      </c>
      <c r="Z4396">
        <v>47</v>
      </c>
      <c r="AA4396">
        <v>121</v>
      </c>
      <c r="AB4396">
        <v>38.799999999999997</v>
      </c>
    </row>
    <row r="4397" spans="20:28">
      <c r="T4397" s="340" t="str">
        <f t="shared" si="185"/>
        <v>1997FemaleAllEth19Jumping from a high place</v>
      </c>
      <c r="U4397">
        <v>1997</v>
      </c>
      <c r="V4397" t="s">
        <v>8</v>
      </c>
      <c r="W4397" t="s">
        <v>27</v>
      </c>
      <c r="X4397">
        <v>19</v>
      </c>
      <c r="Y4397" t="s">
        <v>44</v>
      </c>
      <c r="Z4397">
        <v>2</v>
      </c>
      <c r="AA4397">
        <v>121</v>
      </c>
      <c r="AB4397">
        <v>1.7</v>
      </c>
    </row>
    <row r="4398" spans="20:28">
      <c r="T4398" s="340" t="str">
        <f t="shared" si="185"/>
        <v>1997FemaleAllEth19Other</v>
      </c>
      <c r="U4398">
        <v>1997</v>
      </c>
      <c r="V4398" t="s">
        <v>8</v>
      </c>
      <c r="W4398" t="s">
        <v>27</v>
      </c>
      <c r="X4398">
        <v>19</v>
      </c>
      <c r="Y4398" t="s">
        <v>45</v>
      </c>
      <c r="Z4398">
        <v>3</v>
      </c>
      <c r="AA4398">
        <v>121</v>
      </c>
      <c r="AB4398">
        <v>2.5</v>
      </c>
    </row>
    <row r="4399" spans="20:28">
      <c r="T4399" s="340" t="str">
        <f t="shared" si="185"/>
        <v>1997FemaleAllEth19Poisoning by gases and vapours</v>
      </c>
      <c r="U4399">
        <v>1997</v>
      </c>
      <c r="V4399" t="s">
        <v>8</v>
      </c>
      <c r="W4399" t="s">
        <v>27</v>
      </c>
      <c r="X4399">
        <v>19</v>
      </c>
      <c r="Y4399" t="s">
        <v>46</v>
      </c>
      <c r="Z4399">
        <v>23</v>
      </c>
      <c r="AA4399">
        <v>121</v>
      </c>
      <c r="AB4399">
        <v>19</v>
      </c>
    </row>
    <row r="4400" spans="20:28">
      <c r="T4400" s="340" t="str">
        <f t="shared" si="185"/>
        <v>1997FemaleAllEth19Poisoning by solids and liquids</v>
      </c>
      <c r="U4400">
        <v>1997</v>
      </c>
      <c r="V4400" t="s">
        <v>8</v>
      </c>
      <c r="W4400" t="s">
        <v>27</v>
      </c>
      <c r="X4400">
        <v>19</v>
      </c>
      <c r="Y4400" t="s">
        <v>47</v>
      </c>
      <c r="Z4400">
        <v>33</v>
      </c>
      <c r="AA4400">
        <v>121</v>
      </c>
      <c r="AB4400">
        <v>27.3</v>
      </c>
    </row>
    <row r="4401" spans="20:28">
      <c r="T4401" s="340" t="str">
        <f t="shared" si="185"/>
        <v>1997FemaleAllEth19Sharp object</v>
      </c>
      <c r="U4401">
        <v>1997</v>
      </c>
      <c r="V4401" t="s">
        <v>8</v>
      </c>
      <c r="W4401" t="s">
        <v>27</v>
      </c>
      <c r="X4401">
        <v>19</v>
      </c>
      <c r="Y4401" t="s">
        <v>48</v>
      </c>
      <c r="Z4401">
        <v>3</v>
      </c>
      <c r="AA4401">
        <v>121</v>
      </c>
      <c r="AB4401">
        <v>2.5</v>
      </c>
    </row>
    <row r="4402" spans="20:28">
      <c r="T4402" s="340" t="str">
        <f t="shared" si="185"/>
        <v>1997FemaleAllEth19Submersion (drowning)</v>
      </c>
      <c r="U4402">
        <v>1997</v>
      </c>
      <c r="V4402" t="s">
        <v>8</v>
      </c>
      <c r="W4402" t="s">
        <v>27</v>
      </c>
      <c r="X4402">
        <v>19</v>
      </c>
      <c r="Y4402" t="s">
        <v>49</v>
      </c>
      <c r="Z4402">
        <v>6</v>
      </c>
      <c r="AA4402">
        <v>121</v>
      </c>
      <c r="AB4402">
        <v>5</v>
      </c>
    </row>
    <row r="4403" spans="20:28">
      <c r="T4403" s="340" t="str">
        <f t="shared" si="185"/>
        <v>1997FemaleMaori19Firearms and explosives</v>
      </c>
      <c r="U4403">
        <v>1997</v>
      </c>
      <c r="V4403" t="s">
        <v>8</v>
      </c>
      <c r="W4403" t="s">
        <v>18</v>
      </c>
      <c r="X4403">
        <v>19</v>
      </c>
      <c r="Y4403" t="s">
        <v>42</v>
      </c>
      <c r="Z4403">
        <v>1</v>
      </c>
      <c r="AA4403">
        <v>26</v>
      </c>
      <c r="AB4403">
        <v>3.8</v>
      </c>
    </row>
    <row r="4404" spans="20:28">
      <c r="T4404" s="340" t="str">
        <f t="shared" si="185"/>
        <v>1997FemaleMaori19Hanging, strangulation and suffocation</v>
      </c>
      <c r="U4404">
        <v>1997</v>
      </c>
      <c r="V4404" t="s">
        <v>8</v>
      </c>
      <c r="W4404" t="s">
        <v>18</v>
      </c>
      <c r="X4404">
        <v>19</v>
      </c>
      <c r="Y4404" t="s">
        <v>43</v>
      </c>
      <c r="Z4404">
        <v>14</v>
      </c>
      <c r="AA4404">
        <v>26</v>
      </c>
      <c r="AB4404">
        <v>53.8</v>
      </c>
    </row>
    <row r="4405" spans="20:28">
      <c r="T4405" s="340" t="str">
        <f t="shared" si="185"/>
        <v>1997FemaleMaori19Jumping from a high place</v>
      </c>
      <c r="U4405">
        <v>1997</v>
      </c>
      <c r="V4405" t="s">
        <v>8</v>
      </c>
      <c r="W4405" t="s">
        <v>18</v>
      </c>
      <c r="X4405">
        <v>19</v>
      </c>
      <c r="Y4405" t="s">
        <v>44</v>
      </c>
      <c r="Z4405">
        <v>1</v>
      </c>
      <c r="AA4405">
        <v>26</v>
      </c>
      <c r="AB4405">
        <v>3.8</v>
      </c>
    </row>
    <row r="4406" spans="20:28">
      <c r="T4406" s="340" t="str">
        <f t="shared" si="185"/>
        <v>1997FemaleMaori19Other</v>
      </c>
      <c r="U4406">
        <v>1997</v>
      </c>
      <c r="V4406" t="s">
        <v>8</v>
      </c>
      <c r="W4406" t="s">
        <v>18</v>
      </c>
      <c r="X4406">
        <v>19</v>
      </c>
      <c r="Y4406" t="s">
        <v>45</v>
      </c>
      <c r="Z4406">
        <v>1</v>
      </c>
      <c r="AA4406">
        <v>26</v>
      </c>
      <c r="AB4406">
        <v>3.8</v>
      </c>
    </row>
    <row r="4407" spans="20:28">
      <c r="T4407" s="340" t="str">
        <f t="shared" si="185"/>
        <v>1997FemaleMaori19Poisoning by gases and vapours</v>
      </c>
      <c r="U4407">
        <v>1997</v>
      </c>
      <c r="V4407" t="s">
        <v>8</v>
      </c>
      <c r="W4407" t="s">
        <v>18</v>
      </c>
      <c r="X4407">
        <v>19</v>
      </c>
      <c r="Y4407" t="s">
        <v>46</v>
      </c>
      <c r="Z4407">
        <v>3</v>
      </c>
      <c r="AA4407">
        <v>26</v>
      </c>
      <c r="AB4407">
        <v>11.5</v>
      </c>
    </row>
    <row r="4408" spans="20:28">
      <c r="T4408" s="340" t="str">
        <f t="shared" si="185"/>
        <v>1997FemaleMaori19Poisoning by solids and liquids</v>
      </c>
      <c r="U4408">
        <v>1997</v>
      </c>
      <c r="V4408" t="s">
        <v>8</v>
      </c>
      <c r="W4408" t="s">
        <v>18</v>
      </c>
      <c r="X4408">
        <v>19</v>
      </c>
      <c r="Y4408" t="s">
        <v>47</v>
      </c>
      <c r="Z4408">
        <v>5</v>
      </c>
      <c r="AA4408">
        <v>26</v>
      </c>
      <c r="AB4408">
        <v>19.2</v>
      </c>
    </row>
    <row r="4409" spans="20:28">
      <c r="T4409" s="340" t="str">
        <f t="shared" si="185"/>
        <v>1997FemaleMaori19Submersion (drowning)</v>
      </c>
      <c r="U4409">
        <v>1997</v>
      </c>
      <c r="V4409" t="s">
        <v>8</v>
      </c>
      <c r="W4409" t="s">
        <v>18</v>
      </c>
      <c r="X4409">
        <v>19</v>
      </c>
      <c r="Y4409" t="s">
        <v>49</v>
      </c>
      <c r="Z4409">
        <v>1</v>
      </c>
      <c r="AA4409">
        <v>26</v>
      </c>
      <c r="AB4409">
        <v>3.8</v>
      </c>
    </row>
    <row r="4410" spans="20:28">
      <c r="T4410" s="340" t="str">
        <f t="shared" si="185"/>
        <v>1997FemaleNon-Maori19Firearms and explosives</v>
      </c>
      <c r="U4410">
        <v>1997</v>
      </c>
      <c r="V4410" t="s">
        <v>8</v>
      </c>
      <c r="W4410" t="s">
        <v>19</v>
      </c>
      <c r="X4410">
        <v>19</v>
      </c>
      <c r="Y4410" t="s">
        <v>42</v>
      </c>
      <c r="Z4410">
        <v>3</v>
      </c>
      <c r="AA4410">
        <v>95</v>
      </c>
      <c r="AB4410">
        <v>3.2</v>
      </c>
    </row>
    <row r="4411" spans="20:28">
      <c r="T4411" s="340" t="str">
        <f t="shared" si="185"/>
        <v>1997FemaleNon-Maori19Hanging, strangulation and suffocation</v>
      </c>
      <c r="U4411">
        <v>1997</v>
      </c>
      <c r="V4411" t="s">
        <v>8</v>
      </c>
      <c r="W4411" t="s">
        <v>19</v>
      </c>
      <c r="X4411">
        <v>19</v>
      </c>
      <c r="Y4411" t="s">
        <v>43</v>
      </c>
      <c r="Z4411">
        <v>33</v>
      </c>
      <c r="AA4411">
        <v>95</v>
      </c>
      <c r="AB4411">
        <v>34.700000000000003</v>
      </c>
    </row>
    <row r="4412" spans="20:28">
      <c r="T4412" s="340" t="str">
        <f t="shared" si="185"/>
        <v>1997FemaleNon-Maori19Jumping from a high place</v>
      </c>
      <c r="U4412">
        <v>1997</v>
      </c>
      <c r="V4412" t="s">
        <v>8</v>
      </c>
      <c r="W4412" t="s">
        <v>19</v>
      </c>
      <c r="X4412">
        <v>19</v>
      </c>
      <c r="Y4412" t="s">
        <v>44</v>
      </c>
      <c r="Z4412">
        <v>1</v>
      </c>
      <c r="AA4412">
        <v>95</v>
      </c>
      <c r="AB4412">
        <v>1.1000000000000001</v>
      </c>
    </row>
    <row r="4413" spans="20:28">
      <c r="T4413" s="340" t="str">
        <f t="shared" si="185"/>
        <v>1997FemaleNon-Maori19Other</v>
      </c>
      <c r="U4413">
        <v>1997</v>
      </c>
      <c r="V4413" t="s">
        <v>8</v>
      </c>
      <c r="W4413" t="s">
        <v>19</v>
      </c>
      <c r="X4413">
        <v>19</v>
      </c>
      <c r="Y4413" t="s">
        <v>45</v>
      </c>
      <c r="Z4413">
        <v>2</v>
      </c>
      <c r="AA4413">
        <v>95</v>
      </c>
      <c r="AB4413">
        <v>2.1</v>
      </c>
    </row>
    <row r="4414" spans="20:28">
      <c r="T4414" s="340" t="str">
        <f t="shared" si="185"/>
        <v>1997FemaleNon-Maori19Poisoning by gases and vapours</v>
      </c>
      <c r="U4414">
        <v>1997</v>
      </c>
      <c r="V4414" t="s">
        <v>8</v>
      </c>
      <c r="W4414" t="s">
        <v>19</v>
      </c>
      <c r="X4414">
        <v>19</v>
      </c>
      <c r="Y4414" t="s">
        <v>46</v>
      </c>
      <c r="Z4414">
        <v>20</v>
      </c>
      <c r="AA4414">
        <v>95</v>
      </c>
      <c r="AB4414">
        <v>21.1</v>
      </c>
    </row>
    <row r="4415" spans="20:28">
      <c r="T4415" s="340" t="str">
        <f t="shared" si="185"/>
        <v>1997FemaleNon-Maori19Poisoning by solids and liquids</v>
      </c>
      <c r="U4415">
        <v>1997</v>
      </c>
      <c r="V4415" t="s">
        <v>8</v>
      </c>
      <c r="W4415" t="s">
        <v>19</v>
      </c>
      <c r="X4415">
        <v>19</v>
      </c>
      <c r="Y4415" t="s">
        <v>47</v>
      </c>
      <c r="Z4415">
        <v>28</v>
      </c>
      <c r="AA4415">
        <v>95</v>
      </c>
      <c r="AB4415">
        <v>29.5</v>
      </c>
    </row>
    <row r="4416" spans="20:28">
      <c r="T4416" s="340" t="str">
        <f t="shared" si="185"/>
        <v>1997FemaleNon-Maori19Sharp object</v>
      </c>
      <c r="U4416">
        <v>1997</v>
      </c>
      <c r="V4416" t="s">
        <v>8</v>
      </c>
      <c r="W4416" t="s">
        <v>19</v>
      </c>
      <c r="X4416">
        <v>19</v>
      </c>
      <c r="Y4416" t="s">
        <v>48</v>
      </c>
      <c r="Z4416">
        <v>3</v>
      </c>
      <c r="AA4416">
        <v>95</v>
      </c>
      <c r="AB4416">
        <v>3.2</v>
      </c>
    </row>
    <row r="4417" spans="20:28">
      <c r="T4417" s="340" t="str">
        <f t="shared" si="185"/>
        <v>1997FemaleNon-Maori19Submersion (drowning)</v>
      </c>
      <c r="U4417">
        <v>1997</v>
      </c>
      <c r="V4417" t="s">
        <v>8</v>
      </c>
      <c r="W4417" t="s">
        <v>19</v>
      </c>
      <c r="X4417">
        <v>19</v>
      </c>
      <c r="Y4417" t="s">
        <v>49</v>
      </c>
      <c r="Z4417">
        <v>5</v>
      </c>
      <c r="AA4417">
        <v>95</v>
      </c>
      <c r="AB4417">
        <v>5.3</v>
      </c>
    </row>
    <row r="4418" spans="20:28">
      <c r="T4418" s="340" t="str">
        <f t="shared" si="185"/>
        <v>1997MaleAllEth19Firearms and explosives</v>
      </c>
      <c r="U4418">
        <v>1997</v>
      </c>
      <c r="V4418" t="s">
        <v>20</v>
      </c>
      <c r="W4418" t="s">
        <v>27</v>
      </c>
      <c r="X4418">
        <v>19</v>
      </c>
      <c r="Y4418" t="s">
        <v>42</v>
      </c>
      <c r="Z4418">
        <v>52</v>
      </c>
      <c r="AA4418">
        <v>441</v>
      </c>
      <c r="AB4418">
        <v>11.8</v>
      </c>
    </row>
    <row r="4419" spans="20:28">
      <c r="T4419" s="340" t="str">
        <f t="shared" si="185"/>
        <v>1997MaleAllEth19Hanging, strangulation and suffocation</v>
      </c>
      <c r="U4419">
        <v>1997</v>
      </c>
      <c r="V4419" t="s">
        <v>20</v>
      </c>
      <c r="W4419" t="s">
        <v>27</v>
      </c>
      <c r="X4419">
        <v>19</v>
      </c>
      <c r="Y4419" t="s">
        <v>43</v>
      </c>
      <c r="Z4419">
        <v>185</v>
      </c>
      <c r="AA4419">
        <v>441</v>
      </c>
      <c r="AB4419">
        <v>42</v>
      </c>
    </row>
    <row r="4420" spans="20:28">
      <c r="T4420" s="340" t="str">
        <f t="shared" si="185"/>
        <v>1997MaleAllEth19Jumping from a high place</v>
      </c>
      <c r="U4420">
        <v>1997</v>
      </c>
      <c r="V4420" t="s">
        <v>20</v>
      </c>
      <c r="W4420" t="s">
        <v>27</v>
      </c>
      <c r="X4420">
        <v>19</v>
      </c>
      <c r="Y4420" t="s">
        <v>44</v>
      </c>
      <c r="Z4420">
        <v>9</v>
      </c>
      <c r="AA4420">
        <v>441</v>
      </c>
      <c r="AB4420">
        <v>2</v>
      </c>
    </row>
    <row r="4421" spans="20:28">
      <c r="T4421" s="340" t="str">
        <f t="shared" ref="T4421:T4484" si="186">U4421&amp;V4421&amp;W4421&amp;X4421&amp;Y4421</f>
        <v>1997MaleAllEth19Other</v>
      </c>
      <c r="U4421">
        <v>1997</v>
      </c>
      <c r="V4421" t="s">
        <v>20</v>
      </c>
      <c r="W4421" t="s">
        <v>27</v>
      </c>
      <c r="X4421">
        <v>19</v>
      </c>
      <c r="Y4421" t="s">
        <v>45</v>
      </c>
      <c r="Z4421">
        <v>13</v>
      </c>
      <c r="AA4421">
        <v>441</v>
      </c>
      <c r="AB4421">
        <v>2.9</v>
      </c>
    </row>
    <row r="4422" spans="20:28">
      <c r="T4422" s="340" t="str">
        <f t="shared" si="186"/>
        <v>1997MaleAllEth19Poisoning by gases and vapours</v>
      </c>
      <c r="U4422">
        <v>1997</v>
      </c>
      <c r="V4422" t="s">
        <v>20</v>
      </c>
      <c r="W4422" t="s">
        <v>27</v>
      </c>
      <c r="X4422">
        <v>19</v>
      </c>
      <c r="Y4422" t="s">
        <v>46</v>
      </c>
      <c r="Z4422">
        <v>134</v>
      </c>
      <c r="AA4422">
        <v>441</v>
      </c>
      <c r="AB4422">
        <v>30.4</v>
      </c>
    </row>
    <row r="4423" spans="20:28">
      <c r="T4423" s="340" t="str">
        <f t="shared" si="186"/>
        <v>1997MaleAllEth19Poisoning by solids and liquids</v>
      </c>
      <c r="U4423">
        <v>1997</v>
      </c>
      <c r="V4423" t="s">
        <v>20</v>
      </c>
      <c r="W4423" t="s">
        <v>27</v>
      </c>
      <c r="X4423">
        <v>19</v>
      </c>
      <c r="Y4423" t="s">
        <v>47</v>
      </c>
      <c r="Z4423">
        <v>26</v>
      </c>
      <c r="AA4423">
        <v>441</v>
      </c>
      <c r="AB4423">
        <v>5.9</v>
      </c>
    </row>
    <row r="4424" spans="20:28">
      <c r="T4424" s="340" t="str">
        <f t="shared" si="186"/>
        <v>1997MaleAllEth19Sharp object</v>
      </c>
      <c r="U4424">
        <v>1997</v>
      </c>
      <c r="V4424" t="s">
        <v>20</v>
      </c>
      <c r="W4424" t="s">
        <v>27</v>
      </c>
      <c r="X4424">
        <v>19</v>
      </c>
      <c r="Y4424" t="s">
        <v>48</v>
      </c>
      <c r="Z4424">
        <v>11</v>
      </c>
      <c r="AA4424">
        <v>441</v>
      </c>
      <c r="AB4424">
        <v>2.5</v>
      </c>
    </row>
    <row r="4425" spans="20:28">
      <c r="T4425" s="340" t="str">
        <f t="shared" si="186"/>
        <v>1997MaleAllEth19Submersion (drowning)</v>
      </c>
      <c r="U4425">
        <v>1997</v>
      </c>
      <c r="V4425" t="s">
        <v>20</v>
      </c>
      <c r="W4425" t="s">
        <v>27</v>
      </c>
      <c r="X4425">
        <v>19</v>
      </c>
      <c r="Y4425" t="s">
        <v>49</v>
      </c>
      <c r="Z4425">
        <v>11</v>
      </c>
      <c r="AA4425">
        <v>441</v>
      </c>
      <c r="AB4425">
        <v>2.5</v>
      </c>
    </row>
    <row r="4426" spans="20:28">
      <c r="T4426" s="340" t="str">
        <f t="shared" si="186"/>
        <v>1997MaleMaori19Firearms and explosives</v>
      </c>
      <c r="U4426">
        <v>1997</v>
      </c>
      <c r="V4426" t="s">
        <v>20</v>
      </c>
      <c r="W4426" t="s">
        <v>18</v>
      </c>
      <c r="X4426">
        <v>19</v>
      </c>
      <c r="Y4426" t="s">
        <v>42</v>
      </c>
      <c r="Z4426">
        <v>7</v>
      </c>
      <c r="AA4426">
        <v>80</v>
      </c>
      <c r="AB4426">
        <v>8.8000000000000007</v>
      </c>
    </row>
    <row r="4427" spans="20:28">
      <c r="T4427" s="340" t="str">
        <f t="shared" si="186"/>
        <v>1997MaleMaori19Hanging, strangulation and suffocation</v>
      </c>
      <c r="U4427">
        <v>1997</v>
      </c>
      <c r="V4427" t="s">
        <v>20</v>
      </c>
      <c r="W4427" t="s">
        <v>18</v>
      </c>
      <c r="X4427">
        <v>19</v>
      </c>
      <c r="Y4427" t="s">
        <v>43</v>
      </c>
      <c r="Z4427">
        <v>56</v>
      </c>
      <c r="AA4427">
        <v>80</v>
      </c>
      <c r="AB4427">
        <v>70</v>
      </c>
    </row>
    <row r="4428" spans="20:28">
      <c r="T4428" s="340" t="str">
        <f t="shared" si="186"/>
        <v>1997MaleMaori19Other</v>
      </c>
      <c r="U4428">
        <v>1997</v>
      </c>
      <c r="V4428" t="s">
        <v>20</v>
      </c>
      <c r="W4428" t="s">
        <v>18</v>
      </c>
      <c r="X4428">
        <v>19</v>
      </c>
      <c r="Y4428" t="s">
        <v>45</v>
      </c>
      <c r="Z4428">
        <v>4</v>
      </c>
      <c r="AA4428">
        <v>80</v>
      </c>
      <c r="AB4428">
        <v>5</v>
      </c>
    </row>
    <row r="4429" spans="20:28">
      <c r="T4429" s="340" t="str">
        <f t="shared" si="186"/>
        <v>1997MaleMaori19Poisoning by gases and vapours</v>
      </c>
      <c r="U4429">
        <v>1997</v>
      </c>
      <c r="V4429" t="s">
        <v>20</v>
      </c>
      <c r="W4429" t="s">
        <v>18</v>
      </c>
      <c r="X4429">
        <v>19</v>
      </c>
      <c r="Y4429" t="s">
        <v>46</v>
      </c>
      <c r="Z4429">
        <v>5</v>
      </c>
      <c r="AA4429">
        <v>80</v>
      </c>
      <c r="AB4429">
        <v>6.2</v>
      </c>
    </row>
    <row r="4430" spans="20:28">
      <c r="T4430" s="340" t="str">
        <f t="shared" si="186"/>
        <v>1997MaleMaori19Poisoning by solids and liquids</v>
      </c>
      <c r="U4430">
        <v>1997</v>
      </c>
      <c r="V4430" t="s">
        <v>20</v>
      </c>
      <c r="W4430" t="s">
        <v>18</v>
      </c>
      <c r="X4430">
        <v>19</v>
      </c>
      <c r="Y4430" t="s">
        <v>47</v>
      </c>
      <c r="Z4430">
        <v>6</v>
      </c>
      <c r="AA4430">
        <v>80</v>
      </c>
      <c r="AB4430">
        <v>7.5</v>
      </c>
    </row>
    <row r="4431" spans="20:28">
      <c r="T4431" s="340" t="str">
        <f t="shared" si="186"/>
        <v>1997MaleMaori19Sharp object</v>
      </c>
      <c r="U4431">
        <v>1997</v>
      </c>
      <c r="V4431" t="s">
        <v>20</v>
      </c>
      <c r="W4431" t="s">
        <v>18</v>
      </c>
      <c r="X4431">
        <v>19</v>
      </c>
      <c r="Y4431" t="s">
        <v>48</v>
      </c>
      <c r="Z4431">
        <v>1</v>
      </c>
      <c r="AA4431">
        <v>80</v>
      </c>
      <c r="AB4431">
        <v>1.2</v>
      </c>
    </row>
    <row r="4432" spans="20:28">
      <c r="T4432" s="340" t="str">
        <f t="shared" si="186"/>
        <v>1997MaleMaori19Submersion (drowning)</v>
      </c>
      <c r="U4432">
        <v>1997</v>
      </c>
      <c r="V4432" t="s">
        <v>20</v>
      </c>
      <c r="W4432" t="s">
        <v>18</v>
      </c>
      <c r="X4432">
        <v>19</v>
      </c>
      <c r="Y4432" t="s">
        <v>49</v>
      </c>
      <c r="Z4432">
        <v>1</v>
      </c>
      <c r="AA4432">
        <v>80</v>
      </c>
      <c r="AB4432">
        <v>1.2</v>
      </c>
    </row>
    <row r="4433" spans="20:28">
      <c r="T4433" s="340" t="str">
        <f t="shared" si="186"/>
        <v>1997MaleNon-Maori19Firearms and explosives</v>
      </c>
      <c r="U4433">
        <v>1997</v>
      </c>
      <c r="V4433" t="s">
        <v>20</v>
      </c>
      <c r="W4433" t="s">
        <v>19</v>
      </c>
      <c r="X4433">
        <v>19</v>
      </c>
      <c r="Y4433" t="s">
        <v>42</v>
      </c>
      <c r="Z4433">
        <v>45</v>
      </c>
      <c r="AA4433">
        <v>361</v>
      </c>
      <c r="AB4433">
        <v>12.5</v>
      </c>
    </row>
    <row r="4434" spans="20:28">
      <c r="T4434" s="340" t="str">
        <f t="shared" si="186"/>
        <v>1997MaleNon-Maori19Hanging, strangulation and suffocation</v>
      </c>
      <c r="U4434">
        <v>1997</v>
      </c>
      <c r="V4434" t="s">
        <v>20</v>
      </c>
      <c r="W4434" t="s">
        <v>19</v>
      </c>
      <c r="X4434">
        <v>19</v>
      </c>
      <c r="Y4434" t="s">
        <v>43</v>
      </c>
      <c r="Z4434">
        <v>129</v>
      </c>
      <c r="AA4434">
        <v>361</v>
      </c>
      <c r="AB4434">
        <v>35.700000000000003</v>
      </c>
    </row>
    <row r="4435" spans="20:28">
      <c r="T4435" s="340" t="str">
        <f t="shared" si="186"/>
        <v>1997MaleNon-Maori19Jumping from a high place</v>
      </c>
      <c r="U4435">
        <v>1997</v>
      </c>
      <c r="V4435" t="s">
        <v>20</v>
      </c>
      <c r="W4435" t="s">
        <v>19</v>
      </c>
      <c r="X4435">
        <v>19</v>
      </c>
      <c r="Y4435" t="s">
        <v>44</v>
      </c>
      <c r="Z4435">
        <v>9</v>
      </c>
      <c r="AA4435">
        <v>361</v>
      </c>
      <c r="AB4435">
        <v>2.5</v>
      </c>
    </row>
    <row r="4436" spans="20:28">
      <c r="T4436" s="340" t="str">
        <f t="shared" si="186"/>
        <v>1997MaleNon-Maori19Other</v>
      </c>
      <c r="U4436">
        <v>1997</v>
      </c>
      <c r="V4436" t="s">
        <v>20</v>
      </c>
      <c r="W4436" t="s">
        <v>19</v>
      </c>
      <c r="X4436">
        <v>19</v>
      </c>
      <c r="Y4436" t="s">
        <v>45</v>
      </c>
      <c r="Z4436">
        <v>9</v>
      </c>
      <c r="AA4436">
        <v>361</v>
      </c>
      <c r="AB4436">
        <v>2.5</v>
      </c>
    </row>
    <row r="4437" spans="20:28">
      <c r="T4437" s="340" t="str">
        <f t="shared" si="186"/>
        <v>1997MaleNon-Maori19Poisoning by gases and vapours</v>
      </c>
      <c r="U4437">
        <v>1997</v>
      </c>
      <c r="V4437" t="s">
        <v>20</v>
      </c>
      <c r="W4437" t="s">
        <v>19</v>
      </c>
      <c r="X4437">
        <v>19</v>
      </c>
      <c r="Y4437" t="s">
        <v>46</v>
      </c>
      <c r="Z4437">
        <v>129</v>
      </c>
      <c r="AA4437">
        <v>361</v>
      </c>
      <c r="AB4437">
        <v>35.700000000000003</v>
      </c>
    </row>
    <row r="4438" spans="20:28">
      <c r="T4438" s="340" t="str">
        <f t="shared" si="186"/>
        <v>1997MaleNon-Maori19Poisoning by solids and liquids</v>
      </c>
      <c r="U4438">
        <v>1997</v>
      </c>
      <c r="V4438" t="s">
        <v>20</v>
      </c>
      <c r="W4438" t="s">
        <v>19</v>
      </c>
      <c r="X4438">
        <v>19</v>
      </c>
      <c r="Y4438" t="s">
        <v>47</v>
      </c>
      <c r="Z4438">
        <v>20</v>
      </c>
      <c r="AA4438">
        <v>361</v>
      </c>
      <c r="AB4438">
        <v>5.5</v>
      </c>
    </row>
    <row r="4439" spans="20:28">
      <c r="T4439" s="340" t="str">
        <f t="shared" si="186"/>
        <v>1997MaleNon-Maori19Sharp object</v>
      </c>
      <c r="U4439">
        <v>1997</v>
      </c>
      <c r="V4439" t="s">
        <v>20</v>
      </c>
      <c r="W4439" t="s">
        <v>19</v>
      </c>
      <c r="X4439">
        <v>19</v>
      </c>
      <c r="Y4439" t="s">
        <v>48</v>
      </c>
      <c r="Z4439">
        <v>10</v>
      </c>
      <c r="AA4439">
        <v>361</v>
      </c>
      <c r="AB4439">
        <v>2.8</v>
      </c>
    </row>
    <row r="4440" spans="20:28">
      <c r="T4440" s="340" t="str">
        <f t="shared" si="186"/>
        <v>1997MaleNon-Maori19Submersion (drowning)</v>
      </c>
      <c r="U4440">
        <v>1997</v>
      </c>
      <c r="V4440" t="s">
        <v>20</v>
      </c>
      <c r="W4440" t="s">
        <v>19</v>
      </c>
      <c r="X4440">
        <v>19</v>
      </c>
      <c r="Y4440" t="s">
        <v>49</v>
      </c>
      <c r="Z4440">
        <v>10</v>
      </c>
      <c r="AA4440">
        <v>361</v>
      </c>
      <c r="AB4440">
        <v>2.8</v>
      </c>
    </row>
    <row r="4441" spans="20:28">
      <c r="T4441" s="340" t="str">
        <f t="shared" si="186"/>
        <v>1998AllSexAllEth19Firearms and explosives</v>
      </c>
      <c r="U4441">
        <v>1998</v>
      </c>
      <c r="V4441" t="s">
        <v>17</v>
      </c>
      <c r="W4441" t="s">
        <v>27</v>
      </c>
      <c r="X4441">
        <v>19</v>
      </c>
      <c r="Y4441" t="s">
        <v>42</v>
      </c>
      <c r="Z4441">
        <v>72</v>
      </c>
      <c r="AA4441">
        <v>578</v>
      </c>
      <c r="AB4441">
        <v>12.5</v>
      </c>
    </row>
    <row r="4442" spans="20:28">
      <c r="T4442" s="340" t="str">
        <f t="shared" si="186"/>
        <v>1998AllSexAllEth19Hanging, strangulation and suffocation</v>
      </c>
      <c r="U4442">
        <v>1998</v>
      </c>
      <c r="V4442" t="s">
        <v>17</v>
      </c>
      <c r="W4442" t="s">
        <v>27</v>
      </c>
      <c r="X4442">
        <v>19</v>
      </c>
      <c r="Y4442" t="s">
        <v>43</v>
      </c>
      <c r="Z4442">
        <v>250</v>
      </c>
      <c r="AA4442">
        <v>578</v>
      </c>
      <c r="AB4442">
        <v>43.3</v>
      </c>
    </row>
    <row r="4443" spans="20:28">
      <c r="T4443" s="340" t="str">
        <f t="shared" si="186"/>
        <v>1998AllSexAllEth19Jumping from a high place</v>
      </c>
      <c r="U4443">
        <v>1998</v>
      </c>
      <c r="V4443" t="s">
        <v>17</v>
      </c>
      <c r="W4443" t="s">
        <v>27</v>
      </c>
      <c r="X4443">
        <v>19</v>
      </c>
      <c r="Y4443" t="s">
        <v>44</v>
      </c>
      <c r="Z4443">
        <v>16</v>
      </c>
      <c r="AA4443">
        <v>578</v>
      </c>
      <c r="AB4443">
        <v>2.8</v>
      </c>
    </row>
    <row r="4444" spans="20:28">
      <c r="T4444" s="340" t="str">
        <f t="shared" si="186"/>
        <v>1998AllSexAllEth19Other</v>
      </c>
      <c r="U4444">
        <v>1998</v>
      </c>
      <c r="V4444" t="s">
        <v>17</v>
      </c>
      <c r="W4444" t="s">
        <v>27</v>
      </c>
      <c r="X4444">
        <v>19</v>
      </c>
      <c r="Y4444" t="s">
        <v>45</v>
      </c>
      <c r="Z4444">
        <v>24</v>
      </c>
      <c r="AA4444">
        <v>578</v>
      </c>
      <c r="AB4444">
        <v>4.2</v>
      </c>
    </row>
    <row r="4445" spans="20:28">
      <c r="T4445" s="340" t="str">
        <f t="shared" si="186"/>
        <v>1998AllSexAllEth19Poisoning by gases and vapours</v>
      </c>
      <c r="U4445">
        <v>1998</v>
      </c>
      <c r="V4445" t="s">
        <v>17</v>
      </c>
      <c r="W4445" t="s">
        <v>27</v>
      </c>
      <c r="X4445">
        <v>19</v>
      </c>
      <c r="Y4445" t="s">
        <v>46</v>
      </c>
      <c r="Z4445">
        <v>134</v>
      </c>
      <c r="AA4445">
        <v>578</v>
      </c>
      <c r="AB4445">
        <v>23.2</v>
      </c>
    </row>
    <row r="4446" spans="20:28">
      <c r="T4446" s="340" t="str">
        <f t="shared" si="186"/>
        <v>1998AllSexAllEth19Poisoning by solids and liquids</v>
      </c>
      <c r="U4446">
        <v>1998</v>
      </c>
      <c r="V4446" t="s">
        <v>17</v>
      </c>
      <c r="W4446" t="s">
        <v>27</v>
      </c>
      <c r="X4446">
        <v>19</v>
      </c>
      <c r="Y4446" t="s">
        <v>47</v>
      </c>
      <c r="Z4446">
        <v>64</v>
      </c>
      <c r="AA4446">
        <v>578</v>
      </c>
      <c r="AB4446">
        <v>11.1</v>
      </c>
    </row>
    <row r="4447" spans="20:28">
      <c r="T4447" s="340" t="str">
        <f t="shared" si="186"/>
        <v>1998AllSexAllEth19Sharp object</v>
      </c>
      <c r="U4447">
        <v>1998</v>
      </c>
      <c r="V4447" t="s">
        <v>17</v>
      </c>
      <c r="W4447" t="s">
        <v>27</v>
      </c>
      <c r="X4447">
        <v>19</v>
      </c>
      <c r="Y4447" t="s">
        <v>48</v>
      </c>
      <c r="Z4447">
        <v>8</v>
      </c>
      <c r="AA4447">
        <v>578</v>
      </c>
      <c r="AB4447">
        <v>1.4</v>
      </c>
    </row>
    <row r="4448" spans="20:28">
      <c r="T4448" s="340" t="str">
        <f t="shared" si="186"/>
        <v>1998AllSexAllEth19Submersion (drowning)</v>
      </c>
      <c r="U4448">
        <v>1998</v>
      </c>
      <c r="V4448" t="s">
        <v>17</v>
      </c>
      <c r="W4448" t="s">
        <v>27</v>
      </c>
      <c r="X4448">
        <v>19</v>
      </c>
      <c r="Y4448" t="s">
        <v>49</v>
      </c>
      <c r="Z4448">
        <v>10</v>
      </c>
      <c r="AA4448">
        <v>578</v>
      </c>
      <c r="AB4448">
        <v>1.7</v>
      </c>
    </row>
    <row r="4449" spans="20:28">
      <c r="T4449" s="340" t="str">
        <f t="shared" si="186"/>
        <v>1998AllSexMaori19Firearms and explosives</v>
      </c>
      <c r="U4449">
        <v>1998</v>
      </c>
      <c r="V4449" t="s">
        <v>17</v>
      </c>
      <c r="W4449" t="s">
        <v>18</v>
      </c>
      <c r="X4449">
        <v>19</v>
      </c>
      <c r="Y4449" t="s">
        <v>42</v>
      </c>
      <c r="Z4449">
        <v>10</v>
      </c>
      <c r="AA4449">
        <v>112</v>
      </c>
      <c r="AB4449">
        <v>8.9</v>
      </c>
    </row>
    <row r="4450" spans="20:28">
      <c r="T4450" s="340" t="str">
        <f t="shared" si="186"/>
        <v>1998AllSexMaori19Hanging, strangulation and suffocation</v>
      </c>
      <c r="U4450">
        <v>1998</v>
      </c>
      <c r="V4450" t="s">
        <v>17</v>
      </c>
      <c r="W4450" t="s">
        <v>18</v>
      </c>
      <c r="X4450">
        <v>19</v>
      </c>
      <c r="Y4450" t="s">
        <v>43</v>
      </c>
      <c r="Z4450">
        <v>74</v>
      </c>
      <c r="AA4450">
        <v>112</v>
      </c>
      <c r="AB4450">
        <v>66.099999999999994</v>
      </c>
    </row>
    <row r="4451" spans="20:28">
      <c r="T4451" s="340" t="str">
        <f t="shared" si="186"/>
        <v>1998AllSexMaori19Jumping from a high place</v>
      </c>
      <c r="U4451">
        <v>1998</v>
      </c>
      <c r="V4451" t="s">
        <v>17</v>
      </c>
      <c r="W4451" t="s">
        <v>18</v>
      </c>
      <c r="X4451">
        <v>19</v>
      </c>
      <c r="Y4451" t="s">
        <v>44</v>
      </c>
      <c r="Z4451">
        <v>2</v>
      </c>
      <c r="AA4451">
        <v>112</v>
      </c>
      <c r="AB4451">
        <v>1.8</v>
      </c>
    </row>
    <row r="4452" spans="20:28">
      <c r="T4452" s="340" t="str">
        <f t="shared" si="186"/>
        <v>1998AllSexMaori19Other</v>
      </c>
      <c r="U4452">
        <v>1998</v>
      </c>
      <c r="V4452" t="s">
        <v>17</v>
      </c>
      <c r="W4452" t="s">
        <v>18</v>
      </c>
      <c r="X4452">
        <v>19</v>
      </c>
      <c r="Y4452" t="s">
        <v>45</v>
      </c>
      <c r="Z4452">
        <v>6</v>
      </c>
      <c r="AA4452">
        <v>112</v>
      </c>
      <c r="AB4452">
        <v>5.4</v>
      </c>
    </row>
    <row r="4453" spans="20:28">
      <c r="T4453" s="340" t="str">
        <f t="shared" si="186"/>
        <v>1998AllSexMaori19Poisoning by gases and vapours</v>
      </c>
      <c r="U4453">
        <v>1998</v>
      </c>
      <c r="V4453" t="s">
        <v>17</v>
      </c>
      <c r="W4453" t="s">
        <v>18</v>
      </c>
      <c r="X4453">
        <v>19</v>
      </c>
      <c r="Y4453" t="s">
        <v>46</v>
      </c>
      <c r="Z4453">
        <v>9</v>
      </c>
      <c r="AA4453">
        <v>112</v>
      </c>
      <c r="AB4453">
        <v>8</v>
      </c>
    </row>
    <row r="4454" spans="20:28">
      <c r="T4454" s="340" t="str">
        <f t="shared" si="186"/>
        <v>1998AllSexMaori19Poisoning by solids and liquids</v>
      </c>
      <c r="U4454">
        <v>1998</v>
      </c>
      <c r="V4454" t="s">
        <v>17</v>
      </c>
      <c r="W4454" t="s">
        <v>18</v>
      </c>
      <c r="X4454">
        <v>19</v>
      </c>
      <c r="Y4454" t="s">
        <v>47</v>
      </c>
      <c r="Z4454">
        <v>10</v>
      </c>
      <c r="AA4454">
        <v>112</v>
      </c>
      <c r="AB4454">
        <v>8.9</v>
      </c>
    </row>
    <row r="4455" spans="20:28">
      <c r="T4455" s="340" t="str">
        <f t="shared" si="186"/>
        <v>1998AllSexMaori19Sharp object</v>
      </c>
      <c r="U4455">
        <v>1998</v>
      </c>
      <c r="V4455" t="s">
        <v>17</v>
      </c>
      <c r="W4455" t="s">
        <v>18</v>
      </c>
      <c r="X4455">
        <v>19</v>
      </c>
      <c r="Y4455" t="s">
        <v>48</v>
      </c>
      <c r="Z4455">
        <v>1</v>
      </c>
      <c r="AA4455">
        <v>112</v>
      </c>
      <c r="AB4455">
        <v>0.9</v>
      </c>
    </row>
    <row r="4456" spans="20:28">
      <c r="T4456" s="340" t="str">
        <f t="shared" si="186"/>
        <v>1998AllSexNon-Maori19Firearms and explosives</v>
      </c>
      <c r="U4456">
        <v>1998</v>
      </c>
      <c r="V4456" t="s">
        <v>17</v>
      </c>
      <c r="W4456" t="s">
        <v>19</v>
      </c>
      <c r="X4456">
        <v>19</v>
      </c>
      <c r="Y4456" t="s">
        <v>42</v>
      </c>
      <c r="Z4456">
        <v>62</v>
      </c>
      <c r="AA4456">
        <v>466</v>
      </c>
      <c r="AB4456">
        <v>13.3</v>
      </c>
    </row>
    <row r="4457" spans="20:28">
      <c r="T4457" s="340" t="str">
        <f t="shared" si="186"/>
        <v>1998AllSexNon-Maori19Hanging, strangulation and suffocation</v>
      </c>
      <c r="U4457">
        <v>1998</v>
      </c>
      <c r="V4457" t="s">
        <v>17</v>
      </c>
      <c r="W4457" t="s">
        <v>19</v>
      </c>
      <c r="X4457">
        <v>19</v>
      </c>
      <c r="Y4457" t="s">
        <v>43</v>
      </c>
      <c r="Z4457">
        <v>176</v>
      </c>
      <c r="AA4457">
        <v>466</v>
      </c>
      <c r="AB4457">
        <v>37.799999999999997</v>
      </c>
    </row>
    <row r="4458" spans="20:28">
      <c r="T4458" s="340" t="str">
        <f t="shared" si="186"/>
        <v>1998AllSexNon-Maori19Jumping from a high place</v>
      </c>
      <c r="U4458">
        <v>1998</v>
      </c>
      <c r="V4458" t="s">
        <v>17</v>
      </c>
      <c r="W4458" t="s">
        <v>19</v>
      </c>
      <c r="X4458">
        <v>19</v>
      </c>
      <c r="Y4458" t="s">
        <v>44</v>
      </c>
      <c r="Z4458">
        <v>14</v>
      </c>
      <c r="AA4458">
        <v>466</v>
      </c>
      <c r="AB4458">
        <v>3</v>
      </c>
    </row>
    <row r="4459" spans="20:28">
      <c r="T4459" s="340" t="str">
        <f t="shared" si="186"/>
        <v>1998AllSexNon-Maori19Other</v>
      </c>
      <c r="U4459">
        <v>1998</v>
      </c>
      <c r="V4459" t="s">
        <v>17</v>
      </c>
      <c r="W4459" t="s">
        <v>19</v>
      </c>
      <c r="X4459">
        <v>19</v>
      </c>
      <c r="Y4459" t="s">
        <v>45</v>
      </c>
      <c r="Z4459">
        <v>18</v>
      </c>
      <c r="AA4459">
        <v>466</v>
      </c>
      <c r="AB4459">
        <v>3.9</v>
      </c>
    </row>
    <row r="4460" spans="20:28">
      <c r="T4460" s="340" t="str">
        <f t="shared" si="186"/>
        <v>1998AllSexNon-Maori19Poisoning by gases and vapours</v>
      </c>
      <c r="U4460">
        <v>1998</v>
      </c>
      <c r="V4460" t="s">
        <v>17</v>
      </c>
      <c r="W4460" t="s">
        <v>19</v>
      </c>
      <c r="X4460">
        <v>19</v>
      </c>
      <c r="Y4460" t="s">
        <v>46</v>
      </c>
      <c r="Z4460">
        <v>125</v>
      </c>
      <c r="AA4460">
        <v>466</v>
      </c>
      <c r="AB4460">
        <v>26.8</v>
      </c>
    </row>
    <row r="4461" spans="20:28">
      <c r="T4461" s="340" t="str">
        <f t="shared" si="186"/>
        <v>1998AllSexNon-Maori19Poisoning by solids and liquids</v>
      </c>
      <c r="U4461">
        <v>1998</v>
      </c>
      <c r="V4461" t="s">
        <v>17</v>
      </c>
      <c r="W4461" t="s">
        <v>19</v>
      </c>
      <c r="X4461">
        <v>19</v>
      </c>
      <c r="Y4461" t="s">
        <v>47</v>
      </c>
      <c r="Z4461">
        <v>54</v>
      </c>
      <c r="AA4461">
        <v>466</v>
      </c>
      <c r="AB4461">
        <v>11.6</v>
      </c>
    </row>
    <row r="4462" spans="20:28">
      <c r="T4462" s="340" t="str">
        <f t="shared" si="186"/>
        <v>1998AllSexNon-Maori19Sharp object</v>
      </c>
      <c r="U4462">
        <v>1998</v>
      </c>
      <c r="V4462" t="s">
        <v>17</v>
      </c>
      <c r="W4462" t="s">
        <v>19</v>
      </c>
      <c r="X4462">
        <v>19</v>
      </c>
      <c r="Y4462" t="s">
        <v>48</v>
      </c>
      <c r="Z4462">
        <v>7</v>
      </c>
      <c r="AA4462">
        <v>466</v>
      </c>
      <c r="AB4462">
        <v>1.5</v>
      </c>
    </row>
    <row r="4463" spans="20:28">
      <c r="T4463" s="340" t="str">
        <f t="shared" si="186"/>
        <v>1998AllSexNon-Maori19Submersion (drowning)</v>
      </c>
      <c r="U4463">
        <v>1998</v>
      </c>
      <c r="V4463" t="s">
        <v>17</v>
      </c>
      <c r="W4463" t="s">
        <v>19</v>
      </c>
      <c r="X4463">
        <v>19</v>
      </c>
      <c r="Y4463" t="s">
        <v>49</v>
      </c>
      <c r="Z4463">
        <v>10</v>
      </c>
      <c r="AA4463">
        <v>466</v>
      </c>
      <c r="AB4463">
        <v>2.1</v>
      </c>
    </row>
    <row r="4464" spans="20:28">
      <c r="T4464" s="340" t="str">
        <f t="shared" si="186"/>
        <v>1998FemaleAllEth19Firearms and explosives</v>
      </c>
      <c r="U4464">
        <v>1998</v>
      </c>
      <c r="V4464" t="s">
        <v>8</v>
      </c>
      <c r="W4464" t="s">
        <v>27</v>
      </c>
      <c r="X4464">
        <v>19</v>
      </c>
      <c r="Y4464" t="s">
        <v>42</v>
      </c>
      <c r="Z4464">
        <v>1</v>
      </c>
      <c r="AA4464">
        <v>133</v>
      </c>
      <c r="AB4464">
        <v>0.8</v>
      </c>
    </row>
    <row r="4465" spans="20:28">
      <c r="T4465" s="340" t="str">
        <f t="shared" si="186"/>
        <v>1998FemaleAllEth19Hanging, strangulation and suffocation</v>
      </c>
      <c r="U4465">
        <v>1998</v>
      </c>
      <c r="V4465" t="s">
        <v>8</v>
      </c>
      <c r="W4465" t="s">
        <v>27</v>
      </c>
      <c r="X4465">
        <v>19</v>
      </c>
      <c r="Y4465" t="s">
        <v>43</v>
      </c>
      <c r="Z4465">
        <v>61</v>
      </c>
      <c r="AA4465">
        <v>133</v>
      </c>
      <c r="AB4465">
        <v>45.9</v>
      </c>
    </row>
    <row r="4466" spans="20:28">
      <c r="T4466" s="340" t="str">
        <f t="shared" si="186"/>
        <v>1998FemaleAllEth19Jumping from a high place</v>
      </c>
      <c r="U4466">
        <v>1998</v>
      </c>
      <c r="V4466" t="s">
        <v>8</v>
      </c>
      <c r="W4466" t="s">
        <v>27</v>
      </c>
      <c r="X4466">
        <v>19</v>
      </c>
      <c r="Y4466" t="s">
        <v>44</v>
      </c>
      <c r="Z4466">
        <v>5</v>
      </c>
      <c r="AA4466">
        <v>133</v>
      </c>
      <c r="AB4466">
        <v>3.8</v>
      </c>
    </row>
    <row r="4467" spans="20:28">
      <c r="T4467" s="340" t="str">
        <f t="shared" si="186"/>
        <v>1998FemaleAllEth19Other</v>
      </c>
      <c r="U4467">
        <v>1998</v>
      </c>
      <c r="V4467" t="s">
        <v>8</v>
      </c>
      <c r="W4467" t="s">
        <v>27</v>
      </c>
      <c r="X4467">
        <v>19</v>
      </c>
      <c r="Y4467" t="s">
        <v>45</v>
      </c>
      <c r="Z4467">
        <v>6</v>
      </c>
      <c r="AA4467">
        <v>133</v>
      </c>
      <c r="AB4467">
        <v>4.5</v>
      </c>
    </row>
    <row r="4468" spans="20:28">
      <c r="T4468" s="340" t="str">
        <f t="shared" si="186"/>
        <v>1998FemaleAllEth19Poisoning by gases and vapours</v>
      </c>
      <c r="U4468">
        <v>1998</v>
      </c>
      <c r="V4468" t="s">
        <v>8</v>
      </c>
      <c r="W4468" t="s">
        <v>27</v>
      </c>
      <c r="X4468">
        <v>19</v>
      </c>
      <c r="Y4468" t="s">
        <v>46</v>
      </c>
      <c r="Z4468">
        <v>23</v>
      </c>
      <c r="AA4468">
        <v>133</v>
      </c>
      <c r="AB4468">
        <v>17.3</v>
      </c>
    </row>
    <row r="4469" spans="20:28">
      <c r="T4469" s="340" t="str">
        <f t="shared" si="186"/>
        <v>1998FemaleAllEth19Poisoning by solids and liquids</v>
      </c>
      <c r="U4469">
        <v>1998</v>
      </c>
      <c r="V4469" t="s">
        <v>8</v>
      </c>
      <c r="W4469" t="s">
        <v>27</v>
      </c>
      <c r="X4469">
        <v>19</v>
      </c>
      <c r="Y4469" t="s">
        <v>47</v>
      </c>
      <c r="Z4469">
        <v>33</v>
      </c>
      <c r="AA4469">
        <v>133</v>
      </c>
      <c r="AB4469">
        <v>24.8</v>
      </c>
    </row>
    <row r="4470" spans="20:28">
      <c r="T4470" s="340" t="str">
        <f t="shared" si="186"/>
        <v>1998FemaleAllEth19Sharp object</v>
      </c>
      <c r="U4470">
        <v>1998</v>
      </c>
      <c r="V4470" t="s">
        <v>8</v>
      </c>
      <c r="W4470" t="s">
        <v>27</v>
      </c>
      <c r="X4470">
        <v>19</v>
      </c>
      <c r="Y4470" t="s">
        <v>48</v>
      </c>
      <c r="Z4470">
        <v>1</v>
      </c>
      <c r="AA4470">
        <v>133</v>
      </c>
      <c r="AB4470">
        <v>0.8</v>
      </c>
    </row>
    <row r="4471" spans="20:28">
      <c r="T4471" s="340" t="str">
        <f t="shared" si="186"/>
        <v>1998FemaleAllEth19Submersion (drowning)</v>
      </c>
      <c r="U4471">
        <v>1998</v>
      </c>
      <c r="V4471" t="s">
        <v>8</v>
      </c>
      <c r="W4471" t="s">
        <v>27</v>
      </c>
      <c r="X4471">
        <v>19</v>
      </c>
      <c r="Y4471" t="s">
        <v>49</v>
      </c>
      <c r="Z4471">
        <v>3</v>
      </c>
      <c r="AA4471">
        <v>133</v>
      </c>
      <c r="AB4471">
        <v>2.2999999999999998</v>
      </c>
    </row>
    <row r="4472" spans="20:28">
      <c r="T4472" s="340" t="str">
        <f t="shared" si="186"/>
        <v>1998FemaleMaori19Hanging, strangulation and suffocation</v>
      </c>
      <c r="U4472">
        <v>1998</v>
      </c>
      <c r="V4472" t="s">
        <v>8</v>
      </c>
      <c r="W4472" t="s">
        <v>18</v>
      </c>
      <c r="X4472">
        <v>19</v>
      </c>
      <c r="Y4472" t="s">
        <v>43</v>
      </c>
      <c r="Z4472">
        <v>17</v>
      </c>
      <c r="AA4472">
        <v>25</v>
      </c>
      <c r="AB4472">
        <v>68</v>
      </c>
    </row>
    <row r="4473" spans="20:28">
      <c r="T4473" s="340" t="str">
        <f t="shared" si="186"/>
        <v>1998FemaleMaori19Other</v>
      </c>
      <c r="U4473">
        <v>1998</v>
      </c>
      <c r="V4473" t="s">
        <v>8</v>
      </c>
      <c r="W4473" t="s">
        <v>18</v>
      </c>
      <c r="X4473">
        <v>19</v>
      </c>
      <c r="Y4473" t="s">
        <v>45</v>
      </c>
      <c r="Z4473">
        <v>1</v>
      </c>
      <c r="AA4473">
        <v>25</v>
      </c>
      <c r="AB4473">
        <v>4</v>
      </c>
    </row>
    <row r="4474" spans="20:28">
      <c r="T4474" s="340" t="str">
        <f t="shared" si="186"/>
        <v>1998FemaleMaori19Poisoning by solids and liquids</v>
      </c>
      <c r="U4474">
        <v>1998</v>
      </c>
      <c r="V4474" t="s">
        <v>8</v>
      </c>
      <c r="W4474" t="s">
        <v>18</v>
      </c>
      <c r="X4474">
        <v>19</v>
      </c>
      <c r="Y4474" t="s">
        <v>47</v>
      </c>
      <c r="Z4474">
        <v>7</v>
      </c>
      <c r="AA4474">
        <v>25</v>
      </c>
      <c r="AB4474">
        <v>28</v>
      </c>
    </row>
    <row r="4475" spans="20:28">
      <c r="T4475" s="340" t="str">
        <f t="shared" si="186"/>
        <v>1998FemaleNon-Maori19Firearms and explosives</v>
      </c>
      <c r="U4475">
        <v>1998</v>
      </c>
      <c r="V4475" t="s">
        <v>8</v>
      </c>
      <c r="W4475" t="s">
        <v>19</v>
      </c>
      <c r="X4475">
        <v>19</v>
      </c>
      <c r="Y4475" t="s">
        <v>42</v>
      </c>
      <c r="Z4475">
        <v>1</v>
      </c>
      <c r="AA4475">
        <v>108</v>
      </c>
      <c r="AB4475">
        <v>0.9</v>
      </c>
    </row>
    <row r="4476" spans="20:28">
      <c r="T4476" s="340" t="str">
        <f t="shared" si="186"/>
        <v>1998FemaleNon-Maori19Hanging, strangulation and suffocation</v>
      </c>
      <c r="U4476">
        <v>1998</v>
      </c>
      <c r="V4476" t="s">
        <v>8</v>
      </c>
      <c r="W4476" t="s">
        <v>19</v>
      </c>
      <c r="X4476">
        <v>19</v>
      </c>
      <c r="Y4476" t="s">
        <v>43</v>
      </c>
      <c r="Z4476">
        <v>44</v>
      </c>
      <c r="AA4476">
        <v>108</v>
      </c>
      <c r="AB4476">
        <v>40.700000000000003</v>
      </c>
    </row>
    <row r="4477" spans="20:28">
      <c r="T4477" s="340" t="str">
        <f t="shared" si="186"/>
        <v>1998FemaleNon-Maori19Jumping from a high place</v>
      </c>
      <c r="U4477">
        <v>1998</v>
      </c>
      <c r="V4477" t="s">
        <v>8</v>
      </c>
      <c r="W4477" t="s">
        <v>19</v>
      </c>
      <c r="X4477">
        <v>19</v>
      </c>
      <c r="Y4477" t="s">
        <v>44</v>
      </c>
      <c r="Z4477">
        <v>5</v>
      </c>
      <c r="AA4477">
        <v>108</v>
      </c>
      <c r="AB4477">
        <v>4.5999999999999996</v>
      </c>
    </row>
    <row r="4478" spans="20:28">
      <c r="T4478" s="340" t="str">
        <f t="shared" si="186"/>
        <v>1998FemaleNon-Maori19Other</v>
      </c>
      <c r="U4478">
        <v>1998</v>
      </c>
      <c r="V4478" t="s">
        <v>8</v>
      </c>
      <c r="W4478" t="s">
        <v>19</v>
      </c>
      <c r="X4478">
        <v>19</v>
      </c>
      <c r="Y4478" t="s">
        <v>45</v>
      </c>
      <c r="Z4478">
        <v>5</v>
      </c>
      <c r="AA4478">
        <v>108</v>
      </c>
      <c r="AB4478">
        <v>4.5999999999999996</v>
      </c>
    </row>
    <row r="4479" spans="20:28">
      <c r="T4479" s="340" t="str">
        <f t="shared" si="186"/>
        <v>1998FemaleNon-Maori19Poisoning by gases and vapours</v>
      </c>
      <c r="U4479">
        <v>1998</v>
      </c>
      <c r="V4479" t="s">
        <v>8</v>
      </c>
      <c r="W4479" t="s">
        <v>19</v>
      </c>
      <c r="X4479">
        <v>19</v>
      </c>
      <c r="Y4479" t="s">
        <v>46</v>
      </c>
      <c r="Z4479">
        <v>23</v>
      </c>
      <c r="AA4479">
        <v>108</v>
      </c>
      <c r="AB4479">
        <v>21.3</v>
      </c>
    </row>
    <row r="4480" spans="20:28">
      <c r="T4480" s="340" t="str">
        <f t="shared" si="186"/>
        <v>1998FemaleNon-Maori19Poisoning by solids and liquids</v>
      </c>
      <c r="U4480">
        <v>1998</v>
      </c>
      <c r="V4480" t="s">
        <v>8</v>
      </c>
      <c r="W4480" t="s">
        <v>19</v>
      </c>
      <c r="X4480">
        <v>19</v>
      </c>
      <c r="Y4480" t="s">
        <v>47</v>
      </c>
      <c r="Z4480">
        <v>26</v>
      </c>
      <c r="AA4480">
        <v>108</v>
      </c>
      <c r="AB4480">
        <v>24.1</v>
      </c>
    </row>
    <row r="4481" spans="20:28">
      <c r="T4481" s="340" t="str">
        <f t="shared" si="186"/>
        <v>1998FemaleNon-Maori19Sharp object</v>
      </c>
      <c r="U4481">
        <v>1998</v>
      </c>
      <c r="V4481" t="s">
        <v>8</v>
      </c>
      <c r="W4481" t="s">
        <v>19</v>
      </c>
      <c r="X4481">
        <v>19</v>
      </c>
      <c r="Y4481" t="s">
        <v>48</v>
      </c>
      <c r="Z4481">
        <v>1</v>
      </c>
      <c r="AA4481">
        <v>108</v>
      </c>
      <c r="AB4481">
        <v>0.9</v>
      </c>
    </row>
    <row r="4482" spans="20:28">
      <c r="T4482" s="340" t="str">
        <f t="shared" si="186"/>
        <v>1998FemaleNon-Maori19Submersion (drowning)</v>
      </c>
      <c r="U4482">
        <v>1998</v>
      </c>
      <c r="V4482" t="s">
        <v>8</v>
      </c>
      <c r="W4482" t="s">
        <v>19</v>
      </c>
      <c r="X4482">
        <v>19</v>
      </c>
      <c r="Y4482" t="s">
        <v>49</v>
      </c>
      <c r="Z4482">
        <v>3</v>
      </c>
      <c r="AA4482">
        <v>108</v>
      </c>
      <c r="AB4482">
        <v>2.8</v>
      </c>
    </row>
    <row r="4483" spans="20:28">
      <c r="T4483" s="340" t="str">
        <f t="shared" si="186"/>
        <v>1998MaleAllEth19Firearms and explosives</v>
      </c>
      <c r="U4483">
        <v>1998</v>
      </c>
      <c r="V4483" t="s">
        <v>20</v>
      </c>
      <c r="W4483" t="s">
        <v>27</v>
      </c>
      <c r="X4483">
        <v>19</v>
      </c>
      <c r="Y4483" t="s">
        <v>42</v>
      </c>
      <c r="Z4483">
        <v>71</v>
      </c>
      <c r="AA4483">
        <v>445</v>
      </c>
      <c r="AB4483">
        <v>16</v>
      </c>
    </row>
    <row r="4484" spans="20:28">
      <c r="T4484" s="340" t="str">
        <f t="shared" si="186"/>
        <v>1998MaleAllEth19Hanging, strangulation and suffocation</v>
      </c>
      <c r="U4484">
        <v>1998</v>
      </c>
      <c r="V4484" t="s">
        <v>20</v>
      </c>
      <c r="W4484" t="s">
        <v>27</v>
      </c>
      <c r="X4484">
        <v>19</v>
      </c>
      <c r="Y4484" t="s">
        <v>43</v>
      </c>
      <c r="Z4484">
        <v>189</v>
      </c>
      <c r="AA4484">
        <v>445</v>
      </c>
      <c r="AB4484">
        <v>42.5</v>
      </c>
    </row>
    <row r="4485" spans="20:28">
      <c r="T4485" s="340" t="str">
        <f t="shared" ref="T4485:T4548" si="187">U4485&amp;V4485&amp;W4485&amp;X4485&amp;Y4485</f>
        <v>1998MaleAllEth19Jumping from a high place</v>
      </c>
      <c r="U4485">
        <v>1998</v>
      </c>
      <c r="V4485" t="s">
        <v>20</v>
      </c>
      <c r="W4485" t="s">
        <v>27</v>
      </c>
      <c r="X4485">
        <v>19</v>
      </c>
      <c r="Y4485" t="s">
        <v>44</v>
      </c>
      <c r="Z4485">
        <v>11</v>
      </c>
      <c r="AA4485">
        <v>445</v>
      </c>
      <c r="AB4485">
        <v>2.5</v>
      </c>
    </row>
    <row r="4486" spans="20:28">
      <c r="T4486" s="340" t="str">
        <f t="shared" si="187"/>
        <v>1998MaleAllEth19Other</v>
      </c>
      <c r="U4486">
        <v>1998</v>
      </c>
      <c r="V4486" t="s">
        <v>20</v>
      </c>
      <c r="W4486" t="s">
        <v>27</v>
      </c>
      <c r="X4486">
        <v>19</v>
      </c>
      <c r="Y4486" t="s">
        <v>45</v>
      </c>
      <c r="Z4486">
        <v>18</v>
      </c>
      <c r="AA4486">
        <v>445</v>
      </c>
      <c r="AB4486">
        <v>4</v>
      </c>
    </row>
    <row r="4487" spans="20:28">
      <c r="T4487" s="340" t="str">
        <f t="shared" si="187"/>
        <v>1998MaleAllEth19Poisoning by gases and vapours</v>
      </c>
      <c r="U4487">
        <v>1998</v>
      </c>
      <c r="V4487" t="s">
        <v>20</v>
      </c>
      <c r="W4487" t="s">
        <v>27</v>
      </c>
      <c r="X4487">
        <v>19</v>
      </c>
      <c r="Y4487" t="s">
        <v>46</v>
      </c>
      <c r="Z4487">
        <v>111</v>
      </c>
      <c r="AA4487">
        <v>445</v>
      </c>
      <c r="AB4487">
        <v>24.9</v>
      </c>
    </row>
    <row r="4488" spans="20:28">
      <c r="T4488" s="340" t="str">
        <f t="shared" si="187"/>
        <v>1998MaleAllEth19Poisoning by solids and liquids</v>
      </c>
      <c r="U4488">
        <v>1998</v>
      </c>
      <c r="V4488" t="s">
        <v>20</v>
      </c>
      <c r="W4488" t="s">
        <v>27</v>
      </c>
      <c r="X4488">
        <v>19</v>
      </c>
      <c r="Y4488" t="s">
        <v>47</v>
      </c>
      <c r="Z4488">
        <v>31</v>
      </c>
      <c r="AA4488">
        <v>445</v>
      </c>
      <c r="AB4488">
        <v>7</v>
      </c>
    </row>
    <row r="4489" spans="20:28">
      <c r="T4489" s="340" t="str">
        <f t="shared" si="187"/>
        <v>1998MaleAllEth19Sharp object</v>
      </c>
      <c r="U4489">
        <v>1998</v>
      </c>
      <c r="V4489" t="s">
        <v>20</v>
      </c>
      <c r="W4489" t="s">
        <v>27</v>
      </c>
      <c r="X4489">
        <v>19</v>
      </c>
      <c r="Y4489" t="s">
        <v>48</v>
      </c>
      <c r="Z4489">
        <v>7</v>
      </c>
      <c r="AA4489">
        <v>445</v>
      </c>
      <c r="AB4489">
        <v>1.6</v>
      </c>
    </row>
    <row r="4490" spans="20:28">
      <c r="T4490" s="340" t="str">
        <f t="shared" si="187"/>
        <v>1998MaleAllEth19Submersion (drowning)</v>
      </c>
      <c r="U4490">
        <v>1998</v>
      </c>
      <c r="V4490" t="s">
        <v>20</v>
      </c>
      <c r="W4490" t="s">
        <v>27</v>
      </c>
      <c r="X4490">
        <v>19</v>
      </c>
      <c r="Y4490" t="s">
        <v>49</v>
      </c>
      <c r="Z4490">
        <v>7</v>
      </c>
      <c r="AA4490">
        <v>445</v>
      </c>
      <c r="AB4490">
        <v>1.6</v>
      </c>
    </row>
    <row r="4491" spans="20:28">
      <c r="T4491" s="340" t="str">
        <f t="shared" si="187"/>
        <v>1998MaleMaori19Firearms and explosives</v>
      </c>
      <c r="U4491">
        <v>1998</v>
      </c>
      <c r="V4491" t="s">
        <v>20</v>
      </c>
      <c r="W4491" t="s">
        <v>18</v>
      </c>
      <c r="X4491">
        <v>19</v>
      </c>
      <c r="Y4491" t="s">
        <v>42</v>
      </c>
      <c r="Z4491">
        <v>10</v>
      </c>
      <c r="AA4491">
        <v>87</v>
      </c>
      <c r="AB4491">
        <v>11.5</v>
      </c>
    </row>
    <row r="4492" spans="20:28">
      <c r="T4492" s="340" t="str">
        <f t="shared" si="187"/>
        <v>1998MaleMaori19Hanging, strangulation and suffocation</v>
      </c>
      <c r="U4492">
        <v>1998</v>
      </c>
      <c r="V4492" t="s">
        <v>20</v>
      </c>
      <c r="W4492" t="s">
        <v>18</v>
      </c>
      <c r="X4492">
        <v>19</v>
      </c>
      <c r="Y4492" t="s">
        <v>43</v>
      </c>
      <c r="Z4492">
        <v>57</v>
      </c>
      <c r="AA4492">
        <v>87</v>
      </c>
      <c r="AB4492">
        <v>65.5</v>
      </c>
    </row>
    <row r="4493" spans="20:28">
      <c r="T4493" s="340" t="str">
        <f t="shared" si="187"/>
        <v>1998MaleMaori19Jumping from a high place</v>
      </c>
      <c r="U4493">
        <v>1998</v>
      </c>
      <c r="V4493" t="s">
        <v>20</v>
      </c>
      <c r="W4493" t="s">
        <v>18</v>
      </c>
      <c r="X4493">
        <v>19</v>
      </c>
      <c r="Y4493" t="s">
        <v>44</v>
      </c>
      <c r="Z4493">
        <v>2</v>
      </c>
      <c r="AA4493">
        <v>87</v>
      </c>
      <c r="AB4493">
        <v>2.2999999999999998</v>
      </c>
    </row>
    <row r="4494" spans="20:28">
      <c r="T4494" s="340" t="str">
        <f t="shared" si="187"/>
        <v>1998MaleMaori19Other</v>
      </c>
      <c r="U4494">
        <v>1998</v>
      </c>
      <c r="V4494" t="s">
        <v>20</v>
      </c>
      <c r="W4494" t="s">
        <v>18</v>
      </c>
      <c r="X4494">
        <v>19</v>
      </c>
      <c r="Y4494" t="s">
        <v>45</v>
      </c>
      <c r="Z4494">
        <v>5</v>
      </c>
      <c r="AA4494">
        <v>87</v>
      </c>
      <c r="AB4494">
        <v>5.7</v>
      </c>
    </row>
    <row r="4495" spans="20:28">
      <c r="T4495" s="340" t="str">
        <f t="shared" si="187"/>
        <v>1998MaleMaori19Poisoning by gases and vapours</v>
      </c>
      <c r="U4495">
        <v>1998</v>
      </c>
      <c r="V4495" t="s">
        <v>20</v>
      </c>
      <c r="W4495" t="s">
        <v>18</v>
      </c>
      <c r="X4495">
        <v>19</v>
      </c>
      <c r="Y4495" t="s">
        <v>46</v>
      </c>
      <c r="Z4495">
        <v>9</v>
      </c>
      <c r="AA4495">
        <v>87</v>
      </c>
      <c r="AB4495">
        <v>10.3</v>
      </c>
    </row>
    <row r="4496" spans="20:28">
      <c r="T4496" s="340" t="str">
        <f t="shared" si="187"/>
        <v>1998MaleMaori19Poisoning by solids and liquids</v>
      </c>
      <c r="U4496">
        <v>1998</v>
      </c>
      <c r="V4496" t="s">
        <v>20</v>
      </c>
      <c r="W4496" t="s">
        <v>18</v>
      </c>
      <c r="X4496">
        <v>19</v>
      </c>
      <c r="Y4496" t="s">
        <v>47</v>
      </c>
      <c r="Z4496">
        <v>3</v>
      </c>
      <c r="AA4496">
        <v>87</v>
      </c>
      <c r="AB4496">
        <v>3.4</v>
      </c>
    </row>
    <row r="4497" spans="20:28">
      <c r="T4497" s="340" t="str">
        <f t="shared" si="187"/>
        <v>1998MaleMaori19Sharp object</v>
      </c>
      <c r="U4497">
        <v>1998</v>
      </c>
      <c r="V4497" t="s">
        <v>20</v>
      </c>
      <c r="W4497" t="s">
        <v>18</v>
      </c>
      <c r="X4497">
        <v>19</v>
      </c>
      <c r="Y4497" t="s">
        <v>48</v>
      </c>
      <c r="Z4497">
        <v>1</v>
      </c>
      <c r="AA4497">
        <v>87</v>
      </c>
      <c r="AB4497">
        <v>1.1000000000000001</v>
      </c>
    </row>
    <row r="4498" spans="20:28">
      <c r="T4498" s="340" t="str">
        <f t="shared" si="187"/>
        <v>1998MaleNon-Maori19Firearms and explosives</v>
      </c>
      <c r="U4498">
        <v>1998</v>
      </c>
      <c r="V4498" t="s">
        <v>20</v>
      </c>
      <c r="W4498" t="s">
        <v>19</v>
      </c>
      <c r="X4498">
        <v>19</v>
      </c>
      <c r="Y4498" t="s">
        <v>42</v>
      </c>
      <c r="Z4498">
        <v>61</v>
      </c>
      <c r="AA4498">
        <v>358</v>
      </c>
      <c r="AB4498">
        <v>17</v>
      </c>
    </row>
    <row r="4499" spans="20:28">
      <c r="T4499" s="340" t="str">
        <f t="shared" si="187"/>
        <v>1998MaleNon-Maori19Hanging, strangulation and suffocation</v>
      </c>
      <c r="U4499">
        <v>1998</v>
      </c>
      <c r="V4499" t="s">
        <v>20</v>
      </c>
      <c r="W4499" t="s">
        <v>19</v>
      </c>
      <c r="X4499">
        <v>19</v>
      </c>
      <c r="Y4499" t="s">
        <v>43</v>
      </c>
      <c r="Z4499">
        <v>132</v>
      </c>
      <c r="AA4499">
        <v>358</v>
      </c>
      <c r="AB4499">
        <v>36.9</v>
      </c>
    </row>
    <row r="4500" spans="20:28">
      <c r="T4500" s="340" t="str">
        <f t="shared" si="187"/>
        <v>1998MaleNon-Maori19Jumping from a high place</v>
      </c>
      <c r="U4500">
        <v>1998</v>
      </c>
      <c r="V4500" t="s">
        <v>20</v>
      </c>
      <c r="W4500" t="s">
        <v>19</v>
      </c>
      <c r="X4500">
        <v>19</v>
      </c>
      <c r="Y4500" t="s">
        <v>44</v>
      </c>
      <c r="Z4500">
        <v>9</v>
      </c>
      <c r="AA4500">
        <v>358</v>
      </c>
      <c r="AB4500">
        <v>2.5</v>
      </c>
    </row>
    <row r="4501" spans="20:28">
      <c r="T4501" s="340" t="str">
        <f t="shared" si="187"/>
        <v>1998MaleNon-Maori19Other</v>
      </c>
      <c r="U4501">
        <v>1998</v>
      </c>
      <c r="V4501" t="s">
        <v>20</v>
      </c>
      <c r="W4501" t="s">
        <v>19</v>
      </c>
      <c r="X4501">
        <v>19</v>
      </c>
      <c r="Y4501" t="s">
        <v>45</v>
      </c>
      <c r="Z4501">
        <v>13</v>
      </c>
      <c r="AA4501">
        <v>358</v>
      </c>
      <c r="AB4501">
        <v>3.6</v>
      </c>
    </row>
    <row r="4502" spans="20:28">
      <c r="T4502" s="340" t="str">
        <f t="shared" si="187"/>
        <v>1998MaleNon-Maori19Poisoning by gases and vapours</v>
      </c>
      <c r="U4502">
        <v>1998</v>
      </c>
      <c r="V4502" t="s">
        <v>20</v>
      </c>
      <c r="W4502" t="s">
        <v>19</v>
      </c>
      <c r="X4502">
        <v>19</v>
      </c>
      <c r="Y4502" t="s">
        <v>46</v>
      </c>
      <c r="Z4502">
        <v>102</v>
      </c>
      <c r="AA4502">
        <v>358</v>
      </c>
      <c r="AB4502">
        <v>28.5</v>
      </c>
    </row>
    <row r="4503" spans="20:28">
      <c r="T4503" s="340" t="str">
        <f t="shared" si="187"/>
        <v>1998MaleNon-Maori19Poisoning by solids and liquids</v>
      </c>
      <c r="U4503">
        <v>1998</v>
      </c>
      <c r="V4503" t="s">
        <v>20</v>
      </c>
      <c r="W4503" t="s">
        <v>19</v>
      </c>
      <c r="X4503">
        <v>19</v>
      </c>
      <c r="Y4503" t="s">
        <v>47</v>
      </c>
      <c r="Z4503">
        <v>28</v>
      </c>
      <c r="AA4503">
        <v>358</v>
      </c>
      <c r="AB4503">
        <v>7.8</v>
      </c>
    </row>
    <row r="4504" spans="20:28">
      <c r="T4504" s="340" t="str">
        <f t="shared" si="187"/>
        <v>1998MaleNon-Maori19Sharp object</v>
      </c>
      <c r="U4504">
        <v>1998</v>
      </c>
      <c r="V4504" t="s">
        <v>20</v>
      </c>
      <c r="W4504" t="s">
        <v>19</v>
      </c>
      <c r="X4504">
        <v>19</v>
      </c>
      <c r="Y4504" t="s">
        <v>48</v>
      </c>
      <c r="Z4504">
        <v>6</v>
      </c>
      <c r="AA4504">
        <v>358</v>
      </c>
      <c r="AB4504">
        <v>1.7</v>
      </c>
    </row>
    <row r="4505" spans="20:28">
      <c r="T4505" s="340" t="str">
        <f t="shared" si="187"/>
        <v>1998MaleNon-Maori19Submersion (drowning)</v>
      </c>
      <c r="U4505">
        <v>1998</v>
      </c>
      <c r="V4505" t="s">
        <v>20</v>
      </c>
      <c r="W4505" t="s">
        <v>19</v>
      </c>
      <c r="X4505">
        <v>19</v>
      </c>
      <c r="Y4505" t="s">
        <v>49</v>
      </c>
      <c r="Z4505">
        <v>7</v>
      </c>
      <c r="AA4505">
        <v>358</v>
      </c>
      <c r="AB4505">
        <v>2</v>
      </c>
    </row>
    <row r="4506" spans="20:28">
      <c r="T4506" s="340" t="str">
        <f t="shared" si="187"/>
        <v>1999AllSexAllEth19Firearms and explosives</v>
      </c>
      <c r="U4506">
        <v>1999</v>
      </c>
      <c r="V4506" t="s">
        <v>17</v>
      </c>
      <c r="W4506" t="s">
        <v>27</v>
      </c>
      <c r="X4506">
        <v>19</v>
      </c>
      <c r="Y4506" t="s">
        <v>42</v>
      </c>
      <c r="Z4506">
        <v>47</v>
      </c>
      <c r="AA4506">
        <v>516</v>
      </c>
      <c r="AB4506">
        <v>9.1</v>
      </c>
    </row>
    <row r="4507" spans="20:28">
      <c r="T4507" s="340" t="str">
        <f t="shared" si="187"/>
        <v>1999AllSexAllEth19Hanging, strangulation and suffocation</v>
      </c>
      <c r="U4507">
        <v>1999</v>
      </c>
      <c r="V4507" t="s">
        <v>17</v>
      </c>
      <c r="W4507" t="s">
        <v>27</v>
      </c>
      <c r="X4507">
        <v>19</v>
      </c>
      <c r="Y4507" t="s">
        <v>43</v>
      </c>
      <c r="Z4507">
        <v>242</v>
      </c>
      <c r="AA4507">
        <v>516</v>
      </c>
      <c r="AB4507">
        <v>46.9</v>
      </c>
    </row>
    <row r="4508" spans="20:28">
      <c r="T4508" s="340" t="str">
        <f t="shared" si="187"/>
        <v>1999AllSexAllEth19Jumping from a high place</v>
      </c>
      <c r="U4508">
        <v>1999</v>
      </c>
      <c r="V4508" t="s">
        <v>17</v>
      </c>
      <c r="W4508" t="s">
        <v>27</v>
      </c>
      <c r="X4508">
        <v>19</v>
      </c>
      <c r="Y4508" t="s">
        <v>44</v>
      </c>
      <c r="Z4508">
        <v>17</v>
      </c>
      <c r="AA4508">
        <v>516</v>
      </c>
      <c r="AB4508">
        <v>3.3</v>
      </c>
    </row>
    <row r="4509" spans="20:28">
      <c r="T4509" s="340" t="str">
        <f t="shared" si="187"/>
        <v>1999AllSexAllEth19Other</v>
      </c>
      <c r="U4509">
        <v>1999</v>
      </c>
      <c r="V4509" t="s">
        <v>17</v>
      </c>
      <c r="W4509" t="s">
        <v>27</v>
      </c>
      <c r="X4509">
        <v>19</v>
      </c>
      <c r="Y4509" t="s">
        <v>45</v>
      </c>
      <c r="Z4509">
        <v>17</v>
      </c>
      <c r="AA4509">
        <v>516</v>
      </c>
      <c r="AB4509">
        <v>3.3</v>
      </c>
    </row>
    <row r="4510" spans="20:28">
      <c r="T4510" s="340" t="str">
        <f t="shared" si="187"/>
        <v>1999AllSexAllEth19Poisoning by gases and vapours</v>
      </c>
      <c r="U4510">
        <v>1999</v>
      </c>
      <c r="V4510" t="s">
        <v>17</v>
      </c>
      <c r="W4510" t="s">
        <v>27</v>
      </c>
      <c r="X4510">
        <v>19</v>
      </c>
      <c r="Y4510" t="s">
        <v>46</v>
      </c>
      <c r="Z4510">
        <v>117</v>
      </c>
      <c r="AA4510">
        <v>516</v>
      </c>
      <c r="AB4510">
        <v>22.7</v>
      </c>
    </row>
    <row r="4511" spans="20:28">
      <c r="T4511" s="340" t="str">
        <f t="shared" si="187"/>
        <v>1999AllSexAllEth19Poisoning by solids and liquids</v>
      </c>
      <c r="U4511">
        <v>1999</v>
      </c>
      <c r="V4511" t="s">
        <v>17</v>
      </c>
      <c r="W4511" t="s">
        <v>27</v>
      </c>
      <c r="X4511">
        <v>19</v>
      </c>
      <c r="Y4511" t="s">
        <v>47</v>
      </c>
      <c r="Z4511">
        <v>52</v>
      </c>
      <c r="AA4511">
        <v>516</v>
      </c>
      <c r="AB4511">
        <v>10.1</v>
      </c>
    </row>
    <row r="4512" spans="20:28">
      <c r="T4512" s="340" t="str">
        <f t="shared" si="187"/>
        <v>1999AllSexAllEth19Sharp object</v>
      </c>
      <c r="U4512">
        <v>1999</v>
      </c>
      <c r="V4512" t="s">
        <v>17</v>
      </c>
      <c r="W4512" t="s">
        <v>27</v>
      </c>
      <c r="X4512">
        <v>19</v>
      </c>
      <c r="Y4512" t="s">
        <v>48</v>
      </c>
      <c r="Z4512">
        <v>8</v>
      </c>
      <c r="AA4512">
        <v>516</v>
      </c>
      <c r="AB4512">
        <v>1.6</v>
      </c>
    </row>
    <row r="4513" spans="20:28">
      <c r="T4513" s="340" t="str">
        <f t="shared" si="187"/>
        <v>1999AllSexAllEth19Submersion (drowning)</v>
      </c>
      <c r="U4513">
        <v>1999</v>
      </c>
      <c r="V4513" t="s">
        <v>17</v>
      </c>
      <c r="W4513" t="s">
        <v>27</v>
      </c>
      <c r="X4513">
        <v>19</v>
      </c>
      <c r="Y4513" t="s">
        <v>49</v>
      </c>
      <c r="Z4513">
        <v>16</v>
      </c>
      <c r="AA4513">
        <v>516</v>
      </c>
      <c r="AB4513">
        <v>3.1</v>
      </c>
    </row>
    <row r="4514" spans="20:28">
      <c r="T4514" s="340" t="str">
        <f t="shared" si="187"/>
        <v>1999AllSexMaori19Firearms and explosives</v>
      </c>
      <c r="U4514">
        <v>1999</v>
      </c>
      <c r="V4514" t="s">
        <v>17</v>
      </c>
      <c r="W4514" t="s">
        <v>18</v>
      </c>
      <c r="X4514">
        <v>19</v>
      </c>
      <c r="Y4514" t="s">
        <v>42</v>
      </c>
      <c r="Z4514">
        <v>2</v>
      </c>
      <c r="AA4514">
        <v>79</v>
      </c>
      <c r="AB4514">
        <v>2.5</v>
      </c>
    </row>
    <row r="4515" spans="20:28">
      <c r="T4515" s="340" t="str">
        <f t="shared" si="187"/>
        <v>1999AllSexMaori19Hanging, strangulation and suffocation</v>
      </c>
      <c r="U4515">
        <v>1999</v>
      </c>
      <c r="V4515" t="s">
        <v>17</v>
      </c>
      <c r="W4515" t="s">
        <v>18</v>
      </c>
      <c r="X4515">
        <v>19</v>
      </c>
      <c r="Y4515" t="s">
        <v>43</v>
      </c>
      <c r="Z4515">
        <v>59</v>
      </c>
      <c r="AA4515">
        <v>79</v>
      </c>
      <c r="AB4515">
        <v>74.7</v>
      </c>
    </row>
    <row r="4516" spans="20:28">
      <c r="T4516" s="340" t="str">
        <f t="shared" si="187"/>
        <v>1999AllSexMaori19Jumping from a high place</v>
      </c>
      <c r="U4516">
        <v>1999</v>
      </c>
      <c r="V4516" t="s">
        <v>17</v>
      </c>
      <c r="W4516" t="s">
        <v>18</v>
      </c>
      <c r="X4516">
        <v>19</v>
      </c>
      <c r="Y4516" t="s">
        <v>44</v>
      </c>
      <c r="Z4516">
        <v>2</v>
      </c>
      <c r="AA4516">
        <v>79</v>
      </c>
      <c r="AB4516">
        <v>2.5</v>
      </c>
    </row>
    <row r="4517" spans="20:28">
      <c r="T4517" s="340" t="str">
        <f t="shared" si="187"/>
        <v>1999AllSexMaori19Other</v>
      </c>
      <c r="U4517">
        <v>1999</v>
      </c>
      <c r="V4517" t="s">
        <v>17</v>
      </c>
      <c r="W4517" t="s">
        <v>18</v>
      </c>
      <c r="X4517">
        <v>19</v>
      </c>
      <c r="Y4517" t="s">
        <v>45</v>
      </c>
      <c r="Z4517">
        <v>6</v>
      </c>
      <c r="AA4517">
        <v>79</v>
      </c>
      <c r="AB4517">
        <v>7.6</v>
      </c>
    </row>
    <row r="4518" spans="20:28">
      <c r="T4518" s="340" t="str">
        <f t="shared" si="187"/>
        <v>1999AllSexMaori19Poisoning by gases and vapours</v>
      </c>
      <c r="U4518">
        <v>1999</v>
      </c>
      <c r="V4518" t="s">
        <v>17</v>
      </c>
      <c r="W4518" t="s">
        <v>18</v>
      </c>
      <c r="X4518">
        <v>19</v>
      </c>
      <c r="Y4518" t="s">
        <v>46</v>
      </c>
      <c r="Z4518">
        <v>5</v>
      </c>
      <c r="AA4518">
        <v>79</v>
      </c>
      <c r="AB4518">
        <v>6.3</v>
      </c>
    </row>
    <row r="4519" spans="20:28">
      <c r="T4519" s="340" t="str">
        <f t="shared" si="187"/>
        <v>1999AllSexMaori19Poisoning by solids and liquids</v>
      </c>
      <c r="U4519">
        <v>1999</v>
      </c>
      <c r="V4519" t="s">
        <v>17</v>
      </c>
      <c r="W4519" t="s">
        <v>18</v>
      </c>
      <c r="X4519">
        <v>19</v>
      </c>
      <c r="Y4519" t="s">
        <v>47</v>
      </c>
      <c r="Z4519">
        <v>5</v>
      </c>
      <c r="AA4519">
        <v>79</v>
      </c>
      <c r="AB4519">
        <v>6.3</v>
      </c>
    </row>
    <row r="4520" spans="20:28">
      <c r="T4520" s="340" t="str">
        <f t="shared" si="187"/>
        <v>1999AllSexNon-Maori19Firearms and explosives</v>
      </c>
      <c r="U4520">
        <v>1999</v>
      </c>
      <c r="V4520" t="s">
        <v>17</v>
      </c>
      <c r="W4520" t="s">
        <v>19</v>
      </c>
      <c r="X4520">
        <v>19</v>
      </c>
      <c r="Y4520" t="s">
        <v>42</v>
      </c>
      <c r="Z4520">
        <v>45</v>
      </c>
      <c r="AA4520">
        <v>437</v>
      </c>
      <c r="AB4520">
        <v>10.3</v>
      </c>
    </row>
    <row r="4521" spans="20:28">
      <c r="T4521" s="340" t="str">
        <f t="shared" si="187"/>
        <v>1999AllSexNon-Maori19Hanging, strangulation and suffocation</v>
      </c>
      <c r="U4521">
        <v>1999</v>
      </c>
      <c r="V4521" t="s">
        <v>17</v>
      </c>
      <c r="W4521" t="s">
        <v>19</v>
      </c>
      <c r="X4521">
        <v>19</v>
      </c>
      <c r="Y4521" t="s">
        <v>43</v>
      </c>
      <c r="Z4521">
        <v>183</v>
      </c>
      <c r="AA4521">
        <v>437</v>
      </c>
      <c r="AB4521">
        <v>41.9</v>
      </c>
    </row>
    <row r="4522" spans="20:28">
      <c r="T4522" s="340" t="str">
        <f t="shared" si="187"/>
        <v>1999AllSexNon-Maori19Jumping from a high place</v>
      </c>
      <c r="U4522">
        <v>1999</v>
      </c>
      <c r="V4522" t="s">
        <v>17</v>
      </c>
      <c r="W4522" t="s">
        <v>19</v>
      </c>
      <c r="X4522">
        <v>19</v>
      </c>
      <c r="Y4522" t="s">
        <v>44</v>
      </c>
      <c r="Z4522">
        <v>15</v>
      </c>
      <c r="AA4522">
        <v>437</v>
      </c>
      <c r="AB4522">
        <v>3.4</v>
      </c>
    </row>
    <row r="4523" spans="20:28">
      <c r="T4523" s="340" t="str">
        <f t="shared" si="187"/>
        <v>1999AllSexNon-Maori19Other</v>
      </c>
      <c r="U4523">
        <v>1999</v>
      </c>
      <c r="V4523" t="s">
        <v>17</v>
      </c>
      <c r="W4523" t="s">
        <v>19</v>
      </c>
      <c r="X4523">
        <v>19</v>
      </c>
      <c r="Y4523" t="s">
        <v>45</v>
      </c>
      <c r="Z4523">
        <v>11</v>
      </c>
      <c r="AA4523">
        <v>437</v>
      </c>
      <c r="AB4523">
        <v>2.5</v>
      </c>
    </row>
    <row r="4524" spans="20:28">
      <c r="T4524" s="340" t="str">
        <f t="shared" si="187"/>
        <v>1999AllSexNon-Maori19Poisoning by gases and vapours</v>
      </c>
      <c r="U4524">
        <v>1999</v>
      </c>
      <c r="V4524" t="s">
        <v>17</v>
      </c>
      <c r="W4524" t="s">
        <v>19</v>
      </c>
      <c r="X4524">
        <v>19</v>
      </c>
      <c r="Y4524" t="s">
        <v>46</v>
      </c>
      <c r="Z4524">
        <v>112</v>
      </c>
      <c r="AA4524">
        <v>437</v>
      </c>
      <c r="AB4524">
        <v>25.6</v>
      </c>
    </row>
    <row r="4525" spans="20:28">
      <c r="T4525" s="340" t="str">
        <f t="shared" si="187"/>
        <v>1999AllSexNon-Maori19Poisoning by solids and liquids</v>
      </c>
      <c r="U4525">
        <v>1999</v>
      </c>
      <c r="V4525" t="s">
        <v>17</v>
      </c>
      <c r="W4525" t="s">
        <v>19</v>
      </c>
      <c r="X4525">
        <v>19</v>
      </c>
      <c r="Y4525" t="s">
        <v>47</v>
      </c>
      <c r="Z4525">
        <v>47</v>
      </c>
      <c r="AA4525">
        <v>437</v>
      </c>
      <c r="AB4525">
        <v>10.8</v>
      </c>
    </row>
    <row r="4526" spans="20:28">
      <c r="T4526" s="340" t="str">
        <f t="shared" si="187"/>
        <v>1999AllSexNon-Maori19Sharp object</v>
      </c>
      <c r="U4526">
        <v>1999</v>
      </c>
      <c r="V4526" t="s">
        <v>17</v>
      </c>
      <c r="W4526" t="s">
        <v>19</v>
      </c>
      <c r="X4526">
        <v>19</v>
      </c>
      <c r="Y4526" t="s">
        <v>48</v>
      </c>
      <c r="Z4526">
        <v>8</v>
      </c>
      <c r="AA4526">
        <v>437</v>
      </c>
      <c r="AB4526">
        <v>1.8</v>
      </c>
    </row>
    <row r="4527" spans="20:28">
      <c r="T4527" s="340" t="str">
        <f t="shared" si="187"/>
        <v>1999AllSexNon-Maori19Submersion (drowning)</v>
      </c>
      <c r="U4527">
        <v>1999</v>
      </c>
      <c r="V4527" t="s">
        <v>17</v>
      </c>
      <c r="W4527" t="s">
        <v>19</v>
      </c>
      <c r="X4527">
        <v>19</v>
      </c>
      <c r="Y4527" t="s">
        <v>49</v>
      </c>
      <c r="Z4527">
        <v>16</v>
      </c>
      <c r="AA4527">
        <v>437</v>
      </c>
      <c r="AB4527">
        <v>3.7</v>
      </c>
    </row>
    <row r="4528" spans="20:28">
      <c r="T4528" s="340" t="str">
        <f t="shared" si="187"/>
        <v>1999FemaleAllEth19Firearms and explosives</v>
      </c>
      <c r="U4528">
        <v>1999</v>
      </c>
      <c r="V4528" t="s">
        <v>8</v>
      </c>
      <c r="W4528" t="s">
        <v>27</v>
      </c>
      <c r="X4528">
        <v>19</v>
      </c>
      <c r="Y4528" t="s">
        <v>42</v>
      </c>
      <c r="Z4528">
        <v>4</v>
      </c>
      <c r="AA4528">
        <v>132</v>
      </c>
      <c r="AB4528">
        <v>3</v>
      </c>
    </row>
    <row r="4529" spans="20:28">
      <c r="T4529" s="340" t="str">
        <f t="shared" si="187"/>
        <v>1999FemaleAllEth19Hanging, strangulation and suffocation</v>
      </c>
      <c r="U4529">
        <v>1999</v>
      </c>
      <c r="V4529" t="s">
        <v>8</v>
      </c>
      <c r="W4529" t="s">
        <v>27</v>
      </c>
      <c r="X4529">
        <v>19</v>
      </c>
      <c r="Y4529" t="s">
        <v>43</v>
      </c>
      <c r="Z4529">
        <v>61</v>
      </c>
      <c r="AA4529">
        <v>132</v>
      </c>
      <c r="AB4529">
        <v>46.2</v>
      </c>
    </row>
    <row r="4530" spans="20:28">
      <c r="T4530" s="340" t="str">
        <f t="shared" si="187"/>
        <v>1999FemaleAllEth19Jumping from a high place</v>
      </c>
      <c r="U4530">
        <v>1999</v>
      </c>
      <c r="V4530" t="s">
        <v>8</v>
      </c>
      <c r="W4530" t="s">
        <v>27</v>
      </c>
      <c r="X4530">
        <v>19</v>
      </c>
      <c r="Y4530" t="s">
        <v>44</v>
      </c>
      <c r="Z4530">
        <v>4</v>
      </c>
      <c r="AA4530">
        <v>132</v>
      </c>
      <c r="AB4530">
        <v>3</v>
      </c>
    </row>
    <row r="4531" spans="20:28">
      <c r="T4531" s="340" t="str">
        <f t="shared" si="187"/>
        <v>1999FemaleAllEth19Other</v>
      </c>
      <c r="U4531">
        <v>1999</v>
      </c>
      <c r="V4531" t="s">
        <v>8</v>
      </c>
      <c r="W4531" t="s">
        <v>27</v>
      </c>
      <c r="X4531">
        <v>19</v>
      </c>
      <c r="Y4531" t="s">
        <v>45</v>
      </c>
      <c r="Z4531">
        <v>4</v>
      </c>
      <c r="AA4531">
        <v>132</v>
      </c>
      <c r="AB4531">
        <v>3</v>
      </c>
    </row>
    <row r="4532" spans="20:28">
      <c r="T4532" s="340" t="str">
        <f t="shared" si="187"/>
        <v>1999FemaleAllEth19Poisoning by gases and vapours</v>
      </c>
      <c r="U4532">
        <v>1999</v>
      </c>
      <c r="V4532" t="s">
        <v>8</v>
      </c>
      <c r="W4532" t="s">
        <v>27</v>
      </c>
      <c r="X4532">
        <v>19</v>
      </c>
      <c r="Y4532" t="s">
        <v>46</v>
      </c>
      <c r="Z4532">
        <v>22</v>
      </c>
      <c r="AA4532">
        <v>132</v>
      </c>
      <c r="AB4532">
        <v>16.7</v>
      </c>
    </row>
    <row r="4533" spans="20:28">
      <c r="T4533" s="340" t="str">
        <f t="shared" si="187"/>
        <v>1999FemaleAllEth19Poisoning by solids and liquids</v>
      </c>
      <c r="U4533">
        <v>1999</v>
      </c>
      <c r="V4533" t="s">
        <v>8</v>
      </c>
      <c r="W4533" t="s">
        <v>27</v>
      </c>
      <c r="X4533">
        <v>19</v>
      </c>
      <c r="Y4533" t="s">
        <v>47</v>
      </c>
      <c r="Z4533">
        <v>30</v>
      </c>
      <c r="AA4533">
        <v>132</v>
      </c>
      <c r="AB4533">
        <v>22.7</v>
      </c>
    </row>
    <row r="4534" spans="20:28">
      <c r="T4534" s="340" t="str">
        <f t="shared" si="187"/>
        <v>1999FemaleAllEth19Sharp object</v>
      </c>
      <c r="U4534">
        <v>1999</v>
      </c>
      <c r="V4534" t="s">
        <v>8</v>
      </c>
      <c r="W4534" t="s">
        <v>27</v>
      </c>
      <c r="X4534">
        <v>19</v>
      </c>
      <c r="Y4534" t="s">
        <v>48</v>
      </c>
      <c r="Z4534">
        <v>2</v>
      </c>
      <c r="AA4534">
        <v>132</v>
      </c>
      <c r="AB4534">
        <v>1.5</v>
      </c>
    </row>
    <row r="4535" spans="20:28">
      <c r="T4535" s="340" t="str">
        <f t="shared" si="187"/>
        <v>1999FemaleAllEth19Submersion (drowning)</v>
      </c>
      <c r="U4535">
        <v>1999</v>
      </c>
      <c r="V4535" t="s">
        <v>8</v>
      </c>
      <c r="W4535" t="s">
        <v>27</v>
      </c>
      <c r="X4535">
        <v>19</v>
      </c>
      <c r="Y4535" t="s">
        <v>49</v>
      </c>
      <c r="Z4535">
        <v>5</v>
      </c>
      <c r="AA4535">
        <v>132</v>
      </c>
      <c r="AB4535">
        <v>3.8</v>
      </c>
    </row>
    <row r="4536" spans="20:28">
      <c r="T4536" s="340" t="str">
        <f t="shared" si="187"/>
        <v>1999FemaleMaori19Hanging, strangulation and suffocation</v>
      </c>
      <c r="U4536">
        <v>1999</v>
      </c>
      <c r="V4536" t="s">
        <v>8</v>
      </c>
      <c r="W4536" t="s">
        <v>18</v>
      </c>
      <c r="X4536">
        <v>19</v>
      </c>
      <c r="Y4536" t="s">
        <v>43</v>
      </c>
      <c r="Z4536">
        <v>16</v>
      </c>
      <c r="AA4536">
        <v>20</v>
      </c>
      <c r="AB4536">
        <v>80</v>
      </c>
    </row>
    <row r="4537" spans="20:28">
      <c r="T4537" s="340" t="str">
        <f t="shared" si="187"/>
        <v>1999FemaleMaori19Other</v>
      </c>
      <c r="U4537">
        <v>1999</v>
      </c>
      <c r="V4537" t="s">
        <v>8</v>
      </c>
      <c r="W4537" t="s">
        <v>18</v>
      </c>
      <c r="X4537">
        <v>19</v>
      </c>
      <c r="Y4537" t="s">
        <v>45</v>
      </c>
      <c r="Z4537">
        <v>2</v>
      </c>
      <c r="AA4537">
        <v>20</v>
      </c>
      <c r="AB4537">
        <v>10</v>
      </c>
    </row>
    <row r="4538" spans="20:28">
      <c r="T4538" s="340" t="str">
        <f t="shared" si="187"/>
        <v>1999FemaleMaori19Poisoning by gases and vapours</v>
      </c>
      <c r="U4538">
        <v>1999</v>
      </c>
      <c r="V4538" t="s">
        <v>8</v>
      </c>
      <c r="W4538" t="s">
        <v>18</v>
      </c>
      <c r="X4538">
        <v>19</v>
      </c>
      <c r="Y4538" t="s">
        <v>46</v>
      </c>
      <c r="Z4538">
        <v>1</v>
      </c>
      <c r="AA4538">
        <v>20</v>
      </c>
      <c r="AB4538">
        <v>5</v>
      </c>
    </row>
    <row r="4539" spans="20:28">
      <c r="T4539" s="340" t="str">
        <f t="shared" si="187"/>
        <v>1999FemaleMaori19Poisoning by solids and liquids</v>
      </c>
      <c r="U4539">
        <v>1999</v>
      </c>
      <c r="V4539" t="s">
        <v>8</v>
      </c>
      <c r="W4539" t="s">
        <v>18</v>
      </c>
      <c r="X4539">
        <v>19</v>
      </c>
      <c r="Y4539" t="s">
        <v>47</v>
      </c>
      <c r="Z4539">
        <v>1</v>
      </c>
      <c r="AA4539">
        <v>20</v>
      </c>
      <c r="AB4539">
        <v>5</v>
      </c>
    </row>
    <row r="4540" spans="20:28">
      <c r="T4540" s="340" t="str">
        <f t="shared" si="187"/>
        <v>1999FemaleNon-Maori19Firearms and explosives</v>
      </c>
      <c r="U4540">
        <v>1999</v>
      </c>
      <c r="V4540" t="s">
        <v>8</v>
      </c>
      <c r="W4540" t="s">
        <v>19</v>
      </c>
      <c r="X4540">
        <v>19</v>
      </c>
      <c r="Y4540" t="s">
        <v>42</v>
      </c>
      <c r="Z4540">
        <v>4</v>
      </c>
      <c r="AA4540">
        <v>112</v>
      </c>
      <c r="AB4540">
        <v>3.6</v>
      </c>
    </row>
    <row r="4541" spans="20:28">
      <c r="T4541" s="340" t="str">
        <f t="shared" si="187"/>
        <v>1999FemaleNon-Maori19Hanging, strangulation and suffocation</v>
      </c>
      <c r="U4541">
        <v>1999</v>
      </c>
      <c r="V4541" t="s">
        <v>8</v>
      </c>
      <c r="W4541" t="s">
        <v>19</v>
      </c>
      <c r="X4541">
        <v>19</v>
      </c>
      <c r="Y4541" t="s">
        <v>43</v>
      </c>
      <c r="Z4541">
        <v>45</v>
      </c>
      <c r="AA4541">
        <v>112</v>
      </c>
      <c r="AB4541">
        <v>40.200000000000003</v>
      </c>
    </row>
    <row r="4542" spans="20:28">
      <c r="T4542" s="340" t="str">
        <f t="shared" si="187"/>
        <v>1999FemaleNon-Maori19Jumping from a high place</v>
      </c>
      <c r="U4542">
        <v>1999</v>
      </c>
      <c r="V4542" t="s">
        <v>8</v>
      </c>
      <c r="W4542" t="s">
        <v>19</v>
      </c>
      <c r="X4542">
        <v>19</v>
      </c>
      <c r="Y4542" t="s">
        <v>44</v>
      </c>
      <c r="Z4542">
        <v>4</v>
      </c>
      <c r="AA4542">
        <v>112</v>
      </c>
      <c r="AB4542">
        <v>3.6</v>
      </c>
    </row>
    <row r="4543" spans="20:28">
      <c r="T4543" s="340" t="str">
        <f t="shared" si="187"/>
        <v>1999FemaleNon-Maori19Other</v>
      </c>
      <c r="U4543">
        <v>1999</v>
      </c>
      <c r="V4543" t="s">
        <v>8</v>
      </c>
      <c r="W4543" t="s">
        <v>19</v>
      </c>
      <c r="X4543">
        <v>19</v>
      </c>
      <c r="Y4543" t="s">
        <v>45</v>
      </c>
      <c r="Z4543">
        <v>2</v>
      </c>
      <c r="AA4543">
        <v>112</v>
      </c>
      <c r="AB4543">
        <v>1.8</v>
      </c>
    </row>
    <row r="4544" spans="20:28">
      <c r="T4544" s="340" t="str">
        <f t="shared" si="187"/>
        <v>1999FemaleNon-Maori19Poisoning by gases and vapours</v>
      </c>
      <c r="U4544">
        <v>1999</v>
      </c>
      <c r="V4544" t="s">
        <v>8</v>
      </c>
      <c r="W4544" t="s">
        <v>19</v>
      </c>
      <c r="X4544">
        <v>19</v>
      </c>
      <c r="Y4544" t="s">
        <v>46</v>
      </c>
      <c r="Z4544">
        <v>21</v>
      </c>
      <c r="AA4544">
        <v>112</v>
      </c>
      <c r="AB4544">
        <v>18.8</v>
      </c>
    </row>
    <row r="4545" spans="20:28">
      <c r="T4545" s="340" t="str">
        <f t="shared" si="187"/>
        <v>1999FemaleNon-Maori19Poisoning by solids and liquids</v>
      </c>
      <c r="U4545">
        <v>1999</v>
      </c>
      <c r="V4545" t="s">
        <v>8</v>
      </c>
      <c r="W4545" t="s">
        <v>19</v>
      </c>
      <c r="X4545">
        <v>19</v>
      </c>
      <c r="Y4545" t="s">
        <v>47</v>
      </c>
      <c r="Z4545">
        <v>29</v>
      </c>
      <c r="AA4545">
        <v>112</v>
      </c>
      <c r="AB4545">
        <v>25.9</v>
      </c>
    </row>
    <row r="4546" spans="20:28">
      <c r="T4546" s="340" t="str">
        <f t="shared" si="187"/>
        <v>1999FemaleNon-Maori19Sharp object</v>
      </c>
      <c r="U4546">
        <v>1999</v>
      </c>
      <c r="V4546" t="s">
        <v>8</v>
      </c>
      <c r="W4546" t="s">
        <v>19</v>
      </c>
      <c r="X4546">
        <v>19</v>
      </c>
      <c r="Y4546" t="s">
        <v>48</v>
      </c>
      <c r="Z4546">
        <v>2</v>
      </c>
      <c r="AA4546">
        <v>112</v>
      </c>
      <c r="AB4546">
        <v>1.8</v>
      </c>
    </row>
    <row r="4547" spans="20:28">
      <c r="T4547" s="340" t="str">
        <f t="shared" si="187"/>
        <v>1999FemaleNon-Maori19Submersion (drowning)</v>
      </c>
      <c r="U4547">
        <v>1999</v>
      </c>
      <c r="V4547" t="s">
        <v>8</v>
      </c>
      <c r="W4547" t="s">
        <v>19</v>
      </c>
      <c r="X4547">
        <v>19</v>
      </c>
      <c r="Y4547" t="s">
        <v>49</v>
      </c>
      <c r="Z4547">
        <v>5</v>
      </c>
      <c r="AA4547">
        <v>112</v>
      </c>
      <c r="AB4547">
        <v>4.5</v>
      </c>
    </row>
    <row r="4548" spans="20:28">
      <c r="T4548" s="340" t="str">
        <f t="shared" si="187"/>
        <v>1999MaleAllEth19Firearms and explosives</v>
      </c>
      <c r="U4548">
        <v>1999</v>
      </c>
      <c r="V4548" t="s">
        <v>20</v>
      </c>
      <c r="W4548" t="s">
        <v>27</v>
      </c>
      <c r="X4548">
        <v>19</v>
      </c>
      <c r="Y4548" t="s">
        <v>42</v>
      </c>
      <c r="Z4548">
        <v>43</v>
      </c>
      <c r="AA4548">
        <v>384</v>
      </c>
      <c r="AB4548">
        <v>11.2</v>
      </c>
    </row>
    <row r="4549" spans="20:28">
      <c r="T4549" s="340" t="str">
        <f t="shared" ref="T4549:T4612" si="188">U4549&amp;V4549&amp;W4549&amp;X4549&amp;Y4549</f>
        <v>1999MaleAllEth19Hanging, strangulation and suffocation</v>
      </c>
      <c r="U4549">
        <v>1999</v>
      </c>
      <c r="V4549" t="s">
        <v>20</v>
      </c>
      <c r="W4549" t="s">
        <v>27</v>
      </c>
      <c r="X4549">
        <v>19</v>
      </c>
      <c r="Y4549" t="s">
        <v>43</v>
      </c>
      <c r="Z4549">
        <v>181</v>
      </c>
      <c r="AA4549">
        <v>384</v>
      </c>
      <c r="AB4549">
        <v>47.1</v>
      </c>
    </row>
    <row r="4550" spans="20:28">
      <c r="T4550" s="340" t="str">
        <f t="shared" si="188"/>
        <v>1999MaleAllEth19Jumping from a high place</v>
      </c>
      <c r="U4550">
        <v>1999</v>
      </c>
      <c r="V4550" t="s">
        <v>20</v>
      </c>
      <c r="W4550" t="s">
        <v>27</v>
      </c>
      <c r="X4550">
        <v>19</v>
      </c>
      <c r="Y4550" t="s">
        <v>44</v>
      </c>
      <c r="Z4550">
        <v>13</v>
      </c>
      <c r="AA4550">
        <v>384</v>
      </c>
      <c r="AB4550">
        <v>3.4</v>
      </c>
    </row>
    <row r="4551" spans="20:28">
      <c r="T4551" s="340" t="str">
        <f t="shared" si="188"/>
        <v>1999MaleAllEth19Other</v>
      </c>
      <c r="U4551">
        <v>1999</v>
      </c>
      <c r="V4551" t="s">
        <v>20</v>
      </c>
      <c r="W4551" t="s">
        <v>27</v>
      </c>
      <c r="X4551">
        <v>19</v>
      </c>
      <c r="Y4551" t="s">
        <v>45</v>
      </c>
      <c r="Z4551">
        <v>13</v>
      </c>
      <c r="AA4551">
        <v>384</v>
      </c>
      <c r="AB4551">
        <v>3.4</v>
      </c>
    </row>
    <row r="4552" spans="20:28">
      <c r="T4552" s="340" t="str">
        <f t="shared" si="188"/>
        <v>1999MaleAllEth19Poisoning by gases and vapours</v>
      </c>
      <c r="U4552">
        <v>1999</v>
      </c>
      <c r="V4552" t="s">
        <v>20</v>
      </c>
      <c r="W4552" t="s">
        <v>27</v>
      </c>
      <c r="X4552">
        <v>19</v>
      </c>
      <c r="Y4552" t="s">
        <v>46</v>
      </c>
      <c r="Z4552">
        <v>95</v>
      </c>
      <c r="AA4552">
        <v>384</v>
      </c>
      <c r="AB4552">
        <v>24.7</v>
      </c>
    </row>
    <row r="4553" spans="20:28">
      <c r="T4553" s="340" t="str">
        <f t="shared" si="188"/>
        <v>1999MaleAllEth19Poisoning by solids and liquids</v>
      </c>
      <c r="U4553">
        <v>1999</v>
      </c>
      <c r="V4553" t="s">
        <v>20</v>
      </c>
      <c r="W4553" t="s">
        <v>27</v>
      </c>
      <c r="X4553">
        <v>19</v>
      </c>
      <c r="Y4553" t="s">
        <v>47</v>
      </c>
      <c r="Z4553">
        <v>22</v>
      </c>
      <c r="AA4553">
        <v>384</v>
      </c>
      <c r="AB4553">
        <v>5.7</v>
      </c>
    </row>
    <row r="4554" spans="20:28">
      <c r="T4554" s="340" t="str">
        <f t="shared" si="188"/>
        <v>1999MaleAllEth19Sharp object</v>
      </c>
      <c r="U4554">
        <v>1999</v>
      </c>
      <c r="V4554" t="s">
        <v>20</v>
      </c>
      <c r="W4554" t="s">
        <v>27</v>
      </c>
      <c r="X4554">
        <v>19</v>
      </c>
      <c r="Y4554" t="s">
        <v>48</v>
      </c>
      <c r="Z4554">
        <v>6</v>
      </c>
      <c r="AA4554">
        <v>384</v>
      </c>
      <c r="AB4554">
        <v>1.6</v>
      </c>
    </row>
    <row r="4555" spans="20:28">
      <c r="T4555" s="340" t="str">
        <f t="shared" si="188"/>
        <v>1999MaleAllEth19Submersion (drowning)</v>
      </c>
      <c r="U4555">
        <v>1999</v>
      </c>
      <c r="V4555" t="s">
        <v>20</v>
      </c>
      <c r="W4555" t="s">
        <v>27</v>
      </c>
      <c r="X4555">
        <v>19</v>
      </c>
      <c r="Y4555" t="s">
        <v>49</v>
      </c>
      <c r="Z4555">
        <v>11</v>
      </c>
      <c r="AA4555">
        <v>384</v>
      </c>
      <c r="AB4555">
        <v>2.9</v>
      </c>
    </row>
    <row r="4556" spans="20:28">
      <c r="T4556" s="340" t="str">
        <f t="shared" si="188"/>
        <v>1999MaleMaori19Firearms and explosives</v>
      </c>
      <c r="U4556">
        <v>1999</v>
      </c>
      <c r="V4556" t="s">
        <v>20</v>
      </c>
      <c r="W4556" t="s">
        <v>18</v>
      </c>
      <c r="X4556">
        <v>19</v>
      </c>
      <c r="Y4556" t="s">
        <v>42</v>
      </c>
      <c r="Z4556">
        <v>2</v>
      </c>
      <c r="AA4556">
        <v>59</v>
      </c>
      <c r="AB4556">
        <v>3.4</v>
      </c>
    </row>
    <row r="4557" spans="20:28">
      <c r="T4557" s="340" t="str">
        <f t="shared" si="188"/>
        <v>1999MaleMaori19Hanging, strangulation and suffocation</v>
      </c>
      <c r="U4557">
        <v>1999</v>
      </c>
      <c r="V4557" t="s">
        <v>20</v>
      </c>
      <c r="W4557" t="s">
        <v>18</v>
      </c>
      <c r="X4557">
        <v>19</v>
      </c>
      <c r="Y4557" t="s">
        <v>43</v>
      </c>
      <c r="Z4557">
        <v>43</v>
      </c>
      <c r="AA4557">
        <v>59</v>
      </c>
      <c r="AB4557">
        <v>72.900000000000006</v>
      </c>
    </row>
    <row r="4558" spans="20:28">
      <c r="T4558" s="340" t="str">
        <f t="shared" si="188"/>
        <v>1999MaleMaori19Jumping from a high place</v>
      </c>
      <c r="U4558">
        <v>1999</v>
      </c>
      <c r="V4558" t="s">
        <v>20</v>
      </c>
      <c r="W4558" t="s">
        <v>18</v>
      </c>
      <c r="X4558">
        <v>19</v>
      </c>
      <c r="Y4558" t="s">
        <v>44</v>
      </c>
      <c r="Z4558">
        <v>2</v>
      </c>
      <c r="AA4558">
        <v>59</v>
      </c>
      <c r="AB4558">
        <v>3.4</v>
      </c>
    </row>
    <row r="4559" spans="20:28">
      <c r="T4559" s="340" t="str">
        <f t="shared" si="188"/>
        <v>1999MaleMaori19Other</v>
      </c>
      <c r="U4559">
        <v>1999</v>
      </c>
      <c r="V4559" t="s">
        <v>20</v>
      </c>
      <c r="W4559" t="s">
        <v>18</v>
      </c>
      <c r="X4559">
        <v>19</v>
      </c>
      <c r="Y4559" t="s">
        <v>45</v>
      </c>
      <c r="Z4559">
        <v>4</v>
      </c>
      <c r="AA4559">
        <v>59</v>
      </c>
      <c r="AB4559">
        <v>6.8</v>
      </c>
    </row>
    <row r="4560" spans="20:28">
      <c r="T4560" s="340" t="str">
        <f t="shared" si="188"/>
        <v>1999MaleMaori19Poisoning by gases and vapours</v>
      </c>
      <c r="U4560">
        <v>1999</v>
      </c>
      <c r="V4560" t="s">
        <v>20</v>
      </c>
      <c r="W4560" t="s">
        <v>18</v>
      </c>
      <c r="X4560">
        <v>19</v>
      </c>
      <c r="Y4560" t="s">
        <v>46</v>
      </c>
      <c r="Z4560">
        <v>4</v>
      </c>
      <c r="AA4560">
        <v>59</v>
      </c>
      <c r="AB4560">
        <v>6.8</v>
      </c>
    </row>
    <row r="4561" spans="20:28">
      <c r="T4561" s="340" t="str">
        <f t="shared" si="188"/>
        <v>1999MaleMaori19Poisoning by solids and liquids</v>
      </c>
      <c r="U4561">
        <v>1999</v>
      </c>
      <c r="V4561" t="s">
        <v>20</v>
      </c>
      <c r="W4561" t="s">
        <v>18</v>
      </c>
      <c r="X4561">
        <v>19</v>
      </c>
      <c r="Y4561" t="s">
        <v>47</v>
      </c>
      <c r="Z4561">
        <v>4</v>
      </c>
      <c r="AA4561">
        <v>59</v>
      </c>
      <c r="AB4561">
        <v>6.8</v>
      </c>
    </row>
    <row r="4562" spans="20:28">
      <c r="T4562" s="340" t="str">
        <f t="shared" si="188"/>
        <v>1999MaleNon-Maori19Firearms and explosives</v>
      </c>
      <c r="U4562">
        <v>1999</v>
      </c>
      <c r="V4562" t="s">
        <v>20</v>
      </c>
      <c r="W4562" t="s">
        <v>19</v>
      </c>
      <c r="X4562">
        <v>19</v>
      </c>
      <c r="Y4562" t="s">
        <v>42</v>
      </c>
      <c r="Z4562">
        <v>41</v>
      </c>
      <c r="AA4562">
        <v>325</v>
      </c>
      <c r="AB4562">
        <v>12.6</v>
      </c>
    </row>
    <row r="4563" spans="20:28">
      <c r="T4563" s="340" t="str">
        <f t="shared" si="188"/>
        <v>1999MaleNon-Maori19Hanging, strangulation and suffocation</v>
      </c>
      <c r="U4563">
        <v>1999</v>
      </c>
      <c r="V4563" t="s">
        <v>20</v>
      </c>
      <c r="W4563" t="s">
        <v>19</v>
      </c>
      <c r="X4563">
        <v>19</v>
      </c>
      <c r="Y4563" t="s">
        <v>43</v>
      </c>
      <c r="Z4563">
        <v>138</v>
      </c>
      <c r="AA4563">
        <v>325</v>
      </c>
      <c r="AB4563">
        <v>42.5</v>
      </c>
    </row>
    <row r="4564" spans="20:28">
      <c r="T4564" s="340" t="str">
        <f t="shared" si="188"/>
        <v>1999MaleNon-Maori19Jumping from a high place</v>
      </c>
      <c r="U4564">
        <v>1999</v>
      </c>
      <c r="V4564" t="s">
        <v>20</v>
      </c>
      <c r="W4564" t="s">
        <v>19</v>
      </c>
      <c r="X4564">
        <v>19</v>
      </c>
      <c r="Y4564" t="s">
        <v>44</v>
      </c>
      <c r="Z4564">
        <v>11</v>
      </c>
      <c r="AA4564">
        <v>325</v>
      </c>
      <c r="AB4564">
        <v>3.4</v>
      </c>
    </row>
    <row r="4565" spans="20:28">
      <c r="T4565" s="340" t="str">
        <f t="shared" si="188"/>
        <v>1999MaleNon-Maori19Other</v>
      </c>
      <c r="U4565">
        <v>1999</v>
      </c>
      <c r="V4565" t="s">
        <v>20</v>
      </c>
      <c r="W4565" t="s">
        <v>19</v>
      </c>
      <c r="X4565">
        <v>19</v>
      </c>
      <c r="Y4565" t="s">
        <v>45</v>
      </c>
      <c r="Z4565">
        <v>9</v>
      </c>
      <c r="AA4565">
        <v>325</v>
      </c>
      <c r="AB4565">
        <v>2.8</v>
      </c>
    </row>
    <row r="4566" spans="20:28">
      <c r="T4566" s="340" t="str">
        <f t="shared" si="188"/>
        <v>1999MaleNon-Maori19Poisoning by gases and vapours</v>
      </c>
      <c r="U4566">
        <v>1999</v>
      </c>
      <c r="V4566" t="s">
        <v>20</v>
      </c>
      <c r="W4566" t="s">
        <v>19</v>
      </c>
      <c r="X4566">
        <v>19</v>
      </c>
      <c r="Y4566" t="s">
        <v>46</v>
      </c>
      <c r="Z4566">
        <v>91</v>
      </c>
      <c r="AA4566">
        <v>325</v>
      </c>
      <c r="AB4566">
        <v>28</v>
      </c>
    </row>
    <row r="4567" spans="20:28">
      <c r="T4567" s="340" t="str">
        <f t="shared" si="188"/>
        <v>1999MaleNon-Maori19Poisoning by solids and liquids</v>
      </c>
      <c r="U4567">
        <v>1999</v>
      </c>
      <c r="V4567" t="s">
        <v>20</v>
      </c>
      <c r="W4567" t="s">
        <v>19</v>
      </c>
      <c r="X4567">
        <v>19</v>
      </c>
      <c r="Y4567" t="s">
        <v>47</v>
      </c>
      <c r="Z4567">
        <v>18</v>
      </c>
      <c r="AA4567">
        <v>325</v>
      </c>
      <c r="AB4567">
        <v>5.5</v>
      </c>
    </row>
    <row r="4568" spans="20:28">
      <c r="T4568" s="340" t="str">
        <f t="shared" si="188"/>
        <v>1999MaleNon-Maori19Sharp object</v>
      </c>
      <c r="U4568">
        <v>1999</v>
      </c>
      <c r="V4568" t="s">
        <v>20</v>
      </c>
      <c r="W4568" t="s">
        <v>19</v>
      </c>
      <c r="X4568">
        <v>19</v>
      </c>
      <c r="Y4568" t="s">
        <v>48</v>
      </c>
      <c r="Z4568">
        <v>6</v>
      </c>
      <c r="AA4568">
        <v>325</v>
      </c>
      <c r="AB4568">
        <v>1.8</v>
      </c>
    </row>
    <row r="4569" spans="20:28">
      <c r="T4569" s="340" t="str">
        <f t="shared" si="188"/>
        <v>1999MaleNon-Maori19Submersion (drowning)</v>
      </c>
      <c r="U4569">
        <v>1999</v>
      </c>
      <c r="V4569" t="s">
        <v>20</v>
      </c>
      <c r="W4569" t="s">
        <v>19</v>
      </c>
      <c r="X4569">
        <v>19</v>
      </c>
      <c r="Y4569" t="s">
        <v>49</v>
      </c>
      <c r="Z4569">
        <v>11</v>
      </c>
      <c r="AA4569">
        <v>325</v>
      </c>
      <c r="AB4569">
        <v>3.4</v>
      </c>
    </row>
    <row r="4570" spans="20:28">
      <c r="T4570" s="340" t="str">
        <f t="shared" si="188"/>
        <v>2000AllSexAllEth19Firearms and explosives</v>
      </c>
      <c r="U4570">
        <v>2000</v>
      </c>
      <c r="V4570" t="s">
        <v>17</v>
      </c>
      <c r="W4570" t="s">
        <v>27</v>
      </c>
      <c r="X4570">
        <v>19</v>
      </c>
      <c r="Y4570" t="s">
        <v>42</v>
      </c>
      <c r="Z4570">
        <v>37</v>
      </c>
      <c r="AA4570">
        <v>459</v>
      </c>
      <c r="AB4570">
        <v>8.1</v>
      </c>
    </row>
    <row r="4571" spans="20:28">
      <c r="T4571" s="340" t="str">
        <f t="shared" si="188"/>
        <v>2000AllSexAllEth19Hanging, strangulation and suffocation</v>
      </c>
      <c r="U4571">
        <v>2000</v>
      </c>
      <c r="V4571" t="s">
        <v>17</v>
      </c>
      <c r="W4571" t="s">
        <v>27</v>
      </c>
      <c r="X4571">
        <v>19</v>
      </c>
      <c r="Y4571" t="s">
        <v>43</v>
      </c>
      <c r="Z4571">
        <v>215</v>
      </c>
      <c r="AA4571">
        <v>459</v>
      </c>
      <c r="AB4571">
        <v>46.8</v>
      </c>
    </row>
    <row r="4572" spans="20:28">
      <c r="T4572" s="340" t="str">
        <f t="shared" si="188"/>
        <v>2000AllSexAllEth19Jumping from a high place</v>
      </c>
      <c r="U4572">
        <v>2000</v>
      </c>
      <c r="V4572" t="s">
        <v>17</v>
      </c>
      <c r="W4572" t="s">
        <v>27</v>
      </c>
      <c r="X4572">
        <v>19</v>
      </c>
      <c r="Y4572" t="s">
        <v>44</v>
      </c>
      <c r="Z4572">
        <v>16</v>
      </c>
      <c r="AA4572">
        <v>459</v>
      </c>
      <c r="AB4572">
        <v>3.5</v>
      </c>
    </row>
    <row r="4573" spans="20:28">
      <c r="T4573" s="340" t="str">
        <f t="shared" si="188"/>
        <v>2000AllSexAllEth19Other</v>
      </c>
      <c r="U4573">
        <v>2000</v>
      </c>
      <c r="V4573" t="s">
        <v>17</v>
      </c>
      <c r="W4573" t="s">
        <v>27</v>
      </c>
      <c r="X4573">
        <v>19</v>
      </c>
      <c r="Y4573" t="s">
        <v>45</v>
      </c>
      <c r="Z4573">
        <v>16</v>
      </c>
      <c r="AA4573">
        <v>459</v>
      </c>
      <c r="AB4573">
        <v>3.5</v>
      </c>
    </row>
    <row r="4574" spans="20:28">
      <c r="T4574" s="340" t="str">
        <f t="shared" si="188"/>
        <v>2000AllSexAllEth19Poisoning by gases and vapours</v>
      </c>
      <c r="U4574">
        <v>2000</v>
      </c>
      <c r="V4574" t="s">
        <v>17</v>
      </c>
      <c r="W4574" t="s">
        <v>27</v>
      </c>
      <c r="X4574">
        <v>19</v>
      </c>
      <c r="Y4574" t="s">
        <v>46</v>
      </c>
      <c r="Z4574">
        <v>113</v>
      </c>
      <c r="AA4574">
        <v>459</v>
      </c>
      <c r="AB4574">
        <v>24.6</v>
      </c>
    </row>
    <row r="4575" spans="20:28">
      <c r="T4575" s="340" t="str">
        <f t="shared" si="188"/>
        <v>2000AllSexAllEth19Poisoning by solids and liquids</v>
      </c>
      <c r="U4575">
        <v>2000</v>
      </c>
      <c r="V4575" t="s">
        <v>17</v>
      </c>
      <c r="W4575" t="s">
        <v>27</v>
      </c>
      <c r="X4575">
        <v>19</v>
      </c>
      <c r="Y4575" t="s">
        <v>47</v>
      </c>
      <c r="Z4575">
        <v>36</v>
      </c>
      <c r="AA4575">
        <v>459</v>
      </c>
      <c r="AB4575">
        <v>7.8</v>
      </c>
    </row>
    <row r="4576" spans="20:28">
      <c r="T4576" s="340" t="str">
        <f t="shared" si="188"/>
        <v>2000AllSexAllEth19Sharp object</v>
      </c>
      <c r="U4576">
        <v>2000</v>
      </c>
      <c r="V4576" t="s">
        <v>17</v>
      </c>
      <c r="W4576" t="s">
        <v>27</v>
      </c>
      <c r="X4576">
        <v>19</v>
      </c>
      <c r="Y4576" t="s">
        <v>48</v>
      </c>
      <c r="Z4576">
        <v>11</v>
      </c>
      <c r="AA4576">
        <v>459</v>
      </c>
      <c r="AB4576">
        <v>2.4</v>
      </c>
    </row>
    <row r="4577" spans="20:28">
      <c r="T4577" s="340" t="str">
        <f t="shared" si="188"/>
        <v>2000AllSexAllEth19Submersion (drowning)</v>
      </c>
      <c r="U4577">
        <v>2000</v>
      </c>
      <c r="V4577" t="s">
        <v>17</v>
      </c>
      <c r="W4577" t="s">
        <v>27</v>
      </c>
      <c r="X4577">
        <v>19</v>
      </c>
      <c r="Y4577" t="s">
        <v>49</v>
      </c>
      <c r="Z4577">
        <v>15</v>
      </c>
      <c r="AA4577">
        <v>459</v>
      </c>
      <c r="AB4577">
        <v>3.3</v>
      </c>
    </row>
    <row r="4578" spans="20:28">
      <c r="T4578" s="340" t="str">
        <f t="shared" si="188"/>
        <v>2000AllSexMaori19Firearms and explosives</v>
      </c>
      <c r="U4578">
        <v>2000</v>
      </c>
      <c r="V4578" t="s">
        <v>17</v>
      </c>
      <c r="W4578" t="s">
        <v>18</v>
      </c>
      <c r="X4578">
        <v>19</v>
      </c>
      <c r="Y4578" t="s">
        <v>42</v>
      </c>
      <c r="Z4578">
        <v>4</v>
      </c>
      <c r="AA4578">
        <v>80</v>
      </c>
      <c r="AB4578">
        <v>5</v>
      </c>
    </row>
    <row r="4579" spans="20:28">
      <c r="T4579" s="340" t="str">
        <f t="shared" si="188"/>
        <v>2000AllSexMaori19Hanging, strangulation and suffocation</v>
      </c>
      <c r="U4579">
        <v>2000</v>
      </c>
      <c r="V4579" t="s">
        <v>17</v>
      </c>
      <c r="W4579" t="s">
        <v>18</v>
      </c>
      <c r="X4579">
        <v>19</v>
      </c>
      <c r="Y4579" t="s">
        <v>43</v>
      </c>
      <c r="Z4579">
        <v>59</v>
      </c>
      <c r="AA4579">
        <v>80</v>
      </c>
      <c r="AB4579">
        <v>73.8</v>
      </c>
    </row>
    <row r="4580" spans="20:28">
      <c r="T4580" s="340" t="str">
        <f t="shared" si="188"/>
        <v>2000AllSexMaori19Jumping from a high place</v>
      </c>
      <c r="U4580">
        <v>2000</v>
      </c>
      <c r="V4580" t="s">
        <v>17</v>
      </c>
      <c r="W4580" t="s">
        <v>18</v>
      </c>
      <c r="X4580">
        <v>19</v>
      </c>
      <c r="Y4580" t="s">
        <v>44</v>
      </c>
      <c r="Z4580">
        <v>2</v>
      </c>
      <c r="AA4580">
        <v>80</v>
      </c>
      <c r="AB4580">
        <v>2.5</v>
      </c>
    </row>
    <row r="4581" spans="20:28">
      <c r="T4581" s="340" t="str">
        <f t="shared" si="188"/>
        <v>2000AllSexMaori19Other</v>
      </c>
      <c r="U4581">
        <v>2000</v>
      </c>
      <c r="V4581" t="s">
        <v>17</v>
      </c>
      <c r="W4581" t="s">
        <v>18</v>
      </c>
      <c r="X4581">
        <v>19</v>
      </c>
      <c r="Y4581" t="s">
        <v>45</v>
      </c>
      <c r="Z4581">
        <v>3</v>
      </c>
      <c r="AA4581">
        <v>80</v>
      </c>
      <c r="AB4581">
        <v>3.8</v>
      </c>
    </row>
    <row r="4582" spans="20:28">
      <c r="T4582" s="340" t="str">
        <f t="shared" si="188"/>
        <v>2000AllSexMaori19Poisoning by gases and vapours</v>
      </c>
      <c r="U4582">
        <v>2000</v>
      </c>
      <c r="V4582" t="s">
        <v>17</v>
      </c>
      <c r="W4582" t="s">
        <v>18</v>
      </c>
      <c r="X4582">
        <v>19</v>
      </c>
      <c r="Y4582" t="s">
        <v>46</v>
      </c>
      <c r="Z4582">
        <v>7</v>
      </c>
      <c r="AA4582">
        <v>80</v>
      </c>
      <c r="AB4582">
        <v>8.8000000000000007</v>
      </c>
    </row>
    <row r="4583" spans="20:28">
      <c r="T4583" s="340" t="str">
        <f t="shared" si="188"/>
        <v>2000AllSexMaori19Poisoning by solids and liquids</v>
      </c>
      <c r="U4583">
        <v>2000</v>
      </c>
      <c r="V4583" t="s">
        <v>17</v>
      </c>
      <c r="W4583" t="s">
        <v>18</v>
      </c>
      <c r="X4583">
        <v>19</v>
      </c>
      <c r="Y4583" t="s">
        <v>47</v>
      </c>
      <c r="Z4583">
        <v>4</v>
      </c>
      <c r="AA4583">
        <v>80</v>
      </c>
      <c r="AB4583">
        <v>5</v>
      </c>
    </row>
    <row r="4584" spans="20:28">
      <c r="T4584" s="340" t="str">
        <f t="shared" si="188"/>
        <v>2000AllSexMaori19Submersion (drowning)</v>
      </c>
      <c r="U4584">
        <v>2000</v>
      </c>
      <c r="V4584" t="s">
        <v>17</v>
      </c>
      <c r="W4584" t="s">
        <v>18</v>
      </c>
      <c r="X4584">
        <v>19</v>
      </c>
      <c r="Y4584" t="s">
        <v>49</v>
      </c>
      <c r="Z4584">
        <v>1</v>
      </c>
      <c r="AA4584">
        <v>80</v>
      </c>
      <c r="AB4584">
        <v>1.2</v>
      </c>
    </row>
    <row r="4585" spans="20:28">
      <c r="T4585" s="340" t="str">
        <f t="shared" si="188"/>
        <v>2000AllSexNon-Maori19Firearms and explosives</v>
      </c>
      <c r="U4585">
        <v>2000</v>
      </c>
      <c r="V4585" t="s">
        <v>17</v>
      </c>
      <c r="W4585" t="s">
        <v>19</v>
      </c>
      <c r="X4585">
        <v>19</v>
      </c>
      <c r="Y4585" t="s">
        <v>42</v>
      </c>
      <c r="Z4585">
        <v>33</v>
      </c>
      <c r="AA4585">
        <v>379</v>
      </c>
      <c r="AB4585">
        <v>8.6999999999999993</v>
      </c>
    </row>
    <row r="4586" spans="20:28">
      <c r="T4586" s="340" t="str">
        <f t="shared" si="188"/>
        <v>2000AllSexNon-Maori19Hanging, strangulation and suffocation</v>
      </c>
      <c r="U4586">
        <v>2000</v>
      </c>
      <c r="V4586" t="s">
        <v>17</v>
      </c>
      <c r="W4586" t="s">
        <v>19</v>
      </c>
      <c r="X4586">
        <v>19</v>
      </c>
      <c r="Y4586" t="s">
        <v>43</v>
      </c>
      <c r="Z4586">
        <v>156</v>
      </c>
      <c r="AA4586">
        <v>379</v>
      </c>
      <c r="AB4586">
        <v>41.2</v>
      </c>
    </row>
    <row r="4587" spans="20:28">
      <c r="T4587" s="340" t="str">
        <f t="shared" si="188"/>
        <v>2000AllSexNon-Maori19Jumping from a high place</v>
      </c>
      <c r="U4587">
        <v>2000</v>
      </c>
      <c r="V4587" t="s">
        <v>17</v>
      </c>
      <c r="W4587" t="s">
        <v>19</v>
      </c>
      <c r="X4587">
        <v>19</v>
      </c>
      <c r="Y4587" t="s">
        <v>44</v>
      </c>
      <c r="Z4587">
        <v>14</v>
      </c>
      <c r="AA4587">
        <v>379</v>
      </c>
      <c r="AB4587">
        <v>3.7</v>
      </c>
    </row>
    <row r="4588" spans="20:28">
      <c r="T4588" s="340" t="str">
        <f t="shared" si="188"/>
        <v>2000AllSexNon-Maori19Other</v>
      </c>
      <c r="U4588">
        <v>2000</v>
      </c>
      <c r="V4588" t="s">
        <v>17</v>
      </c>
      <c r="W4588" t="s">
        <v>19</v>
      </c>
      <c r="X4588">
        <v>19</v>
      </c>
      <c r="Y4588" t="s">
        <v>45</v>
      </c>
      <c r="Z4588">
        <v>13</v>
      </c>
      <c r="AA4588">
        <v>379</v>
      </c>
      <c r="AB4588">
        <v>3.4</v>
      </c>
    </row>
    <row r="4589" spans="20:28">
      <c r="T4589" s="340" t="str">
        <f t="shared" si="188"/>
        <v>2000AllSexNon-Maori19Poisoning by gases and vapours</v>
      </c>
      <c r="U4589">
        <v>2000</v>
      </c>
      <c r="V4589" t="s">
        <v>17</v>
      </c>
      <c r="W4589" t="s">
        <v>19</v>
      </c>
      <c r="X4589">
        <v>19</v>
      </c>
      <c r="Y4589" t="s">
        <v>46</v>
      </c>
      <c r="Z4589">
        <v>106</v>
      </c>
      <c r="AA4589">
        <v>379</v>
      </c>
      <c r="AB4589">
        <v>28</v>
      </c>
    </row>
    <row r="4590" spans="20:28">
      <c r="T4590" s="340" t="str">
        <f t="shared" si="188"/>
        <v>2000AllSexNon-Maori19Poisoning by solids and liquids</v>
      </c>
      <c r="U4590">
        <v>2000</v>
      </c>
      <c r="V4590" t="s">
        <v>17</v>
      </c>
      <c r="W4590" t="s">
        <v>19</v>
      </c>
      <c r="X4590">
        <v>19</v>
      </c>
      <c r="Y4590" t="s">
        <v>47</v>
      </c>
      <c r="Z4590">
        <v>32</v>
      </c>
      <c r="AA4590">
        <v>379</v>
      </c>
      <c r="AB4590">
        <v>8.4</v>
      </c>
    </row>
    <row r="4591" spans="20:28">
      <c r="T4591" s="340" t="str">
        <f t="shared" si="188"/>
        <v>2000AllSexNon-Maori19Sharp object</v>
      </c>
      <c r="U4591">
        <v>2000</v>
      </c>
      <c r="V4591" t="s">
        <v>17</v>
      </c>
      <c r="W4591" t="s">
        <v>19</v>
      </c>
      <c r="X4591">
        <v>19</v>
      </c>
      <c r="Y4591" t="s">
        <v>48</v>
      </c>
      <c r="Z4591">
        <v>11</v>
      </c>
      <c r="AA4591">
        <v>379</v>
      </c>
      <c r="AB4591">
        <v>2.9</v>
      </c>
    </row>
    <row r="4592" spans="20:28">
      <c r="T4592" s="340" t="str">
        <f t="shared" si="188"/>
        <v>2000AllSexNon-Maori19Submersion (drowning)</v>
      </c>
      <c r="U4592">
        <v>2000</v>
      </c>
      <c r="V4592" t="s">
        <v>17</v>
      </c>
      <c r="W4592" t="s">
        <v>19</v>
      </c>
      <c r="X4592">
        <v>19</v>
      </c>
      <c r="Y4592" t="s">
        <v>49</v>
      </c>
      <c r="Z4592">
        <v>14</v>
      </c>
      <c r="AA4592">
        <v>379</v>
      </c>
      <c r="AB4592">
        <v>3.7</v>
      </c>
    </row>
    <row r="4593" spans="20:28">
      <c r="T4593" s="340" t="str">
        <f t="shared" si="188"/>
        <v>2000FemaleAllEth19Firearms and explosives</v>
      </c>
      <c r="U4593">
        <v>2000</v>
      </c>
      <c r="V4593" t="s">
        <v>8</v>
      </c>
      <c r="W4593" t="s">
        <v>27</v>
      </c>
      <c r="X4593">
        <v>19</v>
      </c>
      <c r="Y4593" t="s">
        <v>42</v>
      </c>
      <c r="Z4593">
        <v>2</v>
      </c>
      <c r="AA4593">
        <v>83</v>
      </c>
      <c r="AB4593">
        <v>2.4</v>
      </c>
    </row>
    <row r="4594" spans="20:28">
      <c r="T4594" s="340" t="str">
        <f t="shared" si="188"/>
        <v>2000FemaleAllEth19Hanging, strangulation and suffocation</v>
      </c>
      <c r="U4594">
        <v>2000</v>
      </c>
      <c r="V4594" t="s">
        <v>8</v>
      </c>
      <c r="W4594" t="s">
        <v>27</v>
      </c>
      <c r="X4594">
        <v>19</v>
      </c>
      <c r="Y4594" t="s">
        <v>43</v>
      </c>
      <c r="Z4594">
        <v>29</v>
      </c>
      <c r="AA4594">
        <v>83</v>
      </c>
      <c r="AB4594">
        <v>34.9</v>
      </c>
    </row>
    <row r="4595" spans="20:28">
      <c r="T4595" s="340" t="str">
        <f t="shared" si="188"/>
        <v>2000FemaleAllEth19Jumping from a high place</v>
      </c>
      <c r="U4595">
        <v>2000</v>
      </c>
      <c r="V4595" t="s">
        <v>8</v>
      </c>
      <c r="W4595" t="s">
        <v>27</v>
      </c>
      <c r="X4595">
        <v>19</v>
      </c>
      <c r="Y4595" t="s">
        <v>44</v>
      </c>
      <c r="Z4595">
        <v>5</v>
      </c>
      <c r="AA4595">
        <v>83</v>
      </c>
      <c r="AB4595">
        <v>6</v>
      </c>
    </row>
    <row r="4596" spans="20:28">
      <c r="T4596" s="340" t="str">
        <f t="shared" si="188"/>
        <v>2000FemaleAllEth19Other</v>
      </c>
      <c r="U4596">
        <v>2000</v>
      </c>
      <c r="V4596" t="s">
        <v>8</v>
      </c>
      <c r="W4596" t="s">
        <v>27</v>
      </c>
      <c r="X4596">
        <v>19</v>
      </c>
      <c r="Y4596" t="s">
        <v>45</v>
      </c>
      <c r="Z4596">
        <v>2</v>
      </c>
      <c r="AA4596">
        <v>83</v>
      </c>
      <c r="AB4596">
        <v>2.4</v>
      </c>
    </row>
    <row r="4597" spans="20:28">
      <c r="T4597" s="340" t="str">
        <f t="shared" si="188"/>
        <v>2000FemaleAllEth19Poisoning by gases and vapours</v>
      </c>
      <c r="U4597">
        <v>2000</v>
      </c>
      <c r="V4597" t="s">
        <v>8</v>
      </c>
      <c r="W4597" t="s">
        <v>27</v>
      </c>
      <c r="X4597">
        <v>19</v>
      </c>
      <c r="Y4597" t="s">
        <v>46</v>
      </c>
      <c r="Z4597">
        <v>24</v>
      </c>
      <c r="AA4597">
        <v>83</v>
      </c>
      <c r="AB4597">
        <v>28.9</v>
      </c>
    </row>
    <row r="4598" spans="20:28">
      <c r="T4598" s="340" t="str">
        <f t="shared" si="188"/>
        <v>2000FemaleAllEth19Poisoning by solids and liquids</v>
      </c>
      <c r="U4598">
        <v>2000</v>
      </c>
      <c r="V4598" t="s">
        <v>8</v>
      </c>
      <c r="W4598" t="s">
        <v>27</v>
      </c>
      <c r="X4598">
        <v>19</v>
      </c>
      <c r="Y4598" t="s">
        <v>47</v>
      </c>
      <c r="Z4598">
        <v>16</v>
      </c>
      <c r="AA4598">
        <v>83</v>
      </c>
      <c r="AB4598">
        <v>19.3</v>
      </c>
    </row>
    <row r="4599" spans="20:28">
      <c r="T4599" s="340" t="str">
        <f t="shared" si="188"/>
        <v>2000FemaleAllEth19Sharp object</v>
      </c>
      <c r="U4599">
        <v>2000</v>
      </c>
      <c r="V4599" t="s">
        <v>8</v>
      </c>
      <c r="W4599" t="s">
        <v>27</v>
      </c>
      <c r="X4599">
        <v>19</v>
      </c>
      <c r="Y4599" t="s">
        <v>48</v>
      </c>
      <c r="Z4599">
        <v>2</v>
      </c>
      <c r="AA4599">
        <v>83</v>
      </c>
      <c r="AB4599">
        <v>2.4</v>
      </c>
    </row>
    <row r="4600" spans="20:28">
      <c r="T4600" s="340" t="str">
        <f t="shared" si="188"/>
        <v>2000FemaleAllEth19Submersion (drowning)</v>
      </c>
      <c r="U4600">
        <v>2000</v>
      </c>
      <c r="V4600" t="s">
        <v>8</v>
      </c>
      <c r="W4600" t="s">
        <v>27</v>
      </c>
      <c r="X4600">
        <v>19</v>
      </c>
      <c r="Y4600" t="s">
        <v>49</v>
      </c>
      <c r="Z4600">
        <v>3</v>
      </c>
      <c r="AA4600">
        <v>83</v>
      </c>
      <c r="AB4600">
        <v>3.6</v>
      </c>
    </row>
    <row r="4601" spans="20:28">
      <c r="T4601" s="340" t="str">
        <f t="shared" si="188"/>
        <v>2000FemaleMaori19Hanging, strangulation and suffocation</v>
      </c>
      <c r="U4601">
        <v>2000</v>
      </c>
      <c r="V4601" t="s">
        <v>8</v>
      </c>
      <c r="W4601" t="s">
        <v>18</v>
      </c>
      <c r="X4601">
        <v>19</v>
      </c>
      <c r="Y4601" t="s">
        <v>43</v>
      </c>
      <c r="Z4601">
        <v>7</v>
      </c>
      <c r="AA4601">
        <v>11</v>
      </c>
      <c r="AB4601">
        <v>63.6</v>
      </c>
    </row>
    <row r="4602" spans="20:28">
      <c r="T4602" s="340" t="str">
        <f t="shared" si="188"/>
        <v>2000FemaleMaori19Jumping from a high place</v>
      </c>
      <c r="U4602">
        <v>2000</v>
      </c>
      <c r="V4602" t="s">
        <v>8</v>
      </c>
      <c r="W4602" t="s">
        <v>18</v>
      </c>
      <c r="X4602">
        <v>19</v>
      </c>
      <c r="Y4602" t="s">
        <v>44</v>
      </c>
      <c r="Z4602">
        <v>1</v>
      </c>
      <c r="AA4602">
        <v>11</v>
      </c>
      <c r="AB4602">
        <v>9.1</v>
      </c>
    </row>
    <row r="4603" spans="20:28">
      <c r="T4603" s="340" t="str">
        <f t="shared" si="188"/>
        <v>2000FemaleMaori19Poisoning by gases and vapours</v>
      </c>
      <c r="U4603">
        <v>2000</v>
      </c>
      <c r="V4603" t="s">
        <v>8</v>
      </c>
      <c r="W4603" t="s">
        <v>18</v>
      </c>
      <c r="X4603">
        <v>19</v>
      </c>
      <c r="Y4603" t="s">
        <v>46</v>
      </c>
      <c r="Z4603">
        <v>2</v>
      </c>
      <c r="AA4603">
        <v>11</v>
      </c>
      <c r="AB4603">
        <v>18.2</v>
      </c>
    </row>
    <row r="4604" spans="20:28">
      <c r="T4604" s="340" t="str">
        <f t="shared" si="188"/>
        <v>2000FemaleMaori19Poisoning by solids and liquids</v>
      </c>
      <c r="U4604">
        <v>2000</v>
      </c>
      <c r="V4604" t="s">
        <v>8</v>
      </c>
      <c r="W4604" t="s">
        <v>18</v>
      </c>
      <c r="X4604">
        <v>19</v>
      </c>
      <c r="Y4604" t="s">
        <v>47</v>
      </c>
      <c r="Z4604">
        <v>1</v>
      </c>
      <c r="AA4604">
        <v>11</v>
      </c>
      <c r="AB4604">
        <v>9.1</v>
      </c>
    </row>
    <row r="4605" spans="20:28">
      <c r="T4605" s="340" t="str">
        <f t="shared" si="188"/>
        <v>2000FemaleNon-Maori19Firearms and explosives</v>
      </c>
      <c r="U4605">
        <v>2000</v>
      </c>
      <c r="V4605" t="s">
        <v>8</v>
      </c>
      <c r="W4605" t="s">
        <v>19</v>
      </c>
      <c r="X4605">
        <v>19</v>
      </c>
      <c r="Y4605" t="s">
        <v>42</v>
      </c>
      <c r="Z4605">
        <v>2</v>
      </c>
      <c r="AA4605">
        <v>72</v>
      </c>
      <c r="AB4605">
        <v>2.8</v>
      </c>
    </row>
    <row r="4606" spans="20:28">
      <c r="T4606" s="340" t="str">
        <f t="shared" si="188"/>
        <v>2000FemaleNon-Maori19Hanging, strangulation and suffocation</v>
      </c>
      <c r="U4606">
        <v>2000</v>
      </c>
      <c r="V4606" t="s">
        <v>8</v>
      </c>
      <c r="W4606" t="s">
        <v>19</v>
      </c>
      <c r="X4606">
        <v>19</v>
      </c>
      <c r="Y4606" t="s">
        <v>43</v>
      </c>
      <c r="Z4606">
        <v>22</v>
      </c>
      <c r="AA4606">
        <v>72</v>
      </c>
      <c r="AB4606">
        <v>30.6</v>
      </c>
    </row>
    <row r="4607" spans="20:28">
      <c r="T4607" s="340" t="str">
        <f t="shared" si="188"/>
        <v>2000FemaleNon-Maori19Jumping from a high place</v>
      </c>
      <c r="U4607">
        <v>2000</v>
      </c>
      <c r="V4607" t="s">
        <v>8</v>
      </c>
      <c r="W4607" t="s">
        <v>19</v>
      </c>
      <c r="X4607">
        <v>19</v>
      </c>
      <c r="Y4607" t="s">
        <v>44</v>
      </c>
      <c r="Z4607">
        <v>4</v>
      </c>
      <c r="AA4607">
        <v>72</v>
      </c>
      <c r="AB4607">
        <v>5.6</v>
      </c>
    </row>
    <row r="4608" spans="20:28">
      <c r="T4608" s="340" t="str">
        <f t="shared" si="188"/>
        <v>2000FemaleNon-Maori19Other</v>
      </c>
      <c r="U4608">
        <v>2000</v>
      </c>
      <c r="V4608" t="s">
        <v>8</v>
      </c>
      <c r="W4608" t="s">
        <v>19</v>
      </c>
      <c r="X4608">
        <v>19</v>
      </c>
      <c r="Y4608" t="s">
        <v>45</v>
      </c>
      <c r="Z4608">
        <v>2</v>
      </c>
      <c r="AA4608">
        <v>72</v>
      </c>
      <c r="AB4608">
        <v>2.8</v>
      </c>
    </row>
    <row r="4609" spans="20:28">
      <c r="T4609" s="340" t="str">
        <f t="shared" si="188"/>
        <v>2000FemaleNon-Maori19Poisoning by gases and vapours</v>
      </c>
      <c r="U4609">
        <v>2000</v>
      </c>
      <c r="V4609" t="s">
        <v>8</v>
      </c>
      <c r="W4609" t="s">
        <v>19</v>
      </c>
      <c r="X4609">
        <v>19</v>
      </c>
      <c r="Y4609" t="s">
        <v>46</v>
      </c>
      <c r="Z4609">
        <v>22</v>
      </c>
      <c r="AA4609">
        <v>72</v>
      </c>
      <c r="AB4609">
        <v>30.6</v>
      </c>
    </row>
    <row r="4610" spans="20:28">
      <c r="T4610" s="340" t="str">
        <f t="shared" si="188"/>
        <v>2000FemaleNon-Maori19Poisoning by solids and liquids</v>
      </c>
      <c r="U4610">
        <v>2000</v>
      </c>
      <c r="V4610" t="s">
        <v>8</v>
      </c>
      <c r="W4610" t="s">
        <v>19</v>
      </c>
      <c r="X4610">
        <v>19</v>
      </c>
      <c r="Y4610" t="s">
        <v>47</v>
      </c>
      <c r="Z4610">
        <v>15</v>
      </c>
      <c r="AA4610">
        <v>72</v>
      </c>
      <c r="AB4610">
        <v>20.8</v>
      </c>
    </row>
    <row r="4611" spans="20:28">
      <c r="T4611" s="340" t="str">
        <f t="shared" si="188"/>
        <v>2000FemaleNon-Maori19Sharp object</v>
      </c>
      <c r="U4611">
        <v>2000</v>
      </c>
      <c r="V4611" t="s">
        <v>8</v>
      </c>
      <c r="W4611" t="s">
        <v>19</v>
      </c>
      <c r="X4611">
        <v>19</v>
      </c>
      <c r="Y4611" t="s">
        <v>48</v>
      </c>
      <c r="Z4611">
        <v>2</v>
      </c>
      <c r="AA4611">
        <v>72</v>
      </c>
      <c r="AB4611">
        <v>2.8</v>
      </c>
    </row>
    <row r="4612" spans="20:28">
      <c r="T4612" s="340" t="str">
        <f t="shared" si="188"/>
        <v>2000FemaleNon-Maori19Submersion (drowning)</v>
      </c>
      <c r="U4612">
        <v>2000</v>
      </c>
      <c r="V4612" t="s">
        <v>8</v>
      </c>
      <c r="W4612" t="s">
        <v>19</v>
      </c>
      <c r="X4612">
        <v>19</v>
      </c>
      <c r="Y4612" t="s">
        <v>49</v>
      </c>
      <c r="Z4612">
        <v>3</v>
      </c>
      <c r="AA4612">
        <v>72</v>
      </c>
      <c r="AB4612">
        <v>4.2</v>
      </c>
    </row>
    <row r="4613" spans="20:28">
      <c r="T4613" s="340" t="str">
        <f t="shared" ref="T4613:T4676" si="189">U4613&amp;V4613&amp;W4613&amp;X4613&amp;Y4613</f>
        <v>2000MaleAllEth19Firearms and explosives</v>
      </c>
      <c r="U4613">
        <v>2000</v>
      </c>
      <c r="V4613" t="s">
        <v>20</v>
      </c>
      <c r="W4613" t="s">
        <v>27</v>
      </c>
      <c r="X4613">
        <v>19</v>
      </c>
      <c r="Y4613" t="s">
        <v>42</v>
      </c>
      <c r="Z4613">
        <v>35</v>
      </c>
      <c r="AA4613">
        <v>376</v>
      </c>
      <c r="AB4613">
        <v>9.3000000000000007</v>
      </c>
    </row>
    <row r="4614" spans="20:28">
      <c r="T4614" s="340" t="str">
        <f t="shared" si="189"/>
        <v>2000MaleAllEth19Hanging, strangulation and suffocation</v>
      </c>
      <c r="U4614">
        <v>2000</v>
      </c>
      <c r="V4614" t="s">
        <v>20</v>
      </c>
      <c r="W4614" t="s">
        <v>27</v>
      </c>
      <c r="X4614">
        <v>19</v>
      </c>
      <c r="Y4614" t="s">
        <v>43</v>
      </c>
      <c r="Z4614">
        <v>186</v>
      </c>
      <c r="AA4614">
        <v>376</v>
      </c>
      <c r="AB4614">
        <v>49.5</v>
      </c>
    </row>
    <row r="4615" spans="20:28">
      <c r="T4615" s="340" t="str">
        <f t="shared" si="189"/>
        <v>2000MaleAllEth19Jumping from a high place</v>
      </c>
      <c r="U4615">
        <v>2000</v>
      </c>
      <c r="V4615" t="s">
        <v>20</v>
      </c>
      <c r="W4615" t="s">
        <v>27</v>
      </c>
      <c r="X4615">
        <v>19</v>
      </c>
      <c r="Y4615" t="s">
        <v>44</v>
      </c>
      <c r="Z4615">
        <v>11</v>
      </c>
      <c r="AA4615">
        <v>376</v>
      </c>
      <c r="AB4615">
        <v>2.9</v>
      </c>
    </row>
    <row r="4616" spans="20:28">
      <c r="T4616" s="340" t="str">
        <f t="shared" si="189"/>
        <v>2000MaleAllEth19Other</v>
      </c>
      <c r="U4616">
        <v>2000</v>
      </c>
      <c r="V4616" t="s">
        <v>20</v>
      </c>
      <c r="W4616" t="s">
        <v>27</v>
      </c>
      <c r="X4616">
        <v>19</v>
      </c>
      <c r="Y4616" t="s">
        <v>45</v>
      </c>
      <c r="Z4616">
        <v>14</v>
      </c>
      <c r="AA4616">
        <v>376</v>
      </c>
      <c r="AB4616">
        <v>3.7</v>
      </c>
    </row>
    <row r="4617" spans="20:28">
      <c r="T4617" s="340" t="str">
        <f t="shared" si="189"/>
        <v>2000MaleAllEth19Poisoning by gases and vapours</v>
      </c>
      <c r="U4617">
        <v>2000</v>
      </c>
      <c r="V4617" t="s">
        <v>20</v>
      </c>
      <c r="W4617" t="s">
        <v>27</v>
      </c>
      <c r="X4617">
        <v>19</v>
      </c>
      <c r="Y4617" t="s">
        <v>46</v>
      </c>
      <c r="Z4617">
        <v>89</v>
      </c>
      <c r="AA4617">
        <v>376</v>
      </c>
      <c r="AB4617">
        <v>23.7</v>
      </c>
    </row>
    <row r="4618" spans="20:28">
      <c r="T4618" s="340" t="str">
        <f t="shared" si="189"/>
        <v>2000MaleAllEth19Poisoning by solids and liquids</v>
      </c>
      <c r="U4618">
        <v>2000</v>
      </c>
      <c r="V4618" t="s">
        <v>20</v>
      </c>
      <c r="W4618" t="s">
        <v>27</v>
      </c>
      <c r="X4618">
        <v>19</v>
      </c>
      <c r="Y4618" t="s">
        <v>47</v>
      </c>
      <c r="Z4618">
        <v>20</v>
      </c>
      <c r="AA4618">
        <v>376</v>
      </c>
      <c r="AB4618">
        <v>5.3</v>
      </c>
    </row>
    <row r="4619" spans="20:28">
      <c r="T4619" s="340" t="str">
        <f t="shared" si="189"/>
        <v>2000MaleAllEth19Sharp object</v>
      </c>
      <c r="U4619">
        <v>2000</v>
      </c>
      <c r="V4619" t="s">
        <v>20</v>
      </c>
      <c r="W4619" t="s">
        <v>27</v>
      </c>
      <c r="X4619">
        <v>19</v>
      </c>
      <c r="Y4619" t="s">
        <v>48</v>
      </c>
      <c r="Z4619">
        <v>9</v>
      </c>
      <c r="AA4619">
        <v>376</v>
      </c>
      <c r="AB4619">
        <v>2.4</v>
      </c>
    </row>
    <row r="4620" spans="20:28">
      <c r="T4620" s="340" t="str">
        <f t="shared" si="189"/>
        <v>2000MaleAllEth19Submersion (drowning)</v>
      </c>
      <c r="U4620">
        <v>2000</v>
      </c>
      <c r="V4620" t="s">
        <v>20</v>
      </c>
      <c r="W4620" t="s">
        <v>27</v>
      </c>
      <c r="X4620">
        <v>19</v>
      </c>
      <c r="Y4620" t="s">
        <v>49</v>
      </c>
      <c r="Z4620">
        <v>12</v>
      </c>
      <c r="AA4620">
        <v>376</v>
      </c>
      <c r="AB4620">
        <v>3.2</v>
      </c>
    </row>
    <row r="4621" spans="20:28">
      <c r="T4621" s="340" t="str">
        <f t="shared" si="189"/>
        <v>2000MaleMaori19Firearms and explosives</v>
      </c>
      <c r="U4621">
        <v>2000</v>
      </c>
      <c r="V4621" t="s">
        <v>20</v>
      </c>
      <c r="W4621" t="s">
        <v>18</v>
      </c>
      <c r="X4621">
        <v>19</v>
      </c>
      <c r="Y4621" t="s">
        <v>42</v>
      </c>
      <c r="Z4621">
        <v>4</v>
      </c>
      <c r="AA4621">
        <v>69</v>
      </c>
      <c r="AB4621">
        <v>5.8</v>
      </c>
    </row>
    <row r="4622" spans="20:28">
      <c r="T4622" s="340" t="str">
        <f t="shared" si="189"/>
        <v>2000MaleMaori19Hanging, strangulation and suffocation</v>
      </c>
      <c r="U4622">
        <v>2000</v>
      </c>
      <c r="V4622" t="s">
        <v>20</v>
      </c>
      <c r="W4622" t="s">
        <v>18</v>
      </c>
      <c r="X4622">
        <v>19</v>
      </c>
      <c r="Y4622" t="s">
        <v>43</v>
      </c>
      <c r="Z4622">
        <v>52</v>
      </c>
      <c r="AA4622">
        <v>69</v>
      </c>
      <c r="AB4622">
        <v>75.400000000000006</v>
      </c>
    </row>
    <row r="4623" spans="20:28">
      <c r="T4623" s="340" t="str">
        <f t="shared" si="189"/>
        <v>2000MaleMaori19Jumping from a high place</v>
      </c>
      <c r="U4623">
        <v>2000</v>
      </c>
      <c r="V4623" t="s">
        <v>20</v>
      </c>
      <c r="W4623" t="s">
        <v>18</v>
      </c>
      <c r="X4623">
        <v>19</v>
      </c>
      <c r="Y4623" t="s">
        <v>44</v>
      </c>
      <c r="Z4623">
        <v>1</v>
      </c>
      <c r="AA4623">
        <v>69</v>
      </c>
      <c r="AB4623">
        <v>1.4</v>
      </c>
    </row>
    <row r="4624" spans="20:28">
      <c r="T4624" s="340" t="str">
        <f t="shared" si="189"/>
        <v>2000MaleMaori19Other</v>
      </c>
      <c r="U4624">
        <v>2000</v>
      </c>
      <c r="V4624" t="s">
        <v>20</v>
      </c>
      <c r="W4624" t="s">
        <v>18</v>
      </c>
      <c r="X4624">
        <v>19</v>
      </c>
      <c r="Y4624" t="s">
        <v>45</v>
      </c>
      <c r="Z4624">
        <v>3</v>
      </c>
      <c r="AA4624">
        <v>69</v>
      </c>
      <c r="AB4624">
        <v>4.3</v>
      </c>
    </row>
    <row r="4625" spans="20:28">
      <c r="T4625" s="340" t="str">
        <f t="shared" si="189"/>
        <v>2000MaleMaori19Poisoning by gases and vapours</v>
      </c>
      <c r="U4625">
        <v>2000</v>
      </c>
      <c r="V4625" t="s">
        <v>20</v>
      </c>
      <c r="W4625" t="s">
        <v>18</v>
      </c>
      <c r="X4625">
        <v>19</v>
      </c>
      <c r="Y4625" t="s">
        <v>46</v>
      </c>
      <c r="Z4625">
        <v>5</v>
      </c>
      <c r="AA4625">
        <v>69</v>
      </c>
      <c r="AB4625">
        <v>7.2</v>
      </c>
    </row>
    <row r="4626" spans="20:28">
      <c r="T4626" s="340" t="str">
        <f t="shared" si="189"/>
        <v>2000MaleMaori19Poisoning by solids and liquids</v>
      </c>
      <c r="U4626">
        <v>2000</v>
      </c>
      <c r="V4626" t="s">
        <v>20</v>
      </c>
      <c r="W4626" t="s">
        <v>18</v>
      </c>
      <c r="X4626">
        <v>19</v>
      </c>
      <c r="Y4626" t="s">
        <v>47</v>
      </c>
      <c r="Z4626">
        <v>3</v>
      </c>
      <c r="AA4626">
        <v>69</v>
      </c>
      <c r="AB4626">
        <v>4.3</v>
      </c>
    </row>
    <row r="4627" spans="20:28">
      <c r="T4627" s="340" t="str">
        <f t="shared" si="189"/>
        <v>2000MaleMaori19Submersion (drowning)</v>
      </c>
      <c r="U4627">
        <v>2000</v>
      </c>
      <c r="V4627" t="s">
        <v>20</v>
      </c>
      <c r="W4627" t="s">
        <v>18</v>
      </c>
      <c r="X4627">
        <v>19</v>
      </c>
      <c r="Y4627" t="s">
        <v>49</v>
      </c>
      <c r="Z4627">
        <v>1</v>
      </c>
      <c r="AA4627">
        <v>69</v>
      </c>
      <c r="AB4627">
        <v>1.4</v>
      </c>
    </row>
    <row r="4628" spans="20:28">
      <c r="T4628" s="340" t="str">
        <f t="shared" si="189"/>
        <v>2000MaleNon-Maori19Firearms and explosives</v>
      </c>
      <c r="U4628">
        <v>2000</v>
      </c>
      <c r="V4628" t="s">
        <v>20</v>
      </c>
      <c r="W4628" t="s">
        <v>19</v>
      </c>
      <c r="X4628">
        <v>19</v>
      </c>
      <c r="Y4628" t="s">
        <v>42</v>
      </c>
      <c r="Z4628">
        <v>31</v>
      </c>
      <c r="AA4628">
        <v>307</v>
      </c>
      <c r="AB4628">
        <v>10.1</v>
      </c>
    </row>
    <row r="4629" spans="20:28">
      <c r="T4629" s="340" t="str">
        <f t="shared" si="189"/>
        <v>2000MaleNon-Maori19Hanging, strangulation and suffocation</v>
      </c>
      <c r="U4629">
        <v>2000</v>
      </c>
      <c r="V4629" t="s">
        <v>20</v>
      </c>
      <c r="W4629" t="s">
        <v>19</v>
      </c>
      <c r="X4629">
        <v>19</v>
      </c>
      <c r="Y4629" t="s">
        <v>43</v>
      </c>
      <c r="Z4629">
        <v>134</v>
      </c>
      <c r="AA4629">
        <v>307</v>
      </c>
      <c r="AB4629">
        <v>43.6</v>
      </c>
    </row>
    <row r="4630" spans="20:28">
      <c r="T4630" s="340" t="str">
        <f t="shared" si="189"/>
        <v>2000MaleNon-Maori19Jumping from a high place</v>
      </c>
      <c r="U4630">
        <v>2000</v>
      </c>
      <c r="V4630" t="s">
        <v>20</v>
      </c>
      <c r="W4630" t="s">
        <v>19</v>
      </c>
      <c r="X4630">
        <v>19</v>
      </c>
      <c r="Y4630" t="s">
        <v>44</v>
      </c>
      <c r="Z4630">
        <v>10</v>
      </c>
      <c r="AA4630">
        <v>307</v>
      </c>
      <c r="AB4630">
        <v>3.3</v>
      </c>
    </row>
    <row r="4631" spans="20:28">
      <c r="T4631" s="340" t="str">
        <f t="shared" si="189"/>
        <v>2000MaleNon-Maori19Other</v>
      </c>
      <c r="U4631">
        <v>2000</v>
      </c>
      <c r="V4631" t="s">
        <v>20</v>
      </c>
      <c r="W4631" t="s">
        <v>19</v>
      </c>
      <c r="X4631">
        <v>19</v>
      </c>
      <c r="Y4631" t="s">
        <v>45</v>
      </c>
      <c r="Z4631">
        <v>11</v>
      </c>
      <c r="AA4631">
        <v>307</v>
      </c>
      <c r="AB4631">
        <v>3.6</v>
      </c>
    </row>
    <row r="4632" spans="20:28">
      <c r="T4632" s="340" t="str">
        <f t="shared" si="189"/>
        <v>2000MaleNon-Maori19Poisoning by gases and vapours</v>
      </c>
      <c r="U4632">
        <v>2000</v>
      </c>
      <c r="V4632" t="s">
        <v>20</v>
      </c>
      <c r="W4632" t="s">
        <v>19</v>
      </c>
      <c r="X4632">
        <v>19</v>
      </c>
      <c r="Y4632" t="s">
        <v>46</v>
      </c>
      <c r="Z4632">
        <v>84</v>
      </c>
      <c r="AA4632">
        <v>307</v>
      </c>
      <c r="AB4632">
        <v>27.4</v>
      </c>
    </row>
    <row r="4633" spans="20:28">
      <c r="T4633" s="340" t="str">
        <f t="shared" si="189"/>
        <v>2000MaleNon-Maori19Poisoning by solids and liquids</v>
      </c>
      <c r="U4633">
        <v>2000</v>
      </c>
      <c r="V4633" t="s">
        <v>20</v>
      </c>
      <c r="W4633" t="s">
        <v>19</v>
      </c>
      <c r="X4633">
        <v>19</v>
      </c>
      <c r="Y4633" t="s">
        <v>47</v>
      </c>
      <c r="Z4633">
        <v>17</v>
      </c>
      <c r="AA4633">
        <v>307</v>
      </c>
      <c r="AB4633">
        <v>5.5</v>
      </c>
    </row>
    <row r="4634" spans="20:28">
      <c r="T4634" s="340" t="str">
        <f t="shared" si="189"/>
        <v>2000MaleNon-Maori19Sharp object</v>
      </c>
      <c r="U4634">
        <v>2000</v>
      </c>
      <c r="V4634" t="s">
        <v>20</v>
      </c>
      <c r="W4634" t="s">
        <v>19</v>
      </c>
      <c r="X4634">
        <v>19</v>
      </c>
      <c r="Y4634" t="s">
        <v>48</v>
      </c>
      <c r="Z4634">
        <v>9</v>
      </c>
      <c r="AA4634">
        <v>307</v>
      </c>
      <c r="AB4634">
        <v>2.9</v>
      </c>
    </row>
    <row r="4635" spans="20:28">
      <c r="T4635" s="340" t="str">
        <f t="shared" si="189"/>
        <v>2000MaleNon-Maori19Submersion (drowning)</v>
      </c>
      <c r="U4635">
        <v>2000</v>
      </c>
      <c r="V4635" t="s">
        <v>20</v>
      </c>
      <c r="W4635" t="s">
        <v>19</v>
      </c>
      <c r="X4635">
        <v>19</v>
      </c>
      <c r="Y4635" t="s">
        <v>49</v>
      </c>
      <c r="Z4635">
        <v>11</v>
      </c>
      <c r="AA4635">
        <v>307</v>
      </c>
      <c r="AB4635">
        <v>3.6</v>
      </c>
    </row>
    <row r="4636" spans="20:28">
      <c r="T4636" s="340" t="str">
        <f t="shared" si="189"/>
        <v>2001AllSexAllEth19Firearms and explosives</v>
      </c>
      <c r="U4636">
        <v>2001</v>
      </c>
      <c r="V4636" t="s">
        <v>17</v>
      </c>
      <c r="W4636" t="s">
        <v>27</v>
      </c>
      <c r="X4636">
        <v>19</v>
      </c>
      <c r="Y4636" t="s">
        <v>42</v>
      </c>
      <c r="Z4636">
        <v>51</v>
      </c>
      <c r="AA4636">
        <v>508</v>
      </c>
      <c r="AB4636">
        <v>10</v>
      </c>
    </row>
    <row r="4637" spans="20:28">
      <c r="T4637" s="340" t="str">
        <f t="shared" si="189"/>
        <v>2001AllSexAllEth19Hanging, strangulation and suffocation</v>
      </c>
      <c r="U4637">
        <v>2001</v>
      </c>
      <c r="V4637" t="s">
        <v>17</v>
      </c>
      <c r="W4637" t="s">
        <v>27</v>
      </c>
      <c r="X4637">
        <v>19</v>
      </c>
      <c r="Y4637" t="s">
        <v>43</v>
      </c>
      <c r="Z4637">
        <v>235</v>
      </c>
      <c r="AA4637">
        <v>508</v>
      </c>
      <c r="AB4637">
        <v>46.3</v>
      </c>
    </row>
    <row r="4638" spans="20:28">
      <c r="T4638" s="340" t="str">
        <f t="shared" si="189"/>
        <v>2001AllSexAllEth19Jumping from a high place</v>
      </c>
      <c r="U4638">
        <v>2001</v>
      </c>
      <c r="V4638" t="s">
        <v>17</v>
      </c>
      <c r="W4638" t="s">
        <v>27</v>
      </c>
      <c r="X4638">
        <v>19</v>
      </c>
      <c r="Y4638" t="s">
        <v>44</v>
      </c>
      <c r="Z4638">
        <v>19</v>
      </c>
      <c r="AA4638">
        <v>508</v>
      </c>
      <c r="AB4638">
        <v>3.7</v>
      </c>
    </row>
    <row r="4639" spans="20:28">
      <c r="T4639" s="340" t="str">
        <f t="shared" si="189"/>
        <v>2001AllSexAllEth19Other</v>
      </c>
      <c r="U4639">
        <v>2001</v>
      </c>
      <c r="V4639" t="s">
        <v>17</v>
      </c>
      <c r="W4639" t="s">
        <v>27</v>
      </c>
      <c r="X4639">
        <v>19</v>
      </c>
      <c r="Y4639" t="s">
        <v>45</v>
      </c>
      <c r="Z4639">
        <v>22</v>
      </c>
      <c r="AA4639">
        <v>508</v>
      </c>
      <c r="AB4639">
        <v>4.3</v>
      </c>
    </row>
    <row r="4640" spans="20:28">
      <c r="T4640" s="340" t="str">
        <f t="shared" si="189"/>
        <v>2001AllSexAllEth19Poisoning by gases and vapours</v>
      </c>
      <c r="U4640">
        <v>2001</v>
      </c>
      <c r="V4640" t="s">
        <v>17</v>
      </c>
      <c r="W4640" t="s">
        <v>27</v>
      </c>
      <c r="X4640">
        <v>19</v>
      </c>
      <c r="Y4640" t="s">
        <v>46</v>
      </c>
      <c r="Z4640">
        <v>111</v>
      </c>
      <c r="AA4640">
        <v>508</v>
      </c>
      <c r="AB4640">
        <v>21.9</v>
      </c>
    </row>
    <row r="4641" spans="20:28">
      <c r="T4641" s="340" t="str">
        <f t="shared" si="189"/>
        <v>2001AllSexAllEth19Poisoning by solids and liquids</v>
      </c>
      <c r="U4641">
        <v>2001</v>
      </c>
      <c r="V4641" t="s">
        <v>17</v>
      </c>
      <c r="W4641" t="s">
        <v>27</v>
      </c>
      <c r="X4641">
        <v>19</v>
      </c>
      <c r="Y4641" t="s">
        <v>47</v>
      </c>
      <c r="Z4641">
        <v>54</v>
      </c>
      <c r="AA4641">
        <v>508</v>
      </c>
      <c r="AB4641">
        <v>10.6</v>
      </c>
    </row>
    <row r="4642" spans="20:28">
      <c r="T4642" s="340" t="str">
        <f t="shared" si="189"/>
        <v>2001AllSexAllEth19Sharp object</v>
      </c>
      <c r="U4642">
        <v>2001</v>
      </c>
      <c r="V4642" t="s">
        <v>17</v>
      </c>
      <c r="W4642" t="s">
        <v>27</v>
      </c>
      <c r="X4642">
        <v>19</v>
      </c>
      <c r="Y4642" t="s">
        <v>48</v>
      </c>
      <c r="Z4642">
        <v>9</v>
      </c>
      <c r="AA4642">
        <v>508</v>
      </c>
      <c r="AB4642">
        <v>1.8</v>
      </c>
    </row>
    <row r="4643" spans="20:28">
      <c r="T4643" s="340" t="str">
        <f t="shared" si="189"/>
        <v>2001AllSexAllEth19Submersion (drowning)</v>
      </c>
      <c r="U4643">
        <v>2001</v>
      </c>
      <c r="V4643" t="s">
        <v>17</v>
      </c>
      <c r="W4643" t="s">
        <v>27</v>
      </c>
      <c r="X4643">
        <v>19</v>
      </c>
      <c r="Y4643" t="s">
        <v>49</v>
      </c>
      <c r="Z4643">
        <v>7</v>
      </c>
      <c r="AA4643">
        <v>508</v>
      </c>
      <c r="AB4643">
        <v>1.4</v>
      </c>
    </row>
    <row r="4644" spans="20:28">
      <c r="T4644" s="340" t="str">
        <f t="shared" si="189"/>
        <v>2001AllSexMaori19Firearms and explosives</v>
      </c>
      <c r="U4644">
        <v>2001</v>
      </c>
      <c r="V4644" t="s">
        <v>17</v>
      </c>
      <c r="W4644" t="s">
        <v>18</v>
      </c>
      <c r="X4644">
        <v>19</v>
      </c>
      <c r="Y4644" t="s">
        <v>42</v>
      </c>
      <c r="Z4644">
        <v>4</v>
      </c>
      <c r="AA4644">
        <v>79</v>
      </c>
      <c r="AB4644">
        <v>5.0999999999999996</v>
      </c>
    </row>
    <row r="4645" spans="20:28">
      <c r="T4645" s="340" t="str">
        <f t="shared" si="189"/>
        <v>2001AllSexMaori19Hanging, strangulation and suffocation</v>
      </c>
      <c r="U4645">
        <v>2001</v>
      </c>
      <c r="V4645" t="s">
        <v>17</v>
      </c>
      <c r="W4645" t="s">
        <v>18</v>
      </c>
      <c r="X4645">
        <v>19</v>
      </c>
      <c r="Y4645" t="s">
        <v>43</v>
      </c>
      <c r="Z4645">
        <v>56</v>
      </c>
      <c r="AA4645">
        <v>79</v>
      </c>
      <c r="AB4645">
        <v>70.900000000000006</v>
      </c>
    </row>
    <row r="4646" spans="20:28">
      <c r="T4646" s="340" t="str">
        <f t="shared" si="189"/>
        <v>2001AllSexMaori19Jumping from a high place</v>
      </c>
      <c r="U4646">
        <v>2001</v>
      </c>
      <c r="V4646" t="s">
        <v>17</v>
      </c>
      <c r="W4646" t="s">
        <v>18</v>
      </c>
      <c r="X4646">
        <v>19</v>
      </c>
      <c r="Y4646" t="s">
        <v>44</v>
      </c>
      <c r="Z4646">
        <v>1</v>
      </c>
      <c r="AA4646">
        <v>79</v>
      </c>
      <c r="AB4646">
        <v>1.3</v>
      </c>
    </row>
    <row r="4647" spans="20:28">
      <c r="T4647" s="340" t="str">
        <f t="shared" si="189"/>
        <v>2001AllSexMaori19Other</v>
      </c>
      <c r="U4647">
        <v>2001</v>
      </c>
      <c r="V4647" t="s">
        <v>17</v>
      </c>
      <c r="W4647" t="s">
        <v>18</v>
      </c>
      <c r="X4647">
        <v>19</v>
      </c>
      <c r="Y4647" t="s">
        <v>45</v>
      </c>
      <c r="Z4647">
        <v>2</v>
      </c>
      <c r="AA4647">
        <v>79</v>
      </c>
      <c r="AB4647">
        <v>2.5</v>
      </c>
    </row>
    <row r="4648" spans="20:28">
      <c r="T4648" s="340" t="str">
        <f t="shared" si="189"/>
        <v>2001AllSexMaori19Poisoning by gases and vapours</v>
      </c>
      <c r="U4648">
        <v>2001</v>
      </c>
      <c r="V4648" t="s">
        <v>17</v>
      </c>
      <c r="W4648" t="s">
        <v>18</v>
      </c>
      <c r="X4648">
        <v>19</v>
      </c>
      <c r="Y4648" t="s">
        <v>46</v>
      </c>
      <c r="Z4648">
        <v>11</v>
      </c>
      <c r="AA4648">
        <v>79</v>
      </c>
      <c r="AB4648">
        <v>13.9</v>
      </c>
    </row>
    <row r="4649" spans="20:28">
      <c r="T4649" s="340" t="str">
        <f t="shared" si="189"/>
        <v>2001AllSexMaori19Poisoning by solids and liquids</v>
      </c>
      <c r="U4649">
        <v>2001</v>
      </c>
      <c r="V4649" t="s">
        <v>17</v>
      </c>
      <c r="W4649" t="s">
        <v>18</v>
      </c>
      <c r="X4649">
        <v>19</v>
      </c>
      <c r="Y4649" t="s">
        <v>47</v>
      </c>
      <c r="Z4649">
        <v>4</v>
      </c>
      <c r="AA4649">
        <v>79</v>
      </c>
      <c r="AB4649">
        <v>5.0999999999999996</v>
      </c>
    </row>
    <row r="4650" spans="20:28">
      <c r="T4650" s="340" t="str">
        <f t="shared" si="189"/>
        <v>2001AllSexMaori19Sharp object</v>
      </c>
      <c r="U4650">
        <v>2001</v>
      </c>
      <c r="V4650" t="s">
        <v>17</v>
      </c>
      <c r="W4650" t="s">
        <v>18</v>
      </c>
      <c r="X4650">
        <v>19</v>
      </c>
      <c r="Y4650" t="s">
        <v>48</v>
      </c>
      <c r="Z4650">
        <v>1</v>
      </c>
      <c r="AA4650">
        <v>79</v>
      </c>
      <c r="AB4650">
        <v>1.3</v>
      </c>
    </row>
    <row r="4651" spans="20:28">
      <c r="T4651" s="340" t="str">
        <f t="shared" si="189"/>
        <v>2001AllSexNon-Maori19Firearms and explosives</v>
      </c>
      <c r="U4651">
        <v>2001</v>
      </c>
      <c r="V4651" t="s">
        <v>17</v>
      </c>
      <c r="W4651" t="s">
        <v>19</v>
      </c>
      <c r="X4651">
        <v>19</v>
      </c>
      <c r="Y4651" t="s">
        <v>42</v>
      </c>
      <c r="Z4651">
        <v>47</v>
      </c>
      <c r="AA4651">
        <v>429</v>
      </c>
      <c r="AB4651">
        <v>11</v>
      </c>
    </row>
    <row r="4652" spans="20:28">
      <c r="T4652" s="340" t="str">
        <f t="shared" si="189"/>
        <v>2001AllSexNon-Maori19Hanging, strangulation and suffocation</v>
      </c>
      <c r="U4652">
        <v>2001</v>
      </c>
      <c r="V4652" t="s">
        <v>17</v>
      </c>
      <c r="W4652" t="s">
        <v>19</v>
      </c>
      <c r="X4652">
        <v>19</v>
      </c>
      <c r="Y4652" t="s">
        <v>43</v>
      </c>
      <c r="Z4652">
        <v>179</v>
      </c>
      <c r="AA4652">
        <v>429</v>
      </c>
      <c r="AB4652">
        <v>41.7</v>
      </c>
    </row>
    <row r="4653" spans="20:28">
      <c r="T4653" s="340" t="str">
        <f t="shared" si="189"/>
        <v>2001AllSexNon-Maori19Jumping from a high place</v>
      </c>
      <c r="U4653">
        <v>2001</v>
      </c>
      <c r="V4653" t="s">
        <v>17</v>
      </c>
      <c r="W4653" t="s">
        <v>19</v>
      </c>
      <c r="X4653">
        <v>19</v>
      </c>
      <c r="Y4653" t="s">
        <v>44</v>
      </c>
      <c r="Z4653">
        <v>18</v>
      </c>
      <c r="AA4653">
        <v>429</v>
      </c>
      <c r="AB4653">
        <v>4.2</v>
      </c>
    </row>
    <row r="4654" spans="20:28">
      <c r="T4654" s="340" t="str">
        <f t="shared" si="189"/>
        <v>2001AllSexNon-Maori19Other</v>
      </c>
      <c r="U4654">
        <v>2001</v>
      </c>
      <c r="V4654" t="s">
        <v>17</v>
      </c>
      <c r="W4654" t="s">
        <v>19</v>
      </c>
      <c r="X4654">
        <v>19</v>
      </c>
      <c r="Y4654" t="s">
        <v>45</v>
      </c>
      <c r="Z4654">
        <v>20</v>
      </c>
      <c r="AA4654">
        <v>429</v>
      </c>
      <c r="AB4654">
        <v>4.7</v>
      </c>
    </row>
    <row r="4655" spans="20:28">
      <c r="T4655" s="340" t="str">
        <f t="shared" si="189"/>
        <v>2001AllSexNon-Maori19Poisoning by gases and vapours</v>
      </c>
      <c r="U4655">
        <v>2001</v>
      </c>
      <c r="V4655" t="s">
        <v>17</v>
      </c>
      <c r="W4655" t="s">
        <v>19</v>
      </c>
      <c r="X4655">
        <v>19</v>
      </c>
      <c r="Y4655" t="s">
        <v>46</v>
      </c>
      <c r="Z4655">
        <v>100</v>
      </c>
      <c r="AA4655">
        <v>429</v>
      </c>
      <c r="AB4655">
        <v>23.3</v>
      </c>
    </row>
    <row r="4656" spans="20:28">
      <c r="T4656" s="340" t="str">
        <f t="shared" si="189"/>
        <v>2001AllSexNon-Maori19Poisoning by solids and liquids</v>
      </c>
      <c r="U4656">
        <v>2001</v>
      </c>
      <c r="V4656" t="s">
        <v>17</v>
      </c>
      <c r="W4656" t="s">
        <v>19</v>
      </c>
      <c r="X4656">
        <v>19</v>
      </c>
      <c r="Y4656" t="s">
        <v>47</v>
      </c>
      <c r="Z4656">
        <v>50</v>
      </c>
      <c r="AA4656">
        <v>429</v>
      </c>
      <c r="AB4656">
        <v>11.7</v>
      </c>
    </row>
    <row r="4657" spans="20:28">
      <c r="T4657" s="340" t="str">
        <f t="shared" si="189"/>
        <v>2001AllSexNon-Maori19Sharp object</v>
      </c>
      <c r="U4657">
        <v>2001</v>
      </c>
      <c r="V4657" t="s">
        <v>17</v>
      </c>
      <c r="W4657" t="s">
        <v>19</v>
      </c>
      <c r="X4657">
        <v>19</v>
      </c>
      <c r="Y4657" t="s">
        <v>48</v>
      </c>
      <c r="Z4657">
        <v>8</v>
      </c>
      <c r="AA4657">
        <v>429</v>
      </c>
      <c r="AB4657">
        <v>1.9</v>
      </c>
    </row>
    <row r="4658" spans="20:28">
      <c r="T4658" s="340" t="str">
        <f t="shared" si="189"/>
        <v>2001AllSexNon-Maori19Submersion (drowning)</v>
      </c>
      <c r="U4658">
        <v>2001</v>
      </c>
      <c r="V4658" t="s">
        <v>17</v>
      </c>
      <c r="W4658" t="s">
        <v>19</v>
      </c>
      <c r="X4658">
        <v>19</v>
      </c>
      <c r="Y4658" t="s">
        <v>49</v>
      </c>
      <c r="Z4658">
        <v>7</v>
      </c>
      <c r="AA4658">
        <v>429</v>
      </c>
      <c r="AB4658">
        <v>1.6</v>
      </c>
    </row>
    <row r="4659" spans="20:28">
      <c r="T4659" s="340" t="str">
        <f t="shared" si="189"/>
        <v>2001FemaleAllEth19Firearms and explosives</v>
      </c>
      <c r="U4659">
        <v>2001</v>
      </c>
      <c r="V4659" t="s">
        <v>8</v>
      </c>
      <c r="W4659" t="s">
        <v>27</v>
      </c>
      <c r="X4659">
        <v>19</v>
      </c>
      <c r="Y4659" t="s">
        <v>42</v>
      </c>
      <c r="Z4659">
        <v>1</v>
      </c>
      <c r="AA4659">
        <v>118</v>
      </c>
      <c r="AB4659">
        <v>0.8</v>
      </c>
    </row>
    <row r="4660" spans="20:28">
      <c r="T4660" s="340" t="str">
        <f t="shared" si="189"/>
        <v>2001FemaleAllEth19Hanging, strangulation and suffocation</v>
      </c>
      <c r="U4660">
        <v>2001</v>
      </c>
      <c r="V4660" t="s">
        <v>8</v>
      </c>
      <c r="W4660" t="s">
        <v>27</v>
      </c>
      <c r="X4660">
        <v>19</v>
      </c>
      <c r="Y4660" t="s">
        <v>43</v>
      </c>
      <c r="Z4660">
        <v>51</v>
      </c>
      <c r="AA4660">
        <v>118</v>
      </c>
      <c r="AB4660">
        <v>43.2</v>
      </c>
    </row>
    <row r="4661" spans="20:28">
      <c r="T4661" s="340" t="str">
        <f t="shared" si="189"/>
        <v>2001FemaleAllEth19Jumping from a high place</v>
      </c>
      <c r="U4661">
        <v>2001</v>
      </c>
      <c r="V4661" t="s">
        <v>8</v>
      </c>
      <c r="W4661" t="s">
        <v>27</v>
      </c>
      <c r="X4661">
        <v>19</v>
      </c>
      <c r="Y4661" t="s">
        <v>44</v>
      </c>
      <c r="Z4661">
        <v>9</v>
      </c>
      <c r="AA4661">
        <v>118</v>
      </c>
      <c r="AB4661">
        <v>7.6</v>
      </c>
    </row>
    <row r="4662" spans="20:28">
      <c r="T4662" s="340" t="str">
        <f t="shared" si="189"/>
        <v>2001FemaleAllEth19Other</v>
      </c>
      <c r="U4662">
        <v>2001</v>
      </c>
      <c r="V4662" t="s">
        <v>8</v>
      </c>
      <c r="W4662" t="s">
        <v>27</v>
      </c>
      <c r="X4662">
        <v>19</v>
      </c>
      <c r="Y4662" t="s">
        <v>45</v>
      </c>
      <c r="Z4662">
        <v>5</v>
      </c>
      <c r="AA4662">
        <v>118</v>
      </c>
      <c r="AB4662">
        <v>4.2</v>
      </c>
    </row>
    <row r="4663" spans="20:28">
      <c r="T4663" s="340" t="str">
        <f t="shared" si="189"/>
        <v>2001FemaleAllEth19Poisoning by gases and vapours</v>
      </c>
      <c r="U4663">
        <v>2001</v>
      </c>
      <c r="V4663" t="s">
        <v>8</v>
      </c>
      <c r="W4663" t="s">
        <v>27</v>
      </c>
      <c r="X4663">
        <v>19</v>
      </c>
      <c r="Y4663" t="s">
        <v>46</v>
      </c>
      <c r="Z4663">
        <v>21</v>
      </c>
      <c r="AA4663">
        <v>118</v>
      </c>
      <c r="AB4663">
        <v>17.8</v>
      </c>
    </row>
    <row r="4664" spans="20:28">
      <c r="T4664" s="340" t="str">
        <f t="shared" si="189"/>
        <v>2001FemaleAllEth19Poisoning by solids and liquids</v>
      </c>
      <c r="U4664">
        <v>2001</v>
      </c>
      <c r="V4664" t="s">
        <v>8</v>
      </c>
      <c r="W4664" t="s">
        <v>27</v>
      </c>
      <c r="X4664">
        <v>19</v>
      </c>
      <c r="Y4664" t="s">
        <v>47</v>
      </c>
      <c r="Z4664">
        <v>25</v>
      </c>
      <c r="AA4664">
        <v>118</v>
      </c>
      <c r="AB4664">
        <v>21.2</v>
      </c>
    </row>
    <row r="4665" spans="20:28">
      <c r="T4665" s="340" t="str">
        <f t="shared" si="189"/>
        <v>2001FemaleAllEth19Sharp object</v>
      </c>
      <c r="U4665">
        <v>2001</v>
      </c>
      <c r="V4665" t="s">
        <v>8</v>
      </c>
      <c r="W4665" t="s">
        <v>27</v>
      </c>
      <c r="X4665">
        <v>19</v>
      </c>
      <c r="Y4665" t="s">
        <v>48</v>
      </c>
      <c r="Z4665">
        <v>1</v>
      </c>
      <c r="AA4665">
        <v>118</v>
      </c>
      <c r="AB4665">
        <v>0.8</v>
      </c>
    </row>
    <row r="4666" spans="20:28">
      <c r="T4666" s="340" t="str">
        <f t="shared" si="189"/>
        <v>2001FemaleAllEth19Submersion (drowning)</v>
      </c>
      <c r="U4666">
        <v>2001</v>
      </c>
      <c r="V4666" t="s">
        <v>8</v>
      </c>
      <c r="W4666" t="s">
        <v>27</v>
      </c>
      <c r="X4666">
        <v>19</v>
      </c>
      <c r="Y4666" t="s">
        <v>49</v>
      </c>
      <c r="Z4666">
        <v>5</v>
      </c>
      <c r="AA4666">
        <v>118</v>
      </c>
      <c r="AB4666">
        <v>4.2</v>
      </c>
    </row>
    <row r="4667" spans="20:28">
      <c r="T4667" s="340" t="str">
        <f t="shared" si="189"/>
        <v>2001FemaleMaori19Hanging, strangulation and suffocation</v>
      </c>
      <c r="U4667">
        <v>2001</v>
      </c>
      <c r="V4667" t="s">
        <v>8</v>
      </c>
      <c r="W4667" t="s">
        <v>18</v>
      </c>
      <c r="X4667">
        <v>19</v>
      </c>
      <c r="Y4667" t="s">
        <v>43</v>
      </c>
      <c r="Z4667">
        <v>15</v>
      </c>
      <c r="AA4667">
        <v>21</v>
      </c>
      <c r="AB4667">
        <v>71.400000000000006</v>
      </c>
    </row>
    <row r="4668" spans="20:28">
      <c r="T4668" s="340" t="str">
        <f t="shared" si="189"/>
        <v>2001FemaleMaori19Jumping from a high place</v>
      </c>
      <c r="U4668">
        <v>2001</v>
      </c>
      <c r="V4668" t="s">
        <v>8</v>
      </c>
      <c r="W4668" t="s">
        <v>18</v>
      </c>
      <c r="X4668">
        <v>19</v>
      </c>
      <c r="Y4668" t="s">
        <v>44</v>
      </c>
      <c r="Z4668">
        <v>1</v>
      </c>
      <c r="AA4668">
        <v>21</v>
      </c>
      <c r="AB4668">
        <v>4.8</v>
      </c>
    </row>
    <row r="4669" spans="20:28">
      <c r="T4669" s="340" t="str">
        <f t="shared" si="189"/>
        <v>2001FemaleMaori19Other</v>
      </c>
      <c r="U4669">
        <v>2001</v>
      </c>
      <c r="V4669" t="s">
        <v>8</v>
      </c>
      <c r="W4669" t="s">
        <v>18</v>
      </c>
      <c r="X4669">
        <v>19</v>
      </c>
      <c r="Y4669" t="s">
        <v>45</v>
      </c>
      <c r="Z4669">
        <v>1</v>
      </c>
      <c r="AA4669">
        <v>21</v>
      </c>
      <c r="AB4669">
        <v>4.8</v>
      </c>
    </row>
    <row r="4670" spans="20:28">
      <c r="T4670" s="340" t="str">
        <f t="shared" si="189"/>
        <v>2001FemaleMaori19Poisoning by gases and vapours</v>
      </c>
      <c r="U4670">
        <v>2001</v>
      </c>
      <c r="V4670" t="s">
        <v>8</v>
      </c>
      <c r="W4670" t="s">
        <v>18</v>
      </c>
      <c r="X4670">
        <v>19</v>
      </c>
      <c r="Y4670" t="s">
        <v>46</v>
      </c>
      <c r="Z4670">
        <v>3</v>
      </c>
      <c r="AA4670">
        <v>21</v>
      </c>
      <c r="AB4670">
        <v>14.3</v>
      </c>
    </row>
    <row r="4671" spans="20:28">
      <c r="T4671" s="340" t="str">
        <f t="shared" si="189"/>
        <v>2001FemaleMaori19Poisoning by solids and liquids</v>
      </c>
      <c r="U4671">
        <v>2001</v>
      </c>
      <c r="V4671" t="s">
        <v>8</v>
      </c>
      <c r="W4671" t="s">
        <v>18</v>
      </c>
      <c r="X4671">
        <v>19</v>
      </c>
      <c r="Y4671" t="s">
        <v>47</v>
      </c>
      <c r="Z4671">
        <v>1</v>
      </c>
      <c r="AA4671">
        <v>21</v>
      </c>
      <c r="AB4671">
        <v>4.8</v>
      </c>
    </row>
    <row r="4672" spans="20:28">
      <c r="T4672" s="340" t="str">
        <f t="shared" si="189"/>
        <v>2001FemaleNon-Maori19Firearms and explosives</v>
      </c>
      <c r="U4672">
        <v>2001</v>
      </c>
      <c r="V4672" t="s">
        <v>8</v>
      </c>
      <c r="W4672" t="s">
        <v>19</v>
      </c>
      <c r="X4672">
        <v>19</v>
      </c>
      <c r="Y4672" t="s">
        <v>42</v>
      </c>
      <c r="Z4672">
        <v>1</v>
      </c>
      <c r="AA4672">
        <v>97</v>
      </c>
      <c r="AB4672">
        <v>1</v>
      </c>
    </row>
    <row r="4673" spans="20:28">
      <c r="T4673" s="340" t="str">
        <f t="shared" si="189"/>
        <v>2001FemaleNon-Maori19Hanging, strangulation and suffocation</v>
      </c>
      <c r="U4673">
        <v>2001</v>
      </c>
      <c r="V4673" t="s">
        <v>8</v>
      </c>
      <c r="W4673" t="s">
        <v>19</v>
      </c>
      <c r="X4673">
        <v>19</v>
      </c>
      <c r="Y4673" t="s">
        <v>43</v>
      </c>
      <c r="Z4673">
        <v>36</v>
      </c>
      <c r="AA4673">
        <v>97</v>
      </c>
      <c r="AB4673">
        <v>37.1</v>
      </c>
    </row>
    <row r="4674" spans="20:28">
      <c r="T4674" s="340" t="str">
        <f t="shared" si="189"/>
        <v>2001FemaleNon-Maori19Jumping from a high place</v>
      </c>
      <c r="U4674">
        <v>2001</v>
      </c>
      <c r="V4674" t="s">
        <v>8</v>
      </c>
      <c r="W4674" t="s">
        <v>19</v>
      </c>
      <c r="X4674">
        <v>19</v>
      </c>
      <c r="Y4674" t="s">
        <v>44</v>
      </c>
      <c r="Z4674">
        <v>8</v>
      </c>
      <c r="AA4674">
        <v>97</v>
      </c>
      <c r="AB4674">
        <v>8.1999999999999993</v>
      </c>
    </row>
    <row r="4675" spans="20:28">
      <c r="T4675" s="340" t="str">
        <f t="shared" si="189"/>
        <v>2001FemaleNon-Maori19Other</v>
      </c>
      <c r="U4675">
        <v>2001</v>
      </c>
      <c r="V4675" t="s">
        <v>8</v>
      </c>
      <c r="W4675" t="s">
        <v>19</v>
      </c>
      <c r="X4675">
        <v>19</v>
      </c>
      <c r="Y4675" t="s">
        <v>45</v>
      </c>
      <c r="Z4675">
        <v>4</v>
      </c>
      <c r="AA4675">
        <v>97</v>
      </c>
      <c r="AB4675">
        <v>4.0999999999999996</v>
      </c>
    </row>
    <row r="4676" spans="20:28">
      <c r="T4676" s="340" t="str">
        <f t="shared" si="189"/>
        <v>2001FemaleNon-Maori19Poisoning by gases and vapours</v>
      </c>
      <c r="U4676">
        <v>2001</v>
      </c>
      <c r="V4676" t="s">
        <v>8</v>
      </c>
      <c r="W4676" t="s">
        <v>19</v>
      </c>
      <c r="X4676">
        <v>19</v>
      </c>
      <c r="Y4676" t="s">
        <v>46</v>
      </c>
      <c r="Z4676">
        <v>18</v>
      </c>
      <c r="AA4676">
        <v>97</v>
      </c>
      <c r="AB4676">
        <v>18.600000000000001</v>
      </c>
    </row>
    <row r="4677" spans="20:28">
      <c r="T4677" s="340" t="str">
        <f t="shared" ref="T4677:T4740" si="190">U4677&amp;V4677&amp;W4677&amp;X4677&amp;Y4677</f>
        <v>2001FemaleNon-Maori19Poisoning by solids and liquids</v>
      </c>
      <c r="U4677">
        <v>2001</v>
      </c>
      <c r="V4677" t="s">
        <v>8</v>
      </c>
      <c r="W4677" t="s">
        <v>19</v>
      </c>
      <c r="X4677">
        <v>19</v>
      </c>
      <c r="Y4677" t="s">
        <v>47</v>
      </c>
      <c r="Z4677">
        <v>24</v>
      </c>
      <c r="AA4677">
        <v>97</v>
      </c>
      <c r="AB4677">
        <v>24.7</v>
      </c>
    </row>
    <row r="4678" spans="20:28">
      <c r="T4678" s="340" t="str">
        <f t="shared" si="190"/>
        <v>2001FemaleNon-Maori19Sharp object</v>
      </c>
      <c r="U4678">
        <v>2001</v>
      </c>
      <c r="V4678" t="s">
        <v>8</v>
      </c>
      <c r="W4678" t="s">
        <v>19</v>
      </c>
      <c r="X4678">
        <v>19</v>
      </c>
      <c r="Y4678" t="s">
        <v>48</v>
      </c>
      <c r="Z4678">
        <v>1</v>
      </c>
      <c r="AA4678">
        <v>97</v>
      </c>
      <c r="AB4678">
        <v>1</v>
      </c>
    </row>
    <row r="4679" spans="20:28">
      <c r="T4679" s="340" t="str">
        <f t="shared" si="190"/>
        <v>2001FemaleNon-Maori19Submersion (drowning)</v>
      </c>
      <c r="U4679">
        <v>2001</v>
      </c>
      <c r="V4679" t="s">
        <v>8</v>
      </c>
      <c r="W4679" t="s">
        <v>19</v>
      </c>
      <c r="X4679">
        <v>19</v>
      </c>
      <c r="Y4679" t="s">
        <v>49</v>
      </c>
      <c r="Z4679">
        <v>5</v>
      </c>
      <c r="AA4679">
        <v>97</v>
      </c>
      <c r="AB4679">
        <v>5.2</v>
      </c>
    </row>
    <row r="4680" spans="20:28">
      <c r="T4680" s="340" t="str">
        <f t="shared" si="190"/>
        <v>2001MaleAllEth19Firearms and explosives</v>
      </c>
      <c r="U4680">
        <v>2001</v>
      </c>
      <c r="V4680" t="s">
        <v>20</v>
      </c>
      <c r="W4680" t="s">
        <v>27</v>
      </c>
      <c r="X4680">
        <v>19</v>
      </c>
      <c r="Y4680" t="s">
        <v>42</v>
      </c>
      <c r="Z4680">
        <v>50</v>
      </c>
      <c r="AA4680">
        <v>390</v>
      </c>
      <c r="AB4680">
        <v>12.8</v>
      </c>
    </row>
    <row r="4681" spans="20:28">
      <c r="T4681" s="340" t="str">
        <f t="shared" si="190"/>
        <v>2001MaleAllEth19Hanging, strangulation and suffocation</v>
      </c>
      <c r="U4681">
        <v>2001</v>
      </c>
      <c r="V4681" t="s">
        <v>20</v>
      </c>
      <c r="W4681" t="s">
        <v>27</v>
      </c>
      <c r="X4681">
        <v>19</v>
      </c>
      <c r="Y4681" t="s">
        <v>43</v>
      </c>
      <c r="Z4681">
        <v>184</v>
      </c>
      <c r="AA4681">
        <v>390</v>
      </c>
      <c r="AB4681">
        <v>47.2</v>
      </c>
    </row>
    <row r="4682" spans="20:28">
      <c r="T4682" s="340" t="str">
        <f t="shared" si="190"/>
        <v>2001MaleAllEth19Jumping from a high place</v>
      </c>
      <c r="U4682">
        <v>2001</v>
      </c>
      <c r="V4682" t="s">
        <v>20</v>
      </c>
      <c r="W4682" t="s">
        <v>27</v>
      </c>
      <c r="X4682">
        <v>19</v>
      </c>
      <c r="Y4682" t="s">
        <v>44</v>
      </c>
      <c r="Z4682">
        <v>10</v>
      </c>
      <c r="AA4682">
        <v>390</v>
      </c>
      <c r="AB4682">
        <v>2.6</v>
      </c>
    </row>
    <row r="4683" spans="20:28">
      <c r="T4683" s="340" t="str">
        <f t="shared" si="190"/>
        <v>2001MaleAllEth19Other</v>
      </c>
      <c r="U4683">
        <v>2001</v>
      </c>
      <c r="V4683" t="s">
        <v>20</v>
      </c>
      <c r="W4683" t="s">
        <v>27</v>
      </c>
      <c r="X4683">
        <v>19</v>
      </c>
      <c r="Y4683" t="s">
        <v>45</v>
      </c>
      <c r="Z4683">
        <v>17</v>
      </c>
      <c r="AA4683">
        <v>390</v>
      </c>
      <c r="AB4683">
        <v>4.4000000000000004</v>
      </c>
    </row>
    <row r="4684" spans="20:28">
      <c r="T4684" s="340" t="str">
        <f t="shared" si="190"/>
        <v>2001MaleAllEth19Poisoning by gases and vapours</v>
      </c>
      <c r="U4684">
        <v>2001</v>
      </c>
      <c r="V4684" t="s">
        <v>20</v>
      </c>
      <c r="W4684" t="s">
        <v>27</v>
      </c>
      <c r="X4684">
        <v>19</v>
      </c>
      <c r="Y4684" t="s">
        <v>46</v>
      </c>
      <c r="Z4684">
        <v>90</v>
      </c>
      <c r="AA4684">
        <v>390</v>
      </c>
      <c r="AB4684">
        <v>23.1</v>
      </c>
    </row>
    <row r="4685" spans="20:28">
      <c r="T4685" s="340" t="str">
        <f t="shared" si="190"/>
        <v>2001MaleAllEth19Poisoning by solids and liquids</v>
      </c>
      <c r="U4685">
        <v>2001</v>
      </c>
      <c r="V4685" t="s">
        <v>20</v>
      </c>
      <c r="W4685" t="s">
        <v>27</v>
      </c>
      <c r="X4685">
        <v>19</v>
      </c>
      <c r="Y4685" t="s">
        <v>47</v>
      </c>
      <c r="Z4685">
        <v>29</v>
      </c>
      <c r="AA4685">
        <v>390</v>
      </c>
      <c r="AB4685">
        <v>7.4</v>
      </c>
    </row>
    <row r="4686" spans="20:28">
      <c r="T4686" s="340" t="str">
        <f t="shared" si="190"/>
        <v>2001MaleAllEth19Sharp object</v>
      </c>
      <c r="U4686">
        <v>2001</v>
      </c>
      <c r="V4686" t="s">
        <v>20</v>
      </c>
      <c r="W4686" t="s">
        <v>27</v>
      </c>
      <c r="X4686">
        <v>19</v>
      </c>
      <c r="Y4686" t="s">
        <v>48</v>
      </c>
      <c r="Z4686">
        <v>8</v>
      </c>
      <c r="AA4686">
        <v>390</v>
      </c>
      <c r="AB4686">
        <v>2.1</v>
      </c>
    </row>
    <row r="4687" spans="20:28">
      <c r="T4687" s="340" t="str">
        <f t="shared" si="190"/>
        <v>2001MaleAllEth19Submersion (drowning)</v>
      </c>
      <c r="U4687">
        <v>2001</v>
      </c>
      <c r="V4687" t="s">
        <v>20</v>
      </c>
      <c r="W4687" t="s">
        <v>27</v>
      </c>
      <c r="X4687">
        <v>19</v>
      </c>
      <c r="Y4687" t="s">
        <v>49</v>
      </c>
      <c r="Z4687">
        <v>2</v>
      </c>
      <c r="AA4687">
        <v>390</v>
      </c>
      <c r="AB4687">
        <v>0.5</v>
      </c>
    </row>
    <row r="4688" spans="20:28">
      <c r="T4688" s="340" t="str">
        <f t="shared" si="190"/>
        <v>2001MaleMaori19Firearms and explosives</v>
      </c>
      <c r="U4688">
        <v>2001</v>
      </c>
      <c r="V4688" t="s">
        <v>20</v>
      </c>
      <c r="W4688" t="s">
        <v>18</v>
      </c>
      <c r="X4688">
        <v>19</v>
      </c>
      <c r="Y4688" t="s">
        <v>42</v>
      </c>
      <c r="Z4688">
        <v>4</v>
      </c>
      <c r="AA4688">
        <v>58</v>
      </c>
      <c r="AB4688">
        <v>6.9</v>
      </c>
    </row>
    <row r="4689" spans="20:28">
      <c r="T4689" s="340" t="str">
        <f t="shared" si="190"/>
        <v>2001MaleMaori19Hanging, strangulation and suffocation</v>
      </c>
      <c r="U4689">
        <v>2001</v>
      </c>
      <c r="V4689" t="s">
        <v>20</v>
      </c>
      <c r="W4689" t="s">
        <v>18</v>
      </c>
      <c r="X4689">
        <v>19</v>
      </c>
      <c r="Y4689" t="s">
        <v>43</v>
      </c>
      <c r="Z4689">
        <v>41</v>
      </c>
      <c r="AA4689">
        <v>58</v>
      </c>
      <c r="AB4689">
        <v>70.7</v>
      </c>
    </row>
    <row r="4690" spans="20:28">
      <c r="T4690" s="340" t="str">
        <f t="shared" si="190"/>
        <v>2001MaleMaori19Other</v>
      </c>
      <c r="U4690">
        <v>2001</v>
      </c>
      <c r="V4690" t="s">
        <v>20</v>
      </c>
      <c r="W4690" t="s">
        <v>18</v>
      </c>
      <c r="X4690">
        <v>19</v>
      </c>
      <c r="Y4690" t="s">
        <v>45</v>
      </c>
      <c r="Z4690">
        <v>1</v>
      </c>
      <c r="AA4690">
        <v>58</v>
      </c>
      <c r="AB4690">
        <v>1.7</v>
      </c>
    </row>
    <row r="4691" spans="20:28">
      <c r="T4691" s="340" t="str">
        <f t="shared" si="190"/>
        <v>2001MaleMaori19Poisoning by gases and vapours</v>
      </c>
      <c r="U4691">
        <v>2001</v>
      </c>
      <c r="V4691" t="s">
        <v>20</v>
      </c>
      <c r="W4691" t="s">
        <v>18</v>
      </c>
      <c r="X4691">
        <v>19</v>
      </c>
      <c r="Y4691" t="s">
        <v>46</v>
      </c>
      <c r="Z4691">
        <v>8</v>
      </c>
      <c r="AA4691">
        <v>58</v>
      </c>
      <c r="AB4691">
        <v>13.8</v>
      </c>
    </row>
    <row r="4692" spans="20:28">
      <c r="T4692" s="340" t="str">
        <f t="shared" si="190"/>
        <v>2001MaleMaori19Poisoning by solids and liquids</v>
      </c>
      <c r="U4692">
        <v>2001</v>
      </c>
      <c r="V4692" t="s">
        <v>20</v>
      </c>
      <c r="W4692" t="s">
        <v>18</v>
      </c>
      <c r="X4692">
        <v>19</v>
      </c>
      <c r="Y4692" t="s">
        <v>47</v>
      </c>
      <c r="Z4692">
        <v>3</v>
      </c>
      <c r="AA4692">
        <v>58</v>
      </c>
      <c r="AB4692">
        <v>5.2</v>
      </c>
    </row>
    <row r="4693" spans="20:28">
      <c r="T4693" s="340" t="str">
        <f t="shared" si="190"/>
        <v>2001MaleMaori19Sharp object</v>
      </c>
      <c r="U4693">
        <v>2001</v>
      </c>
      <c r="V4693" t="s">
        <v>20</v>
      </c>
      <c r="W4693" t="s">
        <v>18</v>
      </c>
      <c r="X4693">
        <v>19</v>
      </c>
      <c r="Y4693" t="s">
        <v>48</v>
      </c>
      <c r="Z4693">
        <v>1</v>
      </c>
      <c r="AA4693">
        <v>58</v>
      </c>
      <c r="AB4693">
        <v>1.7</v>
      </c>
    </row>
    <row r="4694" spans="20:28">
      <c r="T4694" s="340" t="str">
        <f t="shared" si="190"/>
        <v>2001MaleNon-Maori19Firearms and explosives</v>
      </c>
      <c r="U4694">
        <v>2001</v>
      </c>
      <c r="V4694" t="s">
        <v>20</v>
      </c>
      <c r="W4694" t="s">
        <v>19</v>
      </c>
      <c r="X4694">
        <v>19</v>
      </c>
      <c r="Y4694" t="s">
        <v>42</v>
      </c>
      <c r="Z4694">
        <v>46</v>
      </c>
      <c r="AA4694">
        <v>332</v>
      </c>
      <c r="AB4694">
        <v>13.9</v>
      </c>
    </row>
    <row r="4695" spans="20:28">
      <c r="T4695" s="340" t="str">
        <f t="shared" si="190"/>
        <v>2001MaleNon-Maori19Hanging, strangulation and suffocation</v>
      </c>
      <c r="U4695">
        <v>2001</v>
      </c>
      <c r="V4695" t="s">
        <v>20</v>
      </c>
      <c r="W4695" t="s">
        <v>19</v>
      </c>
      <c r="X4695">
        <v>19</v>
      </c>
      <c r="Y4695" t="s">
        <v>43</v>
      </c>
      <c r="Z4695">
        <v>143</v>
      </c>
      <c r="AA4695">
        <v>332</v>
      </c>
      <c r="AB4695">
        <v>43.1</v>
      </c>
    </row>
    <row r="4696" spans="20:28">
      <c r="T4696" s="340" t="str">
        <f t="shared" si="190"/>
        <v>2001MaleNon-Maori19Jumping from a high place</v>
      </c>
      <c r="U4696">
        <v>2001</v>
      </c>
      <c r="V4696" t="s">
        <v>20</v>
      </c>
      <c r="W4696" t="s">
        <v>19</v>
      </c>
      <c r="X4696">
        <v>19</v>
      </c>
      <c r="Y4696" t="s">
        <v>44</v>
      </c>
      <c r="Z4696">
        <v>10</v>
      </c>
      <c r="AA4696">
        <v>332</v>
      </c>
      <c r="AB4696">
        <v>3</v>
      </c>
    </row>
    <row r="4697" spans="20:28">
      <c r="T4697" s="340" t="str">
        <f t="shared" si="190"/>
        <v>2001MaleNon-Maori19Other</v>
      </c>
      <c r="U4697">
        <v>2001</v>
      </c>
      <c r="V4697" t="s">
        <v>20</v>
      </c>
      <c r="W4697" t="s">
        <v>19</v>
      </c>
      <c r="X4697">
        <v>19</v>
      </c>
      <c r="Y4697" t="s">
        <v>45</v>
      </c>
      <c r="Z4697">
        <v>16</v>
      </c>
      <c r="AA4697">
        <v>332</v>
      </c>
      <c r="AB4697">
        <v>4.8</v>
      </c>
    </row>
    <row r="4698" spans="20:28">
      <c r="T4698" s="340" t="str">
        <f t="shared" si="190"/>
        <v>2001MaleNon-Maori19Poisoning by gases and vapours</v>
      </c>
      <c r="U4698">
        <v>2001</v>
      </c>
      <c r="V4698" t="s">
        <v>20</v>
      </c>
      <c r="W4698" t="s">
        <v>19</v>
      </c>
      <c r="X4698">
        <v>19</v>
      </c>
      <c r="Y4698" t="s">
        <v>46</v>
      </c>
      <c r="Z4698">
        <v>82</v>
      </c>
      <c r="AA4698">
        <v>332</v>
      </c>
      <c r="AB4698">
        <v>24.7</v>
      </c>
    </row>
    <row r="4699" spans="20:28">
      <c r="T4699" s="340" t="str">
        <f t="shared" si="190"/>
        <v>2001MaleNon-Maori19Poisoning by solids and liquids</v>
      </c>
      <c r="U4699">
        <v>2001</v>
      </c>
      <c r="V4699" t="s">
        <v>20</v>
      </c>
      <c r="W4699" t="s">
        <v>19</v>
      </c>
      <c r="X4699">
        <v>19</v>
      </c>
      <c r="Y4699" t="s">
        <v>47</v>
      </c>
      <c r="Z4699">
        <v>26</v>
      </c>
      <c r="AA4699">
        <v>332</v>
      </c>
      <c r="AB4699">
        <v>7.8</v>
      </c>
    </row>
    <row r="4700" spans="20:28">
      <c r="T4700" s="340" t="str">
        <f t="shared" si="190"/>
        <v>2001MaleNon-Maori19Sharp object</v>
      </c>
      <c r="U4700">
        <v>2001</v>
      </c>
      <c r="V4700" t="s">
        <v>20</v>
      </c>
      <c r="W4700" t="s">
        <v>19</v>
      </c>
      <c r="X4700">
        <v>19</v>
      </c>
      <c r="Y4700" t="s">
        <v>48</v>
      </c>
      <c r="Z4700">
        <v>7</v>
      </c>
      <c r="AA4700">
        <v>332</v>
      </c>
      <c r="AB4700">
        <v>2.1</v>
      </c>
    </row>
    <row r="4701" spans="20:28">
      <c r="T4701" s="340" t="str">
        <f t="shared" si="190"/>
        <v>2001MaleNon-Maori19Submersion (drowning)</v>
      </c>
      <c r="U4701">
        <v>2001</v>
      </c>
      <c r="V4701" t="s">
        <v>20</v>
      </c>
      <c r="W4701" t="s">
        <v>19</v>
      </c>
      <c r="X4701">
        <v>19</v>
      </c>
      <c r="Y4701" t="s">
        <v>49</v>
      </c>
      <c r="Z4701">
        <v>2</v>
      </c>
      <c r="AA4701">
        <v>332</v>
      </c>
      <c r="AB4701">
        <v>0.6</v>
      </c>
    </row>
    <row r="4702" spans="20:28">
      <c r="T4702" s="340" t="str">
        <f t="shared" si="190"/>
        <v>2002AllSexAllEth19Firearms and explosives</v>
      </c>
      <c r="U4702">
        <v>2002</v>
      </c>
      <c r="V4702" t="s">
        <v>17</v>
      </c>
      <c r="W4702" t="s">
        <v>27</v>
      </c>
      <c r="X4702">
        <v>19</v>
      </c>
      <c r="Y4702" t="s">
        <v>42</v>
      </c>
      <c r="Z4702">
        <v>49</v>
      </c>
      <c r="AA4702">
        <v>470</v>
      </c>
      <c r="AB4702">
        <v>10.4</v>
      </c>
    </row>
    <row r="4703" spans="20:28">
      <c r="T4703" s="340" t="str">
        <f t="shared" si="190"/>
        <v>2002AllSexAllEth19Hanging, strangulation and suffocation</v>
      </c>
      <c r="U4703">
        <v>2002</v>
      </c>
      <c r="V4703" t="s">
        <v>17</v>
      </c>
      <c r="W4703" t="s">
        <v>27</v>
      </c>
      <c r="X4703">
        <v>19</v>
      </c>
      <c r="Y4703" t="s">
        <v>43</v>
      </c>
      <c r="Z4703">
        <v>222</v>
      </c>
      <c r="AA4703">
        <v>470</v>
      </c>
      <c r="AB4703">
        <v>47.2</v>
      </c>
    </row>
    <row r="4704" spans="20:28">
      <c r="T4704" s="340" t="str">
        <f t="shared" si="190"/>
        <v>2002AllSexAllEth19Jumping from a high place</v>
      </c>
      <c r="U4704">
        <v>2002</v>
      </c>
      <c r="V4704" t="s">
        <v>17</v>
      </c>
      <c r="W4704" t="s">
        <v>27</v>
      </c>
      <c r="X4704">
        <v>19</v>
      </c>
      <c r="Y4704" t="s">
        <v>44</v>
      </c>
      <c r="Z4704">
        <v>19</v>
      </c>
      <c r="AA4704">
        <v>470</v>
      </c>
      <c r="AB4704">
        <v>4</v>
      </c>
    </row>
    <row r="4705" spans="20:28">
      <c r="T4705" s="340" t="str">
        <f t="shared" si="190"/>
        <v>2002AllSexAllEth19Other</v>
      </c>
      <c r="U4705">
        <v>2002</v>
      </c>
      <c r="V4705" t="s">
        <v>17</v>
      </c>
      <c r="W4705" t="s">
        <v>27</v>
      </c>
      <c r="X4705">
        <v>19</v>
      </c>
      <c r="Y4705" t="s">
        <v>45</v>
      </c>
      <c r="Z4705">
        <v>16</v>
      </c>
      <c r="AA4705">
        <v>470</v>
      </c>
      <c r="AB4705">
        <v>3.4</v>
      </c>
    </row>
    <row r="4706" spans="20:28">
      <c r="T4706" s="340" t="str">
        <f t="shared" si="190"/>
        <v>2002AllSexAllEth19Poisoning by gases and vapours</v>
      </c>
      <c r="U4706">
        <v>2002</v>
      </c>
      <c r="V4706" t="s">
        <v>17</v>
      </c>
      <c r="W4706" t="s">
        <v>27</v>
      </c>
      <c r="X4706">
        <v>19</v>
      </c>
      <c r="Y4706" t="s">
        <v>46</v>
      </c>
      <c r="Z4706">
        <v>99</v>
      </c>
      <c r="AA4706">
        <v>470</v>
      </c>
      <c r="AB4706">
        <v>21.1</v>
      </c>
    </row>
    <row r="4707" spans="20:28">
      <c r="T4707" s="340" t="str">
        <f t="shared" si="190"/>
        <v>2002AllSexAllEth19Poisoning by solids and liquids</v>
      </c>
      <c r="U4707">
        <v>2002</v>
      </c>
      <c r="V4707" t="s">
        <v>17</v>
      </c>
      <c r="W4707" t="s">
        <v>27</v>
      </c>
      <c r="X4707">
        <v>19</v>
      </c>
      <c r="Y4707" t="s">
        <v>47</v>
      </c>
      <c r="Z4707">
        <v>47</v>
      </c>
      <c r="AA4707">
        <v>470</v>
      </c>
      <c r="AB4707">
        <v>10</v>
      </c>
    </row>
    <row r="4708" spans="20:28">
      <c r="T4708" s="340" t="str">
        <f t="shared" si="190"/>
        <v>2002AllSexAllEth19Sharp object</v>
      </c>
      <c r="U4708">
        <v>2002</v>
      </c>
      <c r="V4708" t="s">
        <v>17</v>
      </c>
      <c r="W4708" t="s">
        <v>27</v>
      </c>
      <c r="X4708">
        <v>19</v>
      </c>
      <c r="Y4708" t="s">
        <v>48</v>
      </c>
      <c r="Z4708">
        <v>5</v>
      </c>
      <c r="AA4708">
        <v>470</v>
      </c>
      <c r="AB4708">
        <v>1.1000000000000001</v>
      </c>
    </row>
    <row r="4709" spans="20:28">
      <c r="T4709" s="340" t="str">
        <f t="shared" si="190"/>
        <v>2002AllSexAllEth19Submersion (drowning)</v>
      </c>
      <c r="U4709">
        <v>2002</v>
      </c>
      <c r="V4709" t="s">
        <v>17</v>
      </c>
      <c r="W4709" t="s">
        <v>27</v>
      </c>
      <c r="X4709">
        <v>19</v>
      </c>
      <c r="Y4709" t="s">
        <v>49</v>
      </c>
      <c r="Z4709">
        <v>13</v>
      </c>
      <c r="AA4709">
        <v>470</v>
      </c>
      <c r="AB4709">
        <v>2.8</v>
      </c>
    </row>
    <row r="4710" spans="20:28">
      <c r="T4710" s="340" t="str">
        <f t="shared" si="190"/>
        <v>2002AllSexMaori19Firearms and explosives</v>
      </c>
      <c r="U4710">
        <v>2002</v>
      </c>
      <c r="V4710" t="s">
        <v>17</v>
      </c>
      <c r="W4710" t="s">
        <v>18</v>
      </c>
      <c r="X4710">
        <v>19</v>
      </c>
      <c r="Y4710" t="s">
        <v>42</v>
      </c>
      <c r="Z4710">
        <v>4</v>
      </c>
      <c r="AA4710">
        <v>80</v>
      </c>
      <c r="AB4710">
        <v>5</v>
      </c>
    </row>
    <row r="4711" spans="20:28">
      <c r="T4711" s="340" t="str">
        <f t="shared" si="190"/>
        <v>2002AllSexMaori19Hanging, strangulation and suffocation</v>
      </c>
      <c r="U4711">
        <v>2002</v>
      </c>
      <c r="V4711" t="s">
        <v>17</v>
      </c>
      <c r="W4711" t="s">
        <v>18</v>
      </c>
      <c r="X4711">
        <v>19</v>
      </c>
      <c r="Y4711" t="s">
        <v>43</v>
      </c>
      <c r="Z4711">
        <v>61</v>
      </c>
      <c r="AA4711">
        <v>80</v>
      </c>
      <c r="AB4711">
        <v>76.2</v>
      </c>
    </row>
    <row r="4712" spans="20:28">
      <c r="T4712" s="340" t="str">
        <f t="shared" si="190"/>
        <v>2002AllSexMaori19Jumping from a high place</v>
      </c>
      <c r="U4712">
        <v>2002</v>
      </c>
      <c r="V4712" t="s">
        <v>17</v>
      </c>
      <c r="W4712" t="s">
        <v>18</v>
      </c>
      <c r="X4712">
        <v>19</v>
      </c>
      <c r="Y4712" t="s">
        <v>44</v>
      </c>
      <c r="Z4712">
        <v>1</v>
      </c>
      <c r="AA4712">
        <v>80</v>
      </c>
      <c r="AB4712">
        <v>1.2</v>
      </c>
    </row>
    <row r="4713" spans="20:28">
      <c r="T4713" s="340" t="str">
        <f t="shared" si="190"/>
        <v>2002AllSexMaori19Poisoning by gases and vapours</v>
      </c>
      <c r="U4713">
        <v>2002</v>
      </c>
      <c r="V4713" t="s">
        <v>17</v>
      </c>
      <c r="W4713" t="s">
        <v>18</v>
      </c>
      <c r="X4713">
        <v>19</v>
      </c>
      <c r="Y4713" t="s">
        <v>46</v>
      </c>
      <c r="Z4713">
        <v>8</v>
      </c>
      <c r="AA4713">
        <v>80</v>
      </c>
      <c r="AB4713">
        <v>10</v>
      </c>
    </row>
    <row r="4714" spans="20:28">
      <c r="T4714" s="340" t="str">
        <f t="shared" si="190"/>
        <v>2002AllSexMaori19Poisoning by solids and liquids</v>
      </c>
      <c r="U4714">
        <v>2002</v>
      </c>
      <c r="V4714" t="s">
        <v>17</v>
      </c>
      <c r="W4714" t="s">
        <v>18</v>
      </c>
      <c r="X4714">
        <v>19</v>
      </c>
      <c r="Y4714" t="s">
        <v>47</v>
      </c>
      <c r="Z4714">
        <v>5</v>
      </c>
      <c r="AA4714">
        <v>80</v>
      </c>
      <c r="AB4714">
        <v>6.2</v>
      </c>
    </row>
    <row r="4715" spans="20:28">
      <c r="T4715" s="340" t="str">
        <f t="shared" si="190"/>
        <v>2002AllSexMaori19Sharp object</v>
      </c>
      <c r="U4715">
        <v>2002</v>
      </c>
      <c r="V4715" t="s">
        <v>17</v>
      </c>
      <c r="W4715" t="s">
        <v>18</v>
      </c>
      <c r="X4715">
        <v>19</v>
      </c>
      <c r="Y4715" t="s">
        <v>48</v>
      </c>
      <c r="Z4715">
        <v>1</v>
      </c>
      <c r="AA4715">
        <v>80</v>
      </c>
      <c r="AB4715">
        <v>1.2</v>
      </c>
    </row>
    <row r="4716" spans="20:28">
      <c r="T4716" s="340" t="str">
        <f t="shared" si="190"/>
        <v>2002AllSexNon-Maori19Firearms and explosives</v>
      </c>
      <c r="U4716">
        <v>2002</v>
      </c>
      <c r="V4716" t="s">
        <v>17</v>
      </c>
      <c r="W4716" t="s">
        <v>19</v>
      </c>
      <c r="X4716">
        <v>19</v>
      </c>
      <c r="Y4716" t="s">
        <v>42</v>
      </c>
      <c r="Z4716">
        <v>45</v>
      </c>
      <c r="AA4716">
        <v>390</v>
      </c>
      <c r="AB4716">
        <v>11.5</v>
      </c>
    </row>
    <row r="4717" spans="20:28">
      <c r="T4717" s="340" t="str">
        <f t="shared" si="190"/>
        <v>2002AllSexNon-Maori19Hanging, strangulation and suffocation</v>
      </c>
      <c r="U4717">
        <v>2002</v>
      </c>
      <c r="V4717" t="s">
        <v>17</v>
      </c>
      <c r="W4717" t="s">
        <v>19</v>
      </c>
      <c r="X4717">
        <v>19</v>
      </c>
      <c r="Y4717" t="s">
        <v>43</v>
      </c>
      <c r="Z4717">
        <v>161</v>
      </c>
      <c r="AA4717">
        <v>390</v>
      </c>
      <c r="AB4717">
        <v>41.3</v>
      </c>
    </row>
    <row r="4718" spans="20:28">
      <c r="T4718" s="340" t="str">
        <f t="shared" si="190"/>
        <v>2002AllSexNon-Maori19Jumping from a high place</v>
      </c>
      <c r="U4718">
        <v>2002</v>
      </c>
      <c r="V4718" t="s">
        <v>17</v>
      </c>
      <c r="W4718" t="s">
        <v>19</v>
      </c>
      <c r="X4718">
        <v>19</v>
      </c>
      <c r="Y4718" t="s">
        <v>44</v>
      </c>
      <c r="Z4718">
        <v>18</v>
      </c>
      <c r="AA4718">
        <v>390</v>
      </c>
      <c r="AB4718">
        <v>4.5999999999999996</v>
      </c>
    </row>
    <row r="4719" spans="20:28">
      <c r="T4719" s="340" t="str">
        <f t="shared" si="190"/>
        <v>2002AllSexNon-Maori19Other</v>
      </c>
      <c r="U4719">
        <v>2002</v>
      </c>
      <c r="V4719" t="s">
        <v>17</v>
      </c>
      <c r="W4719" t="s">
        <v>19</v>
      </c>
      <c r="X4719">
        <v>19</v>
      </c>
      <c r="Y4719" t="s">
        <v>45</v>
      </c>
      <c r="Z4719">
        <v>16</v>
      </c>
      <c r="AA4719">
        <v>390</v>
      </c>
      <c r="AB4719">
        <v>4.0999999999999996</v>
      </c>
    </row>
    <row r="4720" spans="20:28">
      <c r="T4720" s="340" t="str">
        <f t="shared" si="190"/>
        <v>2002AllSexNon-Maori19Poisoning by gases and vapours</v>
      </c>
      <c r="U4720">
        <v>2002</v>
      </c>
      <c r="V4720" t="s">
        <v>17</v>
      </c>
      <c r="W4720" t="s">
        <v>19</v>
      </c>
      <c r="X4720">
        <v>19</v>
      </c>
      <c r="Y4720" t="s">
        <v>46</v>
      </c>
      <c r="Z4720">
        <v>91</v>
      </c>
      <c r="AA4720">
        <v>390</v>
      </c>
      <c r="AB4720">
        <v>23.3</v>
      </c>
    </row>
    <row r="4721" spans="20:28">
      <c r="T4721" s="340" t="str">
        <f t="shared" si="190"/>
        <v>2002AllSexNon-Maori19Poisoning by solids and liquids</v>
      </c>
      <c r="U4721">
        <v>2002</v>
      </c>
      <c r="V4721" t="s">
        <v>17</v>
      </c>
      <c r="W4721" t="s">
        <v>19</v>
      </c>
      <c r="X4721">
        <v>19</v>
      </c>
      <c r="Y4721" t="s">
        <v>47</v>
      </c>
      <c r="Z4721">
        <v>42</v>
      </c>
      <c r="AA4721">
        <v>390</v>
      </c>
      <c r="AB4721">
        <v>10.8</v>
      </c>
    </row>
    <row r="4722" spans="20:28">
      <c r="T4722" s="340" t="str">
        <f t="shared" si="190"/>
        <v>2002AllSexNon-Maori19Sharp object</v>
      </c>
      <c r="U4722">
        <v>2002</v>
      </c>
      <c r="V4722" t="s">
        <v>17</v>
      </c>
      <c r="W4722" t="s">
        <v>19</v>
      </c>
      <c r="X4722">
        <v>19</v>
      </c>
      <c r="Y4722" t="s">
        <v>48</v>
      </c>
      <c r="Z4722">
        <v>4</v>
      </c>
      <c r="AA4722">
        <v>390</v>
      </c>
      <c r="AB4722">
        <v>1</v>
      </c>
    </row>
    <row r="4723" spans="20:28">
      <c r="T4723" s="340" t="str">
        <f t="shared" si="190"/>
        <v>2002AllSexNon-Maori19Submersion (drowning)</v>
      </c>
      <c r="U4723">
        <v>2002</v>
      </c>
      <c r="V4723" t="s">
        <v>17</v>
      </c>
      <c r="W4723" t="s">
        <v>19</v>
      </c>
      <c r="X4723">
        <v>19</v>
      </c>
      <c r="Y4723" t="s">
        <v>49</v>
      </c>
      <c r="Z4723">
        <v>13</v>
      </c>
      <c r="AA4723">
        <v>390</v>
      </c>
      <c r="AB4723">
        <v>3.3</v>
      </c>
    </row>
    <row r="4724" spans="20:28">
      <c r="T4724" s="340" t="str">
        <f t="shared" si="190"/>
        <v>2002FemaleAllEth19Firearms and explosives</v>
      </c>
      <c r="U4724">
        <v>2002</v>
      </c>
      <c r="V4724" t="s">
        <v>8</v>
      </c>
      <c r="W4724" t="s">
        <v>27</v>
      </c>
      <c r="X4724">
        <v>19</v>
      </c>
      <c r="Y4724" t="s">
        <v>42</v>
      </c>
      <c r="Z4724">
        <v>3</v>
      </c>
      <c r="AA4724">
        <v>114</v>
      </c>
      <c r="AB4724">
        <v>2.6</v>
      </c>
    </row>
    <row r="4725" spans="20:28">
      <c r="T4725" s="340" t="str">
        <f t="shared" si="190"/>
        <v>2002FemaleAllEth19Hanging, strangulation and suffocation</v>
      </c>
      <c r="U4725">
        <v>2002</v>
      </c>
      <c r="V4725" t="s">
        <v>8</v>
      </c>
      <c r="W4725" t="s">
        <v>27</v>
      </c>
      <c r="X4725">
        <v>19</v>
      </c>
      <c r="Y4725" t="s">
        <v>43</v>
      </c>
      <c r="Z4725">
        <v>51</v>
      </c>
      <c r="AA4725">
        <v>114</v>
      </c>
      <c r="AB4725">
        <v>44.7</v>
      </c>
    </row>
    <row r="4726" spans="20:28">
      <c r="T4726" s="340" t="str">
        <f t="shared" si="190"/>
        <v>2002FemaleAllEth19Jumping from a high place</v>
      </c>
      <c r="U4726">
        <v>2002</v>
      </c>
      <c r="V4726" t="s">
        <v>8</v>
      </c>
      <c r="W4726" t="s">
        <v>27</v>
      </c>
      <c r="X4726">
        <v>19</v>
      </c>
      <c r="Y4726" t="s">
        <v>44</v>
      </c>
      <c r="Z4726">
        <v>7</v>
      </c>
      <c r="AA4726">
        <v>114</v>
      </c>
      <c r="AB4726">
        <v>6.1</v>
      </c>
    </row>
    <row r="4727" spans="20:28">
      <c r="T4727" s="340" t="str">
        <f t="shared" si="190"/>
        <v>2002FemaleAllEth19Other</v>
      </c>
      <c r="U4727">
        <v>2002</v>
      </c>
      <c r="V4727" t="s">
        <v>8</v>
      </c>
      <c r="W4727" t="s">
        <v>27</v>
      </c>
      <c r="X4727">
        <v>19</v>
      </c>
      <c r="Y4727" t="s">
        <v>45</v>
      </c>
      <c r="Z4727">
        <v>4</v>
      </c>
      <c r="AA4727">
        <v>114</v>
      </c>
      <c r="AB4727">
        <v>3.5</v>
      </c>
    </row>
    <row r="4728" spans="20:28">
      <c r="T4728" s="340" t="str">
        <f t="shared" si="190"/>
        <v>2002FemaleAllEth19Poisoning by gases and vapours</v>
      </c>
      <c r="U4728">
        <v>2002</v>
      </c>
      <c r="V4728" t="s">
        <v>8</v>
      </c>
      <c r="W4728" t="s">
        <v>27</v>
      </c>
      <c r="X4728">
        <v>19</v>
      </c>
      <c r="Y4728" t="s">
        <v>46</v>
      </c>
      <c r="Z4728">
        <v>21</v>
      </c>
      <c r="AA4728">
        <v>114</v>
      </c>
      <c r="AB4728">
        <v>18.399999999999999</v>
      </c>
    </row>
    <row r="4729" spans="20:28">
      <c r="T4729" s="340" t="str">
        <f t="shared" si="190"/>
        <v>2002FemaleAllEth19Poisoning by solids and liquids</v>
      </c>
      <c r="U4729">
        <v>2002</v>
      </c>
      <c r="V4729" t="s">
        <v>8</v>
      </c>
      <c r="W4729" t="s">
        <v>27</v>
      </c>
      <c r="X4729">
        <v>19</v>
      </c>
      <c r="Y4729" t="s">
        <v>47</v>
      </c>
      <c r="Z4729">
        <v>23</v>
      </c>
      <c r="AA4729">
        <v>114</v>
      </c>
      <c r="AB4729">
        <v>20.2</v>
      </c>
    </row>
    <row r="4730" spans="20:28">
      <c r="T4730" s="340" t="str">
        <f t="shared" si="190"/>
        <v>2002FemaleAllEth19Submersion (drowning)</v>
      </c>
      <c r="U4730">
        <v>2002</v>
      </c>
      <c r="V4730" t="s">
        <v>8</v>
      </c>
      <c r="W4730" t="s">
        <v>27</v>
      </c>
      <c r="X4730">
        <v>19</v>
      </c>
      <c r="Y4730" t="s">
        <v>49</v>
      </c>
      <c r="Z4730">
        <v>5</v>
      </c>
      <c r="AA4730">
        <v>114</v>
      </c>
      <c r="AB4730">
        <v>4.4000000000000004</v>
      </c>
    </row>
    <row r="4731" spans="20:28">
      <c r="T4731" s="340" t="str">
        <f t="shared" si="190"/>
        <v>2002FemaleMaori19Hanging, strangulation and suffocation</v>
      </c>
      <c r="U4731">
        <v>2002</v>
      </c>
      <c r="V4731" t="s">
        <v>8</v>
      </c>
      <c r="W4731" t="s">
        <v>18</v>
      </c>
      <c r="X4731">
        <v>19</v>
      </c>
      <c r="Y4731" t="s">
        <v>43</v>
      </c>
      <c r="Z4731">
        <v>12</v>
      </c>
      <c r="AA4731">
        <v>20</v>
      </c>
      <c r="AB4731">
        <v>60</v>
      </c>
    </row>
    <row r="4732" spans="20:28">
      <c r="T4732" s="340" t="str">
        <f t="shared" si="190"/>
        <v>2002FemaleMaori19Jumping from a high place</v>
      </c>
      <c r="U4732">
        <v>2002</v>
      </c>
      <c r="V4732" t="s">
        <v>8</v>
      </c>
      <c r="W4732" t="s">
        <v>18</v>
      </c>
      <c r="X4732">
        <v>19</v>
      </c>
      <c r="Y4732" t="s">
        <v>44</v>
      </c>
      <c r="Z4732">
        <v>1</v>
      </c>
      <c r="AA4732">
        <v>20</v>
      </c>
      <c r="AB4732">
        <v>5</v>
      </c>
    </row>
    <row r="4733" spans="20:28">
      <c r="T4733" s="340" t="str">
        <f t="shared" si="190"/>
        <v>2002FemaleMaori19Poisoning by gases and vapours</v>
      </c>
      <c r="U4733">
        <v>2002</v>
      </c>
      <c r="V4733" t="s">
        <v>8</v>
      </c>
      <c r="W4733" t="s">
        <v>18</v>
      </c>
      <c r="X4733">
        <v>19</v>
      </c>
      <c r="Y4733" t="s">
        <v>46</v>
      </c>
      <c r="Z4733">
        <v>2</v>
      </c>
      <c r="AA4733">
        <v>20</v>
      </c>
      <c r="AB4733">
        <v>10</v>
      </c>
    </row>
    <row r="4734" spans="20:28">
      <c r="T4734" s="340" t="str">
        <f t="shared" si="190"/>
        <v>2002FemaleMaori19Poisoning by solids and liquids</v>
      </c>
      <c r="U4734">
        <v>2002</v>
      </c>
      <c r="V4734" t="s">
        <v>8</v>
      </c>
      <c r="W4734" t="s">
        <v>18</v>
      </c>
      <c r="X4734">
        <v>19</v>
      </c>
      <c r="Y4734" t="s">
        <v>47</v>
      </c>
      <c r="Z4734">
        <v>5</v>
      </c>
      <c r="AA4734">
        <v>20</v>
      </c>
      <c r="AB4734">
        <v>25</v>
      </c>
    </row>
    <row r="4735" spans="20:28">
      <c r="T4735" s="340" t="str">
        <f t="shared" si="190"/>
        <v>2002FemaleNon-Maori19Firearms and explosives</v>
      </c>
      <c r="U4735">
        <v>2002</v>
      </c>
      <c r="V4735" t="s">
        <v>8</v>
      </c>
      <c r="W4735" t="s">
        <v>19</v>
      </c>
      <c r="X4735">
        <v>19</v>
      </c>
      <c r="Y4735" t="s">
        <v>42</v>
      </c>
      <c r="Z4735">
        <v>3</v>
      </c>
      <c r="AA4735">
        <v>94</v>
      </c>
      <c r="AB4735">
        <v>3.2</v>
      </c>
    </row>
    <row r="4736" spans="20:28">
      <c r="T4736" s="340" t="str">
        <f t="shared" si="190"/>
        <v>2002FemaleNon-Maori19Hanging, strangulation and suffocation</v>
      </c>
      <c r="U4736">
        <v>2002</v>
      </c>
      <c r="V4736" t="s">
        <v>8</v>
      </c>
      <c r="W4736" t="s">
        <v>19</v>
      </c>
      <c r="X4736">
        <v>19</v>
      </c>
      <c r="Y4736" t="s">
        <v>43</v>
      </c>
      <c r="Z4736">
        <v>39</v>
      </c>
      <c r="AA4736">
        <v>94</v>
      </c>
      <c r="AB4736">
        <v>41.5</v>
      </c>
    </row>
    <row r="4737" spans="20:28">
      <c r="T4737" s="340" t="str">
        <f t="shared" si="190"/>
        <v>2002FemaleNon-Maori19Jumping from a high place</v>
      </c>
      <c r="U4737">
        <v>2002</v>
      </c>
      <c r="V4737" t="s">
        <v>8</v>
      </c>
      <c r="W4737" t="s">
        <v>19</v>
      </c>
      <c r="X4737">
        <v>19</v>
      </c>
      <c r="Y4737" t="s">
        <v>44</v>
      </c>
      <c r="Z4737">
        <v>6</v>
      </c>
      <c r="AA4737">
        <v>94</v>
      </c>
      <c r="AB4737">
        <v>6.4</v>
      </c>
    </row>
    <row r="4738" spans="20:28">
      <c r="T4738" s="340" t="str">
        <f t="shared" si="190"/>
        <v>2002FemaleNon-Maori19Other</v>
      </c>
      <c r="U4738">
        <v>2002</v>
      </c>
      <c r="V4738" t="s">
        <v>8</v>
      </c>
      <c r="W4738" t="s">
        <v>19</v>
      </c>
      <c r="X4738">
        <v>19</v>
      </c>
      <c r="Y4738" t="s">
        <v>45</v>
      </c>
      <c r="Z4738">
        <v>4</v>
      </c>
      <c r="AA4738">
        <v>94</v>
      </c>
      <c r="AB4738">
        <v>4.3</v>
      </c>
    </row>
    <row r="4739" spans="20:28">
      <c r="T4739" s="340" t="str">
        <f t="shared" si="190"/>
        <v>2002FemaleNon-Maori19Poisoning by gases and vapours</v>
      </c>
      <c r="U4739">
        <v>2002</v>
      </c>
      <c r="V4739" t="s">
        <v>8</v>
      </c>
      <c r="W4739" t="s">
        <v>19</v>
      </c>
      <c r="X4739">
        <v>19</v>
      </c>
      <c r="Y4739" t="s">
        <v>46</v>
      </c>
      <c r="Z4739">
        <v>19</v>
      </c>
      <c r="AA4739">
        <v>94</v>
      </c>
      <c r="AB4739">
        <v>20.2</v>
      </c>
    </row>
    <row r="4740" spans="20:28">
      <c r="T4740" s="340" t="str">
        <f t="shared" si="190"/>
        <v>2002FemaleNon-Maori19Poisoning by solids and liquids</v>
      </c>
      <c r="U4740">
        <v>2002</v>
      </c>
      <c r="V4740" t="s">
        <v>8</v>
      </c>
      <c r="W4740" t="s">
        <v>19</v>
      </c>
      <c r="X4740">
        <v>19</v>
      </c>
      <c r="Y4740" t="s">
        <v>47</v>
      </c>
      <c r="Z4740">
        <v>18</v>
      </c>
      <c r="AA4740">
        <v>94</v>
      </c>
      <c r="AB4740">
        <v>19.100000000000001</v>
      </c>
    </row>
    <row r="4741" spans="20:28">
      <c r="T4741" s="340" t="str">
        <f t="shared" ref="T4741:T4804" si="191">U4741&amp;V4741&amp;W4741&amp;X4741&amp;Y4741</f>
        <v>2002FemaleNon-Maori19Submersion (drowning)</v>
      </c>
      <c r="U4741">
        <v>2002</v>
      </c>
      <c r="V4741" t="s">
        <v>8</v>
      </c>
      <c r="W4741" t="s">
        <v>19</v>
      </c>
      <c r="X4741">
        <v>19</v>
      </c>
      <c r="Y4741" t="s">
        <v>49</v>
      </c>
      <c r="Z4741">
        <v>5</v>
      </c>
      <c r="AA4741">
        <v>94</v>
      </c>
      <c r="AB4741">
        <v>5.3</v>
      </c>
    </row>
    <row r="4742" spans="20:28">
      <c r="T4742" s="340" t="str">
        <f t="shared" si="191"/>
        <v>2002MaleAllEth19Firearms and explosives</v>
      </c>
      <c r="U4742">
        <v>2002</v>
      </c>
      <c r="V4742" t="s">
        <v>20</v>
      </c>
      <c r="W4742" t="s">
        <v>27</v>
      </c>
      <c r="X4742">
        <v>19</v>
      </c>
      <c r="Y4742" t="s">
        <v>42</v>
      </c>
      <c r="Z4742">
        <v>46</v>
      </c>
      <c r="AA4742">
        <v>356</v>
      </c>
      <c r="AB4742">
        <v>12.9</v>
      </c>
    </row>
    <row r="4743" spans="20:28">
      <c r="T4743" s="340" t="str">
        <f t="shared" si="191"/>
        <v>2002MaleAllEth19Hanging, strangulation and suffocation</v>
      </c>
      <c r="U4743">
        <v>2002</v>
      </c>
      <c r="V4743" t="s">
        <v>20</v>
      </c>
      <c r="W4743" t="s">
        <v>27</v>
      </c>
      <c r="X4743">
        <v>19</v>
      </c>
      <c r="Y4743" t="s">
        <v>43</v>
      </c>
      <c r="Z4743">
        <v>171</v>
      </c>
      <c r="AA4743">
        <v>356</v>
      </c>
      <c r="AB4743">
        <v>48</v>
      </c>
    </row>
    <row r="4744" spans="20:28">
      <c r="T4744" s="340" t="str">
        <f t="shared" si="191"/>
        <v>2002MaleAllEth19Jumping from a high place</v>
      </c>
      <c r="U4744">
        <v>2002</v>
      </c>
      <c r="V4744" t="s">
        <v>20</v>
      </c>
      <c r="W4744" t="s">
        <v>27</v>
      </c>
      <c r="X4744">
        <v>19</v>
      </c>
      <c r="Y4744" t="s">
        <v>44</v>
      </c>
      <c r="Z4744">
        <v>12</v>
      </c>
      <c r="AA4744">
        <v>356</v>
      </c>
      <c r="AB4744">
        <v>3.4</v>
      </c>
    </row>
    <row r="4745" spans="20:28">
      <c r="T4745" s="340" t="str">
        <f t="shared" si="191"/>
        <v>2002MaleAllEth19Other</v>
      </c>
      <c r="U4745">
        <v>2002</v>
      </c>
      <c r="V4745" t="s">
        <v>20</v>
      </c>
      <c r="W4745" t="s">
        <v>27</v>
      </c>
      <c r="X4745">
        <v>19</v>
      </c>
      <c r="Y4745" t="s">
        <v>45</v>
      </c>
      <c r="Z4745">
        <v>12</v>
      </c>
      <c r="AA4745">
        <v>356</v>
      </c>
      <c r="AB4745">
        <v>3.4</v>
      </c>
    </row>
    <row r="4746" spans="20:28">
      <c r="T4746" s="340" t="str">
        <f t="shared" si="191"/>
        <v>2002MaleAllEth19Poisoning by gases and vapours</v>
      </c>
      <c r="U4746">
        <v>2002</v>
      </c>
      <c r="V4746" t="s">
        <v>20</v>
      </c>
      <c r="W4746" t="s">
        <v>27</v>
      </c>
      <c r="X4746">
        <v>19</v>
      </c>
      <c r="Y4746" t="s">
        <v>46</v>
      </c>
      <c r="Z4746">
        <v>78</v>
      </c>
      <c r="AA4746">
        <v>356</v>
      </c>
      <c r="AB4746">
        <v>21.9</v>
      </c>
    </row>
    <row r="4747" spans="20:28">
      <c r="T4747" s="340" t="str">
        <f t="shared" si="191"/>
        <v>2002MaleAllEth19Poisoning by solids and liquids</v>
      </c>
      <c r="U4747">
        <v>2002</v>
      </c>
      <c r="V4747" t="s">
        <v>20</v>
      </c>
      <c r="W4747" t="s">
        <v>27</v>
      </c>
      <c r="X4747">
        <v>19</v>
      </c>
      <c r="Y4747" t="s">
        <v>47</v>
      </c>
      <c r="Z4747">
        <v>24</v>
      </c>
      <c r="AA4747">
        <v>356</v>
      </c>
      <c r="AB4747">
        <v>6.7</v>
      </c>
    </row>
    <row r="4748" spans="20:28">
      <c r="T4748" s="340" t="str">
        <f t="shared" si="191"/>
        <v>2002MaleAllEth19Sharp object</v>
      </c>
      <c r="U4748">
        <v>2002</v>
      </c>
      <c r="V4748" t="s">
        <v>20</v>
      </c>
      <c r="W4748" t="s">
        <v>27</v>
      </c>
      <c r="X4748">
        <v>19</v>
      </c>
      <c r="Y4748" t="s">
        <v>48</v>
      </c>
      <c r="Z4748">
        <v>5</v>
      </c>
      <c r="AA4748">
        <v>356</v>
      </c>
      <c r="AB4748">
        <v>1.4</v>
      </c>
    </row>
    <row r="4749" spans="20:28">
      <c r="T4749" s="340" t="str">
        <f t="shared" si="191"/>
        <v>2002MaleAllEth19Submersion (drowning)</v>
      </c>
      <c r="U4749">
        <v>2002</v>
      </c>
      <c r="V4749" t="s">
        <v>20</v>
      </c>
      <c r="W4749" t="s">
        <v>27</v>
      </c>
      <c r="X4749">
        <v>19</v>
      </c>
      <c r="Y4749" t="s">
        <v>49</v>
      </c>
      <c r="Z4749">
        <v>8</v>
      </c>
      <c r="AA4749">
        <v>356</v>
      </c>
      <c r="AB4749">
        <v>2.2000000000000002</v>
      </c>
    </row>
    <row r="4750" spans="20:28">
      <c r="T4750" s="340" t="str">
        <f t="shared" si="191"/>
        <v>2002MaleMaori19Firearms and explosives</v>
      </c>
      <c r="U4750">
        <v>2002</v>
      </c>
      <c r="V4750" t="s">
        <v>20</v>
      </c>
      <c r="W4750" t="s">
        <v>18</v>
      </c>
      <c r="X4750">
        <v>19</v>
      </c>
      <c r="Y4750" t="s">
        <v>42</v>
      </c>
      <c r="Z4750">
        <v>4</v>
      </c>
      <c r="AA4750">
        <v>60</v>
      </c>
      <c r="AB4750">
        <v>6.7</v>
      </c>
    </row>
    <row r="4751" spans="20:28">
      <c r="T4751" s="340" t="str">
        <f t="shared" si="191"/>
        <v>2002MaleMaori19Hanging, strangulation and suffocation</v>
      </c>
      <c r="U4751">
        <v>2002</v>
      </c>
      <c r="V4751" t="s">
        <v>20</v>
      </c>
      <c r="W4751" t="s">
        <v>18</v>
      </c>
      <c r="X4751">
        <v>19</v>
      </c>
      <c r="Y4751" t="s">
        <v>43</v>
      </c>
      <c r="Z4751">
        <v>49</v>
      </c>
      <c r="AA4751">
        <v>60</v>
      </c>
      <c r="AB4751">
        <v>81.7</v>
      </c>
    </row>
    <row r="4752" spans="20:28">
      <c r="T4752" s="340" t="str">
        <f t="shared" si="191"/>
        <v>2002MaleMaori19Poisoning by gases and vapours</v>
      </c>
      <c r="U4752">
        <v>2002</v>
      </c>
      <c r="V4752" t="s">
        <v>20</v>
      </c>
      <c r="W4752" t="s">
        <v>18</v>
      </c>
      <c r="X4752">
        <v>19</v>
      </c>
      <c r="Y4752" t="s">
        <v>46</v>
      </c>
      <c r="Z4752">
        <v>6</v>
      </c>
      <c r="AA4752">
        <v>60</v>
      </c>
      <c r="AB4752">
        <v>10</v>
      </c>
    </row>
    <row r="4753" spans="20:28">
      <c r="T4753" s="340" t="str">
        <f t="shared" si="191"/>
        <v>2002MaleMaori19Sharp object</v>
      </c>
      <c r="U4753">
        <v>2002</v>
      </c>
      <c r="V4753" t="s">
        <v>20</v>
      </c>
      <c r="W4753" t="s">
        <v>18</v>
      </c>
      <c r="X4753">
        <v>19</v>
      </c>
      <c r="Y4753" t="s">
        <v>48</v>
      </c>
      <c r="Z4753">
        <v>1</v>
      </c>
      <c r="AA4753">
        <v>60</v>
      </c>
      <c r="AB4753">
        <v>1.7</v>
      </c>
    </row>
    <row r="4754" spans="20:28">
      <c r="T4754" s="340" t="str">
        <f t="shared" si="191"/>
        <v>2002MaleNon-Maori19Firearms and explosives</v>
      </c>
      <c r="U4754">
        <v>2002</v>
      </c>
      <c r="V4754" t="s">
        <v>20</v>
      </c>
      <c r="W4754" t="s">
        <v>19</v>
      </c>
      <c r="X4754">
        <v>19</v>
      </c>
      <c r="Y4754" t="s">
        <v>42</v>
      </c>
      <c r="Z4754">
        <v>42</v>
      </c>
      <c r="AA4754">
        <v>296</v>
      </c>
      <c r="AB4754">
        <v>14.2</v>
      </c>
    </row>
    <row r="4755" spans="20:28">
      <c r="T4755" s="340" t="str">
        <f t="shared" si="191"/>
        <v>2002MaleNon-Maori19Hanging, strangulation and suffocation</v>
      </c>
      <c r="U4755">
        <v>2002</v>
      </c>
      <c r="V4755" t="s">
        <v>20</v>
      </c>
      <c r="W4755" t="s">
        <v>19</v>
      </c>
      <c r="X4755">
        <v>19</v>
      </c>
      <c r="Y4755" t="s">
        <v>43</v>
      </c>
      <c r="Z4755">
        <v>122</v>
      </c>
      <c r="AA4755">
        <v>296</v>
      </c>
      <c r="AB4755">
        <v>41.2</v>
      </c>
    </row>
    <row r="4756" spans="20:28">
      <c r="T4756" s="340" t="str">
        <f t="shared" si="191"/>
        <v>2002MaleNon-Maori19Jumping from a high place</v>
      </c>
      <c r="U4756">
        <v>2002</v>
      </c>
      <c r="V4756" t="s">
        <v>20</v>
      </c>
      <c r="W4756" t="s">
        <v>19</v>
      </c>
      <c r="X4756">
        <v>19</v>
      </c>
      <c r="Y4756" t="s">
        <v>44</v>
      </c>
      <c r="Z4756">
        <v>12</v>
      </c>
      <c r="AA4756">
        <v>296</v>
      </c>
      <c r="AB4756">
        <v>4.0999999999999996</v>
      </c>
    </row>
    <row r="4757" spans="20:28">
      <c r="T4757" s="340" t="str">
        <f t="shared" si="191"/>
        <v>2002MaleNon-Maori19Other</v>
      </c>
      <c r="U4757">
        <v>2002</v>
      </c>
      <c r="V4757" t="s">
        <v>20</v>
      </c>
      <c r="W4757" t="s">
        <v>19</v>
      </c>
      <c r="X4757">
        <v>19</v>
      </c>
      <c r="Y4757" t="s">
        <v>45</v>
      </c>
      <c r="Z4757">
        <v>12</v>
      </c>
      <c r="AA4757">
        <v>296</v>
      </c>
      <c r="AB4757">
        <v>4.0999999999999996</v>
      </c>
    </row>
    <row r="4758" spans="20:28">
      <c r="T4758" s="340" t="str">
        <f t="shared" si="191"/>
        <v>2002MaleNon-Maori19Poisoning by gases and vapours</v>
      </c>
      <c r="U4758">
        <v>2002</v>
      </c>
      <c r="V4758" t="s">
        <v>20</v>
      </c>
      <c r="W4758" t="s">
        <v>19</v>
      </c>
      <c r="X4758">
        <v>19</v>
      </c>
      <c r="Y4758" t="s">
        <v>46</v>
      </c>
      <c r="Z4758">
        <v>72</v>
      </c>
      <c r="AA4758">
        <v>296</v>
      </c>
      <c r="AB4758">
        <v>24.3</v>
      </c>
    </row>
    <row r="4759" spans="20:28">
      <c r="T4759" s="340" t="str">
        <f t="shared" si="191"/>
        <v>2002MaleNon-Maori19Poisoning by solids and liquids</v>
      </c>
      <c r="U4759">
        <v>2002</v>
      </c>
      <c r="V4759" t="s">
        <v>20</v>
      </c>
      <c r="W4759" t="s">
        <v>19</v>
      </c>
      <c r="X4759">
        <v>19</v>
      </c>
      <c r="Y4759" t="s">
        <v>47</v>
      </c>
      <c r="Z4759">
        <v>24</v>
      </c>
      <c r="AA4759">
        <v>296</v>
      </c>
      <c r="AB4759">
        <v>8.1</v>
      </c>
    </row>
    <row r="4760" spans="20:28">
      <c r="T4760" s="340" t="str">
        <f t="shared" si="191"/>
        <v>2002MaleNon-Maori19Sharp object</v>
      </c>
      <c r="U4760">
        <v>2002</v>
      </c>
      <c r="V4760" t="s">
        <v>20</v>
      </c>
      <c r="W4760" t="s">
        <v>19</v>
      </c>
      <c r="X4760">
        <v>19</v>
      </c>
      <c r="Y4760" t="s">
        <v>48</v>
      </c>
      <c r="Z4760">
        <v>4</v>
      </c>
      <c r="AA4760">
        <v>296</v>
      </c>
      <c r="AB4760">
        <v>1.4</v>
      </c>
    </row>
    <row r="4761" spans="20:28">
      <c r="T4761" s="340" t="str">
        <f t="shared" si="191"/>
        <v>2002MaleNon-Maori19Submersion (drowning)</v>
      </c>
      <c r="U4761">
        <v>2002</v>
      </c>
      <c r="V4761" t="s">
        <v>20</v>
      </c>
      <c r="W4761" t="s">
        <v>19</v>
      </c>
      <c r="X4761">
        <v>19</v>
      </c>
      <c r="Y4761" t="s">
        <v>49</v>
      </c>
      <c r="Z4761">
        <v>8</v>
      </c>
      <c r="AA4761">
        <v>296</v>
      </c>
      <c r="AB4761">
        <v>2.7</v>
      </c>
    </row>
    <row r="4762" spans="20:28">
      <c r="T4762" s="340" t="str">
        <f t="shared" si="191"/>
        <v>2003AllSexAllEth19Firearms and explosives</v>
      </c>
      <c r="U4762">
        <v>2003</v>
      </c>
      <c r="V4762" t="s">
        <v>17</v>
      </c>
      <c r="W4762" t="s">
        <v>27</v>
      </c>
      <c r="X4762">
        <v>19</v>
      </c>
      <c r="Y4762" t="s">
        <v>42</v>
      </c>
      <c r="Z4762">
        <v>42</v>
      </c>
      <c r="AA4762">
        <v>522</v>
      </c>
      <c r="AB4762">
        <v>8</v>
      </c>
    </row>
    <row r="4763" spans="20:28">
      <c r="T4763" s="340" t="str">
        <f t="shared" si="191"/>
        <v>2003AllSexAllEth19Hanging, strangulation and suffocation</v>
      </c>
      <c r="U4763">
        <v>2003</v>
      </c>
      <c r="V4763" t="s">
        <v>17</v>
      </c>
      <c r="W4763" t="s">
        <v>27</v>
      </c>
      <c r="X4763">
        <v>19</v>
      </c>
      <c r="Y4763" t="s">
        <v>43</v>
      </c>
      <c r="Z4763">
        <v>250</v>
      </c>
      <c r="AA4763">
        <v>522</v>
      </c>
      <c r="AB4763">
        <v>47.9</v>
      </c>
    </row>
    <row r="4764" spans="20:28">
      <c r="T4764" s="340" t="str">
        <f t="shared" si="191"/>
        <v>2003AllSexAllEth19Jumping from a high place</v>
      </c>
      <c r="U4764">
        <v>2003</v>
      </c>
      <c r="V4764" t="s">
        <v>17</v>
      </c>
      <c r="W4764" t="s">
        <v>27</v>
      </c>
      <c r="X4764">
        <v>19</v>
      </c>
      <c r="Y4764" t="s">
        <v>44</v>
      </c>
      <c r="Z4764">
        <v>15</v>
      </c>
      <c r="AA4764">
        <v>522</v>
      </c>
      <c r="AB4764">
        <v>2.9</v>
      </c>
    </row>
    <row r="4765" spans="20:28">
      <c r="T4765" s="340" t="str">
        <f t="shared" si="191"/>
        <v>2003AllSexAllEth19Other</v>
      </c>
      <c r="U4765">
        <v>2003</v>
      </c>
      <c r="V4765" t="s">
        <v>17</v>
      </c>
      <c r="W4765" t="s">
        <v>27</v>
      </c>
      <c r="X4765">
        <v>19</v>
      </c>
      <c r="Y4765" t="s">
        <v>45</v>
      </c>
      <c r="Z4765">
        <v>22</v>
      </c>
      <c r="AA4765">
        <v>522</v>
      </c>
      <c r="AB4765">
        <v>4.2</v>
      </c>
    </row>
    <row r="4766" spans="20:28">
      <c r="T4766" s="340" t="str">
        <f t="shared" si="191"/>
        <v>2003AllSexAllEth19Poisoning by gases and vapours</v>
      </c>
      <c r="U4766">
        <v>2003</v>
      </c>
      <c r="V4766" t="s">
        <v>17</v>
      </c>
      <c r="W4766" t="s">
        <v>27</v>
      </c>
      <c r="X4766">
        <v>19</v>
      </c>
      <c r="Y4766" t="s">
        <v>46</v>
      </c>
      <c r="Z4766">
        <v>104</v>
      </c>
      <c r="AA4766">
        <v>522</v>
      </c>
      <c r="AB4766">
        <v>19.899999999999999</v>
      </c>
    </row>
    <row r="4767" spans="20:28">
      <c r="T4767" s="340" t="str">
        <f t="shared" si="191"/>
        <v>2003AllSexAllEth19Poisoning by solids and liquids</v>
      </c>
      <c r="U4767">
        <v>2003</v>
      </c>
      <c r="V4767" t="s">
        <v>17</v>
      </c>
      <c r="W4767" t="s">
        <v>27</v>
      </c>
      <c r="X4767">
        <v>19</v>
      </c>
      <c r="Y4767" t="s">
        <v>47</v>
      </c>
      <c r="Z4767">
        <v>58</v>
      </c>
      <c r="AA4767">
        <v>522</v>
      </c>
      <c r="AB4767">
        <v>11.1</v>
      </c>
    </row>
    <row r="4768" spans="20:28">
      <c r="T4768" s="340" t="str">
        <f t="shared" si="191"/>
        <v>2003AllSexAllEth19Sharp object</v>
      </c>
      <c r="U4768">
        <v>2003</v>
      </c>
      <c r="V4768" t="s">
        <v>17</v>
      </c>
      <c r="W4768" t="s">
        <v>27</v>
      </c>
      <c r="X4768">
        <v>19</v>
      </c>
      <c r="Y4768" t="s">
        <v>48</v>
      </c>
      <c r="Z4768">
        <v>18</v>
      </c>
      <c r="AA4768">
        <v>522</v>
      </c>
      <c r="AB4768">
        <v>3.4</v>
      </c>
    </row>
    <row r="4769" spans="20:28">
      <c r="T4769" s="340" t="str">
        <f t="shared" si="191"/>
        <v>2003AllSexAllEth19Submersion (drowning)</v>
      </c>
      <c r="U4769">
        <v>2003</v>
      </c>
      <c r="V4769" t="s">
        <v>17</v>
      </c>
      <c r="W4769" t="s">
        <v>27</v>
      </c>
      <c r="X4769">
        <v>19</v>
      </c>
      <c r="Y4769" t="s">
        <v>49</v>
      </c>
      <c r="Z4769">
        <v>13</v>
      </c>
      <c r="AA4769">
        <v>522</v>
      </c>
      <c r="AB4769">
        <v>2.5</v>
      </c>
    </row>
    <row r="4770" spans="20:28">
      <c r="T4770" s="340" t="str">
        <f t="shared" si="191"/>
        <v>2003AllSexMaori19Firearms and explosives</v>
      </c>
      <c r="U4770">
        <v>2003</v>
      </c>
      <c r="V4770" t="s">
        <v>17</v>
      </c>
      <c r="W4770" t="s">
        <v>18</v>
      </c>
      <c r="X4770">
        <v>19</v>
      </c>
      <c r="Y4770" t="s">
        <v>42</v>
      </c>
      <c r="Z4770">
        <v>4</v>
      </c>
      <c r="AA4770">
        <v>87</v>
      </c>
      <c r="AB4770">
        <v>4.5999999999999996</v>
      </c>
    </row>
    <row r="4771" spans="20:28">
      <c r="T4771" s="340" t="str">
        <f t="shared" si="191"/>
        <v>2003AllSexMaori19Hanging, strangulation and suffocation</v>
      </c>
      <c r="U4771">
        <v>2003</v>
      </c>
      <c r="V4771" t="s">
        <v>17</v>
      </c>
      <c r="W4771" t="s">
        <v>18</v>
      </c>
      <c r="X4771">
        <v>19</v>
      </c>
      <c r="Y4771" t="s">
        <v>43</v>
      </c>
      <c r="Z4771">
        <v>68</v>
      </c>
      <c r="AA4771">
        <v>87</v>
      </c>
      <c r="AB4771">
        <v>78.2</v>
      </c>
    </row>
    <row r="4772" spans="20:28">
      <c r="T4772" s="340" t="str">
        <f t="shared" si="191"/>
        <v>2003AllSexMaori19Jumping from a high place</v>
      </c>
      <c r="U4772">
        <v>2003</v>
      </c>
      <c r="V4772" t="s">
        <v>17</v>
      </c>
      <c r="W4772" t="s">
        <v>18</v>
      </c>
      <c r="X4772">
        <v>19</v>
      </c>
      <c r="Y4772" t="s">
        <v>44</v>
      </c>
      <c r="Z4772">
        <v>4</v>
      </c>
      <c r="AA4772">
        <v>87</v>
      </c>
      <c r="AB4772">
        <v>4.5999999999999996</v>
      </c>
    </row>
    <row r="4773" spans="20:28">
      <c r="T4773" s="340" t="str">
        <f t="shared" si="191"/>
        <v>2003AllSexMaori19Other</v>
      </c>
      <c r="U4773">
        <v>2003</v>
      </c>
      <c r="V4773" t="s">
        <v>17</v>
      </c>
      <c r="W4773" t="s">
        <v>18</v>
      </c>
      <c r="X4773">
        <v>19</v>
      </c>
      <c r="Y4773" t="s">
        <v>45</v>
      </c>
      <c r="Z4773">
        <v>2</v>
      </c>
      <c r="AA4773">
        <v>87</v>
      </c>
      <c r="AB4773">
        <v>2.2999999999999998</v>
      </c>
    </row>
    <row r="4774" spans="20:28">
      <c r="T4774" s="340" t="str">
        <f t="shared" si="191"/>
        <v>2003AllSexMaori19Poisoning by gases and vapours</v>
      </c>
      <c r="U4774">
        <v>2003</v>
      </c>
      <c r="V4774" t="s">
        <v>17</v>
      </c>
      <c r="W4774" t="s">
        <v>18</v>
      </c>
      <c r="X4774">
        <v>19</v>
      </c>
      <c r="Y4774" t="s">
        <v>46</v>
      </c>
      <c r="Z4774">
        <v>7</v>
      </c>
      <c r="AA4774">
        <v>87</v>
      </c>
      <c r="AB4774">
        <v>8</v>
      </c>
    </row>
    <row r="4775" spans="20:28">
      <c r="T4775" s="340" t="str">
        <f t="shared" si="191"/>
        <v>2003AllSexMaori19Poisoning by solids and liquids</v>
      </c>
      <c r="U4775">
        <v>2003</v>
      </c>
      <c r="V4775" t="s">
        <v>17</v>
      </c>
      <c r="W4775" t="s">
        <v>18</v>
      </c>
      <c r="X4775">
        <v>19</v>
      </c>
      <c r="Y4775" t="s">
        <v>47</v>
      </c>
      <c r="Z4775">
        <v>1</v>
      </c>
      <c r="AA4775">
        <v>87</v>
      </c>
      <c r="AB4775">
        <v>1.1000000000000001</v>
      </c>
    </row>
    <row r="4776" spans="20:28">
      <c r="T4776" s="340" t="str">
        <f t="shared" si="191"/>
        <v>2003AllSexMaori19Sharp object</v>
      </c>
      <c r="U4776">
        <v>2003</v>
      </c>
      <c r="V4776" t="s">
        <v>17</v>
      </c>
      <c r="W4776" t="s">
        <v>18</v>
      </c>
      <c r="X4776">
        <v>19</v>
      </c>
      <c r="Y4776" t="s">
        <v>48</v>
      </c>
      <c r="Z4776">
        <v>1</v>
      </c>
      <c r="AA4776">
        <v>87</v>
      </c>
      <c r="AB4776">
        <v>1.1000000000000001</v>
      </c>
    </row>
    <row r="4777" spans="20:28">
      <c r="T4777" s="340" t="str">
        <f t="shared" si="191"/>
        <v>2003AllSexNon-Maori19Firearms and explosives</v>
      </c>
      <c r="U4777">
        <v>2003</v>
      </c>
      <c r="V4777" t="s">
        <v>17</v>
      </c>
      <c r="W4777" t="s">
        <v>19</v>
      </c>
      <c r="X4777">
        <v>19</v>
      </c>
      <c r="Y4777" t="s">
        <v>42</v>
      </c>
      <c r="Z4777">
        <v>38</v>
      </c>
      <c r="AA4777">
        <v>435</v>
      </c>
      <c r="AB4777">
        <v>8.6999999999999993</v>
      </c>
    </row>
    <row r="4778" spans="20:28">
      <c r="T4778" s="340" t="str">
        <f t="shared" si="191"/>
        <v>2003AllSexNon-Maori19Hanging, strangulation and suffocation</v>
      </c>
      <c r="U4778">
        <v>2003</v>
      </c>
      <c r="V4778" t="s">
        <v>17</v>
      </c>
      <c r="W4778" t="s">
        <v>19</v>
      </c>
      <c r="X4778">
        <v>19</v>
      </c>
      <c r="Y4778" t="s">
        <v>43</v>
      </c>
      <c r="Z4778">
        <v>182</v>
      </c>
      <c r="AA4778">
        <v>435</v>
      </c>
      <c r="AB4778">
        <v>41.8</v>
      </c>
    </row>
    <row r="4779" spans="20:28">
      <c r="T4779" s="340" t="str">
        <f t="shared" si="191"/>
        <v>2003AllSexNon-Maori19Jumping from a high place</v>
      </c>
      <c r="U4779">
        <v>2003</v>
      </c>
      <c r="V4779" t="s">
        <v>17</v>
      </c>
      <c r="W4779" t="s">
        <v>19</v>
      </c>
      <c r="X4779">
        <v>19</v>
      </c>
      <c r="Y4779" t="s">
        <v>44</v>
      </c>
      <c r="Z4779">
        <v>11</v>
      </c>
      <c r="AA4779">
        <v>435</v>
      </c>
      <c r="AB4779">
        <v>2.5</v>
      </c>
    </row>
    <row r="4780" spans="20:28">
      <c r="T4780" s="340" t="str">
        <f t="shared" si="191"/>
        <v>2003AllSexNon-Maori19Other</v>
      </c>
      <c r="U4780">
        <v>2003</v>
      </c>
      <c r="V4780" t="s">
        <v>17</v>
      </c>
      <c r="W4780" t="s">
        <v>19</v>
      </c>
      <c r="X4780">
        <v>19</v>
      </c>
      <c r="Y4780" t="s">
        <v>45</v>
      </c>
      <c r="Z4780">
        <v>20</v>
      </c>
      <c r="AA4780">
        <v>435</v>
      </c>
      <c r="AB4780">
        <v>4.5999999999999996</v>
      </c>
    </row>
    <row r="4781" spans="20:28">
      <c r="T4781" s="340" t="str">
        <f t="shared" si="191"/>
        <v>2003AllSexNon-Maori19Poisoning by gases and vapours</v>
      </c>
      <c r="U4781">
        <v>2003</v>
      </c>
      <c r="V4781" t="s">
        <v>17</v>
      </c>
      <c r="W4781" t="s">
        <v>19</v>
      </c>
      <c r="X4781">
        <v>19</v>
      </c>
      <c r="Y4781" t="s">
        <v>46</v>
      </c>
      <c r="Z4781">
        <v>97</v>
      </c>
      <c r="AA4781">
        <v>435</v>
      </c>
      <c r="AB4781">
        <v>22.3</v>
      </c>
    </row>
    <row r="4782" spans="20:28">
      <c r="T4782" s="340" t="str">
        <f t="shared" si="191"/>
        <v>2003AllSexNon-Maori19Poisoning by solids and liquids</v>
      </c>
      <c r="U4782">
        <v>2003</v>
      </c>
      <c r="V4782" t="s">
        <v>17</v>
      </c>
      <c r="W4782" t="s">
        <v>19</v>
      </c>
      <c r="X4782">
        <v>19</v>
      </c>
      <c r="Y4782" t="s">
        <v>47</v>
      </c>
      <c r="Z4782">
        <v>57</v>
      </c>
      <c r="AA4782">
        <v>435</v>
      </c>
      <c r="AB4782">
        <v>13.1</v>
      </c>
    </row>
    <row r="4783" spans="20:28">
      <c r="T4783" s="340" t="str">
        <f t="shared" si="191"/>
        <v>2003AllSexNon-Maori19Sharp object</v>
      </c>
      <c r="U4783">
        <v>2003</v>
      </c>
      <c r="V4783" t="s">
        <v>17</v>
      </c>
      <c r="W4783" t="s">
        <v>19</v>
      </c>
      <c r="X4783">
        <v>19</v>
      </c>
      <c r="Y4783" t="s">
        <v>48</v>
      </c>
      <c r="Z4783">
        <v>17</v>
      </c>
      <c r="AA4783">
        <v>435</v>
      </c>
      <c r="AB4783">
        <v>3.9</v>
      </c>
    </row>
    <row r="4784" spans="20:28">
      <c r="T4784" s="340" t="str">
        <f t="shared" si="191"/>
        <v>2003AllSexNon-Maori19Submersion (drowning)</v>
      </c>
      <c r="U4784">
        <v>2003</v>
      </c>
      <c r="V4784" t="s">
        <v>17</v>
      </c>
      <c r="W4784" t="s">
        <v>19</v>
      </c>
      <c r="X4784">
        <v>19</v>
      </c>
      <c r="Y4784" t="s">
        <v>49</v>
      </c>
      <c r="Z4784">
        <v>13</v>
      </c>
      <c r="AA4784">
        <v>435</v>
      </c>
      <c r="AB4784">
        <v>3</v>
      </c>
    </row>
    <row r="4785" spans="20:28">
      <c r="T4785" s="340" t="str">
        <f t="shared" si="191"/>
        <v>2003FemaleAllEth19Firearms and explosives</v>
      </c>
      <c r="U4785">
        <v>2003</v>
      </c>
      <c r="V4785" t="s">
        <v>8</v>
      </c>
      <c r="W4785" t="s">
        <v>27</v>
      </c>
      <c r="X4785">
        <v>19</v>
      </c>
      <c r="Y4785" t="s">
        <v>42</v>
      </c>
      <c r="Z4785">
        <v>4</v>
      </c>
      <c r="AA4785">
        <v>142</v>
      </c>
      <c r="AB4785">
        <v>2.8</v>
      </c>
    </row>
    <row r="4786" spans="20:28">
      <c r="T4786" s="340" t="str">
        <f t="shared" si="191"/>
        <v>2003FemaleAllEth19Hanging, strangulation and suffocation</v>
      </c>
      <c r="U4786">
        <v>2003</v>
      </c>
      <c r="V4786" t="s">
        <v>8</v>
      </c>
      <c r="W4786" t="s">
        <v>27</v>
      </c>
      <c r="X4786">
        <v>19</v>
      </c>
      <c r="Y4786" t="s">
        <v>43</v>
      </c>
      <c r="Z4786">
        <v>62</v>
      </c>
      <c r="AA4786">
        <v>142</v>
      </c>
      <c r="AB4786">
        <v>43.7</v>
      </c>
    </row>
    <row r="4787" spans="20:28">
      <c r="T4787" s="340" t="str">
        <f t="shared" si="191"/>
        <v>2003FemaleAllEth19Jumping from a high place</v>
      </c>
      <c r="U4787">
        <v>2003</v>
      </c>
      <c r="V4787" t="s">
        <v>8</v>
      </c>
      <c r="W4787" t="s">
        <v>27</v>
      </c>
      <c r="X4787">
        <v>19</v>
      </c>
      <c r="Y4787" t="s">
        <v>44</v>
      </c>
      <c r="Z4787">
        <v>8</v>
      </c>
      <c r="AA4787">
        <v>142</v>
      </c>
      <c r="AB4787">
        <v>5.6</v>
      </c>
    </row>
    <row r="4788" spans="20:28">
      <c r="T4788" s="340" t="str">
        <f t="shared" si="191"/>
        <v>2003FemaleAllEth19Other</v>
      </c>
      <c r="U4788">
        <v>2003</v>
      </c>
      <c r="V4788" t="s">
        <v>8</v>
      </c>
      <c r="W4788" t="s">
        <v>27</v>
      </c>
      <c r="X4788">
        <v>19</v>
      </c>
      <c r="Y4788" t="s">
        <v>45</v>
      </c>
      <c r="Z4788">
        <v>2</v>
      </c>
      <c r="AA4788">
        <v>142</v>
      </c>
      <c r="AB4788">
        <v>1.4</v>
      </c>
    </row>
    <row r="4789" spans="20:28">
      <c r="T4789" s="340" t="str">
        <f t="shared" si="191"/>
        <v>2003FemaleAllEth19Poisoning by gases and vapours</v>
      </c>
      <c r="U4789">
        <v>2003</v>
      </c>
      <c r="V4789" t="s">
        <v>8</v>
      </c>
      <c r="W4789" t="s">
        <v>27</v>
      </c>
      <c r="X4789">
        <v>19</v>
      </c>
      <c r="Y4789" t="s">
        <v>46</v>
      </c>
      <c r="Z4789">
        <v>29</v>
      </c>
      <c r="AA4789">
        <v>142</v>
      </c>
      <c r="AB4789">
        <v>20.399999999999999</v>
      </c>
    </row>
    <row r="4790" spans="20:28">
      <c r="T4790" s="340" t="str">
        <f t="shared" si="191"/>
        <v>2003FemaleAllEth19Poisoning by solids and liquids</v>
      </c>
      <c r="U4790">
        <v>2003</v>
      </c>
      <c r="V4790" t="s">
        <v>8</v>
      </c>
      <c r="W4790" t="s">
        <v>27</v>
      </c>
      <c r="X4790">
        <v>19</v>
      </c>
      <c r="Y4790" t="s">
        <v>47</v>
      </c>
      <c r="Z4790">
        <v>26</v>
      </c>
      <c r="AA4790">
        <v>142</v>
      </c>
      <c r="AB4790">
        <v>18.3</v>
      </c>
    </row>
    <row r="4791" spans="20:28">
      <c r="T4791" s="340" t="str">
        <f t="shared" si="191"/>
        <v>2003FemaleAllEth19Sharp object</v>
      </c>
      <c r="U4791">
        <v>2003</v>
      </c>
      <c r="V4791" t="s">
        <v>8</v>
      </c>
      <c r="W4791" t="s">
        <v>27</v>
      </c>
      <c r="X4791">
        <v>19</v>
      </c>
      <c r="Y4791" t="s">
        <v>48</v>
      </c>
      <c r="Z4791">
        <v>4</v>
      </c>
      <c r="AA4791">
        <v>142</v>
      </c>
      <c r="AB4791">
        <v>2.8</v>
      </c>
    </row>
    <row r="4792" spans="20:28">
      <c r="T4792" s="340" t="str">
        <f t="shared" si="191"/>
        <v>2003FemaleAllEth19Submersion (drowning)</v>
      </c>
      <c r="U4792">
        <v>2003</v>
      </c>
      <c r="V4792" t="s">
        <v>8</v>
      </c>
      <c r="W4792" t="s">
        <v>27</v>
      </c>
      <c r="X4792">
        <v>19</v>
      </c>
      <c r="Y4792" t="s">
        <v>49</v>
      </c>
      <c r="Z4792">
        <v>7</v>
      </c>
      <c r="AA4792">
        <v>142</v>
      </c>
      <c r="AB4792">
        <v>4.9000000000000004</v>
      </c>
    </row>
    <row r="4793" spans="20:28">
      <c r="T4793" s="340" t="str">
        <f t="shared" si="191"/>
        <v>2003FemaleMaori19Hanging, strangulation and suffocation</v>
      </c>
      <c r="U4793">
        <v>2003</v>
      </c>
      <c r="V4793" t="s">
        <v>8</v>
      </c>
      <c r="W4793" t="s">
        <v>18</v>
      </c>
      <c r="X4793">
        <v>19</v>
      </c>
      <c r="Y4793" t="s">
        <v>43</v>
      </c>
      <c r="Z4793">
        <v>15</v>
      </c>
      <c r="AA4793">
        <v>20</v>
      </c>
      <c r="AB4793">
        <v>75</v>
      </c>
    </row>
    <row r="4794" spans="20:28">
      <c r="T4794" s="340" t="str">
        <f t="shared" si="191"/>
        <v>2003FemaleMaori19Jumping from a high place</v>
      </c>
      <c r="U4794">
        <v>2003</v>
      </c>
      <c r="V4794" t="s">
        <v>8</v>
      </c>
      <c r="W4794" t="s">
        <v>18</v>
      </c>
      <c r="X4794">
        <v>19</v>
      </c>
      <c r="Y4794" t="s">
        <v>44</v>
      </c>
      <c r="Z4794">
        <v>2</v>
      </c>
      <c r="AA4794">
        <v>20</v>
      </c>
      <c r="AB4794">
        <v>10</v>
      </c>
    </row>
    <row r="4795" spans="20:28">
      <c r="T4795" s="340" t="str">
        <f t="shared" si="191"/>
        <v>2003FemaleMaori19Poisoning by gases and vapours</v>
      </c>
      <c r="U4795">
        <v>2003</v>
      </c>
      <c r="V4795" t="s">
        <v>8</v>
      </c>
      <c r="W4795" t="s">
        <v>18</v>
      </c>
      <c r="X4795">
        <v>19</v>
      </c>
      <c r="Y4795" t="s">
        <v>46</v>
      </c>
      <c r="Z4795">
        <v>3</v>
      </c>
      <c r="AA4795">
        <v>20</v>
      </c>
      <c r="AB4795">
        <v>15</v>
      </c>
    </row>
    <row r="4796" spans="20:28">
      <c r="T4796" s="340" t="str">
        <f t="shared" si="191"/>
        <v>2003FemaleNon-Maori19Firearms and explosives</v>
      </c>
      <c r="U4796">
        <v>2003</v>
      </c>
      <c r="V4796" t="s">
        <v>8</v>
      </c>
      <c r="W4796" t="s">
        <v>19</v>
      </c>
      <c r="X4796">
        <v>19</v>
      </c>
      <c r="Y4796" t="s">
        <v>42</v>
      </c>
      <c r="Z4796">
        <v>4</v>
      </c>
      <c r="AA4796">
        <v>122</v>
      </c>
      <c r="AB4796">
        <v>3.3</v>
      </c>
    </row>
    <row r="4797" spans="20:28">
      <c r="T4797" s="340" t="str">
        <f t="shared" si="191"/>
        <v>2003FemaleNon-Maori19Hanging, strangulation and suffocation</v>
      </c>
      <c r="U4797">
        <v>2003</v>
      </c>
      <c r="V4797" t="s">
        <v>8</v>
      </c>
      <c r="W4797" t="s">
        <v>19</v>
      </c>
      <c r="X4797">
        <v>19</v>
      </c>
      <c r="Y4797" t="s">
        <v>43</v>
      </c>
      <c r="Z4797">
        <v>47</v>
      </c>
      <c r="AA4797">
        <v>122</v>
      </c>
      <c r="AB4797">
        <v>38.5</v>
      </c>
    </row>
    <row r="4798" spans="20:28">
      <c r="T4798" s="340" t="str">
        <f t="shared" si="191"/>
        <v>2003FemaleNon-Maori19Jumping from a high place</v>
      </c>
      <c r="U4798">
        <v>2003</v>
      </c>
      <c r="V4798" t="s">
        <v>8</v>
      </c>
      <c r="W4798" t="s">
        <v>19</v>
      </c>
      <c r="X4798">
        <v>19</v>
      </c>
      <c r="Y4798" t="s">
        <v>44</v>
      </c>
      <c r="Z4798">
        <v>6</v>
      </c>
      <c r="AA4798">
        <v>122</v>
      </c>
      <c r="AB4798">
        <v>4.9000000000000004</v>
      </c>
    </row>
    <row r="4799" spans="20:28">
      <c r="T4799" s="340" t="str">
        <f t="shared" si="191"/>
        <v>2003FemaleNon-Maori19Other</v>
      </c>
      <c r="U4799">
        <v>2003</v>
      </c>
      <c r="V4799" t="s">
        <v>8</v>
      </c>
      <c r="W4799" t="s">
        <v>19</v>
      </c>
      <c r="X4799">
        <v>19</v>
      </c>
      <c r="Y4799" t="s">
        <v>45</v>
      </c>
      <c r="Z4799">
        <v>2</v>
      </c>
      <c r="AA4799">
        <v>122</v>
      </c>
      <c r="AB4799">
        <v>1.6</v>
      </c>
    </row>
    <row r="4800" spans="20:28">
      <c r="T4800" s="340" t="str">
        <f t="shared" si="191"/>
        <v>2003FemaleNon-Maori19Poisoning by gases and vapours</v>
      </c>
      <c r="U4800">
        <v>2003</v>
      </c>
      <c r="V4800" t="s">
        <v>8</v>
      </c>
      <c r="W4800" t="s">
        <v>19</v>
      </c>
      <c r="X4800">
        <v>19</v>
      </c>
      <c r="Y4800" t="s">
        <v>46</v>
      </c>
      <c r="Z4800">
        <v>26</v>
      </c>
      <c r="AA4800">
        <v>122</v>
      </c>
      <c r="AB4800">
        <v>21.3</v>
      </c>
    </row>
    <row r="4801" spans="20:28">
      <c r="T4801" s="340" t="str">
        <f t="shared" si="191"/>
        <v>2003FemaleNon-Maori19Poisoning by solids and liquids</v>
      </c>
      <c r="U4801">
        <v>2003</v>
      </c>
      <c r="V4801" t="s">
        <v>8</v>
      </c>
      <c r="W4801" t="s">
        <v>19</v>
      </c>
      <c r="X4801">
        <v>19</v>
      </c>
      <c r="Y4801" t="s">
        <v>47</v>
      </c>
      <c r="Z4801">
        <v>26</v>
      </c>
      <c r="AA4801">
        <v>122</v>
      </c>
      <c r="AB4801">
        <v>21.3</v>
      </c>
    </row>
    <row r="4802" spans="20:28">
      <c r="T4802" s="340" t="str">
        <f t="shared" si="191"/>
        <v>2003FemaleNon-Maori19Sharp object</v>
      </c>
      <c r="U4802">
        <v>2003</v>
      </c>
      <c r="V4802" t="s">
        <v>8</v>
      </c>
      <c r="W4802" t="s">
        <v>19</v>
      </c>
      <c r="X4802">
        <v>19</v>
      </c>
      <c r="Y4802" t="s">
        <v>48</v>
      </c>
      <c r="Z4802">
        <v>4</v>
      </c>
      <c r="AA4802">
        <v>122</v>
      </c>
      <c r="AB4802">
        <v>3.3</v>
      </c>
    </row>
    <row r="4803" spans="20:28">
      <c r="T4803" s="340" t="str">
        <f t="shared" si="191"/>
        <v>2003FemaleNon-Maori19Submersion (drowning)</v>
      </c>
      <c r="U4803">
        <v>2003</v>
      </c>
      <c r="V4803" t="s">
        <v>8</v>
      </c>
      <c r="W4803" t="s">
        <v>19</v>
      </c>
      <c r="X4803">
        <v>19</v>
      </c>
      <c r="Y4803" t="s">
        <v>49</v>
      </c>
      <c r="Z4803">
        <v>7</v>
      </c>
      <c r="AA4803">
        <v>122</v>
      </c>
      <c r="AB4803">
        <v>5.7</v>
      </c>
    </row>
    <row r="4804" spans="20:28">
      <c r="T4804" s="340" t="str">
        <f t="shared" si="191"/>
        <v>2003MaleAllEth19Firearms and explosives</v>
      </c>
      <c r="U4804">
        <v>2003</v>
      </c>
      <c r="V4804" t="s">
        <v>20</v>
      </c>
      <c r="W4804" t="s">
        <v>27</v>
      </c>
      <c r="X4804">
        <v>19</v>
      </c>
      <c r="Y4804" t="s">
        <v>42</v>
      </c>
      <c r="Z4804">
        <v>38</v>
      </c>
      <c r="AA4804">
        <v>380</v>
      </c>
      <c r="AB4804">
        <v>10</v>
      </c>
    </row>
    <row r="4805" spans="20:28">
      <c r="T4805" s="340" t="str">
        <f t="shared" ref="T4805:T4868" si="192">U4805&amp;V4805&amp;W4805&amp;X4805&amp;Y4805</f>
        <v>2003MaleAllEth19Hanging, strangulation and suffocation</v>
      </c>
      <c r="U4805">
        <v>2003</v>
      </c>
      <c r="V4805" t="s">
        <v>20</v>
      </c>
      <c r="W4805" t="s">
        <v>27</v>
      </c>
      <c r="X4805">
        <v>19</v>
      </c>
      <c r="Y4805" t="s">
        <v>43</v>
      </c>
      <c r="Z4805">
        <v>188</v>
      </c>
      <c r="AA4805">
        <v>380</v>
      </c>
      <c r="AB4805">
        <v>49.5</v>
      </c>
    </row>
    <row r="4806" spans="20:28">
      <c r="T4806" s="340" t="str">
        <f t="shared" si="192"/>
        <v>2003MaleAllEth19Jumping from a high place</v>
      </c>
      <c r="U4806">
        <v>2003</v>
      </c>
      <c r="V4806" t="s">
        <v>20</v>
      </c>
      <c r="W4806" t="s">
        <v>27</v>
      </c>
      <c r="X4806">
        <v>19</v>
      </c>
      <c r="Y4806" t="s">
        <v>44</v>
      </c>
      <c r="Z4806">
        <v>7</v>
      </c>
      <c r="AA4806">
        <v>380</v>
      </c>
      <c r="AB4806">
        <v>1.8</v>
      </c>
    </row>
    <row r="4807" spans="20:28">
      <c r="T4807" s="340" t="str">
        <f t="shared" si="192"/>
        <v>2003MaleAllEth19Other</v>
      </c>
      <c r="U4807">
        <v>2003</v>
      </c>
      <c r="V4807" t="s">
        <v>20</v>
      </c>
      <c r="W4807" t="s">
        <v>27</v>
      </c>
      <c r="X4807">
        <v>19</v>
      </c>
      <c r="Y4807" t="s">
        <v>45</v>
      </c>
      <c r="Z4807">
        <v>20</v>
      </c>
      <c r="AA4807">
        <v>380</v>
      </c>
      <c r="AB4807">
        <v>5.3</v>
      </c>
    </row>
    <row r="4808" spans="20:28">
      <c r="T4808" s="340" t="str">
        <f t="shared" si="192"/>
        <v>2003MaleAllEth19Poisoning by gases and vapours</v>
      </c>
      <c r="U4808">
        <v>2003</v>
      </c>
      <c r="V4808" t="s">
        <v>20</v>
      </c>
      <c r="W4808" t="s">
        <v>27</v>
      </c>
      <c r="X4808">
        <v>19</v>
      </c>
      <c r="Y4808" t="s">
        <v>46</v>
      </c>
      <c r="Z4808">
        <v>75</v>
      </c>
      <c r="AA4808">
        <v>380</v>
      </c>
      <c r="AB4808">
        <v>19.7</v>
      </c>
    </row>
    <row r="4809" spans="20:28">
      <c r="T4809" s="340" t="str">
        <f t="shared" si="192"/>
        <v>2003MaleAllEth19Poisoning by solids and liquids</v>
      </c>
      <c r="U4809">
        <v>2003</v>
      </c>
      <c r="V4809" t="s">
        <v>20</v>
      </c>
      <c r="W4809" t="s">
        <v>27</v>
      </c>
      <c r="X4809">
        <v>19</v>
      </c>
      <c r="Y4809" t="s">
        <v>47</v>
      </c>
      <c r="Z4809">
        <v>32</v>
      </c>
      <c r="AA4809">
        <v>380</v>
      </c>
      <c r="AB4809">
        <v>8.4</v>
      </c>
    </row>
    <row r="4810" spans="20:28">
      <c r="T4810" s="340" t="str">
        <f t="shared" si="192"/>
        <v>2003MaleAllEth19Sharp object</v>
      </c>
      <c r="U4810">
        <v>2003</v>
      </c>
      <c r="V4810" t="s">
        <v>20</v>
      </c>
      <c r="W4810" t="s">
        <v>27</v>
      </c>
      <c r="X4810">
        <v>19</v>
      </c>
      <c r="Y4810" t="s">
        <v>48</v>
      </c>
      <c r="Z4810">
        <v>14</v>
      </c>
      <c r="AA4810">
        <v>380</v>
      </c>
      <c r="AB4810">
        <v>3.7</v>
      </c>
    </row>
    <row r="4811" spans="20:28">
      <c r="T4811" s="340" t="str">
        <f t="shared" si="192"/>
        <v>2003MaleAllEth19Submersion (drowning)</v>
      </c>
      <c r="U4811">
        <v>2003</v>
      </c>
      <c r="V4811" t="s">
        <v>20</v>
      </c>
      <c r="W4811" t="s">
        <v>27</v>
      </c>
      <c r="X4811">
        <v>19</v>
      </c>
      <c r="Y4811" t="s">
        <v>49</v>
      </c>
      <c r="Z4811">
        <v>6</v>
      </c>
      <c r="AA4811">
        <v>380</v>
      </c>
      <c r="AB4811">
        <v>1.6</v>
      </c>
    </row>
    <row r="4812" spans="20:28">
      <c r="T4812" s="340" t="str">
        <f t="shared" si="192"/>
        <v>2003MaleMaori19Firearms and explosives</v>
      </c>
      <c r="U4812">
        <v>2003</v>
      </c>
      <c r="V4812" t="s">
        <v>20</v>
      </c>
      <c r="W4812" t="s">
        <v>18</v>
      </c>
      <c r="X4812">
        <v>19</v>
      </c>
      <c r="Y4812" t="s">
        <v>42</v>
      </c>
      <c r="Z4812">
        <v>4</v>
      </c>
      <c r="AA4812">
        <v>67</v>
      </c>
      <c r="AB4812">
        <v>6</v>
      </c>
    </row>
    <row r="4813" spans="20:28">
      <c r="T4813" s="340" t="str">
        <f t="shared" si="192"/>
        <v>2003MaleMaori19Hanging, strangulation and suffocation</v>
      </c>
      <c r="U4813">
        <v>2003</v>
      </c>
      <c r="V4813" t="s">
        <v>20</v>
      </c>
      <c r="W4813" t="s">
        <v>18</v>
      </c>
      <c r="X4813">
        <v>19</v>
      </c>
      <c r="Y4813" t="s">
        <v>43</v>
      </c>
      <c r="Z4813">
        <v>53</v>
      </c>
      <c r="AA4813">
        <v>67</v>
      </c>
      <c r="AB4813">
        <v>79.099999999999994</v>
      </c>
    </row>
    <row r="4814" spans="20:28">
      <c r="T4814" s="340" t="str">
        <f t="shared" si="192"/>
        <v>2003MaleMaori19Jumping from a high place</v>
      </c>
      <c r="U4814">
        <v>2003</v>
      </c>
      <c r="V4814" t="s">
        <v>20</v>
      </c>
      <c r="W4814" t="s">
        <v>18</v>
      </c>
      <c r="X4814">
        <v>19</v>
      </c>
      <c r="Y4814" t="s">
        <v>44</v>
      </c>
      <c r="Z4814">
        <v>2</v>
      </c>
      <c r="AA4814">
        <v>67</v>
      </c>
      <c r="AB4814">
        <v>3</v>
      </c>
    </row>
    <row r="4815" spans="20:28">
      <c r="T4815" s="340" t="str">
        <f t="shared" si="192"/>
        <v>2003MaleMaori19Other</v>
      </c>
      <c r="U4815">
        <v>2003</v>
      </c>
      <c r="V4815" t="s">
        <v>20</v>
      </c>
      <c r="W4815" t="s">
        <v>18</v>
      </c>
      <c r="X4815">
        <v>19</v>
      </c>
      <c r="Y4815" t="s">
        <v>45</v>
      </c>
      <c r="Z4815">
        <v>2</v>
      </c>
      <c r="AA4815">
        <v>67</v>
      </c>
      <c r="AB4815">
        <v>3</v>
      </c>
    </row>
    <row r="4816" spans="20:28">
      <c r="T4816" s="340" t="str">
        <f t="shared" si="192"/>
        <v>2003MaleMaori19Poisoning by gases and vapours</v>
      </c>
      <c r="U4816">
        <v>2003</v>
      </c>
      <c r="V4816" t="s">
        <v>20</v>
      </c>
      <c r="W4816" t="s">
        <v>18</v>
      </c>
      <c r="X4816">
        <v>19</v>
      </c>
      <c r="Y4816" t="s">
        <v>46</v>
      </c>
      <c r="Z4816">
        <v>4</v>
      </c>
      <c r="AA4816">
        <v>67</v>
      </c>
      <c r="AB4816">
        <v>6</v>
      </c>
    </row>
    <row r="4817" spans="20:28">
      <c r="T4817" s="340" t="str">
        <f t="shared" si="192"/>
        <v>2003MaleMaori19Poisoning by solids and liquids</v>
      </c>
      <c r="U4817">
        <v>2003</v>
      </c>
      <c r="V4817" t="s">
        <v>20</v>
      </c>
      <c r="W4817" t="s">
        <v>18</v>
      </c>
      <c r="X4817">
        <v>19</v>
      </c>
      <c r="Y4817" t="s">
        <v>47</v>
      </c>
      <c r="Z4817">
        <v>1</v>
      </c>
      <c r="AA4817">
        <v>67</v>
      </c>
      <c r="AB4817">
        <v>1.5</v>
      </c>
    </row>
    <row r="4818" spans="20:28">
      <c r="T4818" s="340" t="str">
        <f t="shared" si="192"/>
        <v>2003MaleMaori19Sharp object</v>
      </c>
      <c r="U4818">
        <v>2003</v>
      </c>
      <c r="V4818" t="s">
        <v>20</v>
      </c>
      <c r="W4818" t="s">
        <v>18</v>
      </c>
      <c r="X4818">
        <v>19</v>
      </c>
      <c r="Y4818" t="s">
        <v>48</v>
      </c>
      <c r="Z4818">
        <v>1</v>
      </c>
      <c r="AA4818">
        <v>67</v>
      </c>
      <c r="AB4818">
        <v>1.5</v>
      </c>
    </row>
    <row r="4819" spans="20:28">
      <c r="T4819" s="340" t="str">
        <f t="shared" si="192"/>
        <v>2003MaleNon-Maori19Firearms and explosives</v>
      </c>
      <c r="U4819">
        <v>2003</v>
      </c>
      <c r="V4819" t="s">
        <v>20</v>
      </c>
      <c r="W4819" t="s">
        <v>19</v>
      </c>
      <c r="X4819">
        <v>19</v>
      </c>
      <c r="Y4819" t="s">
        <v>42</v>
      </c>
      <c r="Z4819">
        <v>34</v>
      </c>
      <c r="AA4819">
        <v>313</v>
      </c>
      <c r="AB4819">
        <v>10.9</v>
      </c>
    </row>
    <row r="4820" spans="20:28">
      <c r="T4820" s="340" t="str">
        <f t="shared" si="192"/>
        <v>2003MaleNon-Maori19Hanging, strangulation and suffocation</v>
      </c>
      <c r="U4820">
        <v>2003</v>
      </c>
      <c r="V4820" t="s">
        <v>20</v>
      </c>
      <c r="W4820" t="s">
        <v>19</v>
      </c>
      <c r="X4820">
        <v>19</v>
      </c>
      <c r="Y4820" t="s">
        <v>43</v>
      </c>
      <c r="Z4820">
        <v>135</v>
      </c>
      <c r="AA4820">
        <v>313</v>
      </c>
      <c r="AB4820">
        <v>43.1</v>
      </c>
    </row>
    <row r="4821" spans="20:28">
      <c r="T4821" s="340" t="str">
        <f t="shared" si="192"/>
        <v>2003MaleNon-Maori19Jumping from a high place</v>
      </c>
      <c r="U4821">
        <v>2003</v>
      </c>
      <c r="V4821" t="s">
        <v>20</v>
      </c>
      <c r="W4821" t="s">
        <v>19</v>
      </c>
      <c r="X4821">
        <v>19</v>
      </c>
      <c r="Y4821" t="s">
        <v>44</v>
      </c>
      <c r="Z4821">
        <v>5</v>
      </c>
      <c r="AA4821">
        <v>313</v>
      </c>
      <c r="AB4821">
        <v>1.6</v>
      </c>
    </row>
    <row r="4822" spans="20:28">
      <c r="T4822" s="340" t="str">
        <f t="shared" si="192"/>
        <v>2003MaleNon-Maori19Other</v>
      </c>
      <c r="U4822">
        <v>2003</v>
      </c>
      <c r="V4822" t="s">
        <v>20</v>
      </c>
      <c r="W4822" t="s">
        <v>19</v>
      </c>
      <c r="X4822">
        <v>19</v>
      </c>
      <c r="Y4822" t="s">
        <v>45</v>
      </c>
      <c r="Z4822">
        <v>18</v>
      </c>
      <c r="AA4822">
        <v>313</v>
      </c>
      <c r="AB4822">
        <v>5.8</v>
      </c>
    </row>
    <row r="4823" spans="20:28">
      <c r="T4823" s="340" t="str">
        <f t="shared" si="192"/>
        <v>2003MaleNon-Maori19Poisoning by gases and vapours</v>
      </c>
      <c r="U4823">
        <v>2003</v>
      </c>
      <c r="V4823" t="s">
        <v>20</v>
      </c>
      <c r="W4823" t="s">
        <v>19</v>
      </c>
      <c r="X4823">
        <v>19</v>
      </c>
      <c r="Y4823" t="s">
        <v>46</v>
      </c>
      <c r="Z4823">
        <v>71</v>
      </c>
      <c r="AA4823">
        <v>313</v>
      </c>
      <c r="AB4823">
        <v>22.7</v>
      </c>
    </row>
    <row r="4824" spans="20:28">
      <c r="T4824" s="340" t="str">
        <f t="shared" si="192"/>
        <v>2003MaleNon-Maori19Poisoning by solids and liquids</v>
      </c>
      <c r="U4824">
        <v>2003</v>
      </c>
      <c r="V4824" t="s">
        <v>20</v>
      </c>
      <c r="W4824" t="s">
        <v>19</v>
      </c>
      <c r="X4824">
        <v>19</v>
      </c>
      <c r="Y4824" t="s">
        <v>47</v>
      </c>
      <c r="Z4824">
        <v>31</v>
      </c>
      <c r="AA4824">
        <v>313</v>
      </c>
      <c r="AB4824">
        <v>9.9</v>
      </c>
    </row>
    <row r="4825" spans="20:28">
      <c r="T4825" s="340" t="str">
        <f t="shared" si="192"/>
        <v>2003MaleNon-Maori19Sharp object</v>
      </c>
      <c r="U4825">
        <v>2003</v>
      </c>
      <c r="V4825" t="s">
        <v>20</v>
      </c>
      <c r="W4825" t="s">
        <v>19</v>
      </c>
      <c r="X4825">
        <v>19</v>
      </c>
      <c r="Y4825" t="s">
        <v>48</v>
      </c>
      <c r="Z4825">
        <v>13</v>
      </c>
      <c r="AA4825">
        <v>313</v>
      </c>
      <c r="AB4825">
        <v>4.2</v>
      </c>
    </row>
    <row r="4826" spans="20:28">
      <c r="T4826" s="340" t="str">
        <f t="shared" si="192"/>
        <v>2003MaleNon-Maori19Submersion (drowning)</v>
      </c>
      <c r="U4826">
        <v>2003</v>
      </c>
      <c r="V4826" t="s">
        <v>20</v>
      </c>
      <c r="W4826" t="s">
        <v>19</v>
      </c>
      <c r="X4826">
        <v>19</v>
      </c>
      <c r="Y4826" t="s">
        <v>49</v>
      </c>
      <c r="Z4826">
        <v>6</v>
      </c>
      <c r="AA4826">
        <v>313</v>
      </c>
      <c r="AB4826">
        <v>1.9</v>
      </c>
    </row>
    <row r="4827" spans="20:28">
      <c r="T4827" s="340" t="str">
        <f t="shared" si="192"/>
        <v>2004AllSexAllEth19Firearms and explosives</v>
      </c>
      <c r="U4827">
        <v>2004</v>
      </c>
      <c r="V4827" t="s">
        <v>17</v>
      </c>
      <c r="W4827" t="s">
        <v>27</v>
      </c>
      <c r="X4827">
        <v>19</v>
      </c>
      <c r="Y4827" t="s">
        <v>42</v>
      </c>
      <c r="Z4827">
        <v>39</v>
      </c>
      <c r="AA4827">
        <v>494</v>
      </c>
      <c r="AB4827">
        <v>7.9</v>
      </c>
    </row>
    <row r="4828" spans="20:28">
      <c r="T4828" s="340" t="str">
        <f t="shared" si="192"/>
        <v>2004AllSexAllEth19Hanging, strangulation and suffocation</v>
      </c>
      <c r="U4828">
        <v>2004</v>
      </c>
      <c r="V4828" t="s">
        <v>17</v>
      </c>
      <c r="W4828" t="s">
        <v>27</v>
      </c>
      <c r="X4828">
        <v>19</v>
      </c>
      <c r="Y4828" t="s">
        <v>43</v>
      </c>
      <c r="Z4828">
        <v>270</v>
      </c>
      <c r="AA4828">
        <v>494</v>
      </c>
      <c r="AB4828">
        <v>54.7</v>
      </c>
    </row>
    <row r="4829" spans="20:28">
      <c r="T4829" s="340" t="str">
        <f t="shared" si="192"/>
        <v>2004AllSexAllEth19Jumping from a high place</v>
      </c>
      <c r="U4829">
        <v>2004</v>
      </c>
      <c r="V4829" t="s">
        <v>17</v>
      </c>
      <c r="W4829" t="s">
        <v>27</v>
      </c>
      <c r="X4829">
        <v>19</v>
      </c>
      <c r="Y4829" t="s">
        <v>44</v>
      </c>
      <c r="Z4829">
        <v>10</v>
      </c>
      <c r="AA4829">
        <v>494</v>
      </c>
      <c r="AB4829">
        <v>2</v>
      </c>
    </row>
    <row r="4830" spans="20:28">
      <c r="T4830" s="340" t="str">
        <f t="shared" si="192"/>
        <v>2004AllSexAllEth19Other</v>
      </c>
      <c r="U4830">
        <v>2004</v>
      </c>
      <c r="V4830" t="s">
        <v>17</v>
      </c>
      <c r="W4830" t="s">
        <v>27</v>
      </c>
      <c r="X4830">
        <v>19</v>
      </c>
      <c r="Y4830" t="s">
        <v>45</v>
      </c>
      <c r="Z4830">
        <v>16</v>
      </c>
      <c r="AA4830">
        <v>494</v>
      </c>
      <c r="AB4830">
        <v>3.2</v>
      </c>
    </row>
    <row r="4831" spans="20:28">
      <c r="T4831" s="340" t="str">
        <f t="shared" si="192"/>
        <v>2004AllSexAllEth19Poisoning by gases and vapours</v>
      </c>
      <c r="U4831">
        <v>2004</v>
      </c>
      <c r="V4831" t="s">
        <v>17</v>
      </c>
      <c r="W4831" t="s">
        <v>27</v>
      </c>
      <c r="X4831">
        <v>19</v>
      </c>
      <c r="Y4831" t="s">
        <v>46</v>
      </c>
      <c r="Z4831">
        <v>95</v>
      </c>
      <c r="AA4831">
        <v>494</v>
      </c>
      <c r="AB4831">
        <v>19.2</v>
      </c>
    </row>
    <row r="4832" spans="20:28">
      <c r="T4832" s="340" t="str">
        <f t="shared" si="192"/>
        <v>2004AllSexAllEth19Poisoning by solids and liquids</v>
      </c>
      <c r="U4832">
        <v>2004</v>
      </c>
      <c r="V4832" t="s">
        <v>17</v>
      </c>
      <c r="W4832" t="s">
        <v>27</v>
      </c>
      <c r="X4832">
        <v>19</v>
      </c>
      <c r="Y4832" t="s">
        <v>47</v>
      </c>
      <c r="Z4832">
        <v>46</v>
      </c>
      <c r="AA4832">
        <v>494</v>
      </c>
      <c r="AB4832">
        <v>9.3000000000000007</v>
      </c>
    </row>
    <row r="4833" spans="20:28">
      <c r="T4833" s="340" t="str">
        <f t="shared" si="192"/>
        <v>2004AllSexAllEth19Sharp object</v>
      </c>
      <c r="U4833">
        <v>2004</v>
      </c>
      <c r="V4833" t="s">
        <v>17</v>
      </c>
      <c r="W4833" t="s">
        <v>27</v>
      </c>
      <c r="X4833">
        <v>19</v>
      </c>
      <c r="Y4833" t="s">
        <v>48</v>
      </c>
      <c r="Z4833">
        <v>6</v>
      </c>
      <c r="AA4833">
        <v>494</v>
      </c>
      <c r="AB4833">
        <v>1.2</v>
      </c>
    </row>
    <row r="4834" spans="20:28">
      <c r="T4834" s="340" t="str">
        <f t="shared" si="192"/>
        <v>2004AllSexAllEth19Submersion (drowning)</v>
      </c>
      <c r="U4834">
        <v>2004</v>
      </c>
      <c r="V4834" t="s">
        <v>17</v>
      </c>
      <c r="W4834" t="s">
        <v>27</v>
      </c>
      <c r="X4834">
        <v>19</v>
      </c>
      <c r="Y4834" t="s">
        <v>49</v>
      </c>
      <c r="Z4834">
        <v>12</v>
      </c>
      <c r="AA4834">
        <v>494</v>
      </c>
      <c r="AB4834">
        <v>2.4</v>
      </c>
    </row>
    <row r="4835" spans="20:28">
      <c r="T4835" s="340" t="str">
        <f t="shared" si="192"/>
        <v>2004AllSexMaori19Firearms and explosives</v>
      </c>
      <c r="U4835">
        <v>2004</v>
      </c>
      <c r="V4835" t="s">
        <v>17</v>
      </c>
      <c r="W4835" t="s">
        <v>18</v>
      </c>
      <c r="X4835">
        <v>19</v>
      </c>
      <c r="Y4835" t="s">
        <v>42</v>
      </c>
      <c r="Z4835">
        <v>4</v>
      </c>
      <c r="AA4835">
        <v>111</v>
      </c>
      <c r="AB4835">
        <v>3.6</v>
      </c>
    </row>
    <row r="4836" spans="20:28">
      <c r="T4836" s="340" t="str">
        <f t="shared" si="192"/>
        <v>2004AllSexMaori19Hanging, strangulation and suffocation</v>
      </c>
      <c r="U4836">
        <v>2004</v>
      </c>
      <c r="V4836" t="s">
        <v>17</v>
      </c>
      <c r="W4836" t="s">
        <v>18</v>
      </c>
      <c r="X4836">
        <v>19</v>
      </c>
      <c r="Y4836" t="s">
        <v>43</v>
      </c>
      <c r="Z4836">
        <v>92</v>
      </c>
      <c r="AA4836">
        <v>111</v>
      </c>
      <c r="AB4836">
        <v>82.9</v>
      </c>
    </row>
    <row r="4837" spans="20:28">
      <c r="T4837" s="340" t="str">
        <f t="shared" si="192"/>
        <v>2004AllSexMaori19Other</v>
      </c>
      <c r="U4837">
        <v>2004</v>
      </c>
      <c r="V4837" t="s">
        <v>17</v>
      </c>
      <c r="W4837" t="s">
        <v>18</v>
      </c>
      <c r="X4837">
        <v>19</v>
      </c>
      <c r="Y4837" t="s">
        <v>45</v>
      </c>
      <c r="Z4837">
        <v>1</v>
      </c>
      <c r="AA4837">
        <v>111</v>
      </c>
      <c r="AB4837">
        <v>0.9</v>
      </c>
    </row>
    <row r="4838" spans="20:28">
      <c r="T4838" s="340" t="str">
        <f t="shared" si="192"/>
        <v>2004AllSexMaori19Poisoning by gases and vapours</v>
      </c>
      <c r="U4838">
        <v>2004</v>
      </c>
      <c r="V4838" t="s">
        <v>17</v>
      </c>
      <c r="W4838" t="s">
        <v>18</v>
      </c>
      <c r="X4838">
        <v>19</v>
      </c>
      <c r="Y4838" t="s">
        <v>46</v>
      </c>
      <c r="Z4838">
        <v>3</v>
      </c>
      <c r="AA4838">
        <v>111</v>
      </c>
      <c r="AB4838">
        <v>2.7</v>
      </c>
    </row>
    <row r="4839" spans="20:28">
      <c r="T4839" s="340" t="str">
        <f t="shared" si="192"/>
        <v>2004AllSexMaori19Poisoning by solids and liquids</v>
      </c>
      <c r="U4839">
        <v>2004</v>
      </c>
      <c r="V4839" t="s">
        <v>17</v>
      </c>
      <c r="W4839" t="s">
        <v>18</v>
      </c>
      <c r="X4839">
        <v>19</v>
      </c>
      <c r="Y4839" t="s">
        <v>47</v>
      </c>
      <c r="Z4839">
        <v>6</v>
      </c>
      <c r="AA4839">
        <v>111</v>
      </c>
      <c r="AB4839">
        <v>5.4</v>
      </c>
    </row>
    <row r="4840" spans="20:28">
      <c r="T4840" s="340" t="str">
        <f t="shared" si="192"/>
        <v>2004AllSexMaori19Sharp object</v>
      </c>
      <c r="U4840">
        <v>2004</v>
      </c>
      <c r="V4840" t="s">
        <v>17</v>
      </c>
      <c r="W4840" t="s">
        <v>18</v>
      </c>
      <c r="X4840">
        <v>19</v>
      </c>
      <c r="Y4840" t="s">
        <v>48</v>
      </c>
      <c r="Z4840">
        <v>3</v>
      </c>
      <c r="AA4840">
        <v>111</v>
      </c>
      <c r="AB4840">
        <v>2.7</v>
      </c>
    </row>
    <row r="4841" spans="20:28">
      <c r="T4841" s="340" t="str">
        <f t="shared" si="192"/>
        <v>2004AllSexMaori19Submersion (drowning)</v>
      </c>
      <c r="U4841">
        <v>2004</v>
      </c>
      <c r="V4841" t="s">
        <v>17</v>
      </c>
      <c r="W4841" t="s">
        <v>18</v>
      </c>
      <c r="X4841">
        <v>19</v>
      </c>
      <c r="Y4841" t="s">
        <v>49</v>
      </c>
      <c r="Z4841">
        <v>2</v>
      </c>
      <c r="AA4841">
        <v>111</v>
      </c>
      <c r="AB4841">
        <v>1.8</v>
      </c>
    </row>
    <row r="4842" spans="20:28">
      <c r="T4842" s="340" t="str">
        <f t="shared" si="192"/>
        <v>2004AllSexNon-Maori19Firearms and explosives</v>
      </c>
      <c r="U4842">
        <v>2004</v>
      </c>
      <c r="V4842" t="s">
        <v>17</v>
      </c>
      <c r="W4842" t="s">
        <v>19</v>
      </c>
      <c r="X4842">
        <v>19</v>
      </c>
      <c r="Y4842" t="s">
        <v>42</v>
      </c>
      <c r="Z4842">
        <v>35</v>
      </c>
      <c r="AA4842">
        <v>383</v>
      </c>
      <c r="AB4842">
        <v>9.1</v>
      </c>
    </row>
    <row r="4843" spans="20:28">
      <c r="T4843" s="340" t="str">
        <f t="shared" si="192"/>
        <v>2004AllSexNon-Maori19Hanging, strangulation and suffocation</v>
      </c>
      <c r="U4843">
        <v>2004</v>
      </c>
      <c r="V4843" t="s">
        <v>17</v>
      </c>
      <c r="W4843" t="s">
        <v>19</v>
      </c>
      <c r="X4843">
        <v>19</v>
      </c>
      <c r="Y4843" t="s">
        <v>43</v>
      </c>
      <c r="Z4843">
        <v>178</v>
      </c>
      <c r="AA4843">
        <v>383</v>
      </c>
      <c r="AB4843">
        <v>46.5</v>
      </c>
    </row>
    <row r="4844" spans="20:28">
      <c r="T4844" s="340" t="str">
        <f t="shared" si="192"/>
        <v>2004AllSexNon-Maori19Jumping from a high place</v>
      </c>
      <c r="U4844">
        <v>2004</v>
      </c>
      <c r="V4844" t="s">
        <v>17</v>
      </c>
      <c r="W4844" t="s">
        <v>19</v>
      </c>
      <c r="X4844">
        <v>19</v>
      </c>
      <c r="Y4844" t="s">
        <v>44</v>
      </c>
      <c r="Z4844">
        <v>10</v>
      </c>
      <c r="AA4844">
        <v>383</v>
      </c>
      <c r="AB4844">
        <v>2.6</v>
      </c>
    </row>
    <row r="4845" spans="20:28">
      <c r="T4845" s="340" t="str">
        <f t="shared" si="192"/>
        <v>2004AllSexNon-Maori19Other</v>
      </c>
      <c r="U4845">
        <v>2004</v>
      </c>
      <c r="V4845" t="s">
        <v>17</v>
      </c>
      <c r="W4845" t="s">
        <v>19</v>
      </c>
      <c r="X4845">
        <v>19</v>
      </c>
      <c r="Y4845" t="s">
        <v>45</v>
      </c>
      <c r="Z4845">
        <v>15</v>
      </c>
      <c r="AA4845">
        <v>383</v>
      </c>
      <c r="AB4845">
        <v>3.9</v>
      </c>
    </row>
    <row r="4846" spans="20:28">
      <c r="T4846" s="340" t="str">
        <f t="shared" si="192"/>
        <v>2004AllSexNon-Maori19Poisoning by gases and vapours</v>
      </c>
      <c r="U4846">
        <v>2004</v>
      </c>
      <c r="V4846" t="s">
        <v>17</v>
      </c>
      <c r="W4846" t="s">
        <v>19</v>
      </c>
      <c r="X4846">
        <v>19</v>
      </c>
      <c r="Y4846" t="s">
        <v>46</v>
      </c>
      <c r="Z4846">
        <v>92</v>
      </c>
      <c r="AA4846">
        <v>383</v>
      </c>
      <c r="AB4846">
        <v>24</v>
      </c>
    </row>
    <row r="4847" spans="20:28">
      <c r="T4847" s="340" t="str">
        <f t="shared" si="192"/>
        <v>2004AllSexNon-Maori19Poisoning by solids and liquids</v>
      </c>
      <c r="U4847">
        <v>2004</v>
      </c>
      <c r="V4847" t="s">
        <v>17</v>
      </c>
      <c r="W4847" t="s">
        <v>19</v>
      </c>
      <c r="X4847">
        <v>19</v>
      </c>
      <c r="Y4847" t="s">
        <v>47</v>
      </c>
      <c r="Z4847">
        <v>40</v>
      </c>
      <c r="AA4847">
        <v>383</v>
      </c>
      <c r="AB4847">
        <v>10.4</v>
      </c>
    </row>
    <row r="4848" spans="20:28">
      <c r="T4848" s="340" t="str">
        <f t="shared" si="192"/>
        <v>2004AllSexNon-Maori19Sharp object</v>
      </c>
      <c r="U4848">
        <v>2004</v>
      </c>
      <c r="V4848" t="s">
        <v>17</v>
      </c>
      <c r="W4848" t="s">
        <v>19</v>
      </c>
      <c r="X4848">
        <v>19</v>
      </c>
      <c r="Y4848" t="s">
        <v>48</v>
      </c>
      <c r="Z4848">
        <v>3</v>
      </c>
      <c r="AA4848">
        <v>383</v>
      </c>
      <c r="AB4848">
        <v>0.8</v>
      </c>
    </row>
    <row r="4849" spans="20:28">
      <c r="T4849" s="340" t="str">
        <f t="shared" si="192"/>
        <v>2004AllSexNon-Maori19Submersion (drowning)</v>
      </c>
      <c r="U4849">
        <v>2004</v>
      </c>
      <c r="V4849" t="s">
        <v>17</v>
      </c>
      <c r="W4849" t="s">
        <v>19</v>
      </c>
      <c r="X4849">
        <v>19</v>
      </c>
      <c r="Y4849" t="s">
        <v>49</v>
      </c>
      <c r="Z4849">
        <v>10</v>
      </c>
      <c r="AA4849">
        <v>383</v>
      </c>
      <c r="AB4849">
        <v>2.6</v>
      </c>
    </row>
    <row r="4850" spans="20:28">
      <c r="T4850" s="340" t="str">
        <f t="shared" si="192"/>
        <v>2004FemaleAllEth19Firearms and explosives</v>
      </c>
      <c r="U4850">
        <v>2004</v>
      </c>
      <c r="V4850" t="s">
        <v>8</v>
      </c>
      <c r="W4850" t="s">
        <v>27</v>
      </c>
      <c r="X4850">
        <v>19</v>
      </c>
      <c r="Y4850" t="s">
        <v>42</v>
      </c>
      <c r="Z4850">
        <v>2</v>
      </c>
      <c r="AA4850">
        <v>112</v>
      </c>
      <c r="AB4850">
        <v>1.8</v>
      </c>
    </row>
    <row r="4851" spans="20:28">
      <c r="T4851" s="340" t="str">
        <f t="shared" si="192"/>
        <v>2004FemaleAllEth19Hanging, strangulation and suffocation</v>
      </c>
      <c r="U4851">
        <v>2004</v>
      </c>
      <c r="V4851" t="s">
        <v>8</v>
      </c>
      <c r="W4851" t="s">
        <v>27</v>
      </c>
      <c r="X4851">
        <v>19</v>
      </c>
      <c r="Y4851" t="s">
        <v>43</v>
      </c>
      <c r="Z4851">
        <v>59</v>
      </c>
      <c r="AA4851">
        <v>112</v>
      </c>
      <c r="AB4851">
        <v>52.7</v>
      </c>
    </row>
    <row r="4852" spans="20:28">
      <c r="T4852" s="340" t="str">
        <f t="shared" si="192"/>
        <v>2004FemaleAllEth19Jumping from a high place</v>
      </c>
      <c r="U4852">
        <v>2004</v>
      </c>
      <c r="V4852" t="s">
        <v>8</v>
      </c>
      <c r="W4852" t="s">
        <v>27</v>
      </c>
      <c r="X4852">
        <v>19</v>
      </c>
      <c r="Y4852" t="s">
        <v>44</v>
      </c>
      <c r="Z4852">
        <v>3</v>
      </c>
      <c r="AA4852">
        <v>112</v>
      </c>
      <c r="AB4852">
        <v>2.7</v>
      </c>
    </row>
    <row r="4853" spans="20:28">
      <c r="T4853" s="340" t="str">
        <f t="shared" si="192"/>
        <v>2004FemaleAllEth19Other</v>
      </c>
      <c r="U4853">
        <v>2004</v>
      </c>
      <c r="V4853" t="s">
        <v>8</v>
      </c>
      <c r="W4853" t="s">
        <v>27</v>
      </c>
      <c r="X4853">
        <v>19</v>
      </c>
      <c r="Y4853" t="s">
        <v>45</v>
      </c>
      <c r="Z4853">
        <v>6</v>
      </c>
      <c r="AA4853">
        <v>112</v>
      </c>
      <c r="AB4853">
        <v>5.4</v>
      </c>
    </row>
    <row r="4854" spans="20:28">
      <c r="T4854" s="340" t="str">
        <f t="shared" si="192"/>
        <v>2004FemaleAllEth19Poisoning by gases and vapours</v>
      </c>
      <c r="U4854">
        <v>2004</v>
      </c>
      <c r="V4854" t="s">
        <v>8</v>
      </c>
      <c r="W4854" t="s">
        <v>27</v>
      </c>
      <c r="X4854">
        <v>19</v>
      </c>
      <c r="Y4854" t="s">
        <v>46</v>
      </c>
      <c r="Z4854">
        <v>14</v>
      </c>
      <c r="AA4854">
        <v>112</v>
      </c>
      <c r="AB4854">
        <v>12.5</v>
      </c>
    </row>
    <row r="4855" spans="20:28">
      <c r="T4855" s="340" t="str">
        <f t="shared" si="192"/>
        <v>2004FemaleAllEth19Poisoning by solids and liquids</v>
      </c>
      <c r="U4855">
        <v>2004</v>
      </c>
      <c r="V4855" t="s">
        <v>8</v>
      </c>
      <c r="W4855" t="s">
        <v>27</v>
      </c>
      <c r="X4855">
        <v>19</v>
      </c>
      <c r="Y4855" t="s">
        <v>47</v>
      </c>
      <c r="Z4855">
        <v>24</v>
      </c>
      <c r="AA4855">
        <v>112</v>
      </c>
      <c r="AB4855">
        <v>21.4</v>
      </c>
    </row>
    <row r="4856" spans="20:28">
      <c r="T4856" s="340" t="str">
        <f t="shared" si="192"/>
        <v>2004FemaleAllEth19Sharp object</v>
      </c>
      <c r="U4856">
        <v>2004</v>
      </c>
      <c r="V4856" t="s">
        <v>8</v>
      </c>
      <c r="W4856" t="s">
        <v>27</v>
      </c>
      <c r="X4856">
        <v>19</v>
      </c>
      <c r="Y4856" t="s">
        <v>48</v>
      </c>
      <c r="Z4856">
        <v>2</v>
      </c>
      <c r="AA4856">
        <v>112</v>
      </c>
      <c r="AB4856">
        <v>1.8</v>
      </c>
    </row>
    <row r="4857" spans="20:28">
      <c r="T4857" s="340" t="str">
        <f t="shared" si="192"/>
        <v>2004FemaleAllEth19Submersion (drowning)</v>
      </c>
      <c r="U4857">
        <v>2004</v>
      </c>
      <c r="V4857" t="s">
        <v>8</v>
      </c>
      <c r="W4857" t="s">
        <v>27</v>
      </c>
      <c r="X4857">
        <v>19</v>
      </c>
      <c r="Y4857" t="s">
        <v>49</v>
      </c>
      <c r="Z4857">
        <v>2</v>
      </c>
      <c r="AA4857">
        <v>112</v>
      </c>
      <c r="AB4857">
        <v>1.8</v>
      </c>
    </row>
    <row r="4858" spans="20:28">
      <c r="T4858" s="340" t="str">
        <f t="shared" si="192"/>
        <v>2004FemaleMaori19Hanging, strangulation and suffocation</v>
      </c>
      <c r="U4858">
        <v>2004</v>
      </c>
      <c r="V4858" t="s">
        <v>8</v>
      </c>
      <c r="W4858" t="s">
        <v>18</v>
      </c>
      <c r="X4858">
        <v>19</v>
      </c>
      <c r="Y4858" t="s">
        <v>43</v>
      </c>
      <c r="Z4858">
        <v>22</v>
      </c>
      <c r="AA4858">
        <v>28</v>
      </c>
      <c r="AB4858">
        <v>78.599999999999994</v>
      </c>
    </row>
    <row r="4859" spans="20:28">
      <c r="T4859" s="340" t="str">
        <f t="shared" si="192"/>
        <v>2004FemaleMaori19Other</v>
      </c>
      <c r="U4859">
        <v>2004</v>
      </c>
      <c r="V4859" t="s">
        <v>8</v>
      </c>
      <c r="W4859" t="s">
        <v>18</v>
      </c>
      <c r="X4859">
        <v>19</v>
      </c>
      <c r="Y4859" t="s">
        <v>45</v>
      </c>
      <c r="Z4859">
        <v>1</v>
      </c>
      <c r="AA4859">
        <v>28</v>
      </c>
      <c r="AB4859">
        <v>3.6</v>
      </c>
    </row>
    <row r="4860" spans="20:28">
      <c r="T4860" s="340" t="str">
        <f t="shared" si="192"/>
        <v>2004FemaleMaori19Poisoning by gases and vapours</v>
      </c>
      <c r="U4860">
        <v>2004</v>
      </c>
      <c r="V4860" t="s">
        <v>8</v>
      </c>
      <c r="W4860" t="s">
        <v>18</v>
      </c>
      <c r="X4860">
        <v>19</v>
      </c>
      <c r="Y4860" t="s">
        <v>46</v>
      </c>
      <c r="Z4860">
        <v>1</v>
      </c>
      <c r="AA4860">
        <v>28</v>
      </c>
      <c r="AB4860">
        <v>3.6</v>
      </c>
    </row>
    <row r="4861" spans="20:28">
      <c r="T4861" s="340" t="str">
        <f t="shared" si="192"/>
        <v>2004FemaleMaori19Poisoning by solids and liquids</v>
      </c>
      <c r="U4861">
        <v>2004</v>
      </c>
      <c r="V4861" t="s">
        <v>8</v>
      </c>
      <c r="W4861" t="s">
        <v>18</v>
      </c>
      <c r="X4861">
        <v>19</v>
      </c>
      <c r="Y4861" t="s">
        <v>47</v>
      </c>
      <c r="Z4861">
        <v>3</v>
      </c>
      <c r="AA4861">
        <v>28</v>
      </c>
      <c r="AB4861">
        <v>10.7</v>
      </c>
    </row>
    <row r="4862" spans="20:28">
      <c r="T4862" s="340" t="str">
        <f t="shared" si="192"/>
        <v>2004FemaleMaori19Sharp object</v>
      </c>
      <c r="U4862">
        <v>2004</v>
      </c>
      <c r="V4862" t="s">
        <v>8</v>
      </c>
      <c r="W4862" t="s">
        <v>18</v>
      </c>
      <c r="X4862">
        <v>19</v>
      </c>
      <c r="Y4862" t="s">
        <v>48</v>
      </c>
      <c r="Z4862">
        <v>1</v>
      </c>
      <c r="AA4862">
        <v>28</v>
      </c>
      <c r="AB4862">
        <v>3.6</v>
      </c>
    </row>
    <row r="4863" spans="20:28">
      <c r="T4863" s="340" t="str">
        <f t="shared" si="192"/>
        <v>2004FemaleNon-Maori19Firearms and explosives</v>
      </c>
      <c r="U4863">
        <v>2004</v>
      </c>
      <c r="V4863" t="s">
        <v>8</v>
      </c>
      <c r="W4863" t="s">
        <v>19</v>
      </c>
      <c r="X4863">
        <v>19</v>
      </c>
      <c r="Y4863" t="s">
        <v>42</v>
      </c>
      <c r="Z4863">
        <v>2</v>
      </c>
      <c r="AA4863">
        <v>84</v>
      </c>
      <c r="AB4863">
        <v>2.4</v>
      </c>
    </row>
    <row r="4864" spans="20:28">
      <c r="T4864" s="340" t="str">
        <f t="shared" si="192"/>
        <v>2004FemaleNon-Maori19Hanging, strangulation and suffocation</v>
      </c>
      <c r="U4864">
        <v>2004</v>
      </c>
      <c r="V4864" t="s">
        <v>8</v>
      </c>
      <c r="W4864" t="s">
        <v>19</v>
      </c>
      <c r="X4864">
        <v>19</v>
      </c>
      <c r="Y4864" t="s">
        <v>43</v>
      </c>
      <c r="Z4864">
        <v>37</v>
      </c>
      <c r="AA4864">
        <v>84</v>
      </c>
      <c r="AB4864">
        <v>44</v>
      </c>
    </row>
    <row r="4865" spans="20:28">
      <c r="T4865" s="340" t="str">
        <f t="shared" si="192"/>
        <v>2004FemaleNon-Maori19Jumping from a high place</v>
      </c>
      <c r="U4865">
        <v>2004</v>
      </c>
      <c r="V4865" t="s">
        <v>8</v>
      </c>
      <c r="W4865" t="s">
        <v>19</v>
      </c>
      <c r="X4865">
        <v>19</v>
      </c>
      <c r="Y4865" t="s">
        <v>44</v>
      </c>
      <c r="Z4865">
        <v>3</v>
      </c>
      <c r="AA4865">
        <v>84</v>
      </c>
      <c r="AB4865">
        <v>3.6</v>
      </c>
    </row>
    <row r="4866" spans="20:28">
      <c r="T4866" s="340" t="str">
        <f t="shared" si="192"/>
        <v>2004FemaleNon-Maori19Other</v>
      </c>
      <c r="U4866">
        <v>2004</v>
      </c>
      <c r="V4866" t="s">
        <v>8</v>
      </c>
      <c r="W4866" t="s">
        <v>19</v>
      </c>
      <c r="X4866">
        <v>19</v>
      </c>
      <c r="Y4866" t="s">
        <v>45</v>
      </c>
      <c r="Z4866">
        <v>5</v>
      </c>
      <c r="AA4866">
        <v>84</v>
      </c>
      <c r="AB4866">
        <v>6</v>
      </c>
    </row>
    <row r="4867" spans="20:28">
      <c r="T4867" s="340" t="str">
        <f t="shared" si="192"/>
        <v>2004FemaleNon-Maori19Poisoning by gases and vapours</v>
      </c>
      <c r="U4867">
        <v>2004</v>
      </c>
      <c r="V4867" t="s">
        <v>8</v>
      </c>
      <c r="W4867" t="s">
        <v>19</v>
      </c>
      <c r="X4867">
        <v>19</v>
      </c>
      <c r="Y4867" t="s">
        <v>46</v>
      </c>
      <c r="Z4867">
        <v>13</v>
      </c>
      <c r="AA4867">
        <v>84</v>
      </c>
      <c r="AB4867">
        <v>15.5</v>
      </c>
    </row>
    <row r="4868" spans="20:28">
      <c r="T4868" s="340" t="str">
        <f t="shared" si="192"/>
        <v>2004FemaleNon-Maori19Poisoning by solids and liquids</v>
      </c>
      <c r="U4868">
        <v>2004</v>
      </c>
      <c r="V4868" t="s">
        <v>8</v>
      </c>
      <c r="W4868" t="s">
        <v>19</v>
      </c>
      <c r="X4868">
        <v>19</v>
      </c>
      <c r="Y4868" t="s">
        <v>47</v>
      </c>
      <c r="Z4868">
        <v>21</v>
      </c>
      <c r="AA4868">
        <v>84</v>
      </c>
      <c r="AB4868">
        <v>25</v>
      </c>
    </row>
    <row r="4869" spans="20:28">
      <c r="T4869" s="340" t="str">
        <f t="shared" ref="T4869:T4932" si="193">U4869&amp;V4869&amp;W4869&amp;X4869&amp;Y4869</f>
        <v>2004FemaleNon-Maori19Sharp object</v>
      </c>
      <c r="U4869">
        <v>2004</v>
      </c>
      <c r="V4869" t="s">
        <v>8</v>
      </c>
      <c r="W4869" t="s">
        <v>19</v>
      </c>
      <c r="X4869">
        <v>19</v>
      </c>
      <c r="Y4869" t="s">
        <v>48</v>
      </c>
      <c r="Z4869">
        <v>1</v>
      </c>
      <c r="AA4869">
        <v>84</v>
      </c>
      <c r="AB4869">
        <v>1.2</v>
      </c>
    </row>
    <row r="4870" spans="20:28">
      <c r="T4870" s="340" t="str">
        <f t="shared" si="193"/>
        <v>2004FemaleNon-Maori19Submersion (drowning)</v>
      </c>
      <c r="U4870">
        <v>2004</v>
      </c>
      <c r="V4870" t="s">
        <v>8</v>
      </c>
      <c r="W4870" t="s">
        <v>19</v>
      </c>
      <c r="X4870">
        <v>19</v>
      </c>
      <c r="Y4870" t="s">
        <v>49</v>
      </c>
      <c r="Z4870">
        <v>2</v>
      </c>
      <c r="AA4870">
        <v>84</v>
      </c>
      <c r="AB4870">
        <v>2.4</v>
      </c>
    </row>
    <row r="4871" spans="20:28">
      <c r="T4871" s="340" t="str">
        <f t="shared" si="193"/>
        <v>2004MaleAllEth19Firearms and explosives</v>
      </c>
      <c r="U4871">
        <v>2004</v>
      </c>
      <c r="V4871" t="s">
        <v>20</v>
      </c>
      <c r="W4871" t="s">
        <v>27</v>
      </c>
      <c r="X4871">
        <v>19</v>
      </c>
      <c r="Y4871" t="s">
        <v>42</v>
      </c>
      <c r="Z4871">
        <v>37</v>
      </c>
      <c r="AA4871">
        <v>382</v>
      </c>
      <c r="AB4871">
        <v>9.6999999999999993</v>
      </c>
    </row>
    <row r="4872" spans="20:28">
      <c r="T4872" s="340" t="str">
        <f t="shared" si="193"/>
        <v>2004MaleAllEth19Hanging, strangulation and suffocation</v>
      </c>
      <c r="U4872">
        <v>2004</v>
      </c>
      <c r="V4872" t="s">
        <v>20</v>
      </c>
      <c r="W4872" t="s">
        <v>27</v>
      </c>
      <c r="X4872">
        <v>19</v>
      </c>
      <c r="Y4872" t="s">
        <v>43</v>
      </c>
      <c r="Z4872">
        <v>211</v>
      </c>
      <c r="AA4872">
        <v>382</v>
      </c>
      <c r="AB4872">
        <v>55.2</v>
      </c>
    </row>
    <row r="4873" spans="20:28">
      <c r="T4873" s="340" t="str">
        <f t="shared" si="193"/>
        <v>2004MaleAllEth19Jumping from a high place</v>
      </c>
      <c r="U4873">
        <v>2004</v>
      </c>
      <c r="V4873" t="s">
        <v>20</v>
      </c>
      <c r="W4873" t="s">
        <v>27</v>
      </c>
      <c r="X4873">
        <v>19</v>
      </c>
      <c r="Y4873" t="s">
        <v>44</v>
      </c>
      <c r="Z4873">
        <v>7</v>
      </c>
      <c r="AA4873">
        <v>382</v>
      </c>
      <c r="AB4873">
        <v>1.8</v>
      </c>
    </row>
    <row r="4874" spans="20:28">
      <c r="T4874" s="340" t="str">
        <f t="shared" si="193"/>
        <v>2004MaleAllEth19Other</v>
      </c>
      <c r="U4874">
        <v>2004</v>
      </c>
      <c r="V4874" t="s">
        <v>20</v>
      </c>
      <c r="W4874" t="s">
        <v>27</v>
      </c>
      <c r="X4874">
        <v>19</v>
      </c>
      <c r="Y4874" t="s">
        <v>45</v>
      </c>
      <c r="Z4874">
        <v>10</v>
      </c>
      <c r="AA4874">
        <v>382</v>
      </c>
      <c r="AB4874">
        <v>2.6</v>
      </c>
    </row>
    <row r="4875" spans="20:28">
      <c r="T4875" s="340" t="str">
        <f t="shared" si="193"/>
        <v>2004MaleAllEth19Poisoning by gases and vapours</v>
      </c>
      <c r="U4875">
        <v>2004</v>
      </c>
      <c r="V4875" t="s">
        <v>20</v>
      </c>
      <c r="W4875" t="s">
        <v>27</v>
      </c>
      <c r="X4875">
        <v>19</v>
      </c>
      <c r="Y4875" t="s">
        <v>46</v>
      </c>
      <c r="Z4875">
        <v>81</v>
      </c>
      <c r="AA4875">
        <v>382</v>
      </c>
      <c r="AB4875">
        <v>21.2</v>
      </c>
    </row>
    <row r="4876" spans="20:28">
      <c r="T4876" s="340" t="str">
        <f t="shared" si="193"/>
        <v>2004MaleAllEth19Poisoning by solids and liquids</v>
      </c>
      <c r="U4876">
        <v>2004</v>
      </c>
      <c r="V4876" t="s">
        <v>20</v>
      </c>
      <c r="W4876" t="s">
        <v>27</v>
      </c>
      <c r="X4876">
        <v>19</v>
      </c>
      <c r="Y4876" t="s">
        <v>47</v>
      </c>
      <c r="Z4876">
        <v>22</v>
      </c>
      <c r="AA4876">
        <v>382</v>
      </c>
      <c r="AB4876">
        <v>5.8</v>
      </c>
    </row>
    <row r="4877" spans="20:28">
      <c r="T4877" s="340" t="str">
        <f t="shared" si="193"/>
        <v>2004MaleAllEth19Sharp object</v>
      </c>
      <c r="U4877">
        <v>2004</v>
      </c>
      <c r="V4877" t="s">
        <v>20</v>
      </c>
      <c r="W4877" t="s">
        <v>27</v>
      </c>
      <c r="X4877">
        <v>19</v>
      </c>
      <c r="Y4877" t="s">
        <v>48</v>
      </c>
      <c r="Z4877">
        <v>4</v>
      </c>
      <c r="AA4877">
        <v>382</v>
      </c>
      <c r="AB4877">
        <v>1</v>
      </c>
    </row>
    <row r="4878" spans="20:28">
      <c r="T4878" s="340" t="str">
        <f t="shared" si="193"/>
        <v>2004MaleAllEth19Submersion (drowning)</v>
      </c>
      <c r="U4878">
        <v>2004</v>
      </c>
      <c r="V4878" t="s">
        <v>20</v>
      </c>
      <c r="W4878" t="s">
        <v>27</v>
      </c>
      <c r="X4878">
        <v>19</v>
      </c>
      <c r="Y4878" t="s">
        <v>49</v>
      </c>
      <c r="Z4878">
        <v>10</v>
      </c>
      <c r="AA4878">
        <v>382</v>
      </c>
      <c r="AB4878">
        <v>2.6</v>
      </c>
    </row>
    <row r="4879" spans="20:28">
      <c r="T4879" s="340" t="str">
        <f t="shared" si="193"/>
        <v>2004MaleMaori19Firearms and explosives</v>
      </c>
      <c r="U4879">
        <v>2004</v>
      </c>
      <c r="V4879" t="s">
        <v>20</v>
      </c>
      <c r="W4879" t="s">
        <v>18</v>
      </c>
      <c r="X4879">
        <v>19</v>
      </c>
      <c r="Y4879" t="s">
        <v>42</v>
      </c>
      <c r="Z4879">
        <v>4</v>
      </c>
      <c r="AA4879">
        <v>83</v>
      </c>
      <c r="AB4879">
        <v>4.8</v>
      </c>
    </row>
    <row r="4880" spans="20:28">
      <c r="T4880" s="340" t="str">
        <f t="shared" si="193"/>
        <v>2004MaleMaori19Hanging, strangulation and suffocation</v>
      </c>
      <c r="U4880">
        <v>2004</v>
      </c>
      <c r="V4880" t="s">
        <v>20</v>
      </c>
      <c r="W4880" t="s">
        <v>18</v>
      </c>
      <c r="X4880">
        <v>19</v>
      </c>
      <c r="Y4880" t="s">
        <v>43</v>
      </c>
      <c r="Z4880">
        <v>70</v>
      </c>
      <c r="AA4880">
        <v>83</v>
      </c>
      <c r="AB4880">
        <v>84.3</v>
      </c>
    </row>
    <row r="4881" spans="20:28">
      <c r="T4881" s="340" t="str">
        <f t="shared" si="193"/>
        <v>2004MaleMaori19Poisoning by gases and vapours</v>
      </c>
      <c r="U4881">
        <v>2004</v>
      </c>
      <c r="V4881" t="s">
        <v>20</v>
      </c>
      <c r="W4881" t="s">
        <v>18</v>
      </c>
      <c r="X4881">
        <v>19</v>
      </c>
      <c r="Y4881" t="s">
        <v>46</v>
      </c>
      <c r="Z4881">
        <v>2</v>
      </c>
      <c r="AA4881">
        <v>83</v>
      </c>
      <c r="AB4881">
        <v>2.4</v>
      </c>
    </row>
    <row r="4882" spans="20:28">
      <c r="T4882" s="340" t="str">
        <f t="shared" si="193"/>
        <v>2004MaleMaori19Poisoning by solids and liquids</v>
      </c>
      <c r="U4882">
        <v>2004</v>
      </c>
      <c r="V4882" t="s">
        <v>20</v>
      </c>
      <c r="W4882" t="s">
        <v>18</v>
      </c>
      <c r="X4882">
        <v>19</v>
      </c>
      <c r="Y4882" t="s">
        <v>47</v>
      </c>
      <c r="Z4882">
        <v>3</v>
      </c>
      <c r="AA4882">
        <v>83</v>
      </c>
      <c r="AB4882">
        <v>3.6</v>
      </c>
    </row>
    <row r="4883" spans="20:28">
      <c r="T4883" s="340" t="str">
        <f t="shared" si="193"/>
        <v>2004MaleMaori19Sharp object</v>
      </c>
      <c r="U4883">
        <v>2004</v>
      </c>
      <c r="V4883" t="s">
        <v>20</v>
      </c>
      <c r="W4883" t="s">
        <v>18</v>
      </c>
      <c r="X4883">
        <v>19</v>
      </c>
      <c r="Y4883" t="s">
        <v>48</v>
      </c>
      <c r="Z4883">
        <v>2</v>
      </c>
      <c r="AA4883">
        <v>83</v>
      </c>
      <c r="AB4883">
        <v>2.4</v>
      </c>
    </row>
    <row r="4884" spans="20:28">
      <c r="T4884" s="340" t="str">
        <f t="shared" si="193"/>
        <v>2004MaleMaori19Submersion (drowning)</v>
      </c>
      <c r="U4884">
        <v>2004</v>
      </c>
      <c r="V4884" t="s">
        <v>20</v>
      </c>
      <c r="W4884" t="s">
        <v>18</v>
      </c>
      <c r="X4884">
        <v>19</v>
      </c>
      <c r="Y4884" t="s">
        <v>49</v>
      </c>
      <c r="Z4884">
        <v>2</v>
      </c>
      <c r="AA4884">
        <v>83</v>
      </c>
      <c r="AB4884">
        <v>2.4</v>
      </c>
    </row>
    <row r="4885" spans="20:28">
      <c r="T4885" s="340" t="str">
        <f t="shared" si="193"/>
        <v>2004MaleNon-Maori19Firearms and explosives</v>
      </c>
      <c r="U4885">
        <v>2004</v>
      </c>
      <c r="V4885" t="s">
        <v>20</v>
      </c>
      <c r="W4885" t="s">
        <v>19</v>
      </c>
      <c r="X4885">
        <v>19</v>
      </c>
      <c r="Y4885" t="s">
        <v>42</v>
      </c>
      <c r="Z4885">
        <v>33</v>
      </c>
      <c r="AA4885">
        <v>299</v>
      </c>
      <c r="AB4885">
        <v>11</v>
      </c>
    </row>
    <row r="4886" spans="20:28">
      <c r="T4886" s="340" t="str">
        <f t="shared" si="193"/>
        <v>2004MaleNon-Maori19Hanging, strangulation and suffocation</v>
      </c>
      <c r="U4886">
        <v>2004</v>
      </c>
      <c r="V4886" t="s">
        <v>20</v>
      </c>
      <c r="W4886" t="s">
        <v>19</v>
      </c>
      <c r="X4886">
        <v>19</v>
      </c>
      <c r="Y4886" t="s">
        <v>43</v>
      </c>
      <c r="Z4886">
        <v>141</v>
      </c>
      <c r="AA4886">
        <v>299</v>
      </c>
      <c r="AB4886">
        <v>47.2</v>
      </c>
    </row>
    <row r="4887" spans="20:28">
      <c r="T4887" s="340" t="str">
        <f t="shared" si="193"/>
        <v>2004MaleNon-Maori19Jumping from a high place</v>
      </c>
      <c r="U4887">
        <v>2004</v>
      </c>
      <c r="V4887" t="s">
        <v>20</v>
      </c>
      <c r="W4887" t="s">
        <v>19</v>
      </c>
      <c r="X4887">
        <v>19</v>
      </c>
      <c r="Y4887" t="s">
        <v>44</v>
      </c>
      <c r="Z4887">
        <v>7</v>
      </c>
      <c r="AA4887">
        <v>299</v>
      </c>
      <c r="AB4887">
        <v>2.2999999999999998</v>
      </c>
    </row>
    <row r="4888" spans="20:28">
      <c r="T4888" s="340" t="str">
        <f t="shared" si="193"/>
        <v>2004MaleNon-Maori19Other</v>
      </c>
      <c r="U4888">
        <v>2004</v>
      </c>
      <c r="V4888" t="s">
        <v>20</v>
      </c>
      <c r="W4888" t="s">
        <v>19</v>
      </c>
      <c r="X4888">
        <v>19</v>
      </c>
      <c r="Y4888" t="s">
        <v>45</v>
      </c>
      <c r="Z4888">
        <v>10</v>
      </c>
      <c r="AA4888">
        <v>299</v>
      </c>
      <c r="AB4888">
        <v>3.3</v>
      </c>
    </row>
    <row r="4889" spans="20:28">
      <c r="T4889" s="340" t="str">
        <f t="shared" si="193"/>
        <v>2004MaleNon-Maori19Poisoning by gases and vapours</v>
      </c>
      <c r="U4889">
        <v>2004</v>
      </c>
      <c r="V4889" t="s">
        <v>20</v>
      </c>
      <c r="W4889" t="s">
        <v>19</v>
      </c>
      <c r="X4889">
        <v>19</v>
      </c>
      <c r="Y4889" t="s">
        <v>46</v>
      </c>
      <c r="Z4889">
        <v>79</v>
      </c>
      <c r="AA4889">
        <v>299</v>
      </c>
      <c r="AB4889">
        <v>26.4</v>
      </c>
    </row>
    <row r="4890" spans="20:28">
      <c r="T4890" s="340" t="str">
        <f t="shared" si="193"/>
        <v>2004MaleNon-Maori19Poisoning by solids and liquids</v>
      </c>
      <c r="U4890">
        <v>2004</v>
      </c>
      <c r="V4890" t="s">
        <v>20</v>
      </c>
      <c r="W4890" t="s">
        <v>19</v>
      </c>
      <c r="X4890">
        <v>19</v>
      </c>
      <c r="Y4890" t="s">
        <v>47</v>
      </c>
      <c r="Z4890">
        <v>19</v>
      </c>
      <c r="AA4890">
        <v>299</v>
      </c>
      <c r="AB4890">
        <v>6.4</v>
      </c>
    </row>
    <row r="4891" spans="20:28">
      <c r="T4891" s="340" t="str">
        <f t="shared" si="193"/>
        <v>2004MaleNon-Maori19Sharp object</v>
      </c>
      <c r="U4891">
        <v>2004</v>
      </c>
      <c r="V4891" t="s">
        <v>20</v>
      </c>
      <c r="W4891" t="s">
        <v>19</v>
      </c>
      <c r="X4891">
        <v>19</v>
      </c>
      <c r="Y4891" t="s">
        <v>48</v>
      </c>
      <c r="Z4891">
        <v>2</v>
      </c>
      <c r="AA4891">
        <v>299</v>
      </c>
      <c r="AB4891">
        <v>0.7</v>
      </c>
    </row>
    <row r="4892" spans="20:28">
      <c r="T4892" s="340" t="str">
        <f t="shared" si="193"/>
        <v>2004MaleNon-Maori19Submersion (drowning)</v>
      </c>
      <c r="U4892">
        <v>2004</v>
      </c>
      <c r="V4892" t="s">
        <v>20</v>
      </c>
      <c r="W4892" t="s">
        <v>19</v>
      </c>
      <c r="X4892">
        <v>19</v>
      </c>
      <c r="Y4892" t="s">
        <v>49</v>
      </c>
      <c r="Z4892">
        <v>8</v>
      </c>
      <c r="AA4892">
        <v>299</v>
      </c>
      <c r="AB4892">
        <v>2.7</v>
      </c>
    </row>
    <row r="4893" spans="20:28">
      <c r="T4893" s="340" t="str">
        <f t="shared" si="193"/>
        <v>2005AllSexAllEth19Firearms and explosives</v>
      </c>
      <c r="U4893">
        <v>2005</v>
      </c>
      <c r="V4893" t="s">
        <v>17</v>
      </c>
      <c r="W4893" t="s">
        <v>27</v>
      </c>
      <c r="X4893">
        <v>19</v>
      </c>
      <c r="Y4893" t="s">
        <v>42</v>
      </c>
      <c r="Z4893">
        <v>44</v>
      </c>
      <c r="AA4893">
        <v>515</v>
      </c>
      <c r="AB4893">
        <v>8.5</v>
      </c>
    </row>
    <row r="4894" spans="20:28">
      <c r="T4894" s="340" t="str">
        <f t="shared" si="193"/>
        <v>2005AllSexAllEth19Hanging, strangulation and suffocation</v>
      </c>
      <c r="U4894">
        <v>2005</v>
      </c>
      <c r="V4894" t="s">
        <v>17</v>
      </c>
      <c r="W4894" t="s">
        <v>27</v>
      </c>
      <c r="X4894">
        <v>19</v>
      </c>
      <c r="Y4894" t="s">
        <v>43</v>
      </c>
      <c r="Z4894">
        <v>256</v>
      </c>
      <c r="AA4894">
        <v>515</v>
      </c>
      <c r="AB4894">
        <v>49.7</v>
      </c>
    </row>
    <row r="4895" spans="20:28">
      <c r="T4895" s="340" t="str">
        <f t="shared" si="193"/>
        <v>2005AllSexAllEth19Jumping from a high place</v>
      </c>
      <c r="U4895">
        <v>2005</v>
      </c>
      <c r="V4895" t="s">
        <v>17</v>
      </c>
      <c r="W4895" t="s">
        <v>27</v>
      </c>
      <c r="X4895">
        <v>19</v>
      </c>
      <c r="Y4895" t="s">
        <v>44</v>
      </c>
      <c r="Z4895">
        <v>15</v>
      </c>
      <c r="AA4895">
        <v>515</v>
      </c>
      <c r="AB4895">
        <v>2.9</v>
      </c>
    </row>
    <row r="4896" spans="20:28">
      <c r="T4896" s="340" t="str">
        <f t="shared" si="193"/>
        <v>2005AllSexAllEth19Other</v>
      </c>
      <c r="U4896">
        <v>2005</v>
      </c>
      <c r="V4896" t="s">
        <v>17</v>
      </c>
      <c r="W4896" t="s">
        <v>27</v>
      </c>
      <c r="X4896">
        <v>19</v>
      </c>
      <c r="Y4896" t="s">
        <v>45</v>
      </c>
      <c r="Z4896">
        <v>13</v>
      </c>
      <c r="AA4896">
        <v>515</v>
      </c>
      <c r="AB4896">
        <v>2.5</v>
      </c>
    </row>
    <row r="4897" spans="20:28">
      <c r="T4897" s="340" t="str">
        <f t="shared" si="193"/>
        <v>2005AllSexAllEth19Poisoning by gases and vapours</v>
      </c>
      <c r="U4897">
        <v>2005</v>
      </c>
      <c r="V4897" t="s">
        <v>17</v>
      </c>
      <c r="W4897" t="s">
        <v>27</v>
      </c>
      <c r="X4897">
        <v>19</v>
      </c>
      <c r="Y4897" t="s">
        <v>46</v>
      </c>
      <c r="Z4897">
        <v>110</v>
      </c>
      <c r="AA4897">
        <v>515</v>
      </c>
      <c r="AB4897">
        <v>21.4</v>
      </c>
    </row>
    <row r="4898" spans="20:28">
      <c r="T4898" s="340" t="str">
        <f t="shared" si="193"/>
        <v>2005AllSexAllEth19Poisoning by solids and liquids</v>
      </c>
      <c r="U4898">
        <v>2005</v>
      </c>
      <c r="V4898" t="s">
        <v>17</v>
      </c>
      <c r="W4898" t="s">
        <v>27</v>
      </c>
      <c r="X4898">
        <v>19</v>
      </c>
      <c r="Y4898" t="s">
        <v>47</v>
      </c>
      <c r="Z4898">
        <v>51</v>
      </c>
      <c r="AA4898">
        <v>515</v>
      </c>
      <c r="AB4898">
        <v>9.9</v>
      </c>
    </row>
    <row r="4899" spans="20:28">
      <c r="T4899" s="340" t="str">
        <f t="shared" si="193"/>
        <v>2005AllSexAllEth19Sharp object</v>
      </c>
      <c r="U4899">
        <v>2005</v>
      </c>
      <c r="V4899" t="s">
        <v>17</v>
      </c>
      <c r="W4899" t="s">
        <v>27</v>
      </c>
      <c r="X4899">
        <v>19</v>
      </c>
      <c r="Y4899" t="s">
        <v>48</v>
      </c>
      <c r="Z4899">
        <v>13</v>
      </c>
      <c r="AA4899">
        <v>515</v>
      </c>
      <c r="AB4899">
        <v>2.5</v>
      </c>
    </row>
    <row r="4900" spans="20:28">
      <c r="T4900" s="340" t="str">
        <f t="shared" si="193"/>
        <v>2005AllSexAllEth19Submersion (drowning)</v>
      </c>
      <c r="U4900">
        <v>2005</v>
      </c>
      <c r="V4900" t="s">
        <v>17</v>
      </c>
      <c r="W4900" t="s">
        <v>27</v>
      </c>
      <c r="X4900">
        <v>19</v>
      </c>
      <c r="Y4900" t="s">
        <v>49</v>
      </c>
      <c r="Z4900">
        <v>13</v>
      </c>
      <c r="AA4900">
        <v>515</v>
      </c>
      <c r="AB4900">
        <v>2.5</v>
      </c>
    </row>
    <row r="4901" spans="20:28">
      <c r="T4901" s="340" t="str">
        <f t="shared" si="193"/>
        <v>2005AllSexMaori19Firearms and explosives</v>
      </c>
      <c r="U4901">
        <v>2005</v>
      </c>
      <c r="V4901" t="s">
        <v>17</v>
      </c>
      <c r="W4901" t="s">
        <v>18</v>
      </c>
      <c r="X4901">
        <v>19</v>
      </c>
      <c r="Y4901" t="s">
        <v>42</v>
      </c>
      <c r="Z4901">
        <v>7</v>
      </c>
      <c r="AA4901">
        <v>105</v>
      </c>
      <c r="AB4901">
        <v>6.7</v>
      </c>
    </row>
    <row r="4902" spans="20:28">
      <c r="T4902" s="340" t="str">
        <f t="shared" si="193"/>
        <v>2005AllSexMaori19Hanging, strangulation and suffocation</v>
      </c>
      <c r="U4902">
        <v>2005</v>
      </c>
      <c r="V4902" t="s">
        <v>17</v>
      </c>
      <c r="W4902" t="s">
        <v>18</v>
      </c>
      <c r="X4902">
        <v>19</v>
      </c>
      <c r="Y4902" t="s">
        <v>43</v>
      </c>
      <c r="Z4902">
        <v>79</v>
      </c>
      <c r="AA4902">
        <v>105</v>
      </c>
      <c r="AB4902">
        <v>75.2</v>
      </c>
    </row>
    <row r="4903" spans="20:28">
      <c r="T4903" s="340" t="str">
        <f t="shared" si="193"/>
        <v>2005AllSexMaori19Jumping from a high place</v>
      </c>
      <c r="U4903">
        <v>2005</v>
      </c>
      <c r="V4903" t="s">
        <v>17</v>
      </c>
      <c r="W4903" t="s">
        <v>18</v>
      </c>
      <c r="X4903">
        <v>19</v>
      </c>
      <c r="Y4903" t="s">
        <v>44</v>
      </c>
      <c r="Z4903">
        <v>2</v>
      </c>
      <c r="AA4903">
        <v>105</v>
      </c>
      <c r="AB4903">
        <v>1.9</v>
      </c>
    </row>
    <row r="4904" spans="20:28">
      <c r="T4904" s="340" t="str">
        <f t="shared" si="193"/>
        <v>2005AllSexMaori19Other</v>
      </c>
      <c r="U4904">
        <v>2005</v>
      </c>
      <c r="V4904" t="s">
        <v>17</v>
      </c>
      <c r="W4904" t="s">
        <v>18</v>
      </c>
      <c r="X4904">
        <v>19</v>
      </c>
      <c r="Y4904" t="s">
        <v>45</v>
      </c>
      <c r="Z4904">
        <v>1</v>
      </c>
      <c r="AA4904">
        <v>105</v>
      </c>
      <c r="AB4904">
        <v>1</v>
      </c>
    </row>
    <row r="4905" spans="20:28">
      <c r="T4905" s="340" t="str">
        <f t="shared" si="193"/>
        <v>2005AllSexMaori19Poisoning by gases and vapours</v>
      </c>
      <c r="U4905">
        <v>2005</v>
      </c>
      <c r="V4905" t="s">
        <v>17</v>
      </c>
      <c r="W4905" t="s">
        <v>18</v>
      </c>
      <c r="X4905">
        <v>19</v>
      </c>
      <c r="Y4905" t="s">
        <v>46</v>
      </c>
      <c r="Z4905">
        <v>11</v>
      </c>
      <c r="AA4905">
        <v>105</v>
      </c>
      <c r="AB4905">
        <v>10.5</v>
      </c>
    </row>
    <row r="4906" spans="20:28">
      <c r="T4906" s="340" t="str">
        <f t="shared" si="193"/>
        <v>2005AllSexMaori19Poisoning by solids and liquids</v>
      </c>
      <c r="U4906">
        <v>2005</v>
      </c>
      <c r="V4906" t="s">
        <v>17</v>
      </c>
      <c r="W4906" t="s">
        <v>18</v>
      </c>
      <c r="X4906">
        <v>19</v>
      </c>
      <c r="Y4906" t="s">
        <v>47</v>
      </c>
      <c r="Z4906">
        <v>3</v>
      </c>
      <c r="AA4906">
        <v>105</v>
      </c>
      <c r="AB4906">
        <v>2.9</v>
      </c>
    </row>
    <row r="4907" spans="20:28">
      <c r="T4907" s="340" t="str">
        <f t="shared" si="193"/>
        <v>2005AllSexMaori19Sharp object</v>
      </c>
      <c r="U4907">
        <v>2005</v>
      </c>
      <c r="V4907" t="s">
        <v>17</v>
      </c>
      <c r="W4907" t="s">
        <v>18</v>
      </c>
      <c r="X4907">
        <v>19</v>
      </c>
      <c r="Y4907" t="s">
        <v>48</v>
      </c>
      <c r="Z4907">
        <v>2</v>
      </c>
      <c r="AA4907">
        <v>105</v>
      </c>
      <c r="AB4907">
        <v>1.9</v>
      </c>
    </row>
    <row r="4908" spans="20:28">
      <c r="T4908" s="340" t="str">
        <f t="shared" si="193"/>
        <v>2005AllSexNon-Maori19Firearms and explosives</v>
      </c>
      <c r="U4908">
        <v>2005</v>
      </c>
      <c r="V4908" t="s">
        <v>17</v>
      </c>
      <c r="W4908" t="s">
        <v>19</v>
      </c>
      <c r="X4908">
        <v>19</v>
      </c>
      <c r="Y4908" t="s">
        <v>42</v>
      </c>
      <c r="Z4908">
        <v>37</v>
      </c>
      <c r="AA4908">
        <v>410</v>
      </c>
      <c r="AB4908">
        <v>9</v>
      </c>
    </row>
    <row r="4909" spans="20:28">
      <c r="T4909" s="340" t="str">
        <f t="shared" si="193"/>
        <v>2005AllSexNon-Maori19Hanging, strangulation and suffocation</v>
      </c>
      <c r="U4909">
        <v>2005</v>
      </c>
      <c r="V4909" t="s">
        <v>17</v>
      </c>
      <c r="W4909" t="s">
        <v>19</v>
      </c>
      <c r="X4909">
        <v>19</v>
      </c>
      <c r="Y4909" t="s">
        <v>43</v>
      </c>
      <c r="Z4909">
        <v>177</v>
      </c>
      <c r="AA4909">
        <v>410</v>
      </c>
      <c r="AB4909">
        <v>43.2</v>
      </c>
    </row>
    <row r="4910" spans="20:28">
      <c r="T4910" s="340" t="str">
        <f t="shared" si="193"/>
        <v>2005AllSexNon-Maori19Jumping from a high place</v>
      </c>
      <c r="U4910">
        <v>2005</v>
      </c>
      <c r="V4910" t="s">
        <v>17</v>
      </c>
      <c r="W4910" t="s">
        <v>19</v>
      </c>
      <c r="X4910">
        <v>19</v>
      </c>
      <c r="Y4910" t="s">
        <v>44</v>
      </c>
      <c r="Z4910">
        <v>13</v>
      </c>
      <c r="AA4910">
        <v>410</v>
      </c>
      <c r="AB4910">
        <v>3.2</v>
      </c>
    </row>
    <row r="4911" spans="20:28">
      <c r="T4911" s="340" t="str">
        <f t="shared" si="193"/>
        <v>2005AllSexNon-Maori19Other</v>
      </c>
      <c r="U4911">
        <v>2005</v>
      </c>
      <c r="V4911" t="s">
        <v>17</v>
      </c>
      <c r="W4911" t="s">
        <v>19</v>
      </c>
      <c r="X4911">
        <v>19</v>
      </c>
      <c r="Y4911" t="s">
        <v>45</v>
      </c>
      <c r="Z4911">
        <v>12</v>
      </c>
      <c r="AA4911">
        <v>410</v>
      </c>
      <c r="AB4911">
        <v>2.9</v>
      </c>
    </row>
    <row r="4912" spans="20:28">
      <c r="T4912" s="340" t="str">
        <f t="shared" si="193"/>
        <v>2005AllSexNon-Maori19Poisoning by gases and vapours</v>
      </c>
      <c r="U4912">
        <v>2005</v>
      </c>
      <c r="V4912" t="s">
        <v>17</v>
      </c>
      <c r="W4912" t="s">
        <v>19</v>
      </c>
      <c r="X4912">
        <v>19</v>
      </c>
      <c r="Y4912" t="s">
        <v>46</v>
      </c>
      <c r="Z4912">
        <v>99</v>
      </c>
      <c r="AA4912">
        <v>410</v>
      </c>
      <c r="AB4912">
        <v>24.1</v>
      </c>
    </row>
    <row r="4913" spans="20:28">
      <c r="T4913" s="340" t="str">
        <f t="shared" si="193"/>
        <v>2005AllSexNon-Maori19Poisoning by solids and liquids</v>
      </c>
      <c r="U4913">
        <v>2005</v>
      </c>
      <c r="V4913" t="s">
        <v>17</v>
      </c>
      <c r="W4913" t="s">
        <v>19</v>
      </c>
      <c r="X4913">
        <v>19</v>
      </c>
      <c r="Y4913" t="s">
        <v>47</v>
      </c>
      <c r="Z4913">
        <v>48</v>
      </c>
      <c r="AA4913">
        <v>410</v>
      </c>
      <c r="AB4913">
        <v>11.7</v>
      </c>
    </row>
    <row r="4914" spans="20:28">
      <c r="T4914" s="340" t="str">
        <f t="shared" si="193"/>
        <v>2005AllSexNon-Maori19Sharp object</v>
      </c>
      <c r="U4914">
        <v>2005</v>
      </c>
      <c r="V4914" t="s">
        <v>17</v>
      </c>
      <c r="W4914" t="s">
        <v>19</v>
      </c>
      <c r="X4914">
        <v>19</v>
      </c>
      <c r="Y4914" t="s">
        <v>48</v>
      </c>
      <c r="Z4914">
        <v>11</v>
      </c>
      <c r="AA4914">
        <v>410</v>
      </c>
      <c r="AB4914">
        <v>2.7</v>
      </c>
    </row>
    <row r="4915" spans="20:28">
      <c r="T4915" s="340" t="str">
        <f t="shared" si="193"/>
        <v>2005AllSexNon-Maori19Submersion (drowning)</v>
      </c>
      <c r="U4915">
        <v>2005</v>
      </c>
      <c r="V4915" t="s">
        <v>17</v>
      </c>
      <c r="W4915" t="s">
        <v>19</v>
      </c>
      <c r="X4915">
        <v>19</v>
      </c>
      <c r="Y4915" t="s">
        <v>49</v>
      </c>
      <c r="Z4915">
        <v>13</v>
      </c>
      <c r="AA4915">
        <v>410</v>
      </c>
      <c r="AB4915">
        <v>3.2</v>
      </c>
    </row>
    <row r="4916" spans="20:28">
      <c r="T4916" s="340" t="str">
        <f t="shared" si="193"/>
        <v>2005FemaleAllEth19Firearms and explosives</v>
      </c>
      <c r="U4916">
        <v>2005</v>
      </c>
      <c r="V4916" t="s">
        <v>8</v>
      </c>
      <c r="W4916" t="s">
        <v>27</v>
      </c>
      <c r="X4916">
        <v>19</v>
      </c>
      <c r="Y4916" t="s">
        <v>42</v>
      </c>
      <c r="Z4916">
        <v>2</v>
      </c>
      <c r="AA4916">
        <v>132</v>
      </c>
      <c r="AB4916">
        <v>1.5</v>
      </c>
    </row>
    <row r="4917" spans="20:28">
      <c r="T4917" s="340" t="str">
        <f t="shared" si="193"/>
        <v>2005FemaleAllEth19Hanging, strangulation and suffocation</v>
      </c>
      <c r="U4917">
        <v>2005</v>
      </c>
      <c r="V4917" t="s">
        <v>8</v>
      </c>
      <c r="W4917" t="s">
        <v>27</v>
      </c>
      <c r="X4917">
        <v>19</v>
      </c>
      <c r="Y4917" t="s">
        <v>43</v>
      </c>
      <c r="Z4917">
        <v>63</v>
      </c>
      <c r="AA4917">
        <v>132</v>
      </c>
      <c r="AB4917">
        <v>47.7</v>
      </c>
    </row>
    <row r="4918" spans="20:28">
      <c r="T4918" s="340" t="str">
        <f t="shared" si="193"/>
        <v>2005FemaleAllEth19Jumping from a high place</v>
      </c>
      <c r="U4918">
        <v>2005</v>
      </c>
      <c r="V4918" t="s">
        <v>8</v>
      </c>
      <c r="W4918" t="s">
        <v>27</v>
      </c>
      <c r="X4918">
        <v>19</v>
      </c>
      <c r="Y4918" t="s">
        <v>44</v>
      </c>
      <c r="Z4918">
        <v>4</v>
      </c>
      <c r="AA4918">
        <v>132</v>
      </c>
      <c r="AB4918">
        <v>3</v>
      </c>
    </row>
    <row r="4919" spans="20:28">
      <c r="T4919" s="340" t="str">
        <f t="shared" si="193"/>
        <v>2005FemaleAllEth19Other</v>
      </c>
      <c r="U4919">
        <v>2005</v>
      </c>
      <c r="V4919" t="s">
        <v>8</v>
      </c>
      <c r="W4919" t="s">
        <v>27</v>
      </c>
      <c r="X4919">
        <v>19</v>
      </c>
      <c r="Y4919" t="s">
        <v>45</v>
      </c>
      <c r="Z4919">
        <v>5</v>
      </c>
      <c r="AA4919">
        <v>132</v>
      </c>
      <c r="AB4919">
        <v>3.8</v>
      </c>
    </row>
    <row r="4920" spans="20:28">
      <c r="T4920" s="340" t="str">
        <f t="shared" si="193"/>
        <v>2005FemaleAllEth19Poisoning by gases and vapours</v>
      </c>
      <c r="U4920">
        <v>2005</v>
      </c>
      <c r="V4920" t="s">
        <v>8</v>
      </c>
      <c r="W4920" t="s">
        <v>27</v>
      </c>
      <c r="X4920">
        <v>19</v>
      </c>
      <c r="Y4920" t="s">
        <v>46</v>
      </c>
      <c r="Z4920">
        <v>22</v>
      </c>
      <c r="AA4920">
        <v>132</v>
      </c>
      <c r="AB4920">
        <v>16.7</v>
      </c>
    </row>
    <row r="4921" spans="20:28">
      <c r="T4921" s="340" t="str">
        <f t="shared" si="193"/>
        <v>2005FemaleAllEth19Poisoning by solids and liquids</v>
      </c>
      <c r="U4921">
        <v>2005</v>
      </c>
      <c r="V4921" t="s">
        <v>8</v>
      </c>
      <c r="W4921" t="s">
        <v>27</v>
      </c>
      <c r="X4921">
        <v>19</v>
      </c>
      <c r="Y4921" t="s">
        <v>47</v>
      </c>
      <c r="Z4921">
        <v>24</v>
      </c>
      <c r="AA4921">
        <v>132</v>
      </c>
      <c r="AB4921">
        <v>18.2</v>
      </c>
    </row>
    <row r="4922" spans="20:28">
      <c r="T4922" s="340" t="str">
        <f t="shared" si="193"/>
        <v>2005FemaleAllEth19Sharp object</v>
      </c>
      <c r="U4922">
        <v>2005</v>
      </c>
      <c r="V4922" t="s">
        <v>8</v>
      </c>
      <c r="W4922" t="s">
        <v>27</v>
      </c>
      <c r="X4922">
        <v>19</v>
      </c>
      <c r="Y4922" t="s">
        <v>48</v>
      </c>
      <c r="Z4922">
        <v>3</v>
      </c>
      <c r="AA4922">
        <v>132</v>
      </c>
      <c r="AB4922">
        <v>2.2999999999999998</v>
      </c>
    </row>
    <row r="4923" spans="20:28">
      <c r="T4923" s="340" t="str">
        <f t="shared" si="193"/>
        <v>2005FemaleAllEth19Submersion (drowning)</v>
      </c>
      <c r="U4923">
        <v>2005</v>
      </c>
      <c r="V4923" t="s">
        <v>8</v>
      </c>
      <c r="W4923" t="s">
        <v>27</v>
      </c>
      <c r="X4923">
        <v>19</v>
      </c>
      <c r="Y4923" t="s">
        <v>49</v>
      </c>
      <c r="Z4923">
        <v>9</v>
      </c>
      <c r="AA4923">
        <v>132</v>
      </c>
      <c r="AB4923">
        <v>6.8</v>
      </c>
    </row>
    <row r="4924" spans="20:28">
      <c r="T4924" s="340" t="str">
        <f t="shared" si="193"/>
        <v>2005FemaleMaori19Hanging, strangulation and suffocation</v>
      </c>
      <c r="U4924">
        <v>2005</v>
      </c>
      <c r="V4924" t="s">
        <v>8</v>
      </c>
      <c r="W4924" t="s">
        <v>18</v>
      </c>
      <c r="X4924">
        <v>19</v>
      </c>
      <c r="Y4924" t="s">
        <v>43</v>
      </c>
      <c r="Z4924">
        <v>23</v>
      </c>
      <c r="AA4924">
        <v>27</v>
      </c>
      <c r="AB4924">
        <v>85.2</v>
      </c>
    </row>
    <row r="4925" spans="20:28">
      <c r="T4925" s="340" t="str">
        <f t="shared" si="193"/>
        <v>2005FemaleMaori19Jumping from a high place</v>
      </c>
      <c r="U4925">
        <v>2005</v>
      </c>
      <c r="V4925" t="s">
        <v>8</v>
      </c>
      <c r="W4925" t="s">
        <v>18</v>
      </c>
      <c r="X4925">
        <v>19</v>
      </c>
      <c r="Y4925" t="s">
        <v>44</v>
      </c>
      <c r="Z4925">
        <v>1</v>
      </c>
      <c r="AA4925">
        <v>27</v>
      </c>
      <c r="AB4925">
        <v>3.7</v>
      </c>
    </row>
    <row r="4926" spans="20:28">
      <c r="T4926" s="340" t="str">
        <f t="shared" si="193"/>
        <v>2005FemaleMaori19Poisoning by gases and vapours</v>
      </c>
      <c r="U4926">
        <v>2005</v>
      </c>
      <c r="V4926" t="s">
        <v>8</v>
      </c>
      <c r="W4926" t="s">
        <v>18</v>
      </c>
      <c r="X4926">
        <v>19</v>
      </c>
      <c r="Y4926" t="s">
        <v>46</v>
      </c>
      <c r="Z4926">
        <v>1</v>
      </c>
      <c r="AA4926">
        <v>27</v>
      </c>
      <c r="AB4926">
        <v>3.7</v>
      </c>
    </row>
    <row r="4927" spans="20:28">
      <c r="T4927" s="340" t="str">
        <f t="shared" si="193"/>
        <v>2005FemaleMaori19Poisoning by solids and liquids</v>
      </c>
      <c r="U4927">
        <v>2005</v>
      </c>
      <c r="V4927" t="s">
        <v>8</v>
      </c>
      <c r="W4927" t="s">
        <v>18</v>
      </c>
      <c r="X4927">
        <v>19</v>
      </c>
      <c r="Y4927" t="s">
        <v>47</v>
      </c>
      <c r="Z4927">
        <v>2</v>
      </c>
      <c r="AA4927">
        <v>27</v>
      </c>
      <c r="AB4927">
        <v>7.4</v>
      </c>
    </row>
    <row r="4928" spans="20:28">
      <c r="T4928" s="340" t="str">
        <f t="shared" si="193"/>
        <v>2005FemaleNon-Maori19Firearms and explosives</v>
      </c>
      <c r="U4928">
        <v>2005</v>
      </c>
      <c r="V4928" t="s">
        <v>8</v>
      </c>
      <c r="W4928" t="s">
        <v>19</v>
      </c>
      <c r="X4928">
        <v>19</v>
      </c>
      <c r="Y4928" t="s">
        <v>42</v>
      </c>
      <c r="Z4928">
        <v>2</v>
      </c>
      <c r="AA4928">
        <v>105</v>
      </c>
      <c r="AB4928">
        <v>1.9</v>
      </c>
    </row>
    <row r="4929" spans="20:28">
      <c r="T4929" s="340" t="str">
        <f t="shared" si="193"/>
        <v>2005FemaleNon-Maori19Hanging, strangulation and suffocation</v>
      </c>
      <c r="U4929">
        <v>2005</v>
      </c>
      <c r="V4929" t="s">
        <v>8</v>
      </c>
      <c r="W4929" t="s">
        <v>19</v>
      </c>
      <c r="X4929">
        <v>19</v>
      </c>
      <c r="Y4929" t="s">
        <v>43</v>
      </c>
      <c r="Z4929">
        <v>40</v>
      </c>
      <c r="AA4929">
        <v>105</v>
      </c>
      <c r="AB4929">
        <v>38.1</v>
      </c>
    </row>
    <row r="4930" spans="20:28">
      <c r="T4930" s="340" t="str">
        <f t="shared" si="193"/>
        <v>2005FemaleNon-Maori19Jumping from a high place</v>
      </c>
      <c r="U4930">
        <v>2005</v>
      </c>
      <c r="V4930" t="s">
        <v>8</v>
      </c>
      <c r="W4930" t="s">
        <v>19</v>
      </c>
      <c r="X4930">
        <v>19</v>
      </c>
      <c r="Y4930" t="s">
        <v>44</v>
      </c>
      <c r="Z4930">
        <v>3</v>
      </c>
      <c r="AA4930">
        <v>105</v>
      </c>
      <c r="AB4930">
        <v>2.9</v>
      </c>
    </row>
    <row r="4931" spans="20:28">
      <c r="T4931" s="340" t="str">
        <f t="shared" si="193"/>
        <v>2005FemaleNon-Maori19Other</v>
      </c>
      <c r="U4931">
        <v>2005</v>
      </c>
      <c r="V4931" t="s">
        <v>8</v>
      </c>
      <c r="W4931" t="s">
        <v>19</v>
      </c>
      <c r="X4931">
        <v>19</v>
      </c>
      <c r="Y4931" t="s">
        <v>45</v>
      </c>
      <c r="Z4931">
        <v>5</v>
      </c>
      <c r="AA4931">
        <v>105</v>
      </c>
      <c r="AB4931">
        <v>4.8</v>
      </c>
    </row>
    <row r="4932" spans="20:28">
      <c r="T4932" s="340" t="str">
        <f t="shared" si="193"/>
        <v>2005FemaleNon-Maori19Poisoning by gases and vapours</v>
      </c>
      <c r="U4932">
        <v>2005</v>
      </c>
      <c r="V4932" t="s">
        <v>8</v>
      </c>
      <c r="W4932" t="s">
        <v>19</v>
      </c>
      <c r="X4932">
        <v>19</v>
      </c>
      <c r="Y4932" t="s">
        <v>46</v>
      </c>
      <c r="Z4932">
        <v>21</v>
      </c>
      <c r="AA4932">
        <v>105</v>
      </c>
      <c r="AB4932">
        <v>20</v>
      </c>
    </row>
    <row r="4933" spans="20:28">
      <c r="T4933" s="340" t="str">
        <f t="shared" ref="T4933:T4996" si="194">U4933&amp;V4933&amp;W4933&amp;X4933&amp;Y4933</f>
        <v>2005FemaleNon-Maori19Poisoning by solids and liquids</v>
      </c>
      <c r="U4933">
        <v>2005</v>
      </c>
      <c r="V4933" t="s">
        <v>8</v>
      </c>
      <c r="W4933" t="s">
        <v>19</v>
      </c>
      <c r="X4933">
        <v>19</v>
      </c>
      <c r="Y4933" t="s">
        <v>47</v>
      </c>
      <c r="Z4933">
        <v>22</v>
      </c>
      <c r="AA4933">
        <v>105</v>
      </c>
      <c r="AB4933">
        <v>21</v>
      </c>
    </row>
    <row r="4934" spans="20:28">
      <c r="T4934" s="340" t="str">
        <f t="shared" si="194"/>
        <v>2005FemaleNon-Maori19Sharp object</v>
      </c>
      <c r="U4934">
        <v>2005</v>
      </c>
      <c r="V4934" t="s">
        <v>8</v>
      </c>
      <c r="W4934" t="s">
        <v>19</v>
      </c>
      <c r="X4934">
        <v>19</v>
      </c>
      <c r="Y4934" t="s">
        <v>48</v>
      </c>
      <c r="Z4934">
        <v>3</v>
      </c>
      <c r="AA4934">
        <v>105</v>
      </c>
      <c r="AB4934">
        <v>2.9</v>
      </c>
    </row>
    <row r="4935" spans="20:28">
      <c r="T4935" s="340" t="str">
        <f t="shared" si="194"/>
        <v>2005FemaleNon-Maori19Submersion (drowning)</v>
      </c>
      <c r="U4935">
        <v>2005</v>
      </c>
      <c r="V4935" t="s">
        <v>8</v>
      </c>
      <c r="W4935" t="s">
        <v>19</v>
      </c>
      <c r="X4935">
        <v>19</v>
      </c>
      <c r="Y4935" t="s">
        <v>49</v>
      </c>
      <c r="Z4935">
        <v>9</v>
      </c>
      <c r="AA4935">
        <v>105</v>
      </c>
      <c r="AB4935">
        <v>8.6</v>
      </c>
    </row>
    <row r="4936" spans="20:28">
      <c r="T4936" s="340" t="str">
        <f t="shared" si="194"/>
        <v>2005MaleAllEth19Firearms and explosives</v>
      </c>
      <c r="U4936">
        <v>2005</v>
      </c>
      <c r="V4936" t="s">
        <v>20</v>
      </c>
      <c r="W4936" t="s">
        <v>27</v>
      </c>
      <c r="X4936">
        <v>19</v>
      </c>
      <c r="Y4936" t="s">
        <v>42</v>
      </c>
      <c r="Z4936">
        <v>42</v>
      </c>
      <c r="AA4936">
        <v>383</v>
      </c>
      <c r="AB4936">
        <v>11</v>
      </c>
    </row>
    <row r="4937" spans="20:28">
      <c r="T4937" s="340" t="str">
        <f t="shared" si="194"/>
        <v>2005MaleAllEth19Hanging, strangulation and suffocation</v>
      </c>
      <c r="U4937">
        <v>2005</v>
      </c>
      <c r="V4937" t="s">
        <v>20</v>
      </c>
      <c r="W4937" t="s">
        <v>27</v>
      </c>
      <c r="X4937">
        <v>19</v>
      </c>
      <c r="Y4937" t="s">
        <v>43</v>
      </c>
      <c r="Z4937">
        <v>193</v>
      </c>
      <c r="AA4937">
        <v>383</v>
      </c>
      <c r="AB4937">
        <v>50.4</v>
      </c>
    </row>
    <row r="4938" spans="20:28">
      <c r="T4938" s="340" t="str">
        <f t="shared" si="194"/>
        <v>2005MaleAllEth19Jumping from a high place</v>
      </c>
      <c r="U4938">
        <v>2005</v>
      </c>
      <c r="V4938" t="s">
        <v>20</v>
      </c>
      <c r="W4938" t="s">
        <v>27</v>
      </c>
      <c r="X4938">
        <v>19</v>
      </c>
      <c r="Y4938" t="s">
        <v>44</v>
      </c>
      <c r="Z4938">
        <v>11</v>
      </c>
      <c r="AA4938">
        <v>383</v>
      </c>
      <c r="AB4938">
        <v>2.9</v>
      </c>
    </row>
    <row r="4939" spans="20:28">
      <c r="T4939" s="340" t="str">
        <f t="shared" si="194"/>
        <v>2005MaleAllEth19Other</v>
      </c>
      <c r="U4939">
        <v>2005</v>
      </c>
      <c r="V4939" t="s">
        <v>20</v>
      </c>
      <c r="W4939" t="s">
        <v>27</v>
      </c>
      <c r="X4939">
        <v>19</v>
      </c>
      <c r="Y4939" t="s">
        <v>45</v>
      </c>
      <c r="Z4939">
        <v>8</v>
      </c>
      <c r="AA4939">
        <v>383</v>
      </c>
      <c r="AB4939">
        <v>2.1</v>
      </c>
    </row>
    <row r="4940" spans="20:28">
      <c r="T4940" s="340" t="str">
        <f t="shared" si="194"/>
        <v>2005MaleAllEth19Poisoning by gases and vapours</v>
      </c>
      <c r="U4940">
        <v>2005</v>
      </c>
      <c r="V4940" t="s">
        <v>20</v>
      </c>
      <c r="W4940" t="s">
        <v>27</v>
      </c>
      <c r="X4940">
        <v>19</v>
      </c>
      <c r="Y4940" t="s">
        <v>46</v>
      </c>
      <c r="Z4940">
        <v>88</v>
      </c>
      <c r="AA4940">
        <v>383</v>
      </c>
      <c r="AB4940">
        <v>23</v>
      </c>
    </row>
    <row r="4941" spans="20:28">
      <c r="T4941" s="340" t="str">
        <f t="shared" si="194"/>
        <v>2005MaleAllEth19Poisoning by solids and liquids</v>
      </c>
      <c r="U4941">
        <v>2005</v>
      </c>
      <c r="V4941" t="s">
        <v>20</v>
      </c>
      <c r="W4941" t="s">
        <v>27</v>
      </c>
      <c r="X4941">
        <v>19</v>
      </c>
      <c r="Y4941" t="s">
        <v>47</v>
      </c>
      <c r="Z4941">
        <v>27</v>
      </c>
      <c r="AA4941">
        <v>383</v>
      </c>
      <c r="AB4941">
        <v>7</v>
      </c>
    </row>
    <row r="4942" spans="20:28">
      <c r="T4942" s="340" t="str">
        <f t="shared" si="194"/>
        <v>2005MaleAllEth19Sharp object</v>
      </c>
      <c r="U4942">
        <v>2005</v>
      </c>
      <c r="V4942" t="s">
        <v>20</v>
      </c>
      <c r="W4942" t="s">
        <v>27</v>
      </c>
      <c r="X4942">
        <v>19</v>
      </c>
      <c r="Y4942" t="s">
        <v>48</v>
      </c>
      <c r="Z4942">
        <v>10</v>
      </c>
      <c r="AA4942">
        <v>383</v>
      </c>
      <c r="AB4942">
        <v>2.6</v>
      </c>
    </row>
    <row r="4943" spans="20:28">
      <c r="T4943" s="340" t="str">
        <f t="shared" si="194"/>
        <v>2005MaleAllEth19Submersion (drowning)</v>
      </c>
      <c r="U4943">
        <v>2005</v>
      </c>
      <c r="V4943" t="s">
        <v>20</v>
      </c>
      <c r="W4943" t="s">
        <v>27</v>
      </c>
      <c r="X4943">
        <v>19</v>
      </c>
      <c r="Y4943" t="s">
        <v>49</v>
      </c>
      <c r="Z4943">
        <v>4</v>
      </c>
      <c r="AA4943">
        <v>383</v>
      </c>
      <c r="AB4943">
        <v>1</v>
      </c>
    </row>
    <row r="4944" spans="20:28">
      <c r="T4944" s="340" t="str">
        <f t="shared" si="194"/>
        <v>2005MaleMaori19Firearms and explosives</v>
      </c>
      <c r="U4944">
        <v>2005</v>
      </c>
      <c r="V4944" t="s">
        <v>20</v>
      </c>
      <c r="W4944" t="s">
        <v>18</v>
      </c>
      <c r="X4944">
        <v>19</v>
      </c>
      <c r="Y4944" t="s">
        <v>42</v>
      </c>
      <c r="Z4944">
        <v>7</v>
      </c>
      <c r="AA4944">
        <v>78</v>
      </c>
      <c r="AB4944">
        <v>9</v>
      </c>
    </row>
    <row r="4945" spans="20:28">
      <c r="T4945" s="340" t="str">
        <f t="shared" si="194"/>
        <v>2005MaleMaori19Hanging, strangulation and suffocation</v>
      </c>
      <c r="U4945">
        <v>2005</v>
      </c>
      <c r="V4945" t="s">
        <v>20</v>
      </c>
      <c r="W4945" t="s">
        <v>18</v>
      </c>
      <c r="X4945">
        <v>19</v>
      </c>
      <c r="Y4945" t="s">
        <v>43</v>
      </c>
      <c r="Z4945">
        <v>56</v>
      </c>
      <c r="AA4945">
        <v>78</v>
      </c>
      <c r="AB4945">
        <v>71.8</v>
      </c>
    </row>
    <row r="4946" spans="20:28">
      <c r="T4946" s="340" t="str">
        <f t="shared" si="194"/>
        <v>2005MaleMaori19Jumping from a high place</v>
      </c>
      <c r="U4946">
        <v>2005</v>
      </c>
      <c r="V4946" t="s">
        <v>20</v>
      </c>
      <c r="W4946" t="s">
        <v>18</v>
      </c>
      <c r="X4946">
        <v>19</v>
      </c>
      <c r="Y4946" t="s">
        <v>44</v>
      </c>
      <c r="Z4946">
        <v>1</v>
      </c>
      <c r="AA4946">
        <v>78</v>
      </c>
      <c r="AB4946">
        <v>1.3</v>
      </c>
    </row>
    <row r="4947" spans="20:28">
      <c r="T4947" s="340" t="str">
        <f t="shared" si="194"/>
        <v>2005MaleMaori19Other</v>
      </c>
      <c r="U4947">
        <v>2005</v>
      </c>
      <c r="V4947" t="s">
        <v>20</v>
      </c>
      <c r="W4947" t="s">
        <v>18</v>
      </c>
      <c r="X4947">
        <v>19</v>
      </c>
      <c r="Y4947" t="s">
        <v>45</v>
      </c>
      <c r="Z4947">
        <v>1</v>
      </c>
      <c r="AA4947">
        <v>78</v>
      </c>
      <c r="AB4947">
        <v>1.3</v>
      </c>
    </row>
    <row r="4948" spans="20:28">
      <c r="T4948" s="340" t="str">
        <f t="shared" si="194"/>
        <v>2005MaleMaori19Poisoning by gases and vapours</v>
      </c>
      <c r="U4948">
        <v>2005</v>
      </c>
      <c r="V4948" t="s">
        <v>20</v>
      </c>
      <c r="W4948" t="s">
        <v>18</v>
      </c>
      <c r="X4948">
        <v>19</v>
      </c>
      <c r="Y4948" t="s">
        <v>46</v>
      </c>
      <c r="Z4948">
        <v>10</v>
      </c>
      <c r="AA4948">
        <v>78</v>
      </c>
      <c r="AB4948">
        <v>12.8</v>
      </c>
    </row>
    <row r="4949" spans="20:28">
      <c r="T4949" s="340" t="str">
        <f t="shared" si="194"/>
        <v>2005MaleMaori19Poisoning by solids and liquids</v>
      </c>
      <c r="U4949">
        <v>2005</v>
      </c>
      <c r="V4949" t="s">
        <v>20</v>
      </c>
      <c r="W4949" t="s">
        <v>18</v>
      </c>
      <c r="X4949">
        <v>19</v>
      </c>
      <c r="Y4949" t="s">
        <v>47</v>
      </c>
      <c r="Z4949">
        <v>1</v>
      </c>
      <c r="AA4949">
        <v>78</v>
      </c>
      <c r="AB4949">
        <v>1.3</v>
      </c>
    </row>
    <row r="4950" spans="20:28">
      <c r="T4950" s="340" t="str">
        <f t="shared" si="194"/>
        <v>2005MaleMaori19Sharp object</v>
      </c>
      <c r="U4950">
        <v>2005</v>
      </c>
      <c r="V4950" t="s">
        <v>20</v>
      </c>
      <c r="W4950" t="s">
        <v>18</v>
      </c>
      <c r="X4950">
        <v>19</v>
      </c>
      <c r="Y4950" t="s">
        <v>48</v>
      </c>
      <c r="Z4950">
        <v>2</v>
      </c>
      <c r="AA4950">
        <v>78</v>
      </c>
      <c r="AB4950">
        <v>2.6</v>
      </c>
    </row>
    <row r="4951" spans="20:28">
      <c r="T4951" s="340" t="str">
        <f t="shared" si="194"/>
        <v>2005MaleNon-Maori19Firearms and explosives</v>
      </c>
      <c r="U4951">
        <v>2005</v>
      </c>
      <c r="V4951" t="s">
        <v>20</v>
      </c>
      <c r="W4951" t="s">
        <v>19</v>
      </c>
      <c r="X4951">
        <v>19</v>
      </c>
      <c r="Y4951" t="s">
        <v>42</v>
      </c>
      <c r="Z4951">
        <v>35</v>
      </c>
      <c r="AA4951">
        <v>305</v>
      </c>
      <c r="AB4951">
        <v>11.5</v>
      </c>
    </row>
    <row r="4952" spans="20:28">
      <c r="T4952" s="340" t="str">
        <f t="shared" si="194"/>
        <v>2005MaleNon-Maori19Hanging, strangulation and suffocation</v>
      </c>
      <c r="U4952">
        <v>2005</v>
      </c>
      <c r="V4952" t="s">
        <v>20</v>
      </c>
      <c r="W4952" t="s">
        <v>19</v>
      </c>
      <c r="X4952">
        <v>19</v>
      </c>
      <c r="Y4952" t="s">
        <v>43</v>
      </c>
      <c r="Z4952">
        <v>137</v>
      </c>
      <c r="AA4952">
        <v>305</v>
      </c>
      <c r="AB4952">
        <v>44.9</v>
      </c>
    </row>
    <row r="4953" spans="20:28">
      <c r="T4953" s="340" t="str">
        <f t="shared" si="194"/>
        <v>2005MaleNon-Maori19Jumping from a high place</v>
      </c>
      <c r="U4953">
        <v>2005</v>
      </c>
      <c r="V4953" t="s">
        <v>20</v>
      </c>
      <c r="W4953" t="s">
        <v>19</v>
      </c>
      <c r="X4953">
        <v>19</v>
      </c>
      <c r="Y4953" t="s">
        <v>44</v>
      </c>
      <c r="Z4953">
        <v>10</v>
      </c>
      <c r="AA4953">
        <v>305</v>
      </c>
      <c r="AB4953">
        <v>3.3</v>
      </c>
    </row>
    <row r="4954" spans="20:28">
      <c r="T4954" s="340" t="str">
        <f t="shared" si="194"/>
        <v>2005MaleNon-Maori19Other</v>
      </c>
      <c r="U4954">
        <v>2005</v>
      </c>
      <c r="V4954" t="s">
        <v>20</v>
      </c>
      <c r="W4954" t="s">
        <v>19</v>
      </c>
      <c r="X4954">
        <v>19</v>
      </c>
      <c r="Y4954" t="s">
        <v>45</v>
      </c>
      <c r="Z4954">
        <v>7</v>
      </c>
      <c r="AA4954">
        <v>305</v>
      </c>
      <c r="AB4954">
        <v>2.2999999999999998</v>
      </c>
    </row>
    <row r="4955" spans="20:28">
      <c r="T4955" s="340" t="str">
        <f t="shared" si="194"/>
        <v>2005MaleNon-Maori19Poisoning by gases and vapours</v>
      </c>
      <c r="U4955">
        <v>2005</v>
      </c>
      <c r="V4955" t="s">
        <v>20</v>
      </c>
      <c r="W4955" t="s">
        <v>19</v>
      </c>
      <c r="X4955">
        <v>19</v>
      </c>
      <c r="Y4955" t="s">
        <v>46</v>
      </c>
      <c r="Z4955">
        <v>78</v>
      </c>
      <c r="AA4955">
        <v>305</v>
      </c>
      <c r="AB4955">
        <v>25.6</v>
      </c>
    </row>
    <row r="4956" spans="20:28">
      <c r="T4956" s="340" t="str">
        <f t="shared" si="194"/>
        <v>2005MaleNon-Maori19Poisoning by solids and liquids</v>
      </c>
      <c r="U4956">
        <v>2005</v>
      </c>
      <c r="V4956" t="s">
        <v>20</v>
      </c>
      <c r="W4956" t="s">
        <v>19</v>
      </c>
      <c r="X4956">
        <v>19</v>
      </c>
      <c r="Y4956" t="s">
        <v>47</v>
      </c>
      <c r="Z4956">
        <v>26</v>
      </c>
      <c r="AA4956">
        <v>305</v>
      </c>
      <c r="AB4956">
        <v>8.5</v>
      </c>
    </row>
    <row r="4957" spans="20:28">
      <c r="T4957" s="340" t="str">
        <f t="shared" si="194"/>
        <v>2005MaleNon-Maori19Sharp object</v>
      </c>
      <c r="U4957">
        <v>2005</v>
      </c>
      <c r="V4957" t="s">
        <v>20</v>
      </c>
      <c r="W4957" t="s">
        <v>19</v>
      </c>
      <c r="X4957">
        <v>19</v>
      </c>
      <c r="Y4957" t="s">
        <v>48</v>
      </c>
      <c r="Z4957">
        <v>8</v>
      </c>
      <c r="AA4957">
        <v>305</v>
      </c>
      <c r="AB4957">
        <v>2.6</v>
      </c>
    </row>
    <row r="4958" spans="20:28">
      <c r="T4958" s="340" t="str">
        <f t="shared" si="194"/>
        <v>2005MaleNon-Maori19Submersion (drowning)</v>
      </c>
      <c r="U4958">
        <v>2005</v>
      </c>
      <c r="V4958" t="s">
        <v>20</v>
      </c>
      <c r="W4958" t="s">
        <v>19</v>
      </c>
      <c r="X4958">
        <v>19</v>
      </c>
      <c r="Y4958" t="s">
        <v>49</v>
      </c>
      <c r="Z4958">
        <v>4</v>
      </c>
      <c r="AA4958">
        <v>305</v>
      </c>
      <c r="AB4958">
        <v>1.3</v>
      </c>
    </row>
    <row r="4959" spans="20:28">
      <c r="T4959" s="340" t="str">
        <f t="shared" si="194"/>
        <v>2006AllSexAllEth19Firearms and explosives</v>
      </c>
      <c r="U4959">
        <v>2006</v>
      </c>
      <c r="V4959" t="s">
        <v>17</v>
      </c>
      <c r="W4959" t="s">
        <v>27</v>
      </c>
      <c r="X4959">
        <v>19</v>
      </c>
      <c r="Y4959" t="s">
        <v>42</v>
      </c>
      <c r="Z4959">
        <v>48</v>
      </c>
      <c r="AA4959">
        <v>524</v>
      </c>
      <c r="AB4959">
        <v>9.1999999999999993</v>
      </c>
    </row>
    <row r="4960" spans="20:28">
      <c r="T4960" s="340" t="str">
        <f t="shared" si="194"/>
        <v>2006AllSexAllEth19Hanging, strangulation and suffocation</v>
      </c>
      <c r="U4960">
        <v>2006</v>
      </c>
      <c r="V4960" t="s">
        <v>17</v>
      </c>
      <c r="W4960" t="s">
        <v>27</v>
      </c>
      <c r="X4960">
        <v>19</v>
      </c>
      <c r="Y4960" t="s">
        <v>43</v>
      </c>
      <c r="Z4960">
        <v>286</v>
      </c>
      <c r="AA4960">
        <v>524</v>
      </c>
      <c r="AB4960">
        <v>54.6</v>
      </c>
    </row>
    <row r="4961" spans="20:28">
      <c r="T4961" s="340" t="str">
        <f t="shared" si="194"/>
        <v>2006AllSexAllEth19Jumping from a high place</v>
      </c>
      <c r="U4961">
        <v>2006</v>
      </c>
      <c r="V4961" t="s">
        <v>17</v>
      </c>
      <c r="W4961" t="s">
        <v>27</v>
      </c>
      <c r="X4961">
        <v>19</v>
      </c>
      <c r="Y4961" t="s">
        <v>44</v>
      </c>
      <c r="Z4961">
        <v>10</v>
      </c>
      <c r="AA4961">
        <v>524</v>
      </c>
      <c r="AB4961">
        <v>1.9</v>
      </c>
    </row>
    <row r="4962" spans="20:28">
      <c r="T4962" s="340" t="str">
        <f t="shared" si="194"/>
        <v>2006AllSexAllEth19Other</v>
      </c>
      <c r="U4962">
        <v>2006</v>
      </c>
      <c r="V4962" t="s">
        <v>17</v>
      </c>
      <c r="W4962" t="s">
        <v>27</v>
      </c>
      <c r="X4962">
        <v>19</v>
      </c>
      <c r="Y4962" t="s">
        <v>45</v>
      </c>
      <c r="Z4962">
        <v>22</v>
      </c>
      <c r="AA4962">
        <v>524</v>
      </c>
      <c r="AB4962">
        <v>4.2</v>
      </c>
    </row>
    <row r="4963" spans="20:28">
      <c r="T4963" s="340" t="str">
        <f t="shared" si="194"/>
        <v>2006AllSexAllEth19Poisoning by gases and vapours</v>
      </c>
      <c r="U4963">
        <v>2006</v>
      </c>
      <c r="V4963" t="s">
        <v>17</v>
      </c>
      <c r="W4963" t="s">
        <v>27</v>
      </c>
      <c r="X4963">
        <v>19</v>
      </c>
      <c r="Y4963" t="s">
        <v>46</v>
      </c>
      <c r="Z4963">
        <v>87</v>
      </c>
      <c r="AA4963">
        <v>524</v>
      </c>
      <c r="AB4963">
        <v>16.600000000000001</v>
      </c>
    </row>
    <row r="4964" spans="20:28">
      <c r="T4964" s="340" t="str">
        <f t="shared" si="194"/>
        <v>2006AllSexAllEth19Poisoning by solids and liquids</v>
      </c>
      <c r="U4964">
        <v>2006</v>
      </c>
      <c r="V4964" t="s">
        <v>17</v>
      </c>
      <c r="W4964" t="s">
        <v>27</v>
      </c>
      <c r="X4964">
        <v>19</v>
      </c>
      <c r="Y4964" t="s">
        <v>47</v>
      </c>
      <c r="Z4964">
        <v>49</v>
      </c>
      <c r="AA4964">
        <v>524</v>
      </c>
      <c r="AB4964">
        <v>9.4</v>
      </c>
    </row>
    <row r="4965" spans="20:28">
      <c r="T4965" s="340" t="str">
        <f t="shared" si="194"/>
        <v>2006AllSexAllEth19Sharp object</v>
      </c>
      <c r="U4965">
        <v>2006</v>
      </c>
      <c r="V4965" t="s">
        <v>17</v>
      </c>
      <c r="W4965" t="s">
        <v>27</v>
      </c>
      <c r="X4965">
        <v>19</v>
      </c>
      <c r="Y4965" t="s">
        <v>48</v>
      </c>
      <c r="Z4965">
        <v>13</v>
      </c>
      <c r="AA4965">
        <v>524</v>
      </c>
      <c r="AB4965">
        <v>2.5</v>
      </c>
    </row>
    <row r="4966" spans="20:28">
      <c r="T4966" s="340" t="str">
        <f t="shared" si="194"/>
        <v>2006AllSexAllEth19Submersion (drowning)</v>
      </c>
      <c r="U4966">
        <v>2006</v>
      </c>
      <c r="V4966" t="s">
        <v>17</v>
      </c>
      <c r="W4966" t="s">
        <v>27</v>
      </c>
      <c r="X4966">
        <v>19</v>
      </c>
      <c r="Y4966" t="s">
        <v>49</v>
      </c>
      <c r="Z4966">
        <v>9</v>
      </c>
      <c r="AA4966">
        <v>524</v>
      </c>
      <c r="AB4966">
        <v>1.7</v>
      </c>
    </row>
    <row r="4967" spans="20:28">
      <c r="T4967" s="340" t="str">
        <f t="shared" si="194"/>
        <v>2006AllSexMaori19Firearms and explosives</v>
      </c>
      <c r="U4967">
        <v>2006</v>
      </c>
      <c r="V4967" t="s">
        <v>17</v>
      </c>
      <c r="W4967" t="s">
        <v>18</v>
      </c>
      <c r="X4967">
        <v>19</v>
      </c>
      <c r="Y4967" t="s">
        <v>42</v>
      </c>
      <c r="Z4967">
        <v>6</v>
      </c>
      <c r="AA4967">
        <v>108</v>
      </c>
      <c r="AB4967">
        <v>5.6</v>
      </c>
    </row>
    <row r="4968" spans="20:28">
      <c r="T4968" s="340" t="str">
        <f t="shared" si="194"/>
        <v>2006AllSexMaori19Hanging, strangulation and suffocation</v>
      </c>
      <c r="U4968">
        <v>2006</v>
      </c>
      <c r="V4968" t="s">
        <v>17</v>
      </c>
      <c r="W4968" t="s">
        <v>18</v>
      </c>
      <c r="X4968">
        <v>19</v>
      </c>
      <c r="Y4968" t="s">
        <v>43</v>
      </c>
      <c r="Z4968">
        <v>81</v>
      </c>
      <c r="AA4968">
        <v>108</v>
      </c>
      <c r="AB4968">
        <v>75</v>
      </c>
    </row>
    <row r="4969" spans="20:28">
      <c r="T4969" s="340" t="str">
        <f t="shared" si="194"/>
        <v>2006AllSexMaori19Jumping from a high place</v>
      </c>
      <c r="U4969">
        <v>2006</v>
      </c>
      <c r="V4969" t="s">
        <v>17</v>
      </c>
      <c r="W4969" t="s">
        <v>18</v>
      </c>
      <c r="X4969">
        <v>19</v>
      </c>
      <c r="Y4969" t="s">
        <v>44</v>
      </c>
      <c r="Z4969">
        <v>1</v>
      </c>
      <c r="AA4969">
        <v>108</v>
      </c>
      <c r="AB4969">
        <v>0.9</v>
      </c>
    </row>
    <row r="4970" spans="20:28">
      <c r="T4970" s="340" t="str">
        <f t="shared" si="194"/>
        <v>2006AllSexMaori19Other</v>
      </c>
      <c r="U4970">
        <v>2006</v>
      </c>
      <c r="V4970" t="s">
        <v>17</v>
      </c>
      <c r="W4970" t="s">
        <v>18</v>
      </c>
      <c r="X4970">
        <v>19</v>
      </c>
      <c r="Y4970" t="s">
        <v>45</v>
      </c>
      <c r="Z4970">
        <v>4</v>
      </c>
      <c r="AA4970">
        <v>108</v>
      </c>
      <c r="AB4970">
        <v>3.7</v>
      </c>
    </row>
    <row r="4971" spans="20:28">
      <c r="T4971" s="340" t="str">
        <f t="shared" si="194"/>
        <v>2006AllSexMaori19Poisoning by gases and vapours</v>
      </c>
      <c r="U4971">
        <v>2006</v>
      </c>
      <c r="V4971" t="s">
        <v>17</v>
      </c>
      <c r="W4971" t="s">
        <v>18</v>
      </c>
      <c r="X4971">
        <v>19</v>
      </c>
      <c r="Y4971" t="s">
        <v>46</v>
      </c>
      <c r="Z4971">
        <v>7</v>
      </c>
      <c r="AA4971">
        <v>108</v>
      </c>
      <c r="AB4971">
        <v>6.5</v>
      </c>
    </row>
    <row r="4972" spans="20:28">
      <c r="T4972" s="340" t="str">
        <f t="shared" si="194"/>
        <v>2006AllSexMaori19Poisoning by solids and liquids</v>
      </c>
      <c r="U4972">
        <v>2006</v>
      </c>
      <c r="V4972" t="s">
        <v>17</v>
      </c>
      <c r="W4972" t="s">
        <v>18</v>
      </c>
      <c r="X4972">
        <v>19</v>
      </c>
      <c r="Y4972" t="s">
        <v>47</v>
      </c>
      <c r="Z4972">
        <v>5</v>
      </c>
      <c r="AA4972">
        <v>108</v>
      </c>
      <c r="AB4972">
        <v>4.5999999999999996</v>
      </c>
    </row>
    <row r="4973" spans="20:28">
      <c r="T4973" s="340" t="str">
        <f t="shared" si="194"/>
        <v>2006AllSexMaori19Sharp object</v>
      </c>
      <c r="U4973">
        <v>2006</v>
      </c>
      <c r="V4973" t="s">
        <v>17</v>
      </c>
      <c r="W4973" t="s">
        <v>18</v>
      </c>
      <c r="X4973">
        <v>19</v>
      </c>
      <c r="Y4973" t="s">
        <v>48</v>
      </c>
      <c r="Z4973">
        <v>3</v>
      </c>
      <c r="AA4973">
        <v>108</v>
      </c>
      <c r="AB4973">
        <v>2.8</v>
      </c>
    </row>
    <row r="4974" spans="20:28">
      <c r="T4974" s="340" t="str">
        <f t="shared" si="194"/>
        <v>2006AllSexMaori19Submersion (drowning)</v>
      </c>
      <c r="U4974">
        <v>2006</v>
      </c>
      <c r="V4974" t="s">
        <v>17</v>
      </c>
      <c r="W4974" t="s">
        <v>18</v>
      </c>
      <c r="X4974">
        <v>19</v>
      </c>
      <c r="Y4974" t="s">
        <v>49</v>
      </c>
      <c r="Z4974">
        <v>1</v>
      </c>
      <c r="AA4974">
        <v>108</v>
      </c>
      <c r="AB4974">
        <v>0.9</v>
      </c>
    </row>
    <row r="4975" spans="20:28">
      <c r="T4975" s="340" t="str">
        <f t="shared" si="194"/>
        <v>2006AllSexNon-Maori19Firearms and explosives</v>
      </c>
      <c r="U4975">
        <v>2006</v>
      </c>
      <c r="V4975" t="s">
        <v>17</v>
      </c>
      <c r="W4975" t="s">
        <v>19</v>
      </c>
      <c r="X4975">
        <v>19</v>
      </c>
      <c r="Y4975" t="s">
        <v>42</v>
      </c>
      <c r="Z4975">
        <v>42</v>
      </c>
      <c r="AA4975">
        <v>416</v>
      </c>
      <c r="AB4975">
        <v>10.1</v>
      </c>
    </row>
    <row r="4976" spans="20:28">
      <c r="T4976" s="340" t="str">
        <f t="shared" si="194"/>
        <v>2006AllSexNon-Maori19Hanging, strangulation and suffocation</v>
      </c>
      <c r="U4976">
        <v>2006</v>
      </c>
      <c r="V4976" t="s">
        <v>17</v>
      </c>
      <c r="W4976" t="s">
        <v>19</v>
      </c>
      <c r="X4976">
        <v>19</v>
      </c>
      <c r="Y4976" t="s">
        <v>43</v>
      </c>
      <c r="Z4976">
        <v>205</v>
      </c>
      <c r="AA4976">
        <v>416</v>
      </c>
      <c r="AB4976">
        <v>49.3</v>
      </c>
    </row>
    <row r="4977" spans="20:28">
      <c r="T4977" s="340" t="str">
        <f t="shared" si="194"/>
        <v>2006AllSexNon-Maori19Jumping from a high place</v>
      </c>
      <c r="U4977">
        <v>2006</v>
      </c>
      <c r="V4977" t="s">
        <v>17</v>
      </c>
      <c r="W4977" t="s">
        <v>19</v>
      </c>
      <c r="X4977">
        <v>19</v>
      </c>
      <c r="Y4977" t="s">
        <v>44</v>
      </c>
      <c r="Z4977">
        <v>9</v>
      </c>
      <c r="AA4977">
        <v>416</v>
      </c>
      <c r="AB4977">
        <v>2.2000000000000002</v>
      </c>
    </row>
    <row r="4978" spans="20:28">
      <c r="T4978" s="340" t="str">
        <f t="shared" si="194"/>
        <v>2006AllSexNon-Maori19Other</v>
      </c>
      <c r="U4978">
        <v>2006</v>
      </c>
      <c r="V4978" t="s">
        <v>17</v>
      </c>
      <c r="W4978" t="s">
        <v>19</v>
      </c>
      <c r="X4978">
        <v>19</v>
      </c>
      <c r="Y4978" t="s">
        <v>45</v>
      </c>
      <c r="Z4978">
        <v>18</v>
      </c>
      <c r="AA4978">
        <v>416</v>
      </c>
      <c r="AB4978">
        <v>4.3</v>
      </c>
    </row>
    <row r="4979" spans="20:28">
      <c r="T4979" s="340" t="str">
        <f t="shared" si="194"/>
        <v>2006AllSexNon-Maori19Poisoning by gases and vapours</v>
      </c>
      <c r="U4979">
        <v>2006</v>
      </c>
      <c r="V4979" t="s">
        <v>17</v>
      </c>
      <c r="W4979" t="s">
        <v>19</v>
      </c>
      <c r="X4979">
        <v>19</v>
      </c>
      <c r="Y4979" t="s">
        <v>46</v>
      </c>
      <c r="Z4979">
        <v>80</v>
      </c>
      <c r="AA4979">
        <v>416</v>
      </c>
      <c r="AB4979">
        <v>19.2</v>
      </c>
    </row>
    <row r="4980" spans="20:28">
      <c r="T4980" s="340" t="str">
        <f t="shared" si="194"/>
        <v>2006AllSexNon-Maori19Poisoning by solids and liquids</v>
      </c>
      <c r="U4980">
        <v>2006</v>
      </c>
      <c r="V4980" t="s">
        <v>17</v>
      </c>
      <c r="W4980" t="s">
        <v>19</v>
      </c>
      <c r="X4980">
        <v>19</v>
      </c>
      <c r="Y4980" t="s">
        <v>47</v>
      </c>
      <c r="Z4980">
        <v>44</v>
      </c>
      <c r="AA4980">
        <v>416</v>
      </c>
      <c r="AB4980">
        <v>10.6</v>
      </c>
    </row>
    <row r="4981" spans="20:28">
      <c r="T4981" s="340" t="str">
        <f t="shared" si="194"/>
        <v>2006AllSexNon-Maori19Sharp object</v>
      </c>
      <c r="U4981">
        <v>2006</v>
      </c>
      <c r="V4981" t="s">
        <v>17</v>
      </c>
      <c r="W4981" t="s">
        <v>19</v>
      </c>
      <c r="X4981">
        <v>19</v>
      </c>
      <c r="Y4981" t="s">
        <v>48</v>
      </c>
      <c r="Z4981">
        <v>10</v>
      </c>
      <c r="AA4981">
        <v>416</v>
      </c>
      <c r="AB4981">
        <v>2.4</v>
      </c>
    </row>
    <row r="4982" spans="20:28">
      <c r="T4982" s="340" t="str">
        <f t="shared" si="194"/>
        <v>2006AllSexNon-Maori19Submersion (drowning)</v>
      </c>
      <c r="U4982">
        <v>2006</v>
      </c>
      <c r="V4982" t="s">
        <v>17</v>
      </c>
      <c r="W4982" t="s">
        <v>19</v>
      </c>
      <c r="X4982">
        <v>19</v>
      </c>
      <c r="Y4982" t="s">
        <v>49</v>
      </c>
      <c r="Z4982">
        <v>8</v>
      </c>
      <c r="AA4982">
        <v>416</v>
      </c>
      <c r="AB4982">
        <v>1.9</v>
      </c>
    </row>
    <row r="4983" spans="20:28">
      <c r="T4983" s="340" t="str">
        <f t="shared" si="194"/>
        <v>2006FemaleAllEth19Firearms and explosives</v>
      </c>
      <c r="U4983">
        <v>2006</v>
      </c>
      <c r="V4983" t="s">
        <v>8</v>
      </c>
      <c r="W4983" t="s">
        <v>27</v>
      </c>
      <c r="X4983">
        <v>19</v>
      </c>
      <c r="Y4983" t="s">
        <v>42</v>
      </c>
      <c r="Z4983">
        <v>6</v>
      </c>
      <c r="AA4983">
        <v>137</v>
      </c>
      <c r="AB4983">
        <v>4.4000000000000004</v>
      </c>
    </row>
    <row r="4984" spans="20:28">
      <c r="T4984" s="340" t="str">
        <f t="shared" si="194"/>
        <v>2006FemaleAllEth19Hanging, strangulation and suffocation</v>
      </c>
      <c r="U4984">
        <v>2006</v>
      </c>
      <c r="V4984" t="s">
        <v>8</v>
      </c>
      <c r="W4984" t="s">
        <v>27</v>
      </c>
      <c r="X4984">
        <v>19</v>
      </c>
      <c r="Y4984" t="s">
        <v>43</v>
      </c>
      <c r="Z4984">
        <v>74</v>
      </c>
      <c r="AA4984">
        <v>137</v>
      </c>
      <c r="AB4984">
        <v>54</v>
      </c>
    </row>
    <row r="4985" spans="20:28">
      <c r="T4985" s="340" t="str">
        <f t="shared" si="194"/>
        <v>2006FemaleAllEth19Jumping from a high place</v>
      </c>
      <c r="U4985">
        <v>2006</v>
      </c>
      <c r="V4985" t="s">
        <v>8</v>
      </c>
      <c r="W4985" t="s">
        <v>27</v>
      </c>
      <c r="X4985">
        <v>19</v>
      </c>
      <c r="Y4985" t="s">
        <v>44</v>
      </c>
      <c r="Z4985">
        <v>4</v>
      </c>
      <c r="AA4985">
        <v>137</v>
      </c>
      <c r="AB4985">
        <v>2.9</v>
      </c>
    </row>
    <row r="4986" spans="20:28">
      <c r="T4986" s="340" t="str">
        <f t="shared" si="194"/>
        <v>2006FemaleAllEth19Other</v>
      </c>
      <c r="U4986">
        <v>2006</v>
      </c>
      <c r="V4986" t="s">
        <v>8</v>
      </c>
      <c r="W4986" t="s">
        <v>27</v>
      </c>
      <c r="X4986">
        <v>19</v>
      </c>
      <c r="Y4986" t="s">
        <v>45</v>
      </c>
      <c r="Z4986">
        <v>5</v>
      </c>
      <c r="AA4986">
        <v>137</v>
      </c>
      <c r="AB4986">
        <v>3.6</v>
      </c>
    </row>
    <row r="4987" spans="20:28">
      <c r="T4987" s="340" t="str">
        <f t="shared" si="194"/>
        <v>2006FemaleAllEth19Poisoning by gases and vapours</v>
      </c>
      <c r="U4987">
        <v>2006</v>
      </c>
      <c r="V4987" t="s">
        <v>8</v>
      </c>
      <c r="W4987" t="s">
        <v>27</v>
      </c>
      <c r="X4987">
        <v>19</v>
      </c>
      <c r="Y4987" t="s">
        <v>46</v>
      </c>
      <c r="Z4987">
        <v>20</v>
      </c>
      <c r="AA4987">
        <v>137</v>
      </c>
      <c r="AB4987">
        <v>14.6</v>
      </c>
    </row>
    <row r="4988" spans="20:28">
      <c r="T4988" s="340" t="str">
        <f t="shared" si="194"/>
        <v>2006FemaleAllEth19Poisoning by solids and liquids</v>
      </c>
      <c r="U4988">
        <v>2006</v>
      </c>
      <c r="V4988" t="s">
        <v>8</v>
      </c>
      <c r="W4988" t="s">
        <v>27</v>
      </c>
      <c r="X4988">
        <v>19</v>
      </c>
      <c r="Y4988" t="s">
        <v>47</v>
      </c>
      <c r="Z4988">
        <v>25</v>
      </c>
      <c r="AA4988">
        <v>137</v>
      </c>
      <c r="AB4988">
        <v>18.2</v>
      </c>
    </row>
    <row r="4989" spans="20:28">
      <c r="T4989" s="340" t="str">
        <f t="shared" si="194"/>
        <v>2006FemaleAllEth19Sharp object</v>
      </c>
      <c r="U4989">
        <v>2006</v>
      </c>
      <c r="V4989" t="s">
        <v>8</v>
      </c>
      <c r="W4989" t="s">
        <v>27</v>
      </c>
      <c r="X4989">
        <v>19</v>
      </c>
      <c r="Y4989" t="s">
        <v>48</v>
      </c>
      <c r="Z4989">
        <v>1</v>
      </c>
      <c r="AA4989">
        <v>137</v>
      </c>
      <c r="AB4989">
        <v>0.7</v>
      </c>
    </row>
    <row r="4990" spans="20:28">
      <c r="T4990" s="340" t="str">
        <f t="shared" si="194"/>
        <v>2006FemaleAllEth19Submersion (drowning)</v>
      </c>
      <c r="U4990">
        <v>2006</v>
      </c>
      <c r="V4990" t="s">
        <v>8</v>
      </c>
      <c r="W4990" t="s">
        <v>27</v>
      </c>
      <c r="X4990">
        <v>19</v>
      </c>
      <c r="Y4990" t="s">
        <v>49</v>
      </c>
      <c r="Z4990">
        <v>2</v>
      </c>
      <c r="AA4990">
        <v>137</v>
      </c>
      <c r="AB4990">
        <v>1.5</v>
      </c>
    </row>
    <row r="4991" spans="20:28">
      <c r="T4991" s="340" t="str">
        <f t="shared" si="194"/>
        <v>2006FemaleMaori19Hanging, strangulation and suffocation</v>
      </c>
      <c r="U4991">
        <v>2006</v>
      </c>
      <c r="V4991" t="s">
        <v>8</v>
      </c>
      <c r="W4991" t="s">
        <v>18</v>
      </c>
      <c r="X4991">
        <v>19</v>
      </c>
      <c r="Y4991" t="s">
        <v>43</v>
      </c>
      <c r="Z4991">
        <v>24</v>
      </c>
      <c r="AA4991">
        <v>33</v>
      </c>
      <c r="AB4991">
        <v>72.7</v>
      </c>
    </row>
    <row r="4992" spans="20:28">
      <c r="T4992" s="340" t="str">
        <f t="shared" si="194"/>
        <v>2006FemaleMaori19Jumping from a high place</v>
      </c>
      <c r="U4992">
        <v>2006</v>
      </c>
      <c r="V4992" t="s">
        <v>8</v>
      </c>
      <c r="W4992" t="s">
        <v>18</v>
      </c>
      <c r="X4992">
        <v>19</v>
      </c>
      <c r="Y4992" t="s">
        <v>44</v>
      </c>
      <c r="Z4992">
        <v>1</v>
      </c>
      <c r="AA4992">
        <v>33</v>
      </c>
      <c r="AB4992">
        <v>3</v>
      </c>
    </row>
    <row r="4993" spans="20:28">
      <c r="T4993" s="340" t="str">
        <f t="shared" si="194"/>
        <v>2006FemaleMaori19Other</v>
      </c>
      <c r="U4993">
        <v>2006</v>
      </c>
      <c r="V4993" t="s">
        <v>8</v>
      </c>
      <c r="W4993" t="s">
        <v>18</v>
      </c>
      <c r="X4993">
        <v>19</v>
      </c>
      <c r="Y4993" t="s">
        <v>45</v>
      </c>
      <c r="Z4993">
        <v>2</v>
      </c>
      <c r="AA4993">
        <v>33</v>
      </c>
      <c r="AB4993">
        <v>6.1</v>
      </c>
    </row>
    <row r="4994" spans="20:28">
      <c r="T4994" s="340" t="str">
        <f t="shared" si="194"/>
        <v>2006FemaleMaori19Poisoning by gases and vapours</v>
      </c>
      <c r="U4994">
        <v>2006</v>
      </c>
      <c r="V4994" t="s">
        <v>8</v>
      </c>
      <c r="W4994" t="s">
        <v>18</v>
      </c>
      <c r="X4994">
        <v>19</v>
      </c>
      <c r="Y4994" t="s">
        <v>46</v>
      </c>
      <c r="Z4994">
        <v>4</v>
      </c>
      <c r="AA4994">
        <v>33</v>
      </c>
      <c r="AB4994">
        <v>12.1</v>
      </c>
    </row>
    <row r="4995" spans="20:28">
      <c r="T4995" s="340" t="str">
        <f t="shared" si="194"/>
        <v>2006FemaleMaori19Poisoning by solids and liquids</v>
      </c>
      <c r="U4995">
        <v>2006</v>
      </c>
      <c r="V4995" t="s">
        <v>8</v>
      </c>
      <c r="W4995" t="s">
        <v>18</v>
      </c>
      <c r="X4995">
        <v>19</v>
      </c>
      <c r="Y4995" t="s">
        <v>47</v>
      </c>
      <c r="Z4995">
        <v>2</v>
      </c>
      <c r="AA4995">
        <v>33</v>
      </c>
      <c r="AB4995">
        <v>6.1</v>
      </c>
    </row>
    <row r="4996" spans="20:28">
      <c r="T4996" s="340" t="str">
        <f t="shared" si="194"/>
        <v>2006FemaleNon-Maori19Firearms and explosives</v>
      </c>
      <c r="U4996">
        <v>2006</v>
      </c>
      <c r="V4996" t="s">
        <v>8</v>
      </c>
      <c r="W4996" t="s">
        <v>19</v>
      </c>
      <c r="X4996">
        <v>19</v>
      </c>
      <c r="Y4996" t="s">
        <v>42</v>
      </c>
      <c r="Z4996">
        <v>6</v>
      </c>
      <c r="AA4996">
        <v>104</v>
      </c>
      <c r="AB4996">
        <v>5.8</v>
      </c>
    </row>
    <row r="4997" spans="20:28">
      <c r="T4997" s="340" t="str">
        <f t="shared" ref="T4997:T5060" si="195">U4997&amp;V4997&amp;W4997&amp;X4997&amp;Y4997</f>
        <v>2006FemaleNon-Maori19Hanging, strangulation and suffocation</v>
      </c>
      <c r="U4997">
        <v>2006</v>
      </c>
      <c r="V4997" t="s">
        <v>8</v>
      </c>
      <c r="W4997" t="s">
        <v>19</v>
      </c>
      <c r="X4997">
        <v>19</v>
      </c>
      <c r="Y4997" t="s">
        <v>43</v>
      </c>
      <c r="Z4997">
        <v>50</v>
      </c>
      <c r="AA4997">
        <v>104</v>
      </c>
      <c r="AB4997">
        <v>48.1</v>
      </c>
    </row>
    <row r="4998" spans="20:28">
      <c r="T4998" s="340" t="str">
        <f t="shared" si="195"/>
        <v>2006FemaleNon-Maori19Jumping from a high place</v>
      </c>
      <c r="U4998">
        <v>2006</v>
      </c>
      <c r="V4998" t="s">
        <v>8</v>
      </c>
      <c r="W4998" t="s">
        <v>19</v>
      </c>
      <c r="X4998">
        <v>19</v>
      </c>
      <c r="Y4998" t="s">
        <v>44</v>
      </c>
      <c r="Z4998">
        <v>3</v>
      </c>
      <c r="AA4998">
        <v>104</v>
      </c>
      <c r="AB4998">
        <v>2.9</v>
      </c>
    </row>
    <row r="4999" spans="20:28">
      <c r="T4999" s="340" t="str">
        <f t="shared" si="195"/>
        <v>2006FemaleNon-Maori19Other</v>
      </c>
      <c r="U4999">
        <v>2006</v>
      </c>
      <c r="V4999" t="s">
        <v>8</v>
      </c>
      <c r="W4999" t="s">
        <v>19</v>
      </c>
      <c r="X4999">
        <v>19</v>
      </c>
      <c r="Y4999" t="s">
        <v>45</v>
      </c>
      <c r="Z4999">
        <v>3</v>
      </c>
      <c r="AA4999">
        <v>104</v>
      </c>
      <c r="AB4999">
        <v>2.9</v>
      </c>
    </row>
    <row r="5000" spans="20:28">
      <c r="T5000" s="340" t="str">
        <f t="shared" si="195"/>
        <v>2006FemaleNon-Maori19Poisoning by gases and vapours</v>
      </c>
      <c r="U5000">
        <v>2006</v>
      </c>
      <c r="V5000" t="s">
        <v>8</v>
      </c>
      <c r="W5000" t="s">
        <v>19</v>
      </c>
      <c r="X5000">
        <v>19</v>
      </c>
      <c r="Y5000" t="s">
        <v>46</v>
      </c>
      <c r="Z5000">
        <v>16</v>
      </c>
      <c r="AA5000">
        <v>104</v>
      </c>
      <c r="AB5000">
        <v>15.4</v>
      </c>
    </row>
    <row r="5001" spans="20:28">
      <c r="T5001" s="340" t="str">
        <f t="shared" si="195"/>
        <v>2006FemaleNon-Maori19Poisoning by solids and liquids</v>
      </c>
      <c r="U5001">
        <v>2006</v>
      </c>
      <c r="V5001" t="s">
        <v>8</v>
      </c>
      <c r="W5001" t="s">
        <v>19</v>
      </c>
      <c r="X5001">
        <v>19</v>
      </c>
      <c r="Y5001" t="s">
        <v>47</v>
      </c>
      <c r="Z5001">
        <v>23</v>
      </c>
      <c r="AA5001">
        <v>104</v>
      </c>
      <c r="AB5001">
        <v>22.1</v>
      </c>
    </row>
    <row r="5002" spans="20:28">
      <c r="T5002" s="340" t="str">
        <f t="shared" si="195"/>
        <v>2006FemaleNon-Maori19Sharp object</v>
      </c>
      <c r="U5002">
        <v>2006</v>
      </c>
      <c r="V5002" t="s">
        <v>8</v>
      </c>
      <c r="W5002" t="s">
        <v>19</v>
      </c>
      <c r="X5002">
        <v>19</v>
      </c>
      <c r="Y5002" t="s">
        <v>48</v>
      </c>
      <c r="Z5002">
        <v>1</v>
      </c>
      <c r="AA5002">
        <v>104</v>
      </c>
      <c r="AB5002">
        <v>1</v>
      </c>
    </row>
    <row r="5003" spans="20:28">
      <c r="T5003" s="340" t="str">
        <f t="shared" si="195"/>
        <v>2006FemaleNon-Maori19Submersion (drowning)</v>
      </c>
      <c r="U5003">
        <v>2006</v>
      </c>
      <c r="V5003" t="s">
        <v>8</v>
      </c>
      <c r="W5003" t="s">
        <v>19</v>
      </c>
      <c r="X5003">
        <v>19</v>
      </c>
      <c r="Y5003" t="s">
        <v>49</v>
      </c>
      <c r="Z5003">
        <v>2</v>
      </c>
      <c r="AA5003">
        <v>104</v>
      </c>
      <c r="AB5003">
        <v>1.9</v>
      </c>
    </row>
    <row r="5004" spans="20:28">
      <c r="T5004" s="340" t="str">
        <f t="shared" si="195"/>
        <v>2006MaleAllEth19Firearms and explosives</v>
      </c>
      <c r="U5004">
        <v>2006</v>
      </c>
      <c r="V5004" t="s">
        <v>20</v>
      </c>
      <c r="W5004" t="s">
        <v>27</v>
      </c>
      <c r="X5004">
        <v>19</v>
      </c>
      <c r="Y5004" t="s">
        <v>42</v>
      </c>
      <c r="Z5004">
        <v>42</v>
      </c>
      <c r="AA5004">
        <v>387</v>
      </c>
      <c r="AB5004">
        <v>10.9</v>
      </c>
    </row>
    <row r="5005" spans="20:28">
      <c r="T5005" s="340" t="str">
        <f t="shared" si="195"/>
        <v>2006MaleAllEth19Hanging, strangulation and suffocation</v>
      </c>
      <c r="U5005">
        <v>2006</v>
      </c>
      <c r="V5005" t="s">
        <v>20</v>
      </c>
      <c r="W5005" t="s">
        <v>27</v>
      </c>
      <c r="X5005">
        <v>19</v>
      </c>
      <c r="Y5005" t="s">
        <v>43</v>
      </c>
      <c r="Z5005">
        <v>212</v>
      </c>
      <c r="AA5005">
        <v>387</v>
      </c>
      <c r="AB5005">
        <v>54.8</v>
      </c>
    </row>
    <row r="5006" spans="20:28">
      <c r="T5006" s="340" t="str">
        <f t="shared" si="195"/>
        <v>2006MaleAllEth19Jumping from a high place</v>
      </c>
      <c r="U5006">
        <v>2006</v>
      </c>
      <c r="V5006" t="s">
        <v>20</v>
      </c>
      <c r="W5006" t="s">
        <v>27</v>
      </c>
      <c r="X5006">
        <v>19</v>
      </c>
      <c r="Y5006" t="s">
        <v>44</v>
      </c>
      <c r="Z5006">
        <v>6</v>
      </c>
      <c r="AA5006">
        <v>387</v>
      </c>
      <c r="AB5006">
        <v>1.6</v>
      </c>
    </row>
    <row r="5007" spans="20:28">
      <c r="T5007" s="340" t="str">
        <f t="shared" si="195"/>
        <v>2006MaleAllEth19Other</v>
      </c>
      <c r="U5007">
        <v>2006</v>
      </c>
      <c r="V5007" t="s">
        <v>20</v>
      </c>
      <c r="W5007" t="s">
        <v>27</v>
      </c>
      <c r="X5007">
        <v>19</v>
      </c>
      <c r="Y5007" t="s">
        <v>45</v>
      </c>
      <c r="Z5007">
        <v>17</v>
      </c>
      <c r="AA5007">
        <v>387</v>
      </c>
      <c r="AB5007">
        <v>4.4000000000000004</v>
      </c>
    </row>
    <row r="5008" spans="20:28">
      <c r="T5008" s="340" t="str">
        <f t="shared" si="195"/>
        <v>2006MaleAllEth19Poisoning by gases and vapours</v>
      </c>
      <c r="U5008">
        <v>2006</v>
      </c>
      <c r="V5008" t="s">
        <v>20</v>
      </c>
      <c r="W5008" t="s">
        <v>27</v>
      </c>
      <c r="X5008">
        <v>19</v>
      </c>
      <c r="Y5008" t="s">
        <v>46</v>
      </c>
      <c r="Z5008">
        <v>67</v>
      </c>
      <c r="AA5008">
        <v>387</v>
      </c>
      <c r="AB5008">
        <v>17.3</v>
      </c>
    </row>
    <row r="5009" spans="20:28">
      <c r="T5009" s="340" t="str">
        <f t="shared" si="195"/>
        <v>2006MaleAllEth19Poisoning by solids and liquids</v>
      </c>
      <c r="U5009">
        <v>2006</v>
      </c>
      <c r="V5009" t="s">
        <v>20</v>
      </c>
      <c r="W5009" t="s">
        <v>27</v>
      </c>
      <c r="X5009">
        <v>19</v>
      </c>
      <c r="Y5009" t="s">
        <v>47</v>
      </c>
      <c r="Z5009">
        <v>24</v>
      </c>
      <c r="AA5009">
        <v>387</v>
      </c>
      <c r="AB5009">
        <v>6.2</v>
      </c>
    </row>
    <row r="5010" spans="20:28">
      <c r="T5010" s="340" t="str">
        <f t="shared" si="195"/>
        <v>2006MaleAllEth19Sharp object</v>
      </c>
      <c r="U5010">
        <v>2006</v>
      </c>
      <c r="V5010" t="s">
        <v>20</v>
      </c>
      <c r="W5010" t="s">
        <v>27</v>
      </c>
      <c r="X5010">
        <v>19</v>
      </c>
      <c r="Y5010" t="s">
        <v>48</v>
      </c>
      <c r="Z5010">
        <v>12</v>
      </c>
      <c r="AA5010">
        <v>387</v>
      </c>
      <c r="AB5010">
        <v>3.1</v>
      </c>
    </row>
    <row r="5011" spans="20:28">
      <c r="T5011" s="340" t="str">
        <f t="shared" si="195"/>
        <v>2006MaleAllEth19Submersion (drowning)</v>
      </c>
      <c r="U5011">
        <v>2006</v>
      </c>
      <c r="V5011" t="s">
        <v>20</v>
      </c>
      <c r="W5011" t="s">
        <v>27</v>
      </c>
      <c r="X5011">
        <v>19</v>
      </c>
      <c r="Y5011" t="s">
        <v>49</v>
      </c>
      <c r="Z5011">
        <v>7</v>
      </c>
      <c r="AA5011">
        <v>387</v>
      </c>
      <c r="AB5011">
        <v>1.8</v>
      </c>
    </row>
    <row r="5012" spans="20:28">
      <c r="T5012" s="340" t="str">
        <f t="shared" si="195"/>
        <v>2006MaleMaori19Firearms and explosives</v>
      </c>
      <c r="U5012">
        <v>2006</v>
      </c>
      <c r="V5012" t="s">
        <v>20</v>
      </c>
      <c r="W5012" t="s">
        <v>18</v>
      </c>
      <c r="X5012">
        <v>19</v>
      </c>
      <c r="Y5012" t="s">
        <v>42</v>
      </c>
      <c r="Z5012">
        <v>6</v>
      </c>
      <c r="AA5012">
        <v>75</v>
      </c>
      <c r="AB5012">
        <v>8</v>
      </c>
    </row>
    <row r="5013" spans="20:28">
      <c r="T5013" s="340" t="str">
        <f t="shared" si="195"/>
        <v>2006MaleMaori19Hanging, strangulation and suffocation</v>
      </c>
      <c r="U5013">
        <v>2006</v>
      </c>
      <c r="V5013" t="s">
        <v>20</v>
      </c>
      <c r="W5013" t="s">
        <v>18</v>
      </c>
      <c r="X5013">
        <v>19</v>
      </c>
      <c r="Y5013" t="s">
        <v>43</v>
      </c>
      <c r="Z5013">
        <v>57</v>
      </c>
      <c r="AA5013">
        <v>75</v>
      </c>
      <c r="AB5013">
        <v>76</v>
      </c>
    </row>
    <row r="5014" spans="20:28">
      <c r="T5014" s="340" t="str">
        <f t="shared" si="195"/>
        <v>2006MaleMaori19Other</v>
      </c>
      <c r="U5014">
        <v>2006</v>
      </c>
      <c r="V5014" t="s">
        <v>20</v>
      </c>
      <c r="W5014" t="s">
        <v>18</v>
      </c>
      <c r="X5014">
        <v>19</v>
      </c>
      <c r="Y5014" t="s">
        <v>45</v>
      </c>
      <c r="Z5014">
        <v>2</v>
      </c>
      <c r="AA5014">
        <v>75</v>
      </c>
      <c r="AB5014">
        <v>2.7</v>
      </c>
    </row>
    <row r="5015" spans="20:28">
      <c r="T5015" s="340" t="str">
        <f t="shared" si="195"/>
        <v>2006MaleMaori19Poisoning by gases and vapours</v>
      </c>
      <c r="U5015">
        <v>2006</v>
      </c>
      <c r="V5015" t="s">
        <v>20</v>
      </c>
      <c r="W5015" t="s">
        <v>18</v>
      </c>
      <c r="X5015">
        <v>19</v>
      </c>
      <c r="Y5015" t="s">
        <v>46</v>
      </c>
      <c r="Z5015">
        <v>3</v>
      </c>
      <c r="AA5015">
        <v>75</v>
      </c>
      <c r="AB5015">
        <v>4</v>
      </c>
    </row>
    <row r="5016" spans="20:28">
      <c r="T5016" s="340" t="str">
        <f t="shared" si="195"/>
        <v>2006MaleMaori19Poisoning by solids and liquids</v>
      </c>
      <c r="U5016">
        <v>2006</v>
      </c>
      <c r="V5016" t="s">
        <v>20</v>
      </c>
      <c r="W5016" t="s">
        <v>18</v>
      </c>
      <c r="X5016">
        <v>19</v>
      </c>
      <c r="Y5016" t="s">
        <v>47</v>
      </c>
      <c r="Z5016">
        <v>3</v>
      </c>
      <c r="AA5016">
        <v>75</v>
      </c>
      <c r="AB5016">
        <v>4</v>
      </c>
    </row>
    <row r="5017" spans="20:28">
      <c r="T5017" s="340" t="str">
        <f t="shared" si="195"/>
        <v>2006MaleMaori19Sharp object</v>
      </c>
      <c r="U5017">
        <v>2006</v>
      </c>
      <c r="V5017" t="s">
        <v>20</v>
      </c>
      <c r="W5017" t="s">
        <v>18</v>
      </c>
      <c r="X5017">
        <v>19</v>
      </c>
      <c r="Y5017" t="s">
        <v>48</v>
      </c>
      <c r="Z5017">
        <v>3</v>
      </c>
      <c r="AA5017">
        <v>75</v>
      </c>
      <c r="AB5017">
        <v>4</v>
      </c>
    </row>
    <row r="5018" spans="20:28">
      <c r="T5018" s="340" t="str">
        <f t="shared" si="195"/>
        <v>2006MaleMaori19Submersion (drowning)</v>
      </c>
      <c r="U5018">
        <v>2006</v>
      </c>
      <c r="V5018" t="s">
        <v>20</v>
      </c>
      <c r="W5018" t="s">
        <v>18</v>
      </c>
      <c r="X5018">
        <v>19</v>
      </c>
      <c r="Y5018" t="s">
        <v>49</v>
      </c>
      <c r="Z5018">
        <v>1</v>
      </c>
      <c r="AA5018">
        <v>75</v>
      </c>
      <c r="AB5018">
        <v>1.3</v>
      </c>
    </row>
    <row r="5019" spans="20:28">
      <c r="T5019" s="340" t="str">
        <f t="shared" si="195"/>
        <v>2006MaleNon-Maori19Firearms and explosives</v>
      </c>
      <c r="U5019">
        <v>2006</v>
      </c>
      <c r="V5019" t="s">
        <v>20</v>
      </c>
      <c r="W5019" t="s">
        <v>19</v>
      </c>
      <c r="X5019">
        <v>19</v>
      </c>
      <c r="Y5019" t="s">
        <v>42</v>
      </c>
      <c r="Z5019">
        <v>36</v>
      </c>
      <c r="AA5019">
        <v>312</v>
      </c>
      <c r="AB5019">
        <v>11.5</v>
      </c>
    </row>
    <row r="5020" spans="20:28">
      <c r="T5020" s="340" t="str">
        <f t="shared" si="195"/>
        <v>2006MaleNon-Maori19Hanging, strangulation and suffocation</v>
      </c>
      <c r="U5020">
        <v>2006</v>
      </c>
      <c r="V5020" t="s">
        <v>20</v>
      </c>
      <c r="W5020" t="s">
        <v>19</v>
      </c>
      <c r="X5020">
        <v>19</v>
      </c>
      <c r="Y5020" t="s">
        <v>43</v>
      </c>
      <c r="Z5020">
        <v>155</v>
      </c>
      <c r="AA5020">
        <v>312</v>
      </c>
      <c r="AB5020">
        <v>49.7</v>
      </c>
    </row>
    <row r="5021" spans="20:28">
      <c r="T5021" s="340" t="str">
        <f t="shared" si="195"/>
        <v>2006MaleNon-Maori19Jumping from a high place</v>
      </c>
      <c r="U5021">
        <v>2006</v>
      </c>
      <c r="V5021" t="s">
        <v>20</v>
      </c>
      <c r="W5021" t="s">
        <v>19</v>
      </c>
      <c r="X5021">
        <v>19</v>
      </c>
      <c r="Y5021" t="s">
        <v>44</v>
      </c>
      <c r="Z5021">
        <v>6</v>
      </c>
      <c r="AA5021">
        <v>312</v>
      </c>
      <c r="AB5021">
        <v>1.9</v>
      </c>
    </row>
    <row r="5022" spans="20:28">
      <c r="T5022" s="340" t="str">
        <f t="shared" si="195"/>
        <v>2006MaleNon-Maori19Other</v>
      </c>
      <c r="U5022">
        <v>2006</v>
      </c>
      <c r="V5022" t="s">
        <v>20</v>
      </c>
      <c r="W5022" t="s">
        <v>19</v>
      </c>
      <c r="X5022">
        <v>19</v>
      </c>
      <c r="Y5022" t="s">
        <v>45</v>
      </c>
      <c r="Z5022">
        <v>15</v>
      </c>
      <c r="AA5022">
        <v>312</v>
      </c>
      <c r="AB5022">
        <v>4.8</v>
      </c>
    </row>
    <row r="5023" spans="20:28">
      <c r="T5023" s="340" t="str">
        <f t="shared" si="195"/>
        <v>2006MaleNon-Maori19Poisoning by gases and vapours</v>
      </c>
      <c r="U5023">
        <v>2006</v>
      </c>
      <c r="V5023" t="s">
        <v>20</v>
      </c>
      <c r="W5023" t="s">
        <v>19</v>
      </c>
      <c r="X5023">
        <v>19</v>
      </c>
      <c r="Y5023" t="s">
        <v>46</v>
      </c>
      <c r="Z5023">
        <v>64</v>
      </c>
      <c r="AA5023">
        <v>312</v>
      </c>
      <c r="AB5023">
        <v>20.5</v>
      </c>
    </row>
    <row r="5024" spans="20:28">
      <c r="T5024" s="340" t="str">
        <f t="shared" si="195"/>
        <v>2006MaleNon-Maori19Poisoning by solids and liquids</v>
      </c>
      <c r="U5024">
        <v>2006</v>
      </c>
      <c r="V5024" t="s">
        <v>20</v>
      </c>
      <c r="W5024" t="s">
        <v>19</v>
      </c>
      <c r="X5024">
        <v>19</v>
      </c>
      <c r="Y5024" t="s">
        <v>47</v>
      </c>
      <c r="Z5024">
        <v>21</v>
      </c>
      <c r="AA5024">
        <v>312</v>
      </c>
      <c r="AB5024">
        <v>6.7</v>
      </c>
    </row>
    <row r="5025" spans="20:28">
      <c r="T5025" s="340" t="str">
        <f t="shared" si="195"/>
        <v>2006MaleNon-Maori19Sharp object</v>
      </c>
      <c r="U5025">
        <v>2006</v>
      </c>
      <c r="V5025" t="s">
        <v>20</v>
      </c>
      <c r="W5025" t="s">
        <v>19</v>
      </c>
      <c r="X5025">
        <v>19</v>
      </c>
      <c r="Y5025" t="s">
        <v>48</v>
      </c>
      <c r="Z5025">
        <v>9</v>
      </c>
      <c r="AA5025">
        <v>312</v>
      </c>
      <c r="AB5025">
        <v>2.9</v>
      </c>
    </row>
    <row r="5026" spans="20:28">
      <c r="T5026" s="340" t="str">
        <f t="shared" si="195"/>
        <v>2006MaleNon-Maori19Submersion (drowning)</v>
      </c>
      <c r="U5026">
        <v>2006</v>
      </c>
      <c r="V5026" t="s">
        <v>20</v>
      </c>
      <c r="W5026" t="s">
        <v>19</v>
      </c>
      <c r="X5026">
        <v>19</v>
      </c>
      <c r="Y5026" t="s">
        <v>49</v>
      </c>
      <c r="Z5026">
        <v>6</v>
      </c>
      <c r="AA5026">
        <v>312</v>
      </c>
      <c r="AB5026">
        <v>1.9</v>
      </c>
    </row>
    <row r="5027" spans="20:28">
      <c r="T5027" s="340" t="str">
        <f t="shared" si="195"/>
        <v>2007AllSexAllEth19Firearms and explosives</v>
      </c>
      <c r="U5027">
        <v>2007</v>
      </c>
      <c r="V5027" t="s">
        <v>17</v>
      </c>
      <c r="W5027" t="s">
        <v>27</v>
      </c>
      <c r="X5027">
        <v>19</v>
      </c>
      <c r="Y5027" t="s">
        <v>42</v>
      </c>
      <c r="Z5027">
        <v>48</v>
      </c>
      <c r="AA5027">
        <v>501</v>
      </c>
      <c r="AB5027">
        <v>9.6</v>
      </c>
    </row>
    <row r="5028" spans="20:28">
      <c r="T5028" s="340" t="str">
        <f t="shared" si="195"/>
        <v>2007AllSexAllEth19Hanging, strangulation and suffocation</v>
      </c>
      <c r="U5028">
        <v>2007</v>
      </c>
      <c r="V5028" t="s">
        <v>17</v>
      </c>
      <c r="W5028" t="s">
        <v>27</v>
      </c>
      <c r="X5028">
        <v>19</v>
      </c>
      <c r="Y5028" t="s">
        <v>43</v>
      </c>
      <c r="Z5028">
        <v>284</v>
      </c>
      <c r="AA5028">
        <v>501</v>
      </c>
      <c r="AB5028">
        <v>56.7</v>
      </c>
    </row>
    <row r="5029" spans="20:28">
      <c r="T5029" s="340" t="str">
        <f t="shared" si="195"/>
        <v>2007AllSexAllEth19Jumping from a high place</v>
      </c>
      <c r="U5029">
        <v>2007</v>
      </c>
      <c r="V5029" t="s">
        <v>17</v>
      </c>
      <c r="W5029" t="s">
        <v>27</v>
      </c>
      <c r="X5029">
        <v>19</v>
      </c>
      <c r="Y5029" t="s">
        <v>44</v>
      </c>
      <c r="Z5029">
        <v>13</v>
      </c>
      <c r="AA5029">
        <v>501</v>
      </c>
      <c r="AB5029">
        <v>2.6</v>
      </c>
    </row>
    <row r="5030" spans="20:28">
      <c r="T5030" s="340" t="str">
        <f t="shared" si="195"/>
        <v>2007AllSexAllEth19Other</v>
      </c>
      <c r="U5030">
        <v>2007</v>
      </c>
      <c r="V5030" t="s">
        <v>17</v>
      </c>
      <c r="W5030" t="s">
        <v>27</v>
      </c>
      <c r="X5030">
        <v>19</v>
      </c>
      <c r="Y5030" t="s">
        <v>45</v>
      </c>
      <c r="Z5030">
        <v>19</v>
      </c>
      <c r="AA5030">
        <v>501</v>
      </c>
      <c r="AB5030">
        <v>3.8</v>
      </c>
    </row>
    <row r="5031" spans="20:28">
      <c r="T5031" s="340" t="str">
        <f t="shared" si="195"/>
        <v>2007AllSexAllEth19Poisoning by gases and vapours</v>
      </c>
      <c r="U5031">
        <v>2007</v>
      </c>
      <c r="V5031" t="s">
        <v>17</v>
      </c>
      <c r="W5031" t="s">
        <v>27</v>
      </c>
      <c r="X5031">
        <v>19</v>
      </c>
      <c r="Y5031" t="s">
        <v>46</v>
      </c>
      <c r="Z5031">
        <v>72</v>
      </c>
      <c r="AA5031">
        <v>501</v>
      </c>
      <c r="AB5031">
        <v>14.4</v>
      </c>
    </row>
    <row r="5032" spans="20:28">
      <c r="T5032" s="340" t="str">
        <f t="shared" si="195"/>
        <v>2007AllSexAllEth19Poisoning by solids and liquids</v>
      </c>
      <c r="U5032">
        <v>2007</v>
      </c>
      <c r="V5032" t="s">
        <v>17</v>
      </c>
      <c r="W5032" t="s">
        <v>27</v>
      </c>
      <c r="X5032">
        <v>19</v>
      </c>
      <c r="Y5032" t="s">
        <v>47</v>
      </c>
      <c r="Z5032">
        <v>48</v>
      </c>
      <c r="AA5032">
        <v>501</v>
      </c>
      <c r="AB5032">
        <v>9.6</v>
      </c>
    </row>
    <row r="5033" spans="20:28">
      <c r="T5033" s="340" t="str">
        <f t="shared" si="195"/>
        <v>2007AllSexAllEth19Sharp object</v>
      </c>
      <c r="U5033">
        <v>2007</v>
      </c>
      <c r="V5033" t="s">
        <v>17</v>
      </c>
      <c r="W5033" t="s">
        <v>27</v>
      </c>
      <c r="X5033">
        <v>19</v>
      </c>
      <c r="Y5033" t="s">
        <v>48</v>
      </c>
      <c r="Z5033">
        <v>6</v>
      </c>
      <c r="AA5033">
        <v>501</v>
      </c>
      <c r="AB5033">
        <v>1.2</v>
      </c>
    </row>
    <row r="5034" spans="20:28">
      <c r="T5034" s="340" t="str">
        <f t="shared" si="195"/>
        <v>2007AllSexAllEth19Submersion (drowning)</v>
      </c>
      <c r="U5034">
        <v>2007</v>
      </c>
      <c r="V5034" t="s">
        <v>17</v>
      </c>
      <c r="W5034" t="s">
        <v>27</v>
      </c>
      <c r="X5034">
        <v>19</v>
      </c>
      <c r="Y5034" t="s">
        <v>49</v>
      </c>
      <c r="Z5034">
        <v>11</v>
      </c>
      <c r="AA5034">
        <v>501</v>
      </c>
      <c r="AB5034">
        <v>2.2000000000000002</v>
      </c>
    </row>
    <row r="5035" spans="20:28">
      <c r="T5035" s="340" t="str">
        <f t="shared" si="195"/>
        <v>2007AllSexMaori19Firearms and explosives</v>
      </c>
      <c r="U5035">
        <v>2007</v>
      </c>
      <c r="V5035" t="s">
        <v>17</v>
      </c>
      <c r="W5035" t="s">
        <v>18</v>
      </c>
      <c r="X5035">
        <v>19</v>
      </c>
      <c r="Y5035" t="s">
        <v>42</v>
      </c>
      <c r="Z5035">
        <v>6</v>
      </c>
      <c r="AA5035">
        <v>97</v>
      </c>
      <c r="AB5035">
        <v>6.2</v>
      </c>
    </row>
    <row r="5036" spans="20:28">
      <c r="T5036" s="340" t="str">
        <f t="shared" si="195"/>
        <v>2007AllSexMaori19Hanging, strangulation and suffocation</v>
      </c>
      <c r="U5036">
        <v>2007</v>
      </c>
      <c r="V5036" t="s">
        <v>17</v>
      </c>
      <c r="W5036" t="s">
        <v>18</v>
      </c>
      <c r="X5036">
        <v>19</v>
      </c>
      <c r="Y5036" t="s">
        <v>43</v>
      </c>
      <c r="Z5036">
        <v>71</v>
      </c>
      <c r="AA5036">
        <v>97</v>
      </c>
      <c r="AB5036">
        <v>73.2</v>
      </c>
    </row>
    <row r="5037" spans="20:28">
      <c r="T5037" s="340" t="str">
        <f t="shared" si="195"/>
        <v>2007AllSexMaori19Jumping from a high place</v>
      </c>
      <c r="U5037">
        <v>2007</v>
      </c>
      <c r="V5037" t="s">
        <v>17</v>
      </c>
      <c r="W5037" t="s">
        <v>18</v>
      </c>
      <c r="X5037">
        <v>19</v>
      </c>
      <c r="Y5037" t="s">
        <v>44</v>
      </c>
      <c r="Z5037">
        <v>1</v>
      </c>
      <c r="AA5037">
        <v>97</v>
      </c>
      <c r="AB5037">
        <v>1</v>
      </c>
    </row>
    <row r="5038" spans="20:28">
      <c r="T5038" s="340" t="str">
        <f t="shared" si="195"/>
        <v>2007AllSexMaori19Other</v>
      </c>
      <c r="U5038">
        <v>2007</v>
      </c>
      <c r="V5038" t="s">
        <v>17</v>
      </c>
      <c r="W5038" t="s">
        <v>18</v>
      </c>
      <c r="X5038">
        <v>19</v>
      </c>
      <c r="Y5038" t="s">
        <v>45</v>
      </c>
      <c r="Z5038">
        <v>2</v>
      </c>
      <c r="AA5038">
        <v>97</v>
      </c>
      <c r="AB5038">
        <v>2.1</v>
      </c>
    </row>
    <row r="5039" spans="20:28">
      <c r="T5039" s="340" t="str">
        <f t="shared" si="195"/>
        <v>2007AllSexMaori19Poisoning by gases and vapours</v>
      </c>
      <c r="U5039">
        <v>2007</v>
      </c>
      <c r="V5039" t="s">
        <v>17</v>
      </c>
      <c r="W5039" t="s">
        <v>18</v>
      </c>
      <c r="X5039">
        <v>19</v>
      </c>
      <c r="Y5039" t="s">
        <v>46</v>
      </c>
      <c r="Z5039">
        <v>6</v>
      </c>
      <c r="AA5039">
        <v>97</v>
      </c>
      <c r="AB5039">
        <v>6.2</v>
      </c>
    </row>
    <row r="5040" spans="20:28">
      <c r="T5040" s="340" t="str">
        <f t="shared" si="195"/>
        <v>2007AllSexMaori19Poisoning by solids and liquids</v>
      </c>
      <c r="U5040">
        <v>2007</v>
      </c>
      <c r="V5040" t="s">
        <v>17</v>
      </c>
      <c r="W5040" t="s">
        <v>18</v>
      </c>
      <c r="X5040">
        <v>19</v>
      </c>
      <c r="Y5040" t="s">
        <v>47</v>
      </c>
      <c r="Z5040">
        <v>9</v>
      </c>
      <c r="AA5040">
        <v>97</v>
      </c>
      <c r="AB5040">
        <v>9.3000000000000007</v>
      </c>
    </row>
    <row r="5041" spans="20:28">
      <c r="T5041" s="340" t="str">
        <f t="shared" si="195"/>
        <v>2007AllSexMaori19Submersion (drowning)</v>
      </c>
      <c r="U5041">
        <v>2007</v>
      </c>
      <c r="V5041" t="s">
        <v>17</v>
      </c>
      <c r="W5041" t="s">
        <v>18</v>
      </c>
      <c r="X5041">
        <v>19</v>
      </c>
      <c r="Y5041" t="s">
        <v>49</v>
      </c>
      <c r="Z5041">
        <v>2</v>
      </c>
      <c r="AA5041">
        <v>97</v>
      </c>
      <c r="AB5041">
        <v>2.1</v>
      </c>
    </row>
    <row r="5042" spans="20:28">
      <c r="T5042" s="340" t="str">
        <f t="shared" si="195"/>
        <v>2007AllSexNon-Maori19Firearms and explosives</v>
      </c>
      <c r="U5042">
        <v>2007</v>
      </c>
      <c r="V5042" t="s">
        <v>17</v>
      </c>
      <c r="W5042" t="s">
        <v>19</v>
      </c>
      <c r="X5042">
        <v>19</v>
      </c>
      <c r="Y5042" t="s">
        <v>42</v>
      </c>
      <c r="Z5042">
        <v>42</v>
      </c>
      <c r="AA5042">
        <v>404</v>
      </c>
      <c r="AB5042">
        <v>10.4</v>
      </c>
    </row>
    <row r="5043" spans="20:28">
      <c r="T5043" s="340" t="str">
        <f t="shared" si="195"/>
        <v>2007AllSexNon-Maori19Hanging, strangulation and suffocation</v>
      </c>
      <c r="U5043">
        <v>2007</v>
      </c>
      <c r="V5043" t="s">
        <v>17</v>
      </c>
      <c r="W5043" t="s">
        <v>19</v>
      </c>
      <c r="X5043">
        <v>19</v>
      </c>
      <c r="Y5043" t="s">
        <v>43</v>
      </c>
      <c r="Z5043">
        <v>213</v>
      </c>
      <c r="AA5043">
        <v>404</v>
      </c>
      <c r="AB5043">
        <v>52.7</v>
      </c>
    </row>
    <row r="5044" spans="20:28">
      <c r="T5044" s="340" t="str">
        <f t="shared" si="195"/>
        <v>2007AllSexNon-Maori19Jumping from a high place</v>
      </c>
      <c r="U5044">
        <v>2007</v>
      </c>
      <c r="V5044" t="s">
        <v>17</v>
      </c>
      <c r="W5044" t="s">
        <v>19</v>
      </c>
      <c r="X5044">
        <v>19</v>
      </c>
      <c r="Y5044" t="s">
        <v>44</v>
      </c>
      <c r="Z5044">
        <v>12</v>
      </c>
      <c r="AA5044">
        <v>404</v>
      </c>
      <c r="AB5044">
        <v>3</v>
      </c>
    </row>
    <row r="5045" spans="20:28">
      <c r="T5045" s="340" t="str">
        <f t="shared" si="195"/>
        <v>2007AllSexNon-Maori19Other</v>
      </c>
      <c r="U5045">
        <v>2007</v>
      </c>
      <c r="V5045" t="s">
        <v>17</v>
      </c>
      <c r="W5045" t="s">
        <v>19</v>
      </c>
      <c r="X5045">
        <v>19</v>
      </c>
      <c r="Y5045" t="s">
        <v>45</v>
      </c>
      <c r="Z5045">
        <v>17</v>
      </c>
      <c r="AA5045">
        <v>404</v>
      </c>
      <c r="AB5045">
        <v>4.2</v>
      </c>
    </row>
    <row r="5046" spans="20:28">
      <c r="T5046" s="340" t="str">
        <f t="shared" si="195"/>
        <v>2007AllSexNon-Maori19Poisoning by gases and vapours</v>
      </c>
      <c r="U5046">
        <v>2007</v>
      </c>
      <c r="V5046" t="s">
        <v>17</v>
      </c>
      <c r="W5046" t="s">
        <v>19</v>
      </c>
      <c r="X5046">
        <v>19</v>
      </c>
      <c r="Y5046" t="s">
        <v>46</v>
      </c>
      <c r="Z5046">
        <v>66</v>
      </c>
      <c r="AA5046">
        <v>404</v>
      </c>
      <c r="AB5046">
        <v>16.3</v>
      </c>
    </row>
    <row r="5047" spans="20:28">
      <c r="T5047" s="340" t="str">
        <f t="shared" si="195"/>
        <v>2007AllSexNon-Maori19Poisoning by solids and liquids</v>
      </c>
      <c r="U5047">
        <v>2007</v>
      </c>
      <c r="V5047" t="s">
        <v>17</v>
      </c>
      <c r="W5047" t="s">
        <v>19</v>
      </c>
      <c r="X5047">
        <v>19</v>
      </c>
      <c r="Y5047" t="s">
        <v>47</v>
      </c>
      <c r="Z5047">
        <v>39</v>
      </c>
      <c r="AA5047">
        <v>404</v>
      </c>
      <c r="AB5047">
        <v>9.6999999999999993</v>
      </c>
    </row>
    <row r="5048" spans="20:28">
      <c r="T5048" s="340" t="str">
        <f t="shared" si="195"/>
        <v>2007AllSexNon-Maori19Sharp object</v>
      </c>
      <c r="U5048">
        <v>2007</v>
      </c>
      <c r="V5048" t="s">
        <v>17</v>
      </c>
      <c r="W5048" t="s">
        <v>19</v>
      </c>
      <c r="X5048">
        <v>19</v>
      </c>
      <c r="Y5048" t="s">
        <v>48</v>
      </c>
      <c r="Z5048">
        <v>6</v>
      </c>
      <c r="AA5048">
        <v>404</v>
      </c>
      <c r="AB5048">
        <v>1.5</v>
      </c>
    </row>
    <row r="5049" spans="20:28">
      <c r="T5049" s="340" t="str">
        <f t="shared" si="195"/>
        <v>2007AllSexNon-Maori19Submersion (drowning)</v>
      </c>
      <c r="U5049">
        <v>2007</v>
      </c>
      <c r="V5049" t="s">
        <v>17</v>
      </c>
      <c r="W5049" t="s">
        <v>19</v>
      </c>
      <c r="X5049">
        <v>19</v>
      </c>
      <c r="Y5049" t="s">
        <v>49</v>
      </c>
      <c r="Z5049">
        <v>9</v>
      </c>
      <c r="AA5049">
        <v>404</v>
      </c>
      <c r="AB5049">
        <v>2.2000000000000002</v>
      </c>
    </row>
    <row r="5050" spans="20:28">
      <c r="T5050" s="340" t="str">
        <f t="shared" si="195"/>
        <v>2007FemaleAllEth19Firearms and explosives</v>
      </c>
      <c r="U5050">
        <v>2007</v>
      </c>
      <c r="V5050" t="s">
        <v>8</v>
      </c>
      <c r="W5050" t="s">
        <v>27</v>
      </c>
      <c r="X5050">
        <v>19</v>
      </c>
      <c r="Y5050" t="s">
        <v>42</v>
      </c>
      <c r="Z5050">
        <v>4</v>
      </c>
      <c r="AA5050">
        <v>120</v>
      </c>
      <c r="AB5050">
        <v>3.3</v>
      </c>
    </row>
    <row r="5051" spans="20:28">
      <c r="T5051" s="340" t="str">
        <f t="shared" si="195"/>
        <v>2007FemaleAllEth19Hanging, strangulation and suffocation</v>
      </c>
      <c r="U5051">
        <v>2007</v>
      </c>
      <c r="V5051" t="s">
        <v>8</v>
      </c>
      <c r="W5051" t="s">
        <v>27</v>
      </c>
      <c r="X5051">
        <v>19</v>
      </c>
      <c r="Y5051" t="s">
        <v>43</v>
      </c>
      <c r="Z5051">
        <v>54</v>
      </c>
      <c r="AA5051">
        <v>120</v>
      </c>
      <c r="AB5051">
        <v>45</v>
      </c>
    </row>
    <row r="5052" spans="20:28">
      <c r="T5052" s="340" t="str">
        <f t="shared" si="195"/>
        <v>2007FemaleAllEth19Jumping from a high place</v>
      </c>
      <c r="U5052">
        <v>2007</v>
      </c>
      <c r="V5052" t="s">
        <v>8</v>
      </c>
      <c r="W5052" t="s">
        <v>27</v>
      </c>
      <c r="X5052">
        <v>19</v>
      </c>
      <c r="Y5052" t="s">
        <v>44</v>
      </c>
      <c r="Z5052">
        <v>3</v>
      </c>
      <c r="AA5052">
        <v>120</v>
      </c>
      <c r="AB5052">
        <v>2.5</v>
      </c>
    </row>
    <row r="5053" spans="20:28">
      <c r="T5053" s="340" t="str">
        <f t="shared" si="195"/>
        <v>2007FemaleAllEth19Other</v>
      </c>
      <c r="U5053">
        <v>2007</v>
      </c>
      <c r="V5053" t="s">
        <v>8</v>
      </c>
      <c r="W5053" t="s">
        <v>27</v>
      </c>
      <c r="X5053">
        <v>19</v>
      </c>
      <c r="Y5053" t="s">
        <v>45</v>
      </c>
      <c r="Z5053">
        <v>5</v>
      </c>
      <c r="AA5053">
        <v>120</v>
      </c>
      <c r="AB5053">
        <v>4.2</v>
      </c>
    </row>
    <row r="5054" spans="20:28">
      <c r="T5054" s="340" t="str">
        <f t="shared" si="195"/>
        <v>2007FemaleAllEth19Poisoning by gases and vapours</v>
      </c>
      <c r="U5054">
        <v>2007</v>
      </c>
      <c r="V5054" t="s">
        <v>8</v>
      </c>
      <c r="W5054" t="s">
        <v>27</v>
      </c>
      <c r="X5054">
        <v>19</v>
      </c>
      <c r="Y5054" t="s">
        <v>46</v>
      </c>
      <c r="Z5054">
        <v>20</v>
      </c>
      <c r="AA5054">
        <v>120</v>
      </c>
      <c r="AB5054">
        <v>16.7</v>
      </c>
    </row>
    <row r="5055" spans="20:28">
      <c r="T5055" s="340" t="str">
        <f t="shared" si="195"/>
        <v>2007FemaleAllEth19Poisoning by solids and liquids</v>
      </c>
      <c r="U5055">
        <v>2007</v>
      </c>
      <c r="V5055" t="s">
        <v>8</v>
      </c>
      <c r="W5055" t="s">
        <v>27</v>
      </c>
      <c r="X5055">
        <v>19</v>
      </c>
      <c r="Y5055" t="s">
        <v>47</v>
      </c>
      <c r="Z5055">
        <v>28</v>
      </c>
      <c r="AA5055">
        <v>120</v>
      </c>
      <c r="AB5055">
        <v>23.3</v>
      </c>
    </row>
    <row r="5056" spans="20:28">
      <c r="T5056" s="340" t="str">
        <f t="shared" si="195"/>
        <v>2007FemaleAllEth19Submersion (drowning)</v>
      </c>
      <c r="U5056">
        <v>2007</v>
      </c>
      <c r="V5056" t="s">
        <v>8</v>
      </c>
      <c r="W5056" t="s">
        <v>27</v>
      </c>
      <c r="X5056">
        <v>19</v>
      </c>
      <c r="Y5056" t="s">
        <v>49</v>
      </c>
      <c r="Z5056">
        <v>6</v>
      </c>
      <c r="AA5056">
        <v>120</v>
      </c>
      <c r="AB5056">
        <v>5</v>
      </c>
    </row>
    <row r="5057" spans="20:28">
      <c r="T5057" s="340" t="str">
        <f t="shared" si="195"/>
        <v>2007FemaleMaori19Hanging, strangulation and suffocation</v>
      </c>
      <c r="U5057">
        <v>2007</v>
      </c>
      <c r="V5057" t="s">
        <v>8</v>
      </c>
      <c r="W5057" t="s">
        <v>18</v>
      </c>
      <c r="X5057">
        <v>19</v>
      </c>
      <c r="Y5057" t="s">
        <v>43</v>
      </c>
      <c r="Z5057">
        <v>16</v>
      </c>
      <c r="AA5057">
        <v>23</v>
      </c>
      <c r="AB5057">
        <v>69.599999999999994</v>
      </c>
    </row>
    <row r="5058" spans="20:28">
      <c r="T5058" s="340" t="str">
        <f t="shared" si="195"/>
        <v>2007FemaleMaori19Poisoning by solids and liquids</v>
      </c>
      <c r="U5058">
        <v>2007</v>
      </c>
      <c r="V5058" t="s">
        <v>8</v>
      </c>
      <c r="W5058" t="s">
        <v>18</v>
      </c>
      <c r="X5058">
        <v>19</v>
      </c>
      <c r="Y5058" t="s">
        <v>47</v>
      </c>
      <c r="Z5058">
        <v>5</v>
      </c>
      <c r="AA5058">
        <v>23</v>
      </c>
      <c r="AB5058">
        <v>21.7</v>
      </c>
    </row>
    <row r="5059" spans="20:28">
      <c r="T5059" s="340" t="str">
        <f t="shared" si="195"/>
        <v>2007FemaleMaori19Submersion (drowning)</v>
      </c>
      <c r="U5059">
        <v>2007</v>
      </c>
      <c r="V5059" t="s">
        <v>8</v>
      </c>
      <c r="W5059" t="s">
        <v>18</v>
      </c>
      <c r="X5059">
        <v>19</v>
      </c>
      <c r="Y5059" t="s">
        <v>49</v>
      </c>
      <c r="Z5059">
        <v>2</v>
      </c>
      <c r="AA5059">
        <v>23</v>
      </c>
      <c r="AB5059">
        <v>8.6999999999999993</v>
      </c>
    </row>
    <row r="5060" spans="20:28">
      <c r="T5060" s="340" t="str">
        <f t="shared" si="195"/>
        <v>2007FemaleNon-Maori19Firearms and explosives</v>
      </c>
      <c r="U5060">
        <v>2007</v>
      </c>
      <c r="V5060" t="s">
        <v>8</v>
      </c>
      <c r="W5060" t="s">
        <v>19</v>
      </c>
      <c r="X5060">
        <v>19</v>
      </c>
      <c r="Y5060" t="s">
        <v>42</v>
      </c>
      <c r="Z5060">
        <v>4</v>
      </c>
      <c r="AA5060">
        <v>97</v>
      </c>
      <c r="AB5060">
        <v>4.0999999999999996</v>
      </c>
    </row>
    <row r="5061" spans="20:28">
      <c r="T5061" s="340" t="str">
        <f t="shared" ref="T5061:T5124" si="196">U5061&amp;V5061&amp;W5061&amp;X5061&amp;Y5061</f>
        <v>2007FemaleNon-Maori19Hanging, strangulation and suffocation</v>
      </c>
      <c r="U5061">
        <v>2007</v>
      </c>
      <c r="V5061" t="s">
        <v>8</v>
      </c>
      <c r="W5061" t="s">
        <v>19</v>
      </c>
      <c r="X5061">
        <v>19</v>
      </c>
      <c r="Y5061" t="s">
        <v>43</v>
      </c>
      <c r="Z5061">
        <v>38</v>
      </c>
      <c r="AA5061">
        <v>97</v>
      </c>
      <c r="AB5061">
        <v>39.200000000000003</v>
      </c>
    </row>
    <row r="5062" spans="20:28">
      <c r="T5062" s="340" t="str">
        <f t="shared" si="196"/>
        <v>2007FemaleNon-Maori19Jumping from a high place</v>
      </c>
      <c r="U5062">
        <v>2007</v>
      </c>
      <c r="V5062" t="s">
        <v>8</v>
      </c>
      <c r="W5062" t="s">
        <v>19</v>
      </c>
      <c r="X5062">
        <v>19</v>
      </c>
      <c r="Y5062" t="s">
        <v>44</v>
      </c>
      <c r="Z5062">
        <v>3</v>
      </c>
      <c r="AA5062">
        <v>97</v>
      </c>
      <c r="AB5062">
        <v>3.1</v>
      </c>
    </row>
    <row r="5063" spans="20:28">
      <c r="T5063" s="340" t="str">
        <f t="shared" si="196"/>
        <v>2007FemaleNon-Maori19Other</v>
      </c>
      <c r="U5063">
        <v>2007</v>
      </c>
      <c r="V5063" t="s">
        <v>8</v>
      </c>
      <c r="W5063" t="s">
        <v>19</v>
      </c>
      <c r="X5063">
        <v>19</v>
      </c>
      <c r="Y5063" t="s">
        <v>45</v>
      </c>
      <c r="Z5063">
        <v>5</v>
      </c>
      <c r="AA5063">
        <v>97</v>
      </c>
      <c r="AB5063">
        <v>5.2</v>
      </c>
    </row>
    <row r="5064" spans="20:28">
      <c r="T5064" s="340" t="str">
        <f t="shared" si="196"/>
        <v>2007FemaleNon-Maori19Poisoning by gases and vapours</v>
      </c>
      <c r="U5064">
        <v>2007</v>
      </c>
      <c r="V5064" t="s">
        <v>8</v>
      </c>
      <c r="W5064" t="s">
        <v>19</v>
      </c>
      <c r="X5064">
        <v>19</v>
      </c>
      <c r="Y5064" t="s">
        <v>46</v>
      </c>
      <c r="Z5064">
        <v>20</v>
      </c>
      <c r="AA5064">
        <v>97</v>
      </c>
      <c r="AB5064">
        <v>20.6</v>
      </c>
    </row>
    <row r="5065" spans="20:28">
      <c r="T5065" s="340" t="str">
        <f t="shared" si="196"/>
        <v>2007FemaleNon-Maori19Poisoning by solids and liquids</v>
      </c>
      <c r="U5065">
        <v>2007</v>
      </c>
      <c r="V5065" t="s">
        <v>8</v>
      </c>
      <c r="W5065" t="s">
        <v>19</v>
      </c>
      <c r="X5065">
        <v>19</v>
      </c>
      <c r="Y5065" t="s">
        <v>47</v>
      </c>
      <c r="Z5065">
        <v>23</v>
      </c>
      <c r="AA5065">
        <v>97</v>
      </c>
      <c r="AB5065">
        <v>23.7</v>
      </c>
    </row>
    <row r="5066" spans="20:28">
      <c r="T5066" s="340" t="str">
        <f t="shared" si="196"/>
        <v>2007FemaleNon-Maori19Submersion (drowning)</v>
      </c>
      <c r="U5066">
        <v>2007</v>
      </c>
      <c r="V5066" t="s">
        <v>8</v>
      </c>
      <c r="W5066" t="s">
        <v>19</v>
      </c>
      <c r="X5066">
        <v>19</v>
      </c>
      <c r="Y5066" t="s">
        <v>49</v>
      </c>
      <c r="Z5066">
        <v>4</v>
      </c>
      <c r="AA5066">
        <v>97</v>
      </c>
      <c r="AB5066">
        <v>4.0999999999999996</v>
      </c>
    </row>
    <row r="5067" spans="20:28">
      <c r="T5067" s="340" t="str">
        <f t="shared" si="196"/>
        <v>2007MaleAllEth19Firearms and explosives</v>
      </c>
      <c r="U5067">
        <v>2007</v>
      </c>
      <c r="V5067" t="s">
        <v>20</v>
      </c>
      <c r="W5067" t="s">
        <v>27</v>
      </c>
      <c r="X5067">
        <v>19</v>
      </c>
      <c r="Y5067" t="s">
        <v>42</v>
      </c>
      <c r="Z5067">
        <v>44</v>
      </c>
      <c r="AA5067">
        <v>381</v>
      </c>
      <c r="AB5067">
        <v>11.5</v>
      </c>
    </row>
    <row r="5068" spans="20:28">
      <c r="T5068" s="340" t="str">
        <f t="shared" si="196"/>
        <v>2007MaleAllEth19Hanging, strangulation and suffocation</v>
      </c>
      <c r="U5068">
        <v>2007</v>
      </c>
      <c r="V5068" t="s">
        <v>20</v>
      </c>
      <c r="W5068" t="s">
        <v>27</v>
      </c>
      <c r="X5068">
        <v>19</v>
      </c>
      <c r="Y5068" t="s">
        <v>43</v>
      </c>
      <c r="Z5068">
        <v>230</v>
      </c>
      <c r="AA5068">
        <v>381</v>
      </c>
      <c r="AB5068">
        <v>60.4</v>
      </c>
    </row>
    <row r="5069" spans="20:28">
      <c r="T5069" s="340" t="str">
        <f t="shared" si="196"/>
        <v>2007MaleAllEth19Jumping from a high place</v>
      </c>
      <c r="U5069">
        <v>2007</v>
      </c>
      <c r="V5069" t="s">
        <v>20</v>
      </c>
      <c r="W5069" t="s">
        <v>27</v>
      </c>
      <c r="X5069">
        <v>19</v>
      </c>
      <c r="Y5069" t="s">
        <v>44</v>
      </c>
      <c r="Z5069">
        <v>10</v>
      </c>
      <c r="AA5069">
        <v>381</v>
      </c>
      <c r="AB5069">
        <v>2.6</v>
      </c>
    </row>
    <row r="5070" spans="20:28">
      <c r="T5070" s="340" t="str">
        <f t="shared" si="196"/>
        <v>2007MaleAllEth19Other</v>
      </c>
      <c r="U5070">
        <v>2007</v>
      </c>
      <c r="V5070" t="s">
        <v>20</v>
      </c>
      <c r="W5070" t="s">
        <v>27</v>
      </c>
      <c r="X5070">
        <v>19</v>
      </c>
      <c r="Y5070" t="s">
        <v>45</v>
      </c>
      <c r="Z5070">
        <v>14</v>
      </c>
      <c r="AA5070">
        <v>381</v>
      </c>
      <c r="AB5070">
        <v>3.7</v>
      </c>
    </row>
    <row r="5071" spans="20:28">
      <c r="T5071" s="340" t="str">
        <f t="shared" si="196"/>
        <v>2007MaleAllEth19Poisoning by gases and vapours</v>
      </c>
      <c r="U5071">
        <v>2007</v>
      </c>
      <c r="V5071" t="s">
        <v>20</v>
      </c>
      <c r="W5071" t="s">
        <v>27</v>
      </c>
      <c r="X5071">
        <v>19</v>
      </c>
      <c r="Y5071" t="s">
        <v>46</v>
      </c>
      <c r="Z5071">
        <v>52</v>
      </c>
      <c r="AA5071">
        <v>381</v>
      </c>
      <c r="AB5071">
        <v>13.6</v>
      </c>
    </row>
    <row r="5072" spans="20:28">
      <c r="T5072" s="340" t="str">
        <f t="shared" si="196"/>
        <v>2007MaleAllEth19Poisoning by solids and liquids</v>
      </c>
      <c r="U5072">
        <v>2007</v>
      </c>
      <c r="V5072" t="s">
        <v>20</v>
      </c>
      <c r="W5072" t="s">
        <v>27</v>
      </c>
      <c r="X5072">
        <v>19</v>
      </c>
      <c r="Y5072" t="s">
        <v>47</v>
      </c>
      <c r="Z5072">
        <v>20</v>
      </c>
      <c r="AA5072">
        <v>381</v>
      </c>
      <c r="AB5072">
        <v>5.2</v>
      </c>
    </row>
    <row r="5073" spans="20:28">
      <c r="T5073" s="340" t="str">
        <f t="shared" si="196"/>
        <v>2007MaleAllEth19Sharp object</v>
      </c>
      <c r="U5073">
        <v>2007</v>
      </c>
      <c r="V5073" t="s">
        <v>20</v>
      </c>
      <c r="W5073" t="s">
        <v>27</v>
      </c>
      <c r="X5073">
        <v>19</v>
      </c>
      <c r="Y5073" t="s">
        <v>48</v>
      </c>
      <c r="Z5073">
        <v>6</v>
      </c>
      <c r="AA5073">
        <v>381</v>
      </c>
      <c r="AB5073">
        <v>1.6</v>
      </c>
    </row>
    <row r="5074" spans="20:28">
      <c r="T5074" s="340" t="str">
        <f t="shared" si="196"/>
        <v>2007MaleAllEth19Submersion (drowning)</v>
      </c>
      <c r="U5074">
        <v>2007</v>
      </c>
      <c r="V5074" t="s">
        <v>20</v>
      </c>
      <c r="W5074" t="s">
        <v>27</v>
      </c>
      <c r="X5074">
        <v>19</v>
      </c>
      <c r="Y5074" t="s">
        <v>49</v>
      </c>
      <c r="Z5074">
        <v>5</v>
      </c>
      <c r="AA5074">
        <v>381</v>
      </c>
      <c r="AB5074">
        <v>1.3</v>
      </c>
    </row>
    <row r="5075" spans="20:28">
      <c r="T5075" s="340" t="str">
        <f t="shared" si="196"/>
        <v>2007MaleMaori19Firearms and explosives</v>
      </c>
      <c r="U5075">
        <v>2007</v>
      </c>
      <c r="V5075" t="s">
        <v>20</v>
      </c>
      <c r="W5075" t="s">
        <v>18</v>
      </c>
      <c r="X5075">
        <v>19</v>
      </c>
      <c r="Y5075" t="s">
        <v>42</v>
      </c>
      <c r="Z5075">
        <v>6</v>
      </c>
      <c r="AA5075">
        <v>74</v>
      </c>
      <c r="AB5075">
        <v>8.1</v>
      </c>
    </row>
    <row r="5076" spans="20:28">
      <c r="T5076" s="340" t="str">
        <f t="shared" si="196"/>
        <v>2007MaleMaori19Hanging, strangulation and suffocation</v>
      </c>
      <c r="U5076">
        <v>2007</v>
      </c>
      <c r="V5076" t="s">
        <v>20</v>
      </c>
      <c r="W5076" t="s">
        <v>18</v>
      </c>
      <c r="X5076">
        <v>19</v>
      </c>
      <c r="Y5076" t="s">
        <v>43</v>
      </c>
      <c r="Z5076">
        <v>55</v>
      </c>
      <c r="AA5076">
        <v>74</v>
      </c>
      <c r="AB5076">
        <v>74.3</v>
      </c>
    </row>
    <row r="5077" spans="20:28">
      <c r="T5077" s="340" t="str">
        <f t="shared" si="196"/>
        <v>2007MaleMaori19Jumping from a high place</v>
      </c>
      <c r="U5077">
        <v>2007</v>
      </c>
      <c r="V5077" t="s">
        <v>20</v>
      </c>
      <c r="W5077" t="s">
        <v>18</v>
      </c>
      <c r="X5077">
        <v>19</v>
      </c>
      <c r="Y5077" t="s">
        <v>44</v>
      </c>
      <c r="Z5077">
        <v>1</v>
      </c>
      <c r="AA5077">
        <v>74</v>
      </c>
      <c r="AB5077">
        <v>1.4</v>
      </c>
    </row>
    <row r="5078" spans="20:28">
      <c r="T5078" s="340" t="str">
        <f t="shared" si="196"/>
        <v>2007MaleMaori19Other</v>
      </c>
      <c r="U5078">
        <v>2007</v>
      </c>
      <c r="V5078" t="s">
        <v>20</v>
      </c>
      <c r="W5078" t="s">
        <v>18</v>
      </c>
      <c r="X5078">
        <v>19</v>
      </c>
      <c r="Y5078" t="s">
        <v>45</v>
      </c>
      <c r="Z5078">
        <v>2</v>
      </c>
      <c r="AA5078">
        <v>74</v>
      </c>
      <c r="AB5078">
        <v>2.7</v>
      </c>
    </row>
    <row r="5079" spans="20:28">
      <c r="T5079" s="340" t="str">
        <f t="shared" si="196"/>
        <v>2007MaleMaori19Poisoning by gases and vapours</v>
      </c>
      <c r="U5079">
        <v>2007</v>
      </c>
      <c r="V5079" t="s">
        <v>20</v>
      </c>
      <c r="W5079" t="s">
        <v>18</v>
      </c>
      <c r="X5079">
        <v>19</v>
      </c>
      <c r="Y5079" t="s">
        <v>46</v>
      </c>
      <c r="Z5079">
        <v>6</v>
      </c>
      <c r="AA5079">
        <v>74</v>
      </c>
      <c r="AB5079">
        <v>8.1</v>
      </c>
    </row>
    <row r="5080" spans="20:28">
      <c r="T5080" s="340" t="str">
        <f t="shared" si="196"/>
        <v>2007MaleMaori19Poisoning by solids and liquids</v>
      </c>
      <c r="U5080">
        <v>2007</v>
      </c>
      <c r="V5080" t="s">
        <v>20</v>
      </c>
      <c r="W5080" t="s">
        <v>18</v>
      </c>
      <c r="X5080">
        <v>19</v>
      </c>
      <c r="Y5080" t="s">
        <v>47</v>
      </c>
      <c r="Z5080">
        <v>4</v>
      </c>
      <c r="AA5080">
        <v>74</v>
      </c>
      <c r="AB5080">
        <v>5.4</v>
      </c>
    </row>
    <row r="5081" spans="20:28">
      <c r="T5081" s="340" t="str">
        <f t="shared" si="196"/>
        <v>2007MaleNon-Maori19Firearms and explosives</v>
      </c>
      <c r="U5081">
        <v>2007</v>
      </c>
      <c r="V5081" t="s">
        <v>20</v>
      </c>
      <c r="W5081" t="s">
        <v>19</v>
      </c>
      <c r="X5081">
        <v>19</v>
      </c>
      <c r="Y5081" t="s">
        <v>42</v>
      </c>
      <c r="Z5081">
        <v>38</v>
      </c>
      <c r="AA5081">
        <v>307</v>
      </c>
      <c r="AB5081">
        <v>12.4</v>
      </c>
    </row>
    <row r="5082" spans="20:28">
      <c r="T5082" s="340" t="str">
        <f t="shared" si="196"/>
        <v>2007MaleNon-Maori19Hanging, strangulation and suffocation</v>
      </c>
      <c r="U5082">
        <v>2007</v>
      </c>
      <c r="V5082" t="s">
        <v>20</v>
      </c>
      <c r="W5082" t="s">
        <v>19</v>
      </c>
      <c r="X5082">
        <v>19</v>
      </c>
      <c r="Y5082" t="s">
        <v>43</v>
      </c>
      <c r="Z5082">
        <v>175</v>
      </c>
      <c r="AA5082">
        <v>307</v>
      </c>
      <c r="AB5082">
        <v>57</v>
      </c>
    </row>
    <row r="5083" spans="20:28">
      <c r="T5083" s="340" t="str">
        <f t="shared" si="196"/>
        <v>2007MaleNon-Maori19Jumping from a high place</v>
      </c>
      <c r="U5083">
        <v>2007</v>
      </c>
      <c r="V5083" t="s">
        <v>20</v>
      </c>
      <c r="W5083" t="s">
        <v>19</v>
      </c>
      <c r="X5083">
        <v>19</v>
      </c>
      <c r="Y5083" t="s">
        <v>44</v>
      </c>
      <c r="Z5083">
        <v>9</v>
      </c>
      <c r="AA5083">
        <v>307</v>
      </c>
      <c r="AB5083">
        <v>2.9</v>
      </c>
    </row>
    <row r="5084" spans="20:28">
      <c r="T5084" s="340" t="str">
        <f t="shared" si="196"/>
        <v>2007MaleNon-Maori19Other</v>
      </c>
      <c r="U5084">
        <v>2007</v>
      </c>
      <c r="V5084" t="s">
        <v>20</v>
      </c>
      <c r="W5084" t="s">
        <v>19</v>
      </c>
      <c r="X5084">
        <v>19</v>
      </c>
      <c r="Y5084" t="s">
        <v>45</v>
      </c>
      <c r="Z5084">
        <v>12</v>
      </c>
      <c r="AA5084">
        <v>307</v>
      </c>
      <c r="AB5084">
        <v>3.9</v>
      </c>
    </row>
    <row r="5085" spans="20:28">
      <c r="T5085" s="340" t="str">
        <f t="shared" si="196"/>
        <v>2007MaleNon-Maori19Poisoning by gases and vapours</v>
      </c>
      <c r="U5085">
        <v>2007</v>
      </c>
      <c r="V5085" t="s">
        <v>20</v>
      </c>
      <c r="W5085" t="s">
        <v>19</v>
      </c>
      <c r="X5085">
        <v>19</v>
      </c>
      <c r="Y5085" t="s">
        <v>46</v>
      </c>
      <c r="Z5085">
        <v>46</v>
      </c>
      <c r="AA5085">
        <v>307</v>
      </c>
      <c r="AB5085">
        <v>15</v>
      </c>
    </row>
    <row r="5086" spans="20:28">
      <c r="T5086" s="340" t="str">
        <f t="shared" si="196"/>
        <v>2007MaleNon-Maori19Poisoning by solids and liquids</v>
      </c>
      <c r="U5086">
        <v>2007</v>
      </c>
      <c r="V5086" t="s">
        <v>20</v>
      </c>
      <c r="W5086" t="s">
        <v>19</v>
      </c>
      <c r="X5086">
        <v>19</v>
      </c>
      <c r="Y5086" t="s">
        <v>47</v>
      </c>
      <c r="Z5086">
        <v>16</v>
      </c>
      <c r="AA5086">
        <v>307</v>
      </c>
      <c r="AB5086">
        <v>5.2</v>
      </c>
    </row>
    <row r="5087" spans="20:28">
      <c r="T5087" s="340" t="str">
        <f t="shared" si="196"/>
        <v>2007MaleNon-Maori19Sharp object</v>
      </c>
      <c r="U5087">
        <v>2007</v>
      </c>
      <c r="V5087" t="s">
        <v>20</v>
      </c>
      <c r="W5087" t="s">
        <v>19</v>
      </c>
      <c r="X5087">
        <v>19</v>
      </c>
      <c r="Y5087" t="s">
        <v>48</v>
      </c>
      <c r="Z5087">
        <v>6</v>
      </c>
      <c r="AA5087">
        <v>307</v>
      </c>
      <c r="AB5087">
        <v>2</v>
      </c>
    </row>
    <row r="5088" spans="20:28">
      <c r="T5088" s="340" t="str">
        <f t="shared" si="196"/>
        <v>2007MaleNon-Maori19Submersion (drowning)</v>
      </c>
      <c r="U5088">
        <v>2007</v>
      </c>
      <c r="V5088" t="s">
        <v>20</v>
      </c>
      <c r="W5088" t="s">
        <v>19</v>
      </c>
      <c r="X5088">
        <v>19</v>
      </c>
      <c r="Y5088" t="s">
        <v>49</v>
      </c>
      <c r="Z5088">
        <v>5</v>
      </c>
      <c r="AA5088">
        <v>307</v>
      </c>
      <c r="AB5088">
        <v>1.6</v>
      </c>
    </row>
    <row r="5089" spans="20:28">
      <c r="T5089" s="340" t="str">
        <f t="shared" si="196"/>
        <v>2008AllSexAllEth19Firearms and explosives</v>
      </c>
      <c r="U5089">
        <v>2008</v>
      </c>
      <c r="V5089" t="s">
        <v>17</v>
      </c>
      <c r="W5089" t="s">
        <v>27</v>
      </c>
      <c r="X5089">
        <v>19</v>
      </c>
      <c r="Y5089" t="s">
        <v>42</v>
      </c>
      <c r="Z5089">
        <v>42</v>
      </c>
      <c r="AA5089">
        <v>518</v>
      </c>
      <c r="AB5089">
        <v>8.1</v>
      </c>
    </row>
    <row r="5090" spans="20:28">
      <c r="T5090" s="340" t="str">
        <f t="shared" si="196"/>
        <v>2008AllSexAllEth19Hanging, strangulation and suffocation</v>
      </c>
      <c r="U5090">
        <v>2008</v>
      </c>
      <c r="V5090" t="s">
        <v>17</v>
      </c>
      <c r="W5090" t="s">
        <v>27</v>
      </c>
      <c r="X5090">
        <v>19</v>
      </c>
      <c r="Y5090" t="s">
        <v>43</v>
      </c>
      <c r="Z5090">
        <v>290</v>
      </c>
      <c r="AA5090">
        <v>518</v>
      </c>
      <c r="AB5090">
        <v>56</v>
      </c>
    </row>
    <row r="5091" spans="20:28">
      <c r="T5091" s="340" t="str">
        <f t="shared" si="196"/>
        <v>2008AllSexAllEth19Jumping from a high place</v>
      </c>
      <c r="U5091">
        <v>2008</v>
      </c>
      <c r="V5091" t="s">
        <v>17</v>
      </c>
      <c r="W5091" t="s">
        <v>27</v>
      </c>
      <c r="X5091">
        <v>19</v>
      </c>
      <c r="Y5091" t="s">
        <v>44</v>
      </c>
      <c r="Z5091">
        <v>14</v>
      </c>
      <c r="AA5091">
        <v>518</v>
      </c>
      <c r="AB5091">
        <v>2.7</v>
      </c>
    </row>
    <row r="5092" spans="20:28">
      <c r="T5092" s="340" t="str">
        <f t="shared" si="196"/>
        <v>2008AllSexAllEth19Other</v>
      </c>
      <c r="U5092">
        <v>2008</v>
      </c>
      <c r="V5092" t="s">
        <v>17</v>
      </c>
      <c r="W5092" t="s">
        <v>27</v>
      </c>
      <c r="X5092">
        <v>19</v>
      </c>
      <c r="Y5092" t="s">
        <v>45</v>
      </c>
      <c r="Z5092">
        <v>20</v>
      </c>
      <c r="AA5092">
        <v>518</v>
      </c>
      <c r="AB5092">
        <v>3.9</v>
      </c>
    </row>
    <row r="5093" spans="20:28">
      <c r="T5093" s="340" t="str">
        <f t="shared" si="196"/>
        <v>2008AllSexAllEth19Poisoning by gases and vapours</v>
      </c>
      <c r="U5093">
        <v>2008</v>
      </c>
      <c r="V5093" t="s">
        <v>17</v>
      </c>
      <c r="W5093" t="s">
        <v>27</v>
      </c>
      <c r="X5093">
        <v>19</v>
      </c>
      <c r="Y5093" t="s">
        <v>46</v>
      </c>
      <c r="Z5093">
        <v>75</v>
      </c>
      <c r="AA5093">
        <v>518</v>
      </c>
      <c r="AB5093">
        <v>14.5</v>
      </c>
    </row>
    <row r="5094" spans="20:28">
      <c r="T5094" s="340" t="str">
        <f t="shared" si="196"/>
        <v>2008AllSexAllEth19Poisoning by solids and liquids</v>
      </c>
      <c r="U5094">
        <v>2008</v>
      </c>
      <c r="V5094" t="s">
        <v>17</v>
      </c>
      <c r="W5094" t="s">
        <v>27</v>
      </c>
      <c r="X5094">
        <v>19</v>
      </c>
      <c r="Y5094" t="s">
        <v>47</v>
      </c>
      <c r="Z5094">
        <v>55</v>
      </c>
      <c r="AA5094">
        <v>518</v>
      </c>
      <c r="AB5094">
        <v>10.6</v>
      </c>
    </row>
    <row r="5095" spans="20:28">
      <c r="T5095" s="340" t="str">
        <f t="shared" si="196"/>
        <v>2008AllSexAllEth19Sharp object</v>
      </c>
      <c r="U5095">
        <v>2008</v>
      </c>
      <c r="V5095" t="s">
        <v>17</v>
      </c>
      <c r="W5095" t="s">
        <v>27</v>
      </c>
      <c r="X5095">
        <v>19</v>
      </c>
      <c r="Y5095" t="s">
        <v>48</v>
      </c>
      <c r="Z5095">
        <v>14</v>
      </c>
      <c r="AA5095">
        <v>518</v>
      </c>
      <c r="AB5095">
        <v>2.7</v>
      </c>
    </row>
    <row r="5096" spans="20:28">
      <c r="T5096" s="340" t="str">
        <f t="shared" si="196"/>
        <v>2008AllSexAllEth19Submersion (drowning)</v>
      </c>
      <c r="U5096">
        <v>2008</v>
      </c>
      <c r="V5096" t="s">
        <v>17</v>
      </c>
      <c r="W5096" t="s">
        <v>27</v>
      </c>
      <c r="X5096">
        <v>19</v>
      </c>
      <c r="Y5096" t="s">
        <v>49</v>
      </c>
      <c r="Z5096">
        <v>8</v>
      </c>
      <c r="AA5096">
        <v>518</v>
      </c>
      <c r="AB5096">
        <v>1.5</v>
      </c>
    </row>
    <row r="5097" spans="20:28">
      <c r="T5097" s="340" t="str">
        <f t="shared" si="196"/>
        <v>2008AllSexMaori19Firearms and explosives</v>
      </c>
      <c r="U5097">
        <v>2008</v>
      </c>
      <c r="V5097" t="s">
        <v>17</v>
      </c>
      <c r="W5097" t="s">
        <v>18</v>
      </c>
      <c r="X5097">
        <v>19</v>
      </c>
      <c r="Y5097" t="s">
        <v>42</v>
      </c>
      <c r="Z5097">
        <v>3</v>
      </c>
      <c r="AA5097">
        <v>87</v>
      </c>
      <c r="AB5097">
        <v>3.4</v>
      </c>
    </row>
    <row r="5098" spans="20:28">
      <c r="T5098" s="340" t="str">
        <f t="shared" si="196"/>
        <v>2008AllSexMaori19Hanging, strangulation and suffocation</v>
      </c>
      <c r="U5098">
        <v>2008</v>
      </c>
      <c r="V5098" t="s">
        <v>17</v>
      </c>
      <c r="W5098" t="s">
        <v>18</v>
      </c>
      <c r="X5098">
        <v>19</v>
      </c>
      <c r="Y5098" t="s">
        <v>43</v>
      </c>
      <c r="Z5098">
        <v>76</v>
      </c>
      <c r="AA5098">
        <v>87</v>
      </c>
      <c r="AB5098">
        <v>87.4</v>
      </c>
    </row>
    <row r="5099" spans="20:28">
      <c r="T5099" s="340" t="str">
        <f t="shared" si="196"/>
        <v>2008AllSexMaori19Other</v>
      </c>
      <c r="U5099">
        <v>2008</v>
      </c>
      <c r="V5099" t="s">
        <v>17</v>
      </c>
      <c r="W5099" t="s">
        <v>18</v>
      </c>
      <c r="X5099">
        <v>19</v>
      </c>
      <c r="Y5099" t="s">
        <v>45</v>
      </c>
      <c r="Z5099">
        <v>2</v>
      </c>
      <c r="AA5099">
        <v>87</v>
      </c>
      <c r="AB5099">
        <v>2.2999999999999998</v>
      </c>
    </row>
    <row r="5100" spans="20:28">
      <c r="T5100" s="340" t="str">
        <f t="shared" si="196"/>
        <v>2008AllSexMaori19Poisoning by gases and vapours</v>
      </c>
      <c r="U5100">
        <v>2008</v>
      </c>
      <c r="V5100" t="s">
        <v>17</v>
      </c>
      <c r="W5100" t="s">
        <v>18</v>
      </c>
      <c r="X5100">
        <v>19</v>
      </c>
      <c r="Y5100" t="s">
        <v>46</v>
      </c>
      <c r="Z5100">
        <v>2</v>
      </c>
      <c r="AA5100">
        <v>87</v>
      </c>
      <c r="AB5100">
        <v>2.2999999999999998</v>
      </c>
    </row>
    <row r="5101" spans="20:28">
      <c r="T5101" s="340" t="str">
        <f t="shared" si="196"/>
        <v>2008AllSexMaori19Poisoning by solids and liquids</v>
      </c>
      <c r="U5101">
        <v>2008</v>
      </c>
      <c r="V5101" t="s">
        <v>17</v>
      </c>
      <c r="W5101" t="s">
        <v>18</v>
      </c>
      <c r="X5101">
        <v>19</v>
      </c>
      <c r="Y5101" t="s">
        <v>47</v>
      </c>
      <c r="Z5101">
        <v>3</v>
      </c>
      <c r="AA5101">
        <v>87</v>
      </c>
      <c r="AB5101">
        <v>3.4</v>
      </c>
    </row>
    <row r="5102" spans="20:28">
      <c r="T5102" s="340" t="str">
        <f t="shared" si="196"/>
        <v>2008AllSexMaori19Sharp object</v>
      </c>
      <c r="U5102">
        <v>2008</v>
      </c>
      <c r="V5102" t="s">
        <v>17</v>
      </c>
      <c r="W5102" t="s">
        <v>18</v>
      </c>
      <c r="X5102">
        <v>19</v>
      </c>
      <c r="Y5102" t="s">
        <v>48</v>
      </c>
      <c r="Z5102">
        <v>1</v>
      </c>
      <c r="AA5102">
        <v>87</v>
      </c>
      <c r="AB5102">
        <v>1.1000000000000001</v>
      </c>
    </row>
    <row r="5103" spans="20:28">
      <c r="T5103" s="340" t="str">
        <f t="shared" si="196"/>
        <v>2008AllSexNon-Maori19Firearms and explosives</v>
      </c>
      <c r="U5103">
        <v>2008</v>
      </c>
      <c r="V5103" t="s">
        <v>17</v>
      </c>
      <c r="W5103" t="s">
        <v>19</v>
      </c>
      <c r="X5103">
        <v>19</v>
      </c>
      <c r="Y5103" t="s">
        <v>42</v>
      </c>
      <c r="Z5103">
        <v>39</v>
      </c>
      <c r="AA5103">
        <v>431</v>
      </c>
      <c r="AB5103">
        <v>9</v>
      </c>
    </row>
    <row r="5104" spans="20:28">
      <c r="T5104" s="340" t="str">
        <f t="shared" si="196"/>
        <v>2008AllSexNon-Maori19Hanging, strangulation and suffocation</v>
      </c>
      <c r="U5104">
        <v>2008</v>
      </c>
      <c r="V5104" t="s">
        <v>17</v>
      </c>
      <c r="W5104" t="s">
        <v>19</v>
      </c>
      <c r="X5104">
        <v>19</v>
      </c>
      <c r="Y5104" t="s">
        <v>43</v>
      </c>
      <c r="Z5104">
        <v>214</v>
      </c>
      <c r="AA5104">
        <v>431</v>
      </c>
      <c r="AB5104">
        <v>49.7</v>
      </c>
    </row>
    <row r="5105" spans="20:28">
      <c r="T5105" s="340" t="str">
        <f t="shared" si="196"/>
        <v>2008AllSexNon-Maori19Jumping from a high place</v>
      </c>
      <c r="U5105">
        <v>2008</v>
      </c>
      <c r="V5105" t="s">
        <v>17</v>
      </c>
      <c r="W5105" t="s">
        <v>19</v>
      </c>
      <c r="X5105">
        <v>19</v>
      </c>
      <c r="Y5105" t="s">
        <v>44</v>
      </c>
      <c r="Z5105">
        <v>14</v>
      </c>
      <c r="AA5105">
        <v>431</v>
      </c>
      <c r="AB5105">
        <v>3.2</v>
      </c>
    </row>
    <row r="5106" spans="20:28">
      <c r="T5106" s="340" t="str">
        <f t="shared" si="196"/>
        <v>2008AllSexNon-Maori19Other</v>
      </c>
      <c r="U5106">
        <v>2008</v>
      </c>
      <c r="V5106" t="s">
        <v>17</v>
      </c>
      <c r="W5106" t="s">
        <v>19</v>
      </c>
      <c r="X5106">
        <v>19</v>
      </c>
      <c r="Y5106" t="s">
        <v>45</v>
      </c>
      <c r="Z5106">
        <v>18</v>
      </c>
      <c r="AA5106">
        <v>431</v>
      </c>
      <c r="AB5106">
        <v>4.2</v>
      </c>
    </row>
    <row r="5107" spans="20:28">
      <c r="T5107" s="340" t="str">
        <f t="shared" si="196"/>
        <v>2008AllSexNon-Maori19Poisoning by gases and vapours</v>
      </c>
      <c r="U5107">
        <v>2008</v>
      </c>
      <c r="V5107" t="s">
        <v>17</v>
      </c>
      <c r="W5107" t="s">
        <v>19</v>
      </c>
      <c r="X5107">
        <v>19</v>
      </c>
      <c r="Y5107" t="s">
        <v>46</v>
      </c>
      <c r="Z5107">
        <v>73</v>
      </c>
      <c r="AA5107">
        <v>431</v>
      </c>
      <c r="AB5107">
        <v>16.899999999999999</v>
      </c>
    </row>
    <row r="5108" spans="20:28">
      <c r="T5108" s="340" t="str">
        <f t="shared" si="196"/>
        <v>2008AllSexNon-Maori19Poisoning by solids and liquids</v>
      </c>
      <c r="U5108">
        <v>2008</v>
      </c>
      <c r="V5108" t="s">
        <v>17</v>
      </c>
      <c r="W5108" t="s">
        <v>19</v>
      </c>
      <c r="X5108">
        <v>19</v>
      </c>
      <c r="Y5108" t="s">
        <v>47</v>
      </c>
      <c r="Z5108">
        <v>52</v>
      </c>
      <c r="AA5108">
        <v>431</v>
      </c>
      <c r="AB5108">
        <v>12.1</v>
      </c>
    </row>
    <row r="5109" spans="20:28">
      <c r="T5109" s="340" t="str">
        <f t="shared" si="196"/>
        <v>2008AllSexNon-Maori19Sharp object</v>
      </c>
      <c r="U5109">
        <v>2008</v>
      </c>
      <c r="V5109" t="s">
        <v>17</v>
      </c>
      <c r="W5109" t="s">
        <v>19</v>
      </c>
      <c r="X5109">
        <v>19</v>
      </c>
      <c r="Y5109" t="s">
        <v>48</v>
      </c>
      <c r="Z5109">
        <v>13</v>
      </c>
      <c r="AA5109">
        <v>431</v>
      </c>
      <c r="AB5109">
        <v>3</v>
      </c>
    </row>
    <row r="5110" spans="20:28">
      <c r="T5110" s="340" t="str">
        <f t="shared" si="196"/>
        <v>2008AllSexNon-Maori19Submersion (drowning)</v>
      </c>
      <c r="U5110">
        <v>2008</v>
      </c>
      <c r="V5110" t="s">
        <v>17</v>
      </c>
      <c r="W5110" t="s">
        <v>19</v>
      </c>
      <c r="X5110">
        <v>19</v>
      </c>
      <c r="Y5110" t="s">
        <v>49</v>
      </c>
      <c r="Z5110">
        <v>8</v>
      </c>
      <c r="AA5110">
        <v>431</v>
      </c>
      <c r="AB5110">
        <v>1.9</v>
      </c>
    </row>
    <row r="5111" spans="20:28">
      <c r="T5111" s="340" t="str">
        <f t="shared" si="196"/>
        <v>2008FemaleAllEth19Firearms and explosives</v>
      </c>
      <c r="U5111">
        <v>2008</v>
      </c>
      <c r="V5111" t="s">
        <v>8</v>
      </c>
      <c r="W5111" t="s">
        <v>27</v>
      </c>
      <c r="X5111">
        <v>19</v>
      </c>
      <c r="Y5111" t="s">
        <v>42</v>
      </c>
      <c r="Z5111">
        <v>2</v>
      </c>
      <c r="AA5111">
        <v>139</v>
      </c>
      <c r="AB5111">
        <v>1.4</v>
      </c>
    </row>
    <row r="5112" spans="20:28">
      <c r="T5112" s="340" t="str">
        <f t="shared" si="196"/>
        <v>2008FemaleAllEth19Hanging, strangulation and suffocation</v>
      </c>
      <c r="U5112">
        <v>2008</v>
      </c>
      <c r="V5112" t="s">
        <v>8</v>
      </c>
      <c r="W5112" t="s">
        <v>27</v>
      </c>
      <c r="X5112">
        <v>19</v>
      </c>
      <c r="Y5112" t="s">
        <v>43</v>
      </c>
      <c r="Z5112">
        <v>80</v>
      </c>
      <c r="AA5112">
        <v>139</v>
      </c>
      <c r="AB5112">
        <v>57.6</v>
      </c>
    </row>
    <row r="5113" spans="20:28">
      <c r="T5113" s="340" t="str">
        <f t="shared" si="196"/>
        <v>2008FemaleAllEth19Jumping from a high place</v>
      </c>
      <c r="U5113">
        <v>2008</v>
      </c>
      <c r="V5113" t="s">
        <v>8</v>
      </c>
      <c r="W5113" t="s">
        <v>27</v>
      </c>
      <c r="X5113">
        <v>19</v>
      </c>
      <c r="Y5113" t="s">
        <v>44</v>
      </c>
      <c r="Z5113">
        <v>2</v>
      </c>
      <c r="AA5113">
        <v>139</v>
      </c>
      <c r="AB5113">
        <v>1.4</v>
      </c>
    </row>
    <row r="5114" spans="20:28">
      <c r="T5114" s="340" t="str">
        <f t="shared" si="196"/>
        <v>2008FemaleAllEth19Other</v>
      </c>
      <c r="U5114">
        <v>2008</v>
      </c>
      <c r="V5114" t="s">
        <v>8</v>
      </c>
      <c r="W5114" t="s">
        <v>27</v>
      </c>
      <c r="X5114">
        <v>19</v>
      </c>
      <c r="Y5114" t="s">
        <v>45</v>
      </c>
      <c r="Z5114">
        <v>6</v>
      </c>
      <c r="AA5114">
        <v>139</v>
      </c>
      <c r="AB5114">
        <v>4.3</v>
      </c>
    </row>
    <row r="5115" spans="20:28">
      <c r="T5115" s="340" t="str">
        <f t="shared" si="196"/>
        <v>2008FemaleAllEth19Poisoning by gases and vapours</v>
      </c>
      <c r="U5115">
        <v>2008</v>
      </c>
      <c r="V5115" t="s">
        <v>8</v>
      </c>
      <c r="W5115" t="s">
        <v>27</v>
      </c>
      <c r="X5115">
        <v>19</v>
      </c>
      <c r="Y5115" t="s">
        <v>46</v>
      </c>
      <c r="Z5115">
        <v>10</v>
      </c>
      <c r="AA5115">
        <v>139</v>
      </c>
      <c r="AB5115">
        <v>7.2</v>
      </c>
    </row>
    <row r="5116" spans="20:28">
      <c r="T5116" s="340" t="str">
        <f t="shared" si="196"/>
        <v>2008FemaleAllEth19Poisoning by solids and liquids</v>
      </c>
      <c r="U5116">
        <v>2008</v>
      </c>
      <c r="V5116" t="s">
        <v>8</v>
      </c>
      <c r="W5116" t="s">
        <v>27</v>
      </c>
      <c r="X5116">
        <v>19</v>
      </c>
      <c r="Y5116" t="s">
        <v>47</v>
      </c>
      <c r="Z5116">
        <v>34</v>
      </c>
      <c r="AA5116">
        <v>139</v>
      </c>
      <c r="AB5116">
        <v>24.5</v>
      </c>
    </row>
    <row r="5117" spans="20:28">
      <c r="T5117" s="340" t="str">
        <f t="shared" si="196"/>
        <v>2008FemaleAllEth19Sharp object</v>
      </c>
      <c r="U5117">
        <v>2008</v>
      </c>
      <c r="V5117" t="s">
        <v>8</v>
      </c>
      <c r="W5117" t="s">
        <v>27</v>
      </c>
      <c r="X5117">
        <v>19</v>
      </c>
      <c r="Y5117" t="s">
        <v>48</v>
      </c>
      <c r="Z5117">
        <v>2</v>
      </c>
      <c r="AA5117">
        <v>139</v>
      </c>
      <c r="AB5117">
        <v>1.4</v>
      </c>
    </row>
    <row r="5118" spans="20:28">
      <c r="T5118" s="340" t="str">
        <f t="shared" si="196"/>
        <v>2008FemaleAllEth19Submersion (drowning)</v>
      </c>
      <c r="U5118">
        <v>2008</v>
      </c>
      <c r="V5118" t="s">
        <v>8</v>
      </c>
      <c r="W5118" t="s">
        <v>27</v>
      </c>
      <c r="X5118">
        <v>19</v>
      </c>
      <c r="Y5118" t="s">
        <v>49</v>
      </c>
      <c r="Z5118">
        <v>3</v>
      </c>
      <c r="AA5118">
        <v>139</v>
      </c>
      <c r="AB5118">
        <v>2.2000000000000002</v>
      </c>
    </row>
    <row r="5119" spans="20:28">
      <c r="T5119" s="340" t="str">
        <f t="shared" si="196"/>
        <v>2008FemaleMaori19Firearms and explosives</v>
      </c>
      <c r="U5119">
        <v>2008</v>
      </c>
      <c r="V5119" t="s">
        <v>8</v>
      </c>
      <c r="W5119" t="s">
        <v>18</v>
      </c>
      <c r="X5119">
        <v>19</v>
      </c>
      <c r="Y5119" t="s">
        <v>42</v>
      </c>
      <c r="Z5119">
        <v>1</v>
      </c>
      <c r="AA5119">
        <v>31</v>
      </c>
      <c r="AB5119">
        <v>3.2</v>
      </c>
    </row>
    <row r="5120" spans="20:28">
      <c r="T5120" s="340" t="str">
        <f t="shared" si="196"/>
        <v>2008FemaleMaori19Hanging, strangulation and suffocation</v>
      </c>
      <c r="U5120">
        <v>2008</v>
      </c>
      <c r="V5120" t="s">
        <v>8</v>
      </c>
      <c r="W5120" t="s">
        <v>18</v>
      </c>
      <c r="X5120">
        <v>19</v>
      </c>
      <c r="Y5120" t="s">
        <v>43</v>
      </c>
      <c r="Z5120">
        <v>28</v>
      </c>
      <c r="AA5120">
        <v>31</v>
      </c>
      <c r="AB5120">
        <v>90.3</v>
      </c>
    </row>
    <row r="5121" spans="20:28">
      <c r="T5121" s="340" t="str">
        <f t="shared" si="196"/>
        <v>2008FemaleMaori19Poisoning by solids and liquids</v>
      </c>
      <c r="U5121">
        <v>2008</v>
      </c>
      <c r="V5121" t="s">
        <v>8</v>
      </c>
      <c r="W5121" t="s">
        <v>18</v>
      </c>
      <c r="X5121">
        <v>19</v>
      </c>
      <c r="Y5121" t="s">
        <v>47</v>
      </c>
      <c r="Z5121">
        <v>2</v>
      </c>
      <c r="AA5121">
        <v>31</v>
      </c>
      <c r="AB5121">
        <v>6.5</v>
      </c>
    </row>
    <row r="5122" spans="20:28">
      <c r="T5122" s="340" t="str">
        <f t="shared" si="196"/>
        <v>2008FemaleNon-Maori19Firearms and explosives</v>
      </c>
      <c r="U5122">
        <v>2008</v>
      </c>
      <c r="V5122" t="s">
        <v>8</v>
      </c>
      <c r="W5122" t="s">
        <v>19</v>
      </c>
      <c r="X5122">
        <v>19</v>
      </c>
      <c r="Y5122" t="s">
        <v>42</v>
      </c>
      <c r="Z5122">
        <v>1</v>
      </c>
      <c r="AA5122">
        <v>108</v>
      </c>
      <c r="AB5122">
        <v>0.9</v>
      </c>
    </row>
    <row r="5123" spans="20:28">
      <c r="T5123" s="340" t="str">
        <f t="shared" si="196"/>
        <v>2008FemaleNon-Maori19Hanging, strangulation and suffocation</v>
      </c>
      <c r="U5123">
        <v>2008</v>
      </c>
      <c r="V5123" t="s">
        <v>8</v>
      </c>
      <c r="W5123" t="s">
        <v>19</v>
      </c>
      <c r="X5123">
        <v>19</v>
      </c>
      <c r="Y5123" t="s">
        <v>43</v>
      </c>
      <c r="Z5123">
        <v>52</v>
      </c>
      <c r="AA5123">
        <v>108</v>
      </c>
      <c r="AB5123">
        <v>48.1</v>
      </c>
    </row>
    <row r="5124" spans="20:28">
      <c r="T5124" s="340" t="str">
        <f t="shared" si="196"/>
        <v>2008FemaleNon-Maori19Jumping from a high place</v>
      </c>
      <c r="U5124">
        <v>2008</v>
      </c>
      <c r="V5124" t="s">
        <v>8</v>
      </c>
      <c r="W5124" t="s">
        <v>19</v>
      </c>
      <c r="X5124">
        <v>19</v>
      </c>
      <c r="Y5124" t="s">
        <v>44</v>
      </c>
      <c r="Z5124">
        <v>2</v>
      </c>
      <c r="AA5124">
        <v>108</v>
      </c>
      <c r="AB5124">
        <v>1.9</v>
      </c>
    </row>
    <row r="5125" spans="20:28">
      <c r="T5125" s="340" t="str">
        <f t="shared" ref="T5125:T5188" si="197">U5125&amp;V5125&amp;W5125&amp;X5125&amp;Y5125</f>
        <v>2008FemaleNon-Maori19Other</v>
      </c>
      <c r="U5125">
        <v>2008</v>
      </c>
      <c r="V5125" t="s">
        <v>8</v>
      </c>
      <c r="W5125" t="s">
        <v>19</v>
      </c>
      <c r="X5125">
        <v>19</v>
      </c>
      <c r="Y5125" t="s">
        <v>45</v>
      </c>
      <c r="Z5125">
        <v>6</v>
      </c>
      <c r="AA5125">
        <v>108</v>
      </c>
      <c r="AB5125">
        <v>5.6</v>
      </c>
    </row>
    <row r="5126" spans="20:28">
      <c r="T5126" s="340" t="str">
        <f t="shared" si="197"/>
        <v>2008FemaleNon-Maori19Poisoning by gases and vapours</v>
      </c>
      <c r="U5126">
        <v>2008</v>
      </c>
      <c r="V5126" t="s">
        <v>8</v>
      </c>
      <c r="W5126" t="s">
        <v>19</v>
      </c>
      <c r="X5126">
        <v>19</v>
      </c>
      <c r="Y5126" t="s">
        <v>46</v>
      </c>
      <c r="Z5126">
        <v>10</v>
      </c>
      <c r="AA5126">
        <v>108</v>
      </c>
      <c r="AB5126">
        <v>9.3000000000000007</v>
      </c>
    </row>
    <row r="5127" spans="20:28">
      <c r="T5127" s="340" t="str">
        <f t="shared" si="197"/>
        <v>2008FemaleNon-Maori19Poisoning by solids and liquids</v>
      </c>
      <c r="U5127">
        <v>2008</v>
      </c>
      <c r="V5127" t="s">
        <v>8</v>
      </c>
      <c r="W5127" t="s">
        <v>19</v>
      </c>
      <c r="X5127">
        <v>19</v>
      </c>
      <c r="Y5127" t="s">
        <v>47</v>
      </c>
      <c r="Z5127">
        <v>32</v>
      </c>
      <c r="AA5127">
        <v>108</v>
      </c>
      <c r="AB5127">
        <v>29.6</v>
      </c>
    </row>
    <row r="5128" spans="20:28">
      <c r="T5128" s="340" t="str">
        <f t="shared" si="197"/>
        <v>2008FemaleNon-Maori19Sharp object</v>
      </c>
      <c r="U5128">
        <v>2008</v>
      </c>
      <c r="V5128" t="s">
        <v>8</v>
      </c>
      <c r="W5128" t="s">
        <v>19</v>
      </c>
      <c r="X5128">
        <v>19</v>
      </c>
      <c r="Y5128" t="s">
        <v>48</v>
      </c>
      <c r="Z5128">
        <v>2</v>
      </c>
      <c r="AA5128">
        <v>108</v>
      </c>
      <c r="AB5128">
        <v>1.9</v>
      </c>
    </row>
    <row r="5129" spans="20:28">
      <c r="T5129" s="340" t="str">
        <f t="shared" si="197"/>
        <v>2008FemaleNon-Maori19Submersion (drowning)</v>
      </c>
      <c r="U5129">
        <v>2008</v>
      </c>
      <c r="V5129" t="s">
        <v>8</v>
      </c>
      <c r="W5129" t="s">
        <v>19</v>
      </c>
      <c r="X5129">
        <v>19</v>
      </c>
      <c r="Y5129" t="s">
        <v>49</v>
      </c>
      <c r="Z5129">
        <v>3</v>
      </c>
      <c r="AA5129">
        <v>108</v>
      </c>
      <c r="AB5129">
        <v>2.8</v>
      </c>
    </row>
    <row r="5130" spans="20:28">
      <c r="T5130" s="340" t="str">
        <f t="shared" si="197"/>
        <v>2008MaleAllEth19Firearms and explosives</v>
      </c>
      <c r="U5130">
        <v>2008</v>
      </c>
      <c r="V5130" t="s">
        <v>20</v>
      </c>
      <c r="W5130" t="s">
        <v>27</v>
      </c>
      <c r="X5130">
        <v>19</v>
      </c>
      <c r="Y5130" t="s">
        <v>42</v>
      </c>
      <c r="Z5130">
        <v>40</v>
      </c>
      <c r="AA5130">
        <v>379</v>
      </c>
      <c r="AB5130">
        <v>10.6</v>
      </c>
    </row>
    <row r="5131" spans="20:28">
      <c r="T5131" s="340" t="str">
        <f t="shared" si="197"/>
        <v>2008MaleAllEth19Hanging, strangulation and suffocation</v>
      </c>
      <c r="U5131">
        <v>2008</v>
      </c>
      <c r="V5131" t="s">
        <v>20</v>
      </c>
      <c r="W5131" t="s">
        <v>27</v>
      </c>
      <c r="X5131">
        <v>19</v>
      </c>
      <c r="Y5131" t="s">
        <v>43</v>
      </c>
      <c r="Z5131">
        <v>210</v>
      </c>
      <c r="AA5131">
        <v>379</v>
      </c>
      <c r="AB5131">
        <v>55.4</v>
      </c>
    </row>
    <row r="5132" spans="20:28">
      <c r="T5132" s="340" t="str">
        <f t="shared" si="197"/>
        <v>2008MaleAllEth19Jumping from a high place</v>
      </c>
      <c r="U5132">
        <v>2008</v>
      </c>
      <c r="V5132" t="s">
        <v>20</v>
      </c>
      <c r="W5132" t="s">
        <v>27</v>
      </c>
      <c r="X5132">
        <v>19</v>
      </c>
      <c r="Y5132" t="s">
        <v>44</v>
      </c>
      <c r="Z5132">
        <v>12</v>
      </c>
      <c r="AA5132">
        <v>379</v>
      </c>
      <c r="AB5132">
        <v>3.2</v>
      </c>
    </row>
    <row r="5133" spans="20:28">
      <c r="T5133" s="340" t="str">
        <f t="shared" si="197"/>
        <v>2008MaleAllEth19Other</v>
      </c>
      <c r="U5133">
        <v>2008</v>
      </c>
      <c r="V5133" t="s">
        <v>20</v>
      </c>
      <c r="W5133" t="s">
        <v>27</v>
      </c>
      <c r="X5133">
        <v>19</v>
      </c>
      <c r="Y5133" t="s">
        <v>45</v>
      </c>
      <c r="Z5133">
        <v>14</v>
      </c>
      <c r="AA5133">
        <v>379</v>
      </c>
      <c r="AB5133">
        <v>3.7</v>
      </c>
    </row>
    <row r="5134" spans="20:28">
      <c r="T5134" s="340" t="str">
        <f t="shared" si="197"/>
        <v>2008MaleAllEth19Poisoning by gases and vapours</v>
      </c>
      <c r="U5134">
        <v>2008</v>
      </c>
      <c r="V5134" t="s">
        <v>20</v>
      </c>
      <c r="W5134" t="s">
        <v>27</v>
      </c>
      <c r="X5134">
        <v>19</v>
      </c>
      <c r="Y5134" t="s">
        <v>46</v>
      </c>
      <c r="Z5134">
        <v>65</v>
      </c>
      <c r="AA5134">
        <v>379</v>
      </c>
      <c r="AB5134">
        <v>17.2</v>
      </c>
    </row>
    <row r="5135" spans="20:28">
      <c r="T5135" s="340" t="str">
        <f t="shared" si="197"/>
        <v>2008MaleAllEth19Poisoning by solids and liquids</v>
      </c>
      <c r="U5135">
        <v>2008</v>
      </c>
      <c r="V5135" t="s">
        <v>20</v>
      </c>
      <c r="W5135" t="s">
        <v>27</v>
      </c>
      <c r="X5135">
        <v>19</v>
      </c>
      <c r="Y5135" t="s">
        <v>47</v>
      </c>
      <c r="Z5135">
        <v>21</v>
      </c>
      <c r="AA5135">
        <v>379</v>
      </c>
      <c r="AB5135">
        <v>5.5</v>
      </c>
    </row>
    <row r="5136" spans="20:28">
      <c r="T5136" s="340" t="str">
        <f t="shared" si="197"/>
        <v>2008MaleAllEth19Sharp object</v>
      </c>
      <c r="U5136">
        <v>2008</v>
      </c>
      <c r="V5136" t="s">
        <v>20</v>
      </c>
      <c r="W5136" t="s">
        <v>27</v>
      </c>
      <c r="X5136">
        <v>19</v>
      </c>
      <c r="Y5136" t="s">
        <v>48</v>
      </c>
      <c r="Z5136">
        <v>12</v>
      </c>
      <c r="AA5136">
        <v>379</v>
      </c>
      <c r="AB5136">
        <v>3.2</v>
      </c>
    </row>
    <row r="5137" spans="20:28">
      <c r="T5137" s="340" t="str">
        <f t="shared" si="197"/>
        <v>2008MaleAllEth19Submersion (drowning)</v>
      </c>
      <c r="U5137">
        <v>2008</v>
      </c>
      <c r="V5137" t="s">
        <v>20</v>
      </c>
      <c r="W5137" t="s">
        <v>27</v>
      </c>
      <c r="X5137">
        <v>19</v>
      </c>
      <c r="Y5137" t="s">
        <v>49</v>
      </c>
      <c r="Z5137">
        <v>5</v>
      </c>
      <c r="AA5137">
        <v>379</v>
      </c>
      <c r="AB5137">
        <v>1.3</v>
      </c>
    </row>
    <row r="5138" spans="20:28">
      <c r="T5138" s="340" t="str">
        <f t="shared" si="197"/>
        <v>2008MaleMaori19Firearms and explosives</v>
      </c>
      <c r="U5138">
        <v>2008</v>
      </c>
      <c r="V5138" t="s">
        <v>20</v>
      </c>
      <c r="W5138" t="s">
        <v>18</v>
      </c>
      <c r="X5138">
        <v>19</v>
      </c>
      <c r="Y5138" t="s">
        <v>42</v>
      </c>
      <c r="Z5138">
        <v>2</v>
      </c>
      <c r="AA5138">
        <v>56</v>
      </c>
      <c r="AB5138">
        <v>3.6</v>
      </c>
    </row>
    <row r="5139" spans="20:28">
      <c r="T5139" s="340" t="str">
        <f t="shared" si="197"/>
        <v>2008MaleMaori19Hanging, strangulation and suffocation</v>
      </c>
      <c r="U5139">
        <v>2008</v>
      </c>
      <c r="V5139" t="s">
        <v>20</v>
      </c>
      <c r="W5139" t="s">
        <v>18</v>
      </c>
      <c r="X5139">
        <v>19</v>
      </c>
      <c r="Y5139" t="s">
        <v>43</v>
      </c>
      <c r="Z5139">
        <v>48</v>
      </c>
      <c r="AA5139">
        <v>56</v>
      </c>
      <c r="AB5139">
        <v>85.7</v>
      </c>
    </row>
    <row r="5140" spans="20:28">
      <c r="T5140" s="340" t="str">
        <f t="shared" si="197"/>
        <v>2008MaleMaori19Other</v>
      </c>
      <c r="U5140">
        <v>2008</v>
      </c>
      <c r="V5140" t="s">
        <v>20</v>
      </c>
      <c r="W5140" t="s">
        <v>18</v>
      </c>
      <c r="X5140">
        <v>19</v>
      </c>
      <c r="Y5140" t="s">
        <v>45</v>
      </c>
      <c r="Z5140">
        <v>2</v>
      </c>
      <c r="AA5140">
        <v>56</v>
      </c>
      <c r="AB5140">
        <v>3.6</v>
      </c>
    </row>
    <row r="5141" spans="20:28">
      <c r="T5141" s="340" t="str">
        <f t="shared" si="197"/>
        <v>2008MaleMaori19Poisoning by gases and vapours</v>
      </c>
      <c r="U5141">
        <v>2008</v>
      </c>
      <c r="V5141" t="s">
        <v>20</v>
      </c>
      <c r="W5141" t="s">
        <v>18</v>
      </c>
      <c r="X5141">
        <v>19</v>
      </c>
      <c r="Y5141" t="s">
        <v>46</v>
      </c>
      <c r="Z5141">
        <v>2</v>
      </c>
      <c r="AA5141">
        <v>56</v>
      </c>
      <c r="AB5141">
        <v>3.6</v>
      </c>
    </row>
    <row r="5142" spans="20:28">
      <c r="T5142" s="340" t="str">
        <f t="shared" si="197"/>
        <v>2008MaleMaori19Poisoning by solids and liquids</v>
      </c>
      <c r="U5142">
        <v>2008</v>
      </c>
      <c r="V5142" t="s">
        <v>20</v>
      </c>
      <c r="W5142" t="s">
        <v>18</v>
      </c>
      <c r="X5142">
        <v>19</v>
      </c>
      <c r="Y5142" t="s">
        <v>47</v>
      </c>
      <c r="Z5142">
        <v>1</v>
      </c>
      <c r="AA5142">
        <v>56</v>
      </c>
      <c r="AB5142">
        <v>1.8</v>
      </c>
    </row>
    <row r="5143" spans="20:28">
      <c r="T5143" s="340" t="str">
        <f t="shared" si="197"/>
        <v>2008MaleMaori19Sharp object</v>
      </c>
      <c r="U5143">
        <v>2008</v>
      </c>
      <c r="V5143" t="s">
        <v>20</v>
      </c>
      <c r="W5143" t="s">
        <v>18</v>
      </c>
      <c r="X5143">
        <v>19</v>
      </c>
      <c r="Y5143" t="s">
        <v>48</v>
      </c>
      <c r="Z5143">
        <v>1</v>
      </c>
      <c r="AA5143">
        <v>56</v>
      </c>
      <c r="AB5143">
        <v>1.8</v>
      </c>
    </row>
    <row r="5144" spans="20:28">
      <c r="T5144" s="340" t="str">
        <f t="shared" si="197"/>
        <v>2008MaleNon-Maori19Firearms and explosives</v>
      </c>
      <c r="U5144">
        <v>2008</v>
      </c>
      <c r="V5144" t="s">
        <v>20</v>
      </c>
      <c r="W5144" t="s">
        <v>19</v>
      </c>
      <c r="X5144">
        <v>19</v>
      </c>
      <c r="Y5144" t="s">
        <v>42</v>
      </c>
      <c r="Z5144">
        <v>38</v>
      </c>
      <c r="AA5144">
        <v>323</v>
      </c>
      <c r="AB5144">
        <v>11.8</v>
      </c>
    </row>
    <row r="5145" spans="20:28">
      <c r="T5145" s="340" t="str">
        <f t="shared" si="197"/>
        <v>2008MaleNon-Maori19Hanging, strangulation and suffocation</v>
      </c>
      <c r="U5145">
        <v>2008</v>
      </c>
      <c r="V5145" t="s">
        <v>20</v>
      </c>
      <c r="W5145" t="s">
        <v>19</v>
      </c>
      <c r="X5145">
        <v>19</v>
      </c>
      <c r="Y5145" t="s">
        <v>43</v>
      </c>
      <c r="Z5145">
        <v>162</v>
      </c>
      <c r="AA5145">
        <v>323</v>
      </c>
      <c r="AB5145">
        <v>50.2</v>
      </c>
    </row>
    <row r="5146" spans="20:28">
      <c r="T5146" s="340" t="str">
        <f t="shared" si="197"/>
        <v>2008MaleNon-Maori19Jumping from a high place</v>
      </c>
      <c r="U5146">
        <v>2008</v>
      </c>
      <c r="V5146" t="s">
        <v>20</v>
      </c>
      <c r="W5146" t="s">
        <v>19</v>
      </c>
      <c r="X5146">
        <v>19</v>
      </c>
      <c r="Y5146" t="s">
        <v>44</v>
      </c>
      <c r="Z5146">
        <v>12</v>
      </c>
      <c r="AA5146">
        <v>323</v>
      </c>
      <c r="AB5146">
        <v>3.7</v>
      </c>
    </row>
    <row r="5147" spans="20:28">
      <c r="T5147" s="340" t="str">
        <f t="shared" si="197"/>
        <v>2008MaleNon-Maori19Other</v>
      </c>
      <c r="U5147">
        <v>2008</v>
      </c>
      <c r="V5147" t="s">
        <v>20</v>
      </c>
      <c r="W5147" t="s">
        <v>19</v>
      </c>
      <c r="X5147">
        <v>19</v>
      </c>
      <c r="Y5147" t="s">
        <v>45</v>
      </c>
      <c r="Z5147">
        <v>12</v>
      </c>
      <c r="AA5147">
        <v>323</v>
      </c>
      <c r="AB5147">
        <v>3.7</v>
      </c>
    </row>
    <row r="5148" spans="20:28">
      <c r="T5148" s="340" t="str">
        <f t="shared" si="197"/>
        <v>2008MaleNon-Maori19Poisoning by gases and vapours</v>
      </c>
      <c r="U5148">
        <v>2008</v>
      </c>
      <c r="V5148" t="s">
        <v>20</v>
      </c>
      <c r="W5148" t="s">
        <v>19</v>
      </c>
      <c r="X5148">
        <v>19</v>
      </c>
      <c r="Y5148" t="s">
        <v>46</v>
      </c>
      <c r="Z5148">
        <v>63</v>
      </c>
      <c r="AA5148">
        <v>323</v>
      </c>
      <c r="AB5148">
        <v>19.5</v>
      </c>
    </row>
    <row r="5149" spans="20:28">
      <c r="T5149" s="340" t="str">
        <f t="shared" si="197"/>
        <v>2008MaleNon-Maori19Poisoning by solids and liquids</v>
      </c>
      <c r="U5149">
        <v>2008</v>
      </c>
      <c r="V5149" t="s">
        <v>20</v>
      </c>
      <c r="W5149" t="s">
        <v>19</v>
      </c>
      <c r="X5149">
        <v>19</v>
      </c>
      <c r="Y5149" t="s">
        <v>47</v>
      </c>
      <c r="Z5149">
        <v>20</v>
      </c>
      <c r="AA5149">
        <v>323</v>
      </c>
      <c r="AB5149">
        <v>6.2</v>
      </c>
    </row>
    <row r="5150" spans="20:28">
      <c r="T5150" s="340" t="str">
        <f t="shared" si="197"/>
        <v>2008MaleNon-Maori19Sharp object</v>
      </c>
      <c r="U5150">
        <v>2008</v>
      </c>
      <c r="V5150" t="s">
        <v>20</v>
      </c>
      <c r="W5150" t="s">
        <v>19</v>
      </c>
      <c r="X5150">
        <v>19</v>
      </c>
      <c r="Y5150" t="s">
        <v>48</v>
      </c>
      <c r="Z5150">
        <v>11</v>
      </c>
      <c r="AA5150">
        <v>323</v>
      </c>
      <c r="AB5150">
        <v>3.4</v>
      </c>
    </row>
    <row r="5151" spans="20:28">
      <c r="T5151" s="340" t="str">
        <f t="shared" si="197"/>
        <v>2008MaleNon-Maori19Submersion (drowning)</v>
      </c>
      <c r="U5151">
        <v>2008</v>
      </c>
      <c r="V5151" t="s">
        <v>20</v>
      </c>
      <c r="W5151" t="s">
        <v>19</v>
      </c>
      <c r="X5151">
        <v>19</v>
      </c>
      <c r="Y5151" t="s">
        <v>49</v>
      </c>
      <c r="Z5151">
        <v>5</v>
      </c>
      <c r="AA5151">
        <v>323</v>
      </c>
      <c r="AB5151">
        <v>1.5</v>
      </c>
    </row>
    <row r="5152" spans="20:28">
      <c r="T5152" s="340" t="str">
        <f t="shared" si="197"/>
        <v>2009AllSexAllEth19Firearms and explosives</v>
      </c>
      <c r="U5152">
        <v>2009</v>
      </c>
      <c r="V5152" t="s">
        <v>17</v>
      </c>
      <c r="W5152" t="s">
        <v>27</v>
      </c>
      <c r="X5152">
        <v>19</v>
      </c>
      <c r="Y5152" t="s">
        <v>42</v>
      </c>
      <c r="Z5152">
        <v>53</v>
      </c>
      <c r="AA5152">
        <v>512</v>
      </c>
      <c r="AB5152">
        <v>10.4</v>
      </c>
    </row>
    <row r="5153" spans="20:28">
      <c r="T5153" s="340" t="str">
        <f t="shared" si="197"/>
        <v>2009AllSexAllEth19Hanging, strangulation and suffocation</v>
      </c>
      <c r="U5153">
        <v>2009</v>
      </c>
      <c r="V5153" t="s">
        <v>17</v>
      </c>
      <c r="W5153" t="s">
        <v>27</v>
      </c>
      <c r="X5153">
        <v>19</v>
      </c>
      <c r="Y5153" t="s">
        <v>43</v>
      </c>
      <c r="Z5153">
        <v>302</v>
      </c>
      <c r="AA5153">
        <v>512</v>
      </c>
      <c r="AB5153">
        <v>59</v>
      </c>
    </row>
    <row r="5154" spans="20:28">
      <c r="T5154" s="340" t="str">
        <f t="shared" si="197"/>
        <v>2009AllSexAllEth19Jumping from a high place</v>
      </c>
      <c r="U5154">
        <v>2009</v>
      </c>
      <c r="V5154" t="s">
        <v>17</v>
      </c>
      <c r="W5154" t="s">
        <v>27</v>
      </c>
      <c r="X5154">
        <v>19</v>
      </c>
      <c r="Y5154" t="s">
        <v>44</v>
      </c>
      <c r="Z5154">
        <v>17</v>
      </c>
      <c r="AA5154">
        <v>512</v>
      </c>
      <c r="AB5154">
        <v>3.3</v>
      </c>
    </row>
    <row r="5155" spans="20:28">
      <c r="T5155" s="340" t="str">
        <f t="shared" si="197"/>
        <v>2009AllSexAllEth19Other</v>
      </c>
      <c r="U5155">
        <v>2009</v>
      </c>
      <c r="V5155" t="s">
        <v>17</v>
      </c>
      <c r="W5155" t="s">
        <v>27</v>
      </c>
      <c r="X5155">
        <v>19</v>
      </c>
      <c r="Y5155" t="s">
        <v>45</v>
      </c>
      <c r="Z5155">
        <v>15</v>
      </c>
      <c r="AA5155">
        <v>512</v>
      </c>
      <c r="AB5155">
        <v>2.9</v>
      </c>
    </row>
    <row r="5156" spans="20:28">
      <c r="T5156" s="340" t="str">
        <f t="shared" si="197"/>
        <v>2009AllSexAllEth19Poisoning by gases and vapours</v>
      </c>
      <c r="U5156">
        <v>2009</v>
      </c>
      <c r="V5156" t="s">
        <v>17</v>
      </c>
      <c r="W5156" t="s">
        <v>27</v>
      </c>
      <c r="X5156">
        <v>19</v>
      </c>
      <c r="Y5156" t="s">
        <v>46</v>
      </c>
      <c r="Z5156">
        <v>50</v>
      </c>
      <c r="AA5156">
        <v>512</v>
      </c>
      <c r="AB5156">
        <v>9.8000000000000007</v>
      </c>
    </row>
    <row r="5157" spans="20:28">
      <c r="T5157" s="340" t="str">
        <f t="shared" si="197"/>
        <v>2009AllSexAllEth19Poisoning by solids and liquids</v>
      </c>
      <c r="U5157">
        <v>2009</v>
      </c>
      <c r="V5157" t="s">
        <v>17</v>
      </c>
      <c r="W5157" t="s">
        <v>27</v>
      </c>
      <c r="X5157">
        <v>19</v>
      </c>
      <c r="Y5157" t="s">
        <v>47</v>
      </c>
      <c r="Z5157">
        <v>59</v>
      </c>
      <c r="AA5157">
        <v>512</v>
      </c>
      <c r="AB5157">
        <v>11.5</v>
      </c>
    </row>
    <row r="5158" spans="20:28">
      <c r="T5158" s="340" t="str">
        <f t="shared" si="197"/>
        <v>2009AllSexAllEth19Sharp object</v>
      </c>
      <c r="U5158">
        <v>2009</v>
      </c>
      <c r="V5158" t="s">
        <v>17</v>
      </c>
      <c r="W5158" t="s">
        <v>27</v>
      </c>
      <c r="X5158">
        <v>19</v>
      </c>
      <c r="Y5158" t="s">
        <v>48</v>
      </c>
      <c r="Z5158">
        <v>10</v>
      </c>
      <c r="AA5158">
        <v>512</v>
      </c>
      <c r="AB5158">
        <v>2</v>
      </c>
    </row>
    <row r="5159" spans="20:28">
      <c r="T5159" s="340" t="str">
        <f t="shared" si="197"/>
        <v>2009AllSexAllEth19Submersion (drowning)</v>
      </c>
      <c r="U5159">
        <v>2009</v>
      </c>
      <c r="V5159" t="s">
        <v>17</v>
      </c>
      <c r="W5159" t="s">
        <v>27</v>
      </c>
      <c r="X5159">
        <v>19</v>
      </c>
      <c r="Y5159" t="s">
        <v>49</v>
      </c>
      <c r="Z5159">
        <v>6</v>
      </c>
      <c r="AA5159">
        <v>512</v>
      </c>
      <c r="AB5159">
        <v>1.2</v>
      </c>
    </row>
    <row r="5160" spans="20:28">
      <c r="T5160" s="340" t="str">
        <f t="shared" si="197"/>
        <v>2009AllSexMaori19Firearms and explosives</v>
      </c>
      <c r="U5160">
        <v>2009</v>
      </c>
      <c r="V5160" t="s">
        <v>17</v>
      </c>
      <c r="W5160" t="s">
        <v>18</v>
      </c>
      <c r="X5160">
        <v>19</v>
      </c>
      <c r="Y5160" t="s">
        <v>42</v>
      </c>
      <c r="Z5160">
        <v>3</v>
      </c>
      <c r="AA5160">
        <v>83</v>
      </c>
      <c r="AB5160">
        <v>3.6</v>
      </c>
    </row>
    <row r="5161" spans="20:28">
      <c r="T5161" s="340" t="str">
        <f t="shared" si="197"/>
        <v>2009AllSexMaori19Hanging, strangulation and suffocation</v>
      </c>
      <c r="U5161">
        <v>2009</v>
      </c>
      <c r="V5161" t="s">
        <v>17</v>
      </c>
      <c r="W5161" t="s">
        <v>18</v>
      </c>
      <c r="X5161">
        <v>19</v>
      </c>
      <c r="Y5161" t="s">
        <v>43</v>
      </c>
      <c r="Z5161">
        <v>70</v>
      </c>
      <c r="AA5161">
        <v>83</v>
      </c>
      <c r="AB5161">
        <v>84.3</v>
      </c>
    </row>
    <row r="5162" spans="20:28">
      <c r="T5162" s="340" t="str">
        <f t="shared" si="197"/>
        <v>2009AllSexMaori19Jumping from a high place</v>
      </c>
      <c r="U5162">
        <v>2009</v>
      </c>
      <c r="V5162" t="s">
        <v>17</v>
      </c>
      <c r="W5162" t="s">
        <v>18</v>
      </c>
      <c r="X5162">
        <v>19</v>
      </c>
      <c r="Y5162" t="s">
        <v>44</v>
      </c>
      <c r="Z5162">
        <v>3</v>
      </c>
      <c r="AA5162">
        <v>83</v>
      </c>
      <c r="AB5162">
        <v>3.6</v>
      </c>
    </row>
    <row r="5163" spans="20:28">
      <c r="T5163" s="340" t="str">
        <f t="shared" si="197"/>
        <v>2009AllSexMaori19Poisoning by gases and vapours</v>
      </c>
      <c r="U5163">
        <v>2009</v>
      </c>
      <c r="V5163" t="s">
        <v>17</v>
      </c>
      <c r="W5163" t="s">
        <v>18</v>
      </c>
      <c r="X5163">
        <v>19</v>
      </c>
      <c r="Y5163" t="s">
        <v>46</v>
      </c>
      <c r="Z5163">
        <v>3</v>
      </c>
      <c r="AA5163">
        <v>83</v>
      </c>
      <c r="AB5163">
        <v>3.6</v>
      </c>
    </row>
    <row r="5164" spans="20:28">
      <c r="T5164" s="340" t="str">
        <f t="shared" si="197"/>
        <v>2009AllSexMaori19Poisoning by solids and liquids</v>
      </c>
      <c r="U5164">
        <v>2009</v>
      </c>
      <c r="V5164" t="s">
        <v>17</v>
      </c>
      <c r="W5164" t="s">
        <v>18</v>
      </c>
      <c r="X5164">
        <v>19</v>
      </c>
      <c r="Y5164" t="s">
        <v>47</v>
      </c>
      <c r="Z5164">
        <v>4</v>
      </c>
      <c r="AA5164">
        <v>83</v>
      </c>
      <c r="AB5164">
        <v>4.8</v>
      </c>
    </row>
    <row r="5165" spans="20:28">
      <c r="T5165" s="340" t="str">
        <f t="shared" si="197"/>
        <v>2009AllSexNon-Maori19Firearms and explosives</v>
      </c>
      <c r="U5165">
        <v>2009</v>
      </c>
      <c r="V5165" t="s">
        <v>17</v>
      </c>
      <c r="W5165" t="s">
        <v>19</v>
      </c>
      <c r="X5165">
        <v>19</v>
      </c>
      <c r="Y5165" t="s">
        <v>42</v>
      </c>
      <c r="Z5165">
        <v>50</v>
      </c>
      <c r="AA5165">
        <v>429</v>
      </c>
      <c r="AB5165">
        <v>11.7</v>
      </c>
    </row>
    <row r="5166" spans="20:28">
      <c r="T5166" s="340" t="str">
        <f t="shared" si="197"/>
        <v>2009AllSexNon-Maori19Hanging, strangulation and suffocation</v>
      </c>
      <c r="U5166">
        <v>2009</v>
      </c>
      <c r="V5166" t="s">
        <v>17</v>
      </c>
      <c r="W5166" t="s">
        <v>19</v>
      </c>
      <c r="X5166">
        <v>19</v>
      </c>
      <c r="Y5166" t="s">
        <v>43</v>
      </c>
      <c r="Z5166">
        <v>232</v>
      </c>
      <c r="AA5166">
        <v>429</v>
      </c>
      <c r="AB5166">
        <v>54.1</v>
      </c>
    </row>
    <row r="5167" spans="20:28">
      <c r="T5167" s="340" t="str">
        <f t="shared" si="197"/>
        <v>2009AllSexNon-Maori19Jumping from a high place</v>
      </c>
      <c r="U5167">
        <v>2009</v>
      </c>
      <c r="V5167" t="s">
        <v>17</v>
      </c>
      <c r="W5167" t="s">
        <v>19</v>
      </c>
      <c r="X5167">
        <v>19</v>
      </c>
      <c r="Y5167" t="s">
        <v>44</v>
      </c>
      <c r="Z5167">
        <v>14</v>
      </c>
      <c r="AA5167">
        <v>429</v>
      </c>
      <c r="AB5167">
        <v>3.3</v>
      </c>
    </row>
    <row r="5168" spans="20:28">
      <c r="T5168" s="340" t="str">
        <f t="shared" si="197"/>
        <v>2009AllSexNon-Maori19Other</v>
      </c>
      <c r="U5168">
        <v>2009</v>
      </c>
      <c r="V5168" t="s">
        <v>17</v>
      </c>
      <c r="W5168" t="s">
        <v>19</v>
      </c>
      <c r="X5168">
        <v>19</v>
      </c>
      <c r="Y5168" t="s">
        <v>45</v>
      </c>
      <c r="Z5168">
        <v>15</v>
      </c>
      <c r="AA5168">
        <v>429</v>
      </c>
      <c r="AB5168">
        <v>3.5</v>
      </c>
    </row>
    <row r="5169" spans="20:28">
      <c r="T5169" s="340" t="str">
        <f t="shared" si="197"/>
        <v>2009AllSexNon-Maori19Poisoning by gases and vapours</v>
      </c>
      <c r="U5169">
        <v>2009</v>
      </c>
      <c r="V5169" t="s">
        <v>17</v>
      </c>
      <c r="W5169" t="s">
        <v>19</v>
      </c>
      <c r="X5169">
        <v>19</v>
      </c>
      <c r="Y5169" t="s">
        <v>46</v>
      </c>
      <c r="Z5169">
        <v>47</v>
      </c>
      <c r="AA5169">
        <v>429</v>
      </c>
      <c r="AB5169">
        <v>11</v>
      </c>
    </row>
    <row r="5170" spans="20:28">
      <c r="T5170" s="340" t="str">
        <f t="shared" si="197"/>
        <v>2009AllSexNon-Maori19Poisoning by solids and liquids</v>
      </c>
      <c r="U5170">
        <v>2009</v>
      </c>
      <c r="V5170" t="s">
        <v>17</v>
      </c>
      <c r="W5170" t="s">
        <v>19</v>
      </c>
      <c r="X5170">
        <v>19</v>
      </c>
      <c r="Y5170" t="s">
        <v>47</v>
      </c>
      <c r="Z5170">
        <v>55</v>
      </c>
      <c r="AA5170">
        <v>429</v>
      </c>
      <c r="AB5170">
        <v>12.8</v>
      </c>
    </row>
    <row r="5171" spans="20:28">
      <c r="T5171" s="340" t="str">
        <f t="shared" si="197"/>
        <v>2009AllSexNon-Maori19Sharp object</v>
      </c>
      <c r="U5171">
        <v>2009</v>
      </c>
      <c r="V5171" t="s">
        <v>17</v>
      </c>
      <c r="W5171" t="s">
        <v>19</v>
      </c>
      <c r="X5171">
        <v>19</v>
      </c>
      <c r="Y5171" t="s">
        <v>48</v>
      </c>
      <c r="Z5171">
        <v>10</v>
      </c>
      <c r="AA5171">
        <v>429</v>
      </c>
      <c r="AB5171">
        <v>2.2999999999999998</v>
      </c>
    </row>
    <row r="5172" spans="20:28">
      <c r="T5172" s="340" t="str">
        <f t="shared" si="197"/>
        <v>2009AllSexNon-Maori19Submersion (drowning)</v>
      </c>
      <c r="U5172">
        <v>2009</v>
      </c>
      <c r="V5172" t="s">
        <v>17</v>
      </c>
      <c r="W5172" t="s">
        <v>19</v>
      </c>
      <c r="X5172">
        <v>19</v>
      </c>
      <c r="Y5172" t="s">
        <v>49</v>
      </c>
      <c r="Z5172">
        <v>6</v>
      </c>
      <c r="AA5172">
        <v>429</v>
      </c>
      <c r="AB5172">
        <v>1.4</v>
      </c>
    </row>
    <row r="5173" spans="20:28">
      <c r="T5173" s="340" t="str">
        <f t="shared" si="197"/>
        <v>2009FemaleAllEth19Hanging, strangulation and suffocation</v>
      </c>
      <c r="U5173">
        <v>2009</v>
      </c>
      <c r="V5173" t="s">
        <v>8</v>
      </c>
      <c r="W5173" t="s">
        <v>27</v>
      </c>
      <c r="X5173">
        <v>19</v>
      </c>
      <c r="Y5173" t="s">
        <v>43</v>
      </c>
      <c r="Z5173">
        <v>64</v>
      </c>
      <c r="AA5173">
        <v>118</v>
      </c>
      <c r="AB5173">
        <v>54.2</v>
      </c>
    </row>
    <row r="5174" spans="20:28">
      <c r="T5174" s="340" t="str">
        <f t="shared" si="197"/>
        <v>2009FemaleAllEth19Jumping from a high place</v>
      </c>
      <c r="U5174">
        <v>2009</v>
      </c>
      <c r="V5174" t="s">
        <v>8</v>
      </c>
      <c r="W5174" t="s">
        <v>27</v>
      </c>
      <c r="X5174">
        <v>19</v>
      </c>
      <c r="Y5174" t="s">
        <v>44</v>
      </c>
      <c r="Z5174">
        <v>5</v>
      </c>
      <c r="AA5174">
        <v>118</v>
      </c>
      <c r="AB5174">
        <v>4.2</v>
      </c>
    </row>
    <row r="5175" spans="20:28">
      <c r="T5175" s="340" t="str">
        <f t="shared" si="197"/>
        <v>2009FemaleAllEth19Other</v>
      </c>
      <c r="U5175">
        <v>2009</v>
      </c>
      <c r="V5175" t="s">
        <v>8</v>
      </c>
      <c r="W5175" t="s">
        <v>27</v>
      </c>
      <c r="X5175">
        <v>19</v>
      </c>
      <c r="Y5175" t="s">
        <v>45</v>
      </c>
      <c r="Z5175">
        <v>6</v>
      </c>
      <c r="AA5175">
        <v>118</v>
      </c>
      <c r="AB5175">
        <v>5.0999999999999996</v>
      </c>
    </row>
    <row r="5176" spans="20:28">
      <c r="T5176" s="340" t="str">
        <f t="shared" si="197"/>
        <v>2009FemaleAllEth19Poisoning by gases and vapours</v>
      </c>
      <c r="U5176">
        <v>2009</v>
      </c>
      <c r="V5176" t="s">
        <v>8</v>
      </c>
      <c r="W5176" t="s">
        <v>27</v>
      </c>
      <c r="X5176">
        <v>19</v>
      </c>
      <c r="Y5176" t="s">
        <v>46</v>
      </c>
      <c r="Z5176">
        <v>11</v>
      </c>
      <c r="AA5176">
        <v>118</v>
      </c>
      <c r="AB5176">
        <v>9.3000000000000007</v>
      </c>
    </row>
    <row r="5177" spans="20:28">
      <c r="T5177" s="340" t="str">
        <f t="shared" si="197"/>
        <v>2009FemaleAllEth19Poisoning by solids and liquids</v>
      </c>
      <c r="U5177">
        <v>2009</v>
      </c>
      <c r="V5177" t="s">
        <v>8</v>
      </c>
      <c r="W5177" t="s">
        <v>27</v>
      </c>
      <c r="X5177">
        <v>19</v>
      </c>
      <c r="Y5177" t="s">
        <v>47</v>
      </c>
      <c r="Z5177">
        <v>27</v>
      </c>
      <c r="AA5177">
        <v>118</v>
      </c>
      <c r="AB5177">
        <v>22.9</v>
      </c>
    </row>
    <row r="5178" spans="20:28">
      <c r="T5178" s="340" t="str">
        <f t="shared" si="197"/>
        <v>2009FemaleAllEth19Sharp object</v>
      </c>
      <c r="U5178">
        <v>2009</v>
      </c>
      <c r="V5178" t="s">
        <v>8</v>
      </c>
      <c r="W5178" t="s">
        <v>27</v>
      </c>
      <c r="X5178">
        <v>19</v>
      </c>
      <c r="Y5178" t="s">
        <v>48</v>
      </c>
      <c r="Z5178">
        <v>2</v>
      </c>
      <c r="AA5178">
        <v>118</v>
      </c>
      <c r="AB5178">
        <v>1.7</v>
      </c>
    </row>
    <row r="5179" spans="20:28">
      <c r="T5179" s="340" t="str">
        <f t="shared" si="197"/>
        <v>2009FemaleAllEth19Submersion (drowning)</v>
      </c>
      <c r="U5179">
        <v>2009</v>
      </c>
      <c r="V5179" t="s">
        <v>8</v>
      </c>
      <c r="W5179" t="s">
        <v>27</v>
      </c>
      <c r="X5179">
        <v>19</v>
      </c>
      <c r="Y5179" t="s">
        <v>49</v>
      </c>
      <c r="Z5179">
        <v>3</v>
      </c>
      <c r="AA5179">
        <v>118</v>
      </c>
      <c r="AB5179">
        <v>2.5</v>
      </c>
    </row>
    <row r="5180" spans="20:28">
      <c r="T5180" s="340" t="str">
        <f t="shared" si="197"/>
        <v>2009FemaleMaori19Hanging, strangulation and suffocation</v>
      </c>
      <c r="U5180">
        <v>2009</v>
      </c>
      <c r="V5180" t="s">
        <v>8</v>
      </c>
      <c r="W5180" t="s">
        <v>18</v>
      </c>
      <c r="X5180">
        <v>19</v>
      </c>
      <c r="Y5180" t="s">
        <v>43</v>
      </c>
      <c r="Z5180">
        <v>22</v>
      </c>
      <c r="AA5180">
        <v>25</v>
      </c>
      <c r="AB5180">
        <v>88</v>
      </c>
    </row>
    <row r="5181" spans="20:28">
      <c r="T5181" s="340" t="str">
        <f t="shared" si="197"/>
        <v>2009FemaleMaori19Poisoning by gases and vapours</v>
      </c>
      <c r="U5181">
        <v>2009</v>
      </c>
      <c r="V5181" t="s">
        <v>8</v>
      </c>
      <c r="W5181" t="s">
        <v>18</v>
      </c>
      <c r="X5181">
        <v>19</v>
      </c>
      <c r="Y5181" t="s">
        <v>46</v>
      </c>
      <c r="Z5181">
        <v>1</v>
      </c>
      <c r="AA5181">
        <v>25</v>
      </c>
      <c r="AB5181">
        <v>4</v>
      </c>
    </row>
    <row r="5182" spans="20:28">
      <c r="T5182" s="340" t="str">
        <f t="shared" si="197"/>
        <v>2009FemaleMaori19Poisoning by solids and liquids</v>
      </c>
      <c r="U5182">
        <v>2009</v>
      </c>
      <c r="V5182" t="s">
        <v>8</v>
      </c>
      <c r="W5182" t="s">
        <v>18</v>
      </c>
      <c r="X5182">
        <v>19</v>
      </c>
      <c r="Y5182" t="s">
        <v>47</v>
      </c>
      <c r="Z5182">
        <v>2</v>
      </c>
      <c r="AA5182">
        <v>25</v>
      </c>
      <c r="AB5182">
        <v>8</v>
      </c>
    </row>
    <row r="5183" spans="20:28">
      <c r="T5183" s="340" t="str">
        <f t="shared" si="197"/>
        <v>2009FemaleNon-Maori19Hanging, strangulation and suffocation</v>
      </c>
      <c r="U5183">
        <v>2009</v>
      </c>
      <c r="V5183" t="s">
        <v>8</v>
      </c>
      <c r="W5183" t="s">
        <v>19</v>
      </c>
      <c r="X5183">
        <v>19</v>
      </c>
      <c r="Y5183" t="s">
        <v>43</v>
      </c>
      <c r="Z5183">
        <v>42</v>
      </c>
      <c r="AA5183">
        <v>93</v>
      </c>
      <c r="AB5183">
        <v>45.2</v>
      </c>
    </row>
    <row r="5184" spans="20:28">
      <c r="T5184" s="340" t="str">
        <f t="shared" si="197"/>
        <v>2009FemaleNon-Maori19Jumping from a high place</v>
      </c>
      <c r="U5184">
        <v>2009</v>
      </c>
      <c r="V5184" t="s">
        <v>8</v>
      </c>
      <c r="W5184" t="s">
        <v>19</v>
      </c>
      <c r="X5184">
        <v>19</v>
      </c>
      <c r="Y5184" t="s">
        <v>44</v>
      </c>
      <c r="Z5184">
        <v>5</v>
      </c>
      <c r="AA5184">
        <v>93</v>
      </c>
      <c r="AB5184">
        <v>5.4</v>
      </c>
    </row>
    <row r="5185" spans="20:28">
      <c r="T5185" s="340" t="str">
        <f t="shared" si="197"/>
        <v>2009FemaleNon-Maori19Other</v>
      </c>
      <c r="U5185">
        <v>2009</v>
      </c>
      <c r="V5185" t="s">
        <v>8</v>
      </c>
      <c r="W5185" t="s">
        <v>19</v>
      </c>
      <c r="X5185">
        <v>19</v>
      </c>
      <c r="Y5185" t="s">
        <v>45</v>
      </c>
      <c r="Z5185">
        <v>6</v>
      </c>
      <c r="AA5185">
        <v>93</v>
      </c>
      <c r="AB5185">
        <v>6.5</v>
      </c>
    </row>
    <row r="5186" spans="20:28">
      <c r="T5186" s="340" t="str">
        <f t="shared" si="197"/>
        <v>2009FemaleNon-Maori19Poisoning by gases and vapours</v>
      </c>
      <c r="U5186">
        <v>2009</v>
      </c>
      <c r="V5186" t="s">
        <v>8</v>
      </c>
      <c r="W5186" t="s">
        <v>19</v>
      </c>
      <c r="X5186">
        <v>19</v>
      </c>
      <c r="Y5186" t="s">
        <v>46</v>
      </c>
      <c r="Z5186">
        <v>10</v>
      </c>
      <c r="AA5186">
        <v>93</v>
      </c>
      <c r="AB5186">
        <v>10.8</v>
      </c>
    </row>
    <row r="5187" spans="20:28">
      <c r="T5187" s="340" t="str">
        <f t="shared" si="197"/>
        <v>2009FemaleNon-Maori19Poisoning by solids and liquids</v>
      </c>
      <c r="U5187">
        <v>2009</v>
      </c>
      <c r="V5187" t="s">
        <v>8</v>
      </c>
      <c r="W5187" t="s">
        <v>19</v>
      </c>
      <c r="X5187">
        <v>19</v>
      </c>
      <c r="Y5187" t="s">
        <v>47</v>
      </c>
      <c r="Z5187">
        <v>25</v>
      </c>
      <c r="AA5187">
        <v>93</v>
      </c>
      <c r="AB5187">
        <v>26.9</v>
      </c>
    </row>
    <row r="5188" spans="20:28">
      <c r="T5188" s="340" t="str">
        <f t="shared" si="197"/>
        <v>2009FemaleNon-Maori19Sharp object</v>
      </c>
      <c r="U5188">
        <v>2009</v>
      </c>
      <c r="V5188" t="s">
        <v>8</v>
      </c>
      <c r="W5188" t="s">
        <v>19</v>
      </c>
      <c r="X5188">
        <v>19</v>
      </c>
      <c r="Y5188" t="s">
        <v>48</v>
      </c>
      <c r="Z5188">
        <v>2</v>
      </c>
      <c r="AA5188">
        <v>93</v>
      </c>
      <c r="AB5188">
        <v>2.2000000000000002</v>
      </c>
    </row>
    <row r="5189" spans="20:28">
      <c r="T5189" s="340" t="str">
        <f t="shared" ref="T5189:T5252" si="198">U5189&amp;V5189&amp;W5189&amp;X5189&amp;Y5189</f>
        <v>2009FemaleNon-Maori19Submersion (drowning)</v>
      </c>
      <c r="U5189">
        <v>2009</v>
      </c>
      <c r="V5189" t="s">
        <v>8</v>
      </c>
      <c r="W5189" t="s">
        <v>19</v>
      </c>
      <c r="X5189">
        <v>19</v>
      </c>
      <c r="Y5189" t="s">
        <v>49</v>
      </c>
      <c r="Z5189">
        <v>3</v>
      </c>
      <c r="AA5189">
        <v>93</v>
      </c>
      <c r="AB5189">
        <v>3.2</v>
      </c>
    </row>
    <row r="5190" spans="20:28">
      <c r="T5190" s="340" t="str">
        <f t="shared" si="198"/>
        <v>2009MaleAllEth19Firearms and explosives</v>
      </c>
      <c r="U5190">
        <v>2009</v>
      </c>
      <c r="V5190" t="s">
        <v>20</v>
      </c>
      <c r="W5190" t="s">
        <v>27</v>
      </c>
      <c r="X5190">
        <v>19</v>
      </c>
      <c r="Y5190" t="s">
        <v>42</v>
      </c>
      <c r="Z5190">
        <v>53</v>
      </c>
      <c r="AA5190">
        <v>394</v>
      </c>
      <c r="AB5190">
        <v>13.5</v>
      </c>
    </row>
    <row r="5191" spans="20:28">
      <c r="T5191" s="340" t="str">
        <f t="shared" si="198"/>
        <v>2009MaleAllEth19Hanging, strangulation and suffocation</v>
      </c>
      <c r="U5191">
        <v>2009</v>
      </c>
      <c r="V5191" t="s">
        <v>20</v>
      </c>
      <c r="W5191" t="s">
        <v>27</v>
      </c>
      <c r="X5191">
        <v>19</v>
      </c>
      <c r="Y5191" t="s">
        <v>43</v>
      </c>
      <c r="Z5191">
        <v>238</v>
      </c>
      <c r="AA5191">
        <v>394</v>
      </c>
      <c r="AB5191">
        <v>60.4</v>
      </c>
    </row>
    <row r="5192" spans="20:28">
      <c r="T5192" s="340" t="str">
        <f t="shared" si="198"/>
        <v>2009MaleAllEth19Jumping from a high place</v>
      </c>
      <c r="U5192">
        <v>2009</v>
      </c>
      <c r="V5192" t="s">
        <v>20</v>
      </c>
      <c r="W5192" t="s">
        <v>27</v>
      </c>
      <c r="X5192">
        <v>19</v>
      </c>
      <c r="Y5192" t="s">
        <v>44</v>
      </c>
      <c r="Z5192">
        <v>12</v>
      </c>
      <c r="AA5192">
        <v>394</v>
      </c>
      <c r="AB5192">
        <v>3</v>
      </c>
    </row>
    <row r="5193" spans="20:28">
      <c r="T5193" s="340" t="str">
        <f t="shared" si="198"/>
        <v>2009MaleAllEth19Other</v>
      </c>
      <c r="U5193">
        <v>2009</v>
      </c>
      <c r="V5193" t="s">
        <v>20</v>
      </c>
      <c r="W5193" t="s">
        <v>27</v>
      </c>
      <c r="X5193">
        <v>19</v>
      </c>
      <c r="Y5193" t="s">
        <v>45</v>
      </c>
      <c r="Z5193">
        <v>9</v>
      </c>
      <c r="AA5193">
        <v>394</v>
      </c>
      <c r="AB5193">
        <v>2.2999999999999998</v>
      </c>
    </row>
    <row r="5194" spans="20:28">
      <c r="T5194" s="340" t="str">
        <f t="shared" si="198"/>
        <v>2009MaleAllEth19Poisoning by gases and vapours</v>
      </c>
      <c r="U5194">
        <v>2009</v>
      </c>
      <c r="V5194" t="s">
        <v>20</v>
      </c>
      <c r="W5194" t="s">
        <v>27</v>
      </c>
      <c r="X5194">
        <v>19</v>
      </c>
      <c r="Y5194" t="s">
        <v>46</v>
      </c>
      <c r="Z5194">
        <v>39</v>
      </c>
      <c r="AA5194">
        <v>394</v>
      </c>
      <c r="AB5194">
        <v>9.9</v>
      </c>
    </row>
    <row r="5195" spans="20:28">
      <c r="T5195" s="340" t="str">
        <f t="shared" si="198"/>
        <v>2009MaleAllEth19Poisoning by solids and liquids</v>
      </c>
      <c r="U5195">
        <v>2009</v>
      </c>
      <c r="V5195" t="s">
        <v>20</v>
      </c>
      <c r="W5195" t="s">
        <v>27</v>
      </c>
      <c r="X5195">
        <v>19</v>
      </c>
      <c r="Y5195" t="s">
        <v>47</v>
      </c>
      <c r="Z5195">
        <v>32</v>
      </c>
      <c r="AA5195">
        <v>394</v>
      </c>
      <c r="AB5195">
        <v>8.1</v>
      </c>
    </row>
    <row r="5196" spans="20:28">
      <c r="T5196" s="340" t="str">
        <f t="shared" si="198"/>
        <v>2009MaleAllEth19Sharp object</v>
      </c>
      <c r="U5196">
        <v>2009</v>
      </c>
      <c r="V5196" t="s">
        <v>20</v>
      </c>
      <c r="W5196" t="s">
        <v>27</v>
      </c>
      <c r="X5196">
        <v>19</v>
      </c>
      <c r="Y5196" t="s">
        <v>48</v>
      </c>
      <c r="Z5196">
        <v>8</v>
      </c>
      <c r="AA5196">
        <v>394</v>
      </c>
      <c r="AB5196">
        <v>2</v>
      </c>
    </row>
    <row r="5197" spans="20:28">
      <c r="T5197" s="340" t="str">
        <f t="shared" si="198"/>
        <v>2009MaleAllEth19Submersion (drowning)</v>
      </c>
      <c r="U5197">
        <v>2009</v>
      </c>
      <c r="V5197" t="s">
        <v>20</v>
      </c>
      <c r="W5197" t="s">
        <v>27</v>
      </c>
      <c r="X5197">
        <v>19</v>
      </c>
      <c r="Y5197" t="s">
        <v>49</v>
      </c>
      <c r="Z5197">
        <v>3</v>
      </c>
      <c r="AA5197">
        <v>394</v>
      </c>
      <c r="AB5197">
        <v>0.8</v>
      </c>
    </row>
    <row r="5198" spans="20:28">
      <c r="T5198" s="340" t="str">
        <f t="shared" si="198"/>
        <v>2009MaleMaori19Firearms and explosives</v>
      </c>
      <c r="U5198">
        <v>2009</v>
      </c>
      <c r="V5198" t="s">
        <v>20</v>
      </c>
      <c r="W5198" t="s">
        <v>18</v>
      </c>
      <c r="X5198">
        <v>19</v>
      </c>
      <c r="Y5198" t="s">
        <v>42</v>
      </c>
      <c r="Z5198">
        <v>3</v>
      </c>
      <c r="AA5198">
        <v>58</v>
      </c>
      <c r="AB5198">
        <v>5.2</v>
      </c>
    </row>
    <row r="5199" spans="20:28">
      <c r="T5199" s="340" t="str">
        <f t="shared" si="198"/>
        <v>2009MaleMaori19Hanging, strangulation and suffocation</v>
      </c>
      <c r="U5199">
        <v>2009</v>
      </c>
      <c r="V5199" t="s">
        <v>20</v>
      </c>
      <c r="W5199" t="s">
        <v>18</v>
      </c>
      <c r="X5199">
        <v>19</v>
      </c>
      <c r="Y5199" t="s">
        <v>43</v>
      </c>
      <c r="Z5199">
        <v>48</v>
      </c>
      <c r="AA5199">
        <v>58</v>
      </c>
      <c r="AB5199">
        <v>82.8</v>
      </c>
    </row>
    <row r="5200" spans="20:28">
      <c r="T5200" s="340" t="str">
        <f t="shared" si="198"/>
        <v>2009MaleMaori19Jumping from a high place</v>
      </c>
      <c r="U5200">
        <v>2009</v>
      </c>
      <c r="V5200" t="s">
        <v>20</v>
      </c>
      <c r="W5200" t="s">
        <v>18</v>
      </c>
      <c r="X5200">
        <v>19</v>
      </c>
      <c r="Y5200" t="s">
        <v>44</v>
      </c>
      <c r="Z5200">
        <v>3</v>
      </c>
      <c r="AA5200">
        <v>58</v>
      </c>
      <c r="AB5200">
        <v>5.2</v>
      </c>
    </row>
    <row r="5201" spans="20:28">
      <c r="T5201" s="340" t="str">
        <f t="shared" si="198"/>
        <v>2009MaleMaori19Poisoning by gases and vapours</v>
      </c>
      <c r="U5201">
        <v>2009</v>
      </c>
      <c r="V5201" t="s">
        <v>20</v>
      </c>
      <c r="W5201" t="s">
        <v>18</v>
      </c>
      <c r="X5201">
        <v>19</v>
      </c>
      <c r="Y5201" t="s">
        <v>46</v>
      </c>
      <c r="Z5201">
        <v>2</v>
      </c>
      <c r="AA5201">
        <v>58</v>
      </c>
      <c r="AB5201">
        <v>3.4</v>
      </c>
    </row>
    <row r="5202" spans="20:28">
      <c r="T5202" s="340" t="str">
        <f t="shared" si="198"/>
        <v>2009MaleMaori19Poisoning by solids and liquids</v>
      </c>
      <c r="U5202">
        <v>2009</v>
      </c>
      <c r="V5202" t="s">
        <v>20</v>
      </c>
      <c r="W5202" t="s">
        <v>18</v>
      </c>
      <c r="X5202">
        <v>19</v>
      </c>
      <c r="Y5202" t="s">
        <v>47</v>
      </c>
      <c r="Z5202">
        <v>2</v>
      </c>
      <c r="AA5202">
        <v>58</v>
      </c>
      <c r="AB5202">
        <v>3.4</v>
      </c>
    </row>
    <row r="5203" spans="20:28">
      <c r="T5203" s="340" t="str">
        <f t="shared" si="198"/>
        <v>2009MaleNon-Maori19Firearms and explosives</v>
      </c>
      <c r="U5203">
        <v>2009</v>
      </c>
      <c r="V5203" t="s">
        <v>20</v>
      </c>
      <c r="W5203" t="s">
        <v>19</v>
      </c>
      <c r="X5203">
        <v>19</v>
      </c>
      <c r="Y5203" t="s">
        <v>42</v>
      </c>
      <c r="Z5203">
        <v>50</v>
      </c>
      <c r="AA5203">
        <v>336</v>
      </c>
      <c r="AB5203">
        <v>14.9</v>
      </c>
    </row>
    <row r="5204" spans="20:28">
      <c r="T5204" s="340" t="str">
        <f t="shared" si="198"/>
        <v>2009MaleNon-Maori19Hanging, strangulation and suffocation</v>
      </c>
      <c r="U5204">
        <v>2009</v>
      </c>
      <c r="V5204" t="s">
        <v>20</v>
      </c>
      <c r="W5204" t="s">
        <v>19</v>
      </c>
      <c r="X5204">
        <v>19</v>
      </c>
      <c r="Y5204" t="s">
        <v>43</v>
      </c>
      <c r="Z5204">
        <v>190</v>
      </c>
      <c r="AA5204">
        <v>336</v>
      </c>
      <c r="AB5204">
        <v>56.5</v>
      </c>
    </row>
    <row r="5205" spans="20:28">
      <c r="T5205" s="340" t="str">
        <f t="shared" si="198"/>
        <v>2009MaleNon-Maori19Jumping from a high place</v>
      </c>
      <c r="U5205">
        <v>2009</v>
      </c>
      <c r="V5205" t="s">
        <v>20</v>
      </c>
      <c r="W5205" t="s">
        <v>19</v>
      </c>
      <c r="X5205">
        <v>19</v>
      </c>
      <c r="Y5205" t="s">
        <v>44</v>
      </c>
      <c r="Z5205">
        <v>9</v>
      </c>
      <c r="AA5205">
        <v>336</v>
      </c>
      <c r="AB5205">
        <v>2.7</v>
      </c>
    </row>
    <row r="5206" spans="20:28">
      <c r="T5206" s="340" t="str">
        <f t="shared" si="198"/>
        <v>2009MaleNon-Maori19Other</v>
      </c>
      <c r="U5206">
        <v>2009</v>
      </c>
      <c r="V5206" t="s">
        <v>20</v>
      </c>
      <c r="W5206" t="s">
        <v>19</v>
      </c>
      <c r="X5206">
        <v>19</v>
      </c>
      <c r="Y5206" t="s">
        <v>45</v>
      </c>
      <c r="Z5206">
        <v>9</v>
      </c>
      <c r="AA5206">
        <v>336</v>
      </c>
      <c r="AB5206">
        <v>2.7</v>
      </c>
    </row>
    <row r="5207" spans="20:28">
      <c r="T5207" s="340" t="str">
        <f t="shared" si="198"/>
        <v>2009MaleNon-Maori19Poisoning by gases and vapours</v>
      </c>
      <c r="U5207">
        <v>2009</v>
      </c>
      <c r="V5207" t="s">
        <v>20</v>
      </c>
      <c r="W5207" t="s">
        <v>19</v>
      </c>
      <c r="X5207">
        <v>19</v>
      </c>
      <c r="Y5207" t="s">
        <v>46</v>
      </c>
      <c r="Z5207">
        <v>37</v>
      </c>
      <c r="AA5207">
        <v>336</v>
      </c>
      <c r="AB5207">
        <v>11</v>
      </c>
    </row>
    <row r="5208" spans="20:28">
      <c r="T5208" s="340" t="str">
        <f t="shared" si="198"/>
        <v>2009MaleNon-Maori19Poisoning by solids and liquids</v>
      </c>
      <c r="U5208">
        <v>2009</v>
      </c>
      <c r="V5208" t="s">
        <v>20</v>
      </c>
      <c r="W5208" t="s">
        <v>19</v>
      </c>
      <c r="X5208">
        <v>19</v>
      </c>
      <c r="Y5208" t="s">
        <v>47</v>
      </c>
      <c r="Z5208">
        <v>30</v>
      </c>
      <c r="AA5208">
        <v>336</v>
      </c>
      <c r="AB5208">
        <v>8.9</v>
      </c>
    </row>
    <row r="5209" spans="20:28">
      <c r="T5209" s="340" t="str">
        <f t="shared" si="198"/>
        <v>2009MaleNon-Maori19Sharp object</v>
      </c>
      <c r="U5209">
        <v>2009</v>
      </c>
      <c r="V5209" t="s">
        <v>20</v>
      </c>
      <c r="W5209" t="s">
        <v>19</v>
      </c>
      <c r="X5209">
        <v>19</v>
      </c>
      <c r="Y5209" t="s">
        <v>48</v>
      </c>
      <c r="Z5209">
        <v>8</v>
      </c>
      <c r="AA5209">
        <v>336</v>
      </c>
      <c r="AB5209">
        <v>2.4</v>
      </c>
    </row>
    <row r="5210" spans="20:28">
      <c r="T5210" s="340" t="str">
        <f t="shared" si="198"/>
        <v>2009MaleNon-Maori19Submersion (drowning)</v>
      </c>
      <c r="U5210">
        <v>2009</v>
      </c>
      <c r="V5210" t="s">
        <v>20</v>
      </c>
      <c r="W5210" t="s">
        <v>19</v>
      </c>
      <c r="X5210">
        <v>19</v>
      </c>
      <c r="Y5210" t="s">
        <v>49</v>
      </c>
      <c r="Z5210">
        <v>3</v>
      </c>
      <c r="AA5210">
        <v>336</v>
      </c>
      <c r="AB5210">
        <v>0.9</v>
      </c>
    </row>
    <row r="5211" spans="20:28">
      <c r="T5211" s="340" t="str">
        <f t="shared" si="198"/>
        <v>2010AllSexAllEth19Firearms and explosives</v>
      </c>
      <c r="U5211">
        <v>2010</v>
      </c>
      <c r="V5211" t="s">
        <v>17</v>
      </c>
      <c r="W5211" t="s">
        <v>27</v>
      </c>
      <c r="X5211">
        <v>19</v>
      </c>
      <c r="Y5211" t="s">
        <v>42</v>
      </c>
      <c r="Z5211">
        <v>42</v>
      </c>
      <c r="AA5211">
        <v>534</v>
      </c>
      <c r="AB5211">
        <v>7.9</v>
      </c>
    </row>
    <row r="5212" spans="20:28">
      <c r="T5212" s="340" t="str">
        <f t="shared" si="198"/>
        <v>2010AllSexAllEth19Hanging, strangulation and suffocation</v>
      </c>
      <c r="U5212">
        <v>2010</v>
      </c>
      <c r="V5212" t="s">
        <v>17</v>
      </c>
      <c r="W5212" t="s">
        <v>27</v>
      </c>
      <c r="X5212">
        <v>19</v>
      </c>
      <c r="Y5212" t="s">
        <v>43</v>
      </c>
      <c r="Z5212">
        <v>313</v>
      </c>
      <c r="AA5212">
        <v>534</v>
      </c>
      <c r="AB5212">
        <v>58.6</v>
      </c>
    </row>
    <row r="5213" spans="20:28">
      <c r="T5213" s="340" t="str">
        <f t="shared" si="198"/>
        <v>2010AllSexAllEth19Jumping from a high place</v>
      </c>
      <c r="U5213">
        <v>2010</v>
      </c>
      <c r="V5213" t="s">
        <v>17</v>
      </c>
      <c r="W5213" t="s">
        <v>27</v>
      </c>
      <c r="X5213">
        <v>19</v>
      </c>
      <c r="Y5213" t="s">
        <v>44</v>
      </c>
      <c r="Z5213">
        <v>13</v>
      </c>
      <c r="AA5213">
        <v>534</v>
      </c>
      <c r="AB5213">
        <v>2.4</v>
      </c>
    </row>
    <row r="5214" spans="20:28">
      <c r="T5214" s="340" t="str">
        <f t="shared" si="198"/>
        <v>2010AllSexAllEth19Other</v>
      </c>
      <c r="U5214">
        <v>2010</v>
      </c>
      <c r="V5214" t="s">
        <v>17</v>
      </c>
      <c r="W5214" t="s">
        <v>27</v>
      </c>
      <c r="X5214">
        <v>19</v>
      </c>
      <c r="Y5214" t="s">
        <v>45</v>
      </c>
      <c r="Z5214">
        <v>20</v>
      </c>
      <c r="AA5214">
        <v>534</v>
      </c>
      <c r="AB5214">
        <v>3.7</v>
      </c>
    </row>
    <row r="5215" spans="20:28">
      <c r="T5215" s="340" t="str">
        <f t="shared" si="198"/>
        <v>2010AllSexAllEth19Poisoning by gases and vapours</v>
      </c>
      <c r="U5215">
        <v>2010</v>
      </c>
      <c r="V5215" t="s">
        <v>17</v>
      </c>
      <c r="W5215" t="s">
        <v>27</v>
      </c>
      <c r="X5215">
        <v>19</v>
      </c>
      <c r="Y5215" t="s">
        <v>46</v>
      </c>
      <c r="Z5215">
        <v>61</v>
      </c>
      <c r="AA5215">
        <v>534</v>
      </c>
      <c r="AB5215">
        <v>11.4</v>
      </c>
    </row>
    <row r="5216" spans="20:28">
      <c r="T5216" s="340" t="str">
        <f t="shared" si="198"/>
        <v>2010AllSexAllEth19Poisoning by solids and liquids</v>
      </c>
      <c r="U5216">
        <v>2010</v>
      </c>
      <c r="V5216" t="s">
        <v>17</v>
      </c>
      <c r="W5216" t="s">
        <v>27</v>
      </c>
      <c r="X5216">
        <v>19</v>
      </c>
      <c r="Y5216" t="s">
        <v>47</v>
      </c>
      <c r="Z5216">
        <v>67</v>
      </c>
      <c r="AA5216">
        <v>534</v>
      </c>
      <c r="AB5216">
        <v>12.5</v>
      </c>
    </row>
    <row r="5217" spans="20:28">
      <c r="T5217" s="340" t="str">
        <f t="shared" si="198"/>
        <v>2010AllSexAllEth19Sharp object</v>
      </c>
      <c r="U5217">
        <v>2010</v>
      </c>
      <c r="V5217" t="s">
        <v>17</v>
      </c>
      <c r="W5217" t="s">
        <v>27</v>
      </c>
      <c r="X5217">
        <v>19</v>
      </c>
      <c r="Y5217" t="s">
        <v>48</v>
      </c>
      <c r="Z5217">
        <v>9</v>
      </c>
      <c r="AA5217">
        <v>534</v>
      </c>
      <c r="AB5217">
        <v>1.7</v>
      </c>
    </row>
    <row r="5218" spans="20:28">
      <c r="T5218" s="340" t="str">
        <f t="shared" si="198"/>
        <v>2010AllSexAllEth19Submersion (drowning)</v>
      </c>
      <c r="U5218">
        <v>2010</v>
      </c>
      <c r="V5218" t="s">
        <v>17</v>
      </c>
      <c r="W5218" t="s">
        <v>27</v>
      </c>
      <c r="X5218">
        <v>19</v>
      </c>
      <c r="Y5218" t="s">
        <v>49</v>
      </c>
      <c r="Z5218">
        <v>9</v>
      </c>
      <c r="AA5218">
        <v>534</v>
      </c>
      <c r="AB5218">
        <v>1.7</v>
      </c>
    </row>
    <row r="5219" spans="20:28">
      <c r="T5219" s="340" t="str">
        <f t="shared" si="198"/>
        <v>2010AllSexMaori19Firearms and explosives</v>
      </c>
      <c r="U5219">
        <v>2010</v>
      </c>
      <c r="V5219" t="s">
        <v>17</v>
      </c>
      <c r="W5219" t="s">
        <v>18</v>
      </c>
      <c r="X5219">
        <v>19</v>
      </c>
      <c r="Y5219" t="s">
        <v>42</v>
      </c>
      <c r="Z5219">
        <v>4</v>
      </c>
      <c r="AA5219">
        <v>102</v>
      </c>
      <c r="AB5219">
        <v>3.9</v>
      </c>
    </row>
    <row r="5220" spans="20:28">
      <c r="T5220" s="340" t="str">
        <f t="shared" si="198"/>
        <v>2010AllSexMaori19Hanging, strangulation and suffocation</v>
      </c>
      <c r="U5220">
        <v>2010</v>
      </c>
      <c r="V5220" t="s">
        <v>17</v>
      </c>
      <c r="W5220" t="s">
        <v>18</v>
      </c>
      <c r="X5220">
        <v>19</v>
      </c>
      <c r="Y5220" t="s">
        <v>43</v>
      </c>
      <c r="Z5220">
        <v>78</v>
      </c>
      <c r="AA5220">
        <v>102</v>
      </c>
      <c r="AB5220">
        <v>76.5</v>
      </c>
    </row>
    <row r="5221" spans="20:28">
      <c r="T5221" s="340" t="str">
        <f t="shared" si="198"/>
        <v>2010AllSexMaori19Jumping from a high place</v>
      </c>
      <c r="U5221">
        <v>2010</v>
      </c>
      <c r="V5221" t="s">
        <v>17</v>
      </c>
      <c r="W5221" t="s">
        <v>18</v>
      </c>
      <c r="X5221">
        <v>19</v>
      </c>
      <c r="Y5221" t="s">
        <v>44</v>
      </c>
      <c r="Z5221">
        <v>1</v>
      </c>
      <c r="AA5221">
        <v>102</v>
      </c>
      <c r="AB5221">
        <v>1</v>
      </c>
    </row>
    <row r="5222" spans="20:28">
      <c r="T5222" s="340" t="str">
        <f t="shared" si="198"/>
        <v>2010AllSexMaori19Other</v>
      </c>
      <c r="U5222">
        <v>2010</v>
      </c>
      <c r="V5222" t="s">
        <v>17</v>
      </c>
      <c r="W5222" t="s">
        <v>18</v>
      </c>
      <c r="X5222">
        <v>19</v>
      </c>
      <c r="Y5222" t="s">
        <v>45</v>
      </c>
      <c r="Z5222">
        <v>3</v>
      </c>
      <c r="AA5222">
        <v>102</v>
      </c>
      <c r="AB5222">
        <v>2.9</v>
      </c>
    </row>
    <row r="5223" spans="20:28">
      <c r="T5223" s="340" t="str">
        <f t="shared" si="198"/>
        <v>2010AllSexMaori19Poisoning by gases and vapours</v>
      </c>
      <c r="U5223">
        <v>2010</v>
      </c>
      <c r="V5223" t="s">
        <v>17</v>
      </c>
      <c r="W5223" t="s">
        <v>18</v>
      </c>
      <c r="X5223">
        <v>19</v>
      </c>
      <c r="Y5223" t="s">
        <v>46</v>
      </c>
      <c r="Z5223">
        <v>4</v>
      </c>
      <c r="AA5223">
        <v>102</v>
      </c>
      <c r="AB5223">
        <v>3.9</v>
      </c>
    </row>
    <row r="5224" spans="20:28">
      <c r="T5224" s="340" t="str">
        <f t="shared" si="198"/>
        <v>2010AllSexMaori19Poisoning by solids and liquids</v>
      </c>
      <c r="U5224">
        <v>2010</v>
      </c>
      <c r="V5224" t="s">
        <v>17</v>
      </c>
      <c r="W5224" t="s">
        <v>18</v>
      </c>
      <c r="X5224">
        <v>19</v>
      </c>
      <c r="Y5224" t="s">
        <v>47</v>
      </c>
      <c r="Z5224">
        <v>11</v>
      </c>
      <c r="AA5224">
        <v>102</v>
      </c>
      <c r="AB5224">
        <v>10.8</v>
      </c>
    </row>
    <row r="5225" spans="20:28">
      <c r="T5225" s="340" t="str">
        <f t="shared" si="198"/>
        <v>2010AllSexMaori19Sharp object</v>
      </c>
      <c r="U5225">
        <v>2010</v>
      </c>
      <c r="V5225" t="s">
        <v>17</v>
      </c>
      <c r="W5225" t="s">
        <v>18</v>
      </c>
      <c r="X5225">
        <v>19</v>
      </c>
      <c r="Y5225" t="s">
        <v>48</v>
      </c>
      <c r="Z5225">
        <v>1</v>
      </c>
      <c r="AA5225">
        <v>102</v>
      </c>
      <c r="AB5225">
        <v>1</v>
      </c>
    </row>
    <row r="5226" spans="20:28">
      <c r="T5226" s="340" t="str">
        <f t="shared" si="198"/>
        <v>2010AllSexNon-Maori19Firearms and explosives</v>
      </c>
      <c r="U5226">
        <v>2010</v>
      </c>
      <c r="V5226" t="s">
        <v>17</v>
      </c>
      <c r="W5226" t="s">
        <v>19</v>
      </c>
      <c r="X5226">
        <v>19</v>
      </c>
      <c r="Y5226" t="s">
        <v>42</v>
      </c>
      <c r="Z5226">
        <v>38</v>
      </c>
      <c r="AA5226">
        <v>432</v>
      </c>
      <c r="AB5226">
        <v>8.8000000000000007</v>
      </c>
    </row>
    <row r="5227" spans="20:28">
      <c r="T5227" s="340" t="str">
        <f t="shared" si="198"/>
        <v>2010AllSexNon-Maori19Hanging, strangulation and suffocation</v>
      </c>
      <c r="U5227">
        <v>2010</v>
      </c>
      <c r="V5227" t="s">
        <v>17</v>
      </c>
      <c r="W5227" t="s">
        <v>19</v>
      </c>
      <c r="X5227">
        <v>19</v>
      </c>
      <c r="Y5227" t="s">
        <v>43</v>
      </c>
      <c r="Z5227">
        <v>235</v>
      </c>
      <c r="AA5227">
        <v>432</v>
      </c>
      <c r="AB5227">
        <v>54.4</v>
      </c>
    </row>
    <row r="5228" spans="20:28">
      <c r="T5228" s="340" t="str">
        <f t="shared" si="198"/>
        <v>2010AllSexNon-Maori19Jumping from a high place</v>
      </c>
      <c r="U5228">
        <v>2010</v>
      </c>
      <c r="V5228" t="s">
        <v>17</v>
      </c>
      <c r="W5228" t="s">
        <v>19</v>
      </c>
      <c r="X5228">
        <v>19</v>
      </c>
      <c r="Y5228" t="s">
        <v>44</v>
      </c>
      <c r="Z5228">
        <v>12</v>
      </c>
      <c r="AA5228">
        <v>432</v>
      </c>
      <c r="AB5228">
        <v>2.8</v>
      </c>
    </row>
    <row r="5229" spans="20:28">
      <c r="T5229" s="340" t="str">
        <f t="shared" si="198"/>
        <v>2010AllSexNon-Maori19Other</v>
      </c>
      <c r="U5229">
        <v>2010</v>
      </c>
      <c r="V5229" t="s">
        <v>17</v>
      </c>
      <c r="W5229" t="s">
        <v>19</v>
      </c>
      <c r="X5229">
        <v>19</v>
      </c>
      <c r="Y5229" t="s">
        <v>45</v>
      </c>
      <c r="Z5229">
        <v>17</v>
      </c>
      <c r="AA5229">
        <v>432</v>
      </c>
      <c r="AB5229">
        <v>3.9</v>
      </c>
    </row>
    <row r="5230" spans="20:28">
      <c r="T5230" s="340" t="str">
        <f t="shared" si="198"/>
        <v>2010AllSexNon-Maori19Poisoning by gases and vapours</v>
      </c>
      <c r="U5230">
        <v>2010</v>
      </c>
      <c r="V5230" t="s">
        <v>17</v>
      </c>
      <c r="W5230" t="s">
        <v>19</v>
      </c>
      <c r="X5230">
        <v>19</v>
      </c>
      <c r="Y5230" t="s">
        <v>46</v>
      </c>
      <c r="Z5230">
        <v>57</v>
      </c>
      <c r="AA5230">
        <v>432</v>
      </c>
      <c r="AB5230">
        <v>13.2</v>
      </c>
    </row>
    <row r="5231" spans="20:28">
      <c r="T5231" s="340" t="str">
        <f t="shared" si="198"/>
        <v>2010AllSexNon-Maori19Poisoning by solids and liquids</v>
      </c>
      <c r="U5231">
        <v>2010</v>
      </c>
      <c r="V5231" t="s">
        <v>17</v>
      </c>
      <c r="W5231" t="s">
        <v>19</v>
      </c>
      <c r="X5231">
        <v>19</v>
      </c>
      <c r="Y5231" t="s">
        <v>47</v>
      </c>
      <c r="Z5231">
        <v>56</v>
      </c>
      <c r="AA5231">
        <v>432</v>
      </c>
      <c r="AB5231">
        <v>13</v>
      </c>
    </row>
    <row r="5232" spans="20:28">
      <c r="T5232" s="340" t="str">
        <f t="shared" si="198"/>
        <v>2010AllSexNon-Maori19Sharp object</v>
      </c>
      <c r="U5232">
        <v>2010</v>
      </c>
      <c r="V5232" t="s">
        <v>17</v>
      </c>
      <c r="W5232" t="s">
        <v>19</v>
      </c>
      <c r="X5232">
        <v>19</v>
      </c>
      <c r="Y5232" t="s">
        <v>48</v>
      </c>
      <c r="Z5232">
        <v>8</v>
      </c>
      <c r="AA5232">
        <v>432</v>
      </c>
      <c r="AB5232">
        <v>1.9</v>
      </c>
    </row>
    <row r="5233" spans="20:28">
      <c r="T5233" s="340" t="str">
        <f t="shared" si="198"/>
        <v>2010AllSexNon-Maori19Submersion (drowning)</v>
      </c>
      <c r="U5233">
        <v>2010</v>
      </c>
      <c r="V5233" t="s">
        <v>17</v>
      </c>
      <c r="W5233" t="s">
        <v>19</v>
      </c>
      <c r="X5233">
        <v>19</v>
      </c>
      <c r="Y5233" t="s">
        <v>49</v>
      </c>
      <c r="Z5233">
        <v>9</v>
      </c>
      <c r="AA5233">
        <v>432</v>
      </c>
      <c r="AB5233">
        <v>2.1</v>
      </c>
    </row>
    <row r="5234" spans="20:28">
      <c r="T5234" s="340" t="str">
        <f t="shared" si="198"/>
        <v>2010FemaleAllEth19Firearms and explosives</v>
      </c>
      <c r="U5234">
        <v>2010</v>
      </c>
      <c r="V5234" t="s">
        <v>8</v>
      </c>
      <c r="W5234" t="s">
        <v>27</v>
      </c>
      <c r="X5234">
        <v>19</v>
      </c>
      <c r="Y5234" t="s">
        <v>42</v>
      </c>
      <c r="Z5234">
        <v>2</v>
      </c>
      <c r="AA5234">
        <v>147</v>
      </c>
      <c r="AB5234">
        <v>1.4</v>
      </c>
    </row>
    <row r="5235" spans="20:28">
      <c r="T5235" s="340" t="str">
        <f t="shared" si="198"/>
        <v>2010FemaleAllEth19Hanging, strangulation and suffocation</v>
      </c>
      <c r="U5235">
        <v>2010</v>
      </c>
      <c r="V5235" t="s">
        <v>8</v>
      </c>
      <c r="W5235" t="s">
        <v>27</v>
      </c>
      <c r="X5235">
        <v>19</v>
      </c>
      <c r="Y5235" t="s">
        <v>43</v>
      </c>
      <c r="Z5235">
        <v>80</v>
      </c>
      <c r="AA5235">
        <v>147</v>
      </c>
      <c r="AB5235">
        <v>54.4</v>
      </c>
    </row>
    <row r="5236" spans="20:28">
      <c r="T5236" s="340" t="str">
        <f t="shared" si="198"/>
        <v>2010FemaleAllEth19Jumping from a high place</v>
      </c>
      <c r="U5236">
        <v>2010</v>
      </c>
      <c r="V5236" t="s">
        <v>8</v>
      </c>
      <c r="W5236" t="s">
        <v>27</v>
      </c>
      <c r="X5236">
        <v>19</v>
      </c>
      <c r="Y5236" t="s">
        <v>44</v>
      </c>
      <c r="Z5236">
        <v>3</v>
      </c>
      <c r="AA5236">
        <v>147</v>
      </c>
      <c r="AB5236">
        <v>2</v>
      </c>
    </row>
    <row r="5237" spans="20:28">
      <c r="T5237" s="340" t="str">
        <f t="shared" si="198"/>
        <v>2010FemaleAllEth19Other</v>
      </c>
      <c r="U5237">
        <v>2010</v>
      </c>
      <c r="V5237" t="s">
        <v>8</v>
      </c>
      <c r="W5237" t="s">
        <v>27</v>
      </c>
      <c r="X5237">
        <v>19</v>
      </c>
      <c r="Y5237" t="s">
        <v>45</v>
      </c>
      <c r="Z5237">
        <v>6</v>
      </c>
      <c r="AA5237">
        <v>147</v>
      </c>
      <c r="AB5237">
        <v>4.0999999999999996</v>
      </c>
    </row>
    <row r="5238" spans="20:28">
      <c r="T5238" s="340" t="str">
        <f t="shared" si="198"/>
        <v>2010FemaleAllEth19Poisoning by gases and vapours</v>
      </c>
      <c r="U5238">
        <v>2010</v>
      </c>
      <c r="V5238" t="s">
        <v>8</v>
      </c>
      <c r="W5238" t="s">
        <v>27</v>
      </c>
      <c r="X5238">
        <v>19</v>
      </c>
      <c r="Y5238" t="s">
        <v>46</v>
      </c>
      <c r="Z5238">
        <v>10</v>
      </c>
      <c r="AA5238">
        <v>147</v>
      </c>
      <c r="AB5238">
        <v>6.8</v>
      </c>
    </row>
    <row r="5239" spans="20:28">
      <c r="T5239" s="340" t="str">
        <f t="shared" si="198"/>
        <v>2010FemaleAllEth19Poisoning by solids and liquids</v>
      </c>
      <c r="U5239">
        <v>2010</v>
      </c>
      <c r="V5239" t="s">
        <v>8</v>
      </c>
      <c r="W5239" t="s">
        <v>27</v>
      </c>
      <c r="X5239">
        <v>19</v>
      </c>
      <c r="Y5239" t="s">
        <v>47</v>
      </c>
      <c r="Z5239">
        <v>39</v>
      </c>
      <c r="AA5239">
        <v>147</v>
      </c>
      <c r="AB5239">
        <v>26.5</v>
      </c>
    </row>
    <row r="5240" spans="20:28">
      <c r="T5240" s="340" t="str">
        <f t="shared" si="198"/>
        <v>2010FemaleAllEth19Sharp object</v>
      </c>
      <c r="U5240">
        <v>2010</v>
      </c>
      <c r="V5240" t="s">
        <v>8</v>
      </c>
      <c r="W5240" t="s">
        <v>27</v>
      </c>
      <c r="X5240">
        <v>19</v>
      </c>
      <c r="Y5240" t="s">
        <v>48</v>
      </c>
      <c r="Z5240">
        <v>2</v>
      </c>
      <c r="AA5240">
        <v>147</v>
      </c>
      <c r="AB5240">
        <v>1.4</v>
      </c>
    </row>
    <row r="5241" spans="20:28">
      <c r="T5241" s="340" t="str">
        <f t="shared" si="198"/>
        <v>2010FemaleAllEth19Submersion (drowning)</v>
      </c>
      <c r="U5241">
        <v>2010</v>
      </c>
      <c r="V5241" t="s">
        <v>8</v>
      </c>
      <c r="W5241" t="s">
        <v>27</v>
      </c>
      <c r="X5241">
        <v>19</v>
      </c>
      <c r="Y5241" t="s">
        <v>49</v>
      </c>
      <c r="Z5241">
        <v>5</v>
      </c>
      <c r="AA5241">
        <v>147</v>
      </c>
      <c r="AB5241">
        <v>3.4</v>
      </c>
    </row>
    <row r="5242" spans="20:28">
      <c r="T5242" s="340" t="str">
        <f t="shared" si="198"/>
        <v>2010FemaleMaori19Firearms and explosives</v>
      </c>
      <c r="U5242">
        <v>2010</v>
      </c>
      <c r="V5242" t="s">
        <v>8</v>
      </c>
      <c r="W5242" t="s">
        <v>18</v>
      </c>
      <c r="X5242">
        <v>19</v>
      </c>
      <c r="Y5242" t="s">
        <v>42</v>
      </c>
      <c r="Z5242">
        <v>1</v>
      </c>
      <c r="AA5242">
        <v>30</v>
      </c>
      <c r="AB5242">
        <v>3.3</v>
      </c>
    </row>
    <row r="5243" spans="20:28">
      <c r="T5243" s="340" t="str">
        <f t="shared" si="198"/>
        <v>2010FemaleMaori19Hanging, strangulation and suffocation</v>
      </c>
      <c r="U5243">
        <v>2010</v>
      </c>
      <c r="V5243" t="s">
        <v>8</v>
      </c>
      <c r="W5243" t="s">
        <v>18</v>
      </c>
      <c r="X5243">
        <v>19</v>
      </c>
      <c r="Y5243" t="s">
        <v>43</v>
      </c>
      <c r="Z5243">
        <v>21</v>
      </c>
      <c r="AA5243">
        <v>30</v>
      </c>
      <c r="AB5243">
        <v>70</v>
      </c>
    </row>
    <row r="5244" spans="20:28">
      <c r="T5244" s="340" t="str">
        <f t="shared" si="198"/>
        <v>2010FemaleMaori19Jumping from a high place</v>
      </c>
      <c r="U5244">
        <v>2010</v>
      </c>
      <c r="V5244" t="s">
        <v>8</v>
      </c>
      <c r="W5244" t="s">
        <v>18</v>
      </c>
      <c r="X5244">
        <v>19</v>
      </c>
      <c r="Y5244" t="s">
        <v>44</v>
      </c>
      <c r="Z5244">
        <v>1</v>
      </c>
      <c r="AA5244">
        <v>30</v>
      </c>
      <c r="AB5244">
        <v>3.3</v>
      </c>
    </row>
    <row r="5245" spans="20:28">
      <c r="T5245" s="340" t="str">
        <f t="shared" si="198"/>
        <v>2010FemaleMaori19Poisoning by solids and liquids</v>
      </c>
      <c r="U5245">
        <v>2010</v>
      </c>
      <c r="V5245" t="s">
        <v>8</v>
      </c>
      <c r="W5245" t="s">
        <v>18</v>
      </c>
      <c r="X5245">
        <v>19</v>
      </c>
      <c r="Y5245" t="s">
        <v>47</v>
      </c>
      <c r="Z5245">
        <v>7</v>
      </c>
      <c r="AA5245">
        <v>30</v>
      </c>
      <c r="AB5245">
        <v>23.3</v>
      </c>
    </row>
    <row r="5246" spans="20:28">
      <c r="T5246" s="340" t="str">
        <f t="shared" si="198"/>
        <v>2010FemaleNon-Maori19Firearms and explosives</v>
      </c>
      <c r="U5246">
        <v>2010</v>
      </c>
      <c r="V5246" t="s">
        <v>8</v>
      </c>
      <c r="W5246" t="s">
        <v>19</v>
      </c>
      <c r="X5246">
        <v>19</v>
      </c>
      <c r="Y5246" t="s">
        <v>42</v>
      </c>
      <c r="Z5246">
        <v>1</v>
      </c>
      <c r="AA5246">
        <v>117</v>
      </c>
      <c r="AB5246">
        <v>0.9</v>
      </c>
    </row>
    <row r="5247" spans="20:28">
      <c r="T5247" s="340" t="str">
        <f t="shared" si="198"/>
        <v>2010FemaleNon-Maori19Hanging, strangulation and suffocation</v>
      </c>
      <c r="U5247">
        <v>2010</v>
      </c>
      <c r="V5247" t="s">
        <v>8</v>
      </c>
      <c r="W5247" t="s">
        <v>19</v>
      </c>
      <c r="X5247">
        <v>19</v>
      </c>
      <c r="Y5247" t="s">
        <v>43</v>
      </c>
      <c r="Z5247">
        <v>59</v>
      </c>
      <c r="AA5247">
        <v>117</v>
      </c>
      <c r="AB5247">
        <v>50.4</v>
      </c>
    </row>
    <row r="5248" spans="20:28">
      <c r="T5248" s="340" t="str">
        <f t="shared" si="198"/>
        <v>2010FemaleNon-Maori19Jumping from a high place</v>
      </c>
      <c r="U5248">
        <v>2010</v>
      </c>
      <c r="V5248" t="s">
        <v>8</v>
      </c>
      <c r="W5248" t="s">
        <v>19</v>
      </c>
      <c r="X5248">
        <v>19</v>
      </c>
      <c r="Y5248" t="s">
        <v>44</v>
      </c>
      <c r="Z5248">
        <v>2</v>
      </c>
      <c r="AA5248">
        <v>117</v>
      </c>
      <c r="AB5248">
        <v>1.7</v>
      </c>
    </row>
    <row r="5249" spans="20:28">
      <c r="T5249" s="340" t="str">
        <f t="shared" si="198"/>
        <v>2010FemaleNon-Maori19Other</v>
      </c>
      <c r="U5249">
        <v>2010</v>
      </c>
      <c r="V5249" t="s">
        <v>8</v>
      </c>
      <c r="W5249" t="s">
        <v>19</v>
      </c>
      <c r="X5249">
        <v>19</v>
      </c>
      <c r="Y5249" t="s">
        <v>45</v>
      </c>
      <c r="Z5249">
        <v>6</v>
      </c>
      <c r="AA5249">
        <v>117</v>
      </c>
      <c r="AB5249">
        <v>5.0999999999999996</v>
      </c>
    </row>
    <row r="5250" spans="20:28">
      <c r="T5250" s="340" t="str">
        <f t="shared" si="198"/>
        <v>2010FemaleNon-Maori19Poisoning by gases and vapours</v>
      </c>
      <c r="U5250">
        <v>2010</v>
      </c>
      <c r="V5250" t="s">
        <v>8</v>
      </c>
      <c r="W5250" t="s">
        <v>19</v>
      </c>
      <c r="X5250">
        <v>19</v>
      </c>
      <c r="Y5250" t="s">
        <v>46</v>
      </c>
      <c r="Z5250">
        <v>10</v>
      </c>
      <c r="AA5250">
        <v>117</v>
      </c>
      <c r="AB5250">
        <v>8.5</v>
      </c>
    </row>
    <row r="5251" spans="20:28">
      <c r="T5251" s="340" t="str">
        <f t="shared" si="198"/>
        <v>2010FemaleNon-Maori19Poisoning by solids and liquids</v>
      </c>
      <c r="U5251">
        <v>2010</v>
      </c>
      <c r="V5251" t="s">
        <v>8</v>
      </c>
      <c r="W5251" t="s">
        <v>19</v>
      </c>
      <c r="X5251">
        <v>19</v>
      </c>
      <c r="Y5251" t="s">
        <v>47</v>
      </c>
      <c r="Z5251">
        <v>32</v>
      </c>
      <c r="AA5251">
        <v>117</v>
      </c>
      <c r="AB5251">
        <v>27.4</v>
      </c>
    </row>
    <row r="5252" spans="20:28">
      <c r="T5252" s="340" t="str">
        <f t="shared" si="198"/>
        <v>2010FemaleNon-Maori19Sharp object</v>
      </c>
      <c r="U5252">
        <v>2010</v>
      </c>
      <c r="V5252" t="s">
        <v>8</v>
      </c>
      <c r="W5252" t="s">
        <v>19</v>
      </c>
      <c r="X5252">
        <v>19</v>
      </c>
      <c r="Y5252" t="s">
        <v>48</v>
      </c>
      <c r="Z5252">
        <v>2</v>
      </c>
      <c r="AA5252">
        <v>117</v>
      </c>
      <c r="AB5252">
        <v>1.7</v>
      </c>
    </row>
    <row r="5253" spans="20:28">
      <c r="T5253" s="340" t="str">
        <f t="shared" ref="T5253:T5316" si="199">U5253&amp;V5253&amp;W5253&amp;X5253&amp;Y5253</f>
        <v>2010FemaleNon-Maori19Submersion (drowning)</v>
      </c>
      <c r="U5253">
        <v>2010</v>
      </c>
      <c r="V5253" t="s">
        <v>8</v>
      </c>
      <c r="W5253" t="s">
        <v>19</v>
      </c>
      <c r="X5253">
        <v>19</v>
      </c>
      <c r="Y5253" t="s">
        <v>49</v>
      </c>
      <c r="Z5253">
        <v>5</v>
      </c>
      <c r="AA5253">
        <v>117</v>
      </c>
      <c r="AB5253">
        <v>4.3</v>
      </c>
    </row>
    <row r="5254" spans="20:28">
      <c r="T5254" s="340" t="str">
        <f t="shared" si="199"/>
        <v>2010MaleAllEth19Firearms and explosives</v>
      </c>
      <c r="U5254">
        <v>2010</v>
      </c>
      <c r="V5254" t="s">
        <v>20</v>
      </c>
      <c r="W5254" t="s">
        <v>27</v>
      </c>
      <c r="X5254">
        <v>19</v>
      </c>
      <c r="Y5254" t="s">
        <v>42</v>
      </c>
      <c r="Z5254">
        <v>40</v>
      </c>
      <c r="AA5254">
        <v>387</v>
      </c>
      <c r="AB5254">
        <v>10.3</v>
      </c>
    </row>
    <row r="5255" spans="20:28">
      <c r="T5255" s="340" t="str">
        <f t="shared" si="199"/>
        <v>2010MaleAllEth19Hanging, strangulation and suffocation</v>
      </c>
      <c r="U5255">
        <v>2010</v>
      </c>
      <c r="V5255" t="s">
        <v>20</v>
      </c>
      <c r="W5255" t="s">
        <v>27</v>
      </c>
      <c r="X5255">
        <v>19</v>
      </c>
      <c r="Y5255" t="s">
        <v>43</v>
      </c>
      <c r="Z5255">
        <v>233</v>
      </c>
      <c r="AA5255">
        <v>387</v>
      </c>
      <c r="AB5255">
        <v>60.2</v>
      </c>
    </row>
    <row r="5256" spans="20:28">
      <c r="T5256" s="340" t="str">
        <f t="shared" si="199"/>
        <v>2010MaleAllEth19Jumping from a high place</v>
      </c>
      <c r="U5256">
        <v>2010</v>
      </c>
      <c r="V5256" t="s">
        <v>20</v>
      </c>
      <c r="W5256" t="s">
        <v>27</v>
      </c>
      <c r="X5256">
        <v>19</v>
      </c>
      <c r="Y5256" t="s">
        <v>44</v>
      </c>
      <c r="Z5256">
        <v>10</v>
      </c>
      <c r="AA5256">
        <v>387</v>
      </c>
      <c r="AB5256">
        <v>2.6</v>
      </c>
    </row>
    <row r="5257" spans="20:28">
      <c r="T5257" s="340" t="str">
        <f t="shared" si="199"/>
        <v>2010MaleAllEth19Other</v>
      </c>
      <c r="U5257">
        <v>2010</v>
      </c>
      <c r="V5257" t="s">
        <v>20</v>
      </c>
      <c r="W5257" t="s">
        <v>27</v>
      </c>
      <c r="X5257">
        <v>19</v>
      </c>
      <c r="Y5257" t="s">
        <v>45</v>
      </c>
      <c r="Z5257">
        <v>14</v>
      </c>
      <c r="AA5257">
        <v>387</v>
      </c>
      <c r="AB5257">
        <v>3.6</v>
      </c>
    </row>
    <row r="5258" spans="20:28">
      <c r="T5258" s="340" t="str">
        <f t="shared" si="199"/>
        <v>2010MaleAllEth19Poisoning by gases and vapours</v>
      </c>
      <c r="U5258">
        <v>2010</v>
      </c>
      <c r="V5258" t="s">
        <v>20</v>
      </c>
      <c r="W5258" t="s">
        <v>27</v>
      </c>
      <c r="X5258">
        <v>19</v>
      </c>
      <c r="Y5258" t="s">
        <v>46</v>
      </c>
      <c r="Z5258">
        <v>51</v>
      </c>
      <c r="AA5258">
        <v>387</v>
      </c>
      <c r="AB5258">
        <v>13.2</v>
      </c>
    </row>
    <row r="5259" spans="20:28">
      <c r="T5259" s="340" t="str">
        <f t="shared" si="199"/>
        <v>2010MaleAllEth19Poisoning by solids and liquids</v>
      </c>
      <c r="U5259">
        <v>2010</v>
      </c>
      <c r="V5259" t="s">
        <v>20</v>
      </c>
      <c r="W5259" t="s">
        <v>27</v>
      </c>
      <c r="X5259">
        <v>19</v>
      </c>
      <c r="Y5259" t="s">
        <v>47</v>
      </c>
      <c r="Z5259">
        <v>28</v>
      </c>
      <c r="AA5259">
        <v>387</v>
      </c>
      <c r="AB5259">
        <v>7.2</v>
      </c>
    </row>
    <row r="5260" spans="20:28">
      <c r="T5260" s="340" t="str">
        <f t="shared" si="199"/>
        <v>2010MaleAllEth19Sharp object</v>
      </c>
      <c r="U5260">
        <v>2010</v>
      </c>
      <c r="V5260" t="s">
        <v>20</v>
      </c>
      <c r="W5260" t="s">
        <v>27</v>
      </c>
      <c r="X5260">
        <v>19</v>
      </c>
      <c r="Y5260" t="s">
        <v>48</v>
      </c>
      <c r="Z5260">
        <v>7</v>
      </c>
      <c r="AA5260">
        <v>387</v>
      </c>
      <c r="AB5260">
        <v>1.8</v>
      </c>
    </row>
    <row r="5261" spans="20:28">
      <c r="T5261" s="340" t="str">
        <f t="shared" si="199"/>
        <v>2010MaleAllEth19Submersion (drowning)</v>
      </c>
      <c r="U5261">
        <v>2010</v>
      </c>
      <c r="V5261" t="s">
        <v>20</v>
      </c>
      <c r="W5261" t="s">
        <v>27</v>
      </c>
      <c r="X5261">
        <v>19</v>
      </c>
      <c r="Y5261" t="s">
        <v>49</v>
      </c>
      <c r="Z5261">
        <v>4</v>
      </c>
      <c r="AA5261">
        <v>387</v>
      </c>
      <c r="AB5261">
        <v>1</v>
      </c>
    </row>
    <row r="5262" spans="20:28">
      <c r="T5262" s="340" t="str">
        <f t="shared" si="199"/>
        <v>2010MaleMaori19Firearms and explosives</v>
      </c>
      <c r="U5262">
        <v>2010</v>
      </c>
      <c r="V5262" t="s">
        <v>20</v>
      </c>
      <c r="W5262" t="s">
        <v>18</v>
      </c>
      <c r="X5262">
        <v>19</v>
      </c>
      <c r="Y5262" t="s">
        <v>42</v>
      </c>
      <c r="Z5262">
        <v>3</v>
      </c>
      <c r="AA5262">
        <v>72</v>
      </c>
      <c r="AB5262">
        <v>4.2</v>
      </c>
    </row>
    <row r="5263" spans="20:28">
      <c r="T5263" s="340" t="str">
        <f t="shared" si="199"/>
        <v>2010MaleMaori19Hanging, strangulation and suffocation</v>
      </c>
      <c r="U5263">
        <v>2010</v>
      </c>
      <c r="V5263" t="s">
        <v>20</v>
      </c>
      <c r="W5263" t="s">
        <v>18</v>
      </c>
      <c r="X5263">
        <v>19</v>
      </c>
      <c r="Y5263" t="s">
        <v>43</v>
      </c>
      <c r="Z5263">
        <v>57</v>
      </c>
      <c r="AA5263">
        <v>72</v>
      </c>
      <c r="AB5263">
        <v>79.2</v>
      </c>
    </row>
    <row r="5264" spans="20:28">
      <c r="T5264" s="340" t="str">
        <f t="shared" si="199"/>
        <v>2010MaleMaori19Other</v>
      </c>
      <c r="U5264">
        <v>2010</v>
      </c>
      <c r="V5264" t="s">
        <v>20</v>
      </c>
      <c r="W5264" t="s">
        <v>18</v>
      </c>
      <c r="X5264">
        <v>19</v>
      </c>
      <c r="Y5264" t="s">
        <v>45</v>
      </c>
      <c r="Z5264">
        <v>3</v>
      </c>
      <c r="AA5264">
        <v>72</v>
      </c>
      <c r="AB5264">
        <v>4.2</v>
      </c>
    </row>
    <row r="5265" spans="20:28">
      <c r="T5265" s="340" t="str">
        <f t="shared" si="199"/>
        <v>2010MaleMaori19Poisoning by gases and vapours</v>
      </c>
      <c r="U5265">
        <v>2010</v>
      </c>
      <c r="V5265" t="s">
        <v>20</v>
      </c>
      <c r="W5265" t="s">
        <v>18</v>
      </c>
      <c r="X5265">
        <v>19</v>
      </c>
      <c r="Y5265" t="s">
        <v>46</v>
      </c>
      <c r="Z5265">
        <v>4</v>
      </c>
      <c r="AA5265">
        <v>72</v>
      </c>
      <c r="AB5265">
        <v>5.6</v>
      </c>
    </row>
    <row r="5266" spans="20:28">
      <c r="T5266" s="340" t="str">
        <f t="shared" si="199"/>
        <v>2010MaleMaori19Poisoning by solids and liquids</v>
      </c>
      <c r="U5266">
        <v>2010</v>
      </c>
      <c r="V5266" t="s">
        <v>20</v>
      </c>
      <c r="W5266" t="s">
        <v>18</v>
      </c>
      <c r="X5266">
        <v>19</v>
      </c>
      <c r="Y5266" t="s">
        <v>47</v>
      </c>
      <c r="Z5266">
        <v>4</v>
      </c>
      <c r="AA5266">
        <v>72</v>
      </c>
      <c r="AB5266">
        <v>5.6</v>
      </c>
    </row>
    <row r="5267" spans="20:28">
      <c r="T5267" s="340" t="str">
        <f t="shared" si="199"/>
        <v>2010MaleMaori19Sharp object</v>
      </c>
      <c r="U5267">
        <v>2010</v>
      </c>
      <c r="V5267" t="s">
        <v>20</v>
      </c>
      <c r="W5267" t="s">
        <v>18</v>
      </c>
      <c r="X5267">
        <v>19</v>
      </c>
      <c r="Y5267" t="s">
        <v>48</v>
      </c>
      <c r="Z5267">
        <v>1</v>
      </c>
      <c r="AA5267">
        <v>72</v>
      </c>
      <c r="AB5267">
        <v>1.4</v>
      </c>
    </row>
    <row r="5268" spans="20:28">
      <c r="T5268" s="340" t="str">
        <f t="shared" si="199"/>
        <v>2010MaleNon-Maori19Firearms and explosives</v>
      </c>
      <c r="U5268">
        <v>2010</v>
      </c>
      <c r="V5268" t="s">
        <v>20</v>
      </c>
      <c r="W5268" t="s">
        <v>19</v>
      </c>
      <c r="X5268">
        <v>19</v>
      </c>
      <c r="Y5268" t="s">
        <v>42</v>
      </c>
      <c r="Z5268">
        <v>37</v>
      </c>
      <c r="AA5268">
        <v>315</v>
      </c>
      <c r="AB5268">
        <v>11.7</v>
      </c>
    </row>
    <row r="5269" spans="20:28">
      <c r="T5269" s="340" t="str">
        <f t="shared" si="199"/>
        <v>2010MaleNon-Maori19Hanging, strangulation and suffocation</v>
      </c>
      <c r="U5269">
        <v>2010</v>
      </c>
      <c r="V5269" t="s">
        <v>20</v>
      </c>
      <c r="W5269" t="s">
        <v>19</v>
      </c>
      <c r="X5269">
        <v>19</v>
      </c>
      <c r="Y5269" t="s">
        <v>43</v>
      </c>
      <c r="Z5269">
        <v>176</v>
      </c>
      <c r="AA5269">
        <v>315</v>
      </c>
      <c r="AB5269">
        <v>55.9</v>
      </c>
    </row>
    <row r="5270" spans="20:28">
      <c r="T5270" s="340" t="str">
        <f t="shared" si="199"/>
        <v>2010MaleNon-Maori19Jumping from a high place</v>
      </c>
      <c r="U5270">
        <v>2010</v>
      </c>
      <c r="V5270" t="s">
        <v>20</v>
      </c>
      <c r="W5270" t="s">
        <v>19</v>
      </c>
      <c r="X5270">
        <v>19</v>
      </c>
      <c r="Y5270" t="s">
        <v>44</v>
      </c>
      <c r="Z5270">
        <v>10</v>
      </c>
      <c r="AA5270">
        <v>315</v>
      </c>
      <c r="AB5270">
        <v>3.2</v>
      </c>
    </row>
    <row r="5271" spans="20:28">
      <c r="T5271" s="340" t="str">
        <f t="shared" si="199"/>
        <v>2010MaleNon-Maori19Other</v>
      </c>
      <c r="U5271">
        <v>2010</v>
      </c>
      <c r="V5271" t="s">
        <v>20</v>
      </c>
      <c r="W5271" t="s">
        <v>19</v>
      </c>
      <c r="X5271">
        <v>19</v>
      </c>
      <c r="Y5271" t="s">
        <v>45</v>
      </c>
      <c r="Z5271">
        <v>11</v>
      </c>
      <c r="AA5271">
        <v>315</v>
      </c>
      <c r="AB5271">
        <v>3.5</v>
      </c>
    </row>
    <row r="5272" spans="20:28">
      <c r="T5272" s="340" t="str">
        <f t="shared" si="199"/>
        <v>2010MaleNon-Maori19Poisoning by gases and vapours</v>
      </c>
      <c r="U5272">
        <v>2010</v>
      </c>
      <c r="V5272" t="s">
        <v>20</v>
      </c>
      <c r="W5272" t="s">
        <v>19</v>
      </c>
      <c r="X5272">
        <v>19</v>
      </c>
      <c r="Y5272" t="s">
        <v>46</v>
      </c>
      <c r="Z5272">
        <v>47</v>
      </c>
      <c r="AA5272">
        <v>315</v>
      </c>
      <c r="AB5272">
        <v>14.9</v>
      </c>
    </row>
    <row r="5273" spans="20:28">
      <c r="T5273" s="340" t="str">
        <f t="shared" si="199"/>
        <v>2010MaleNon-Maori19Poisoning by solids and liquids</v>
      </c>
      <c r="U5273">
        <v>2010</v>
      </c>
      <c r="V5273" t="s">
        <v>20</v>
      </c>
      <c r="W5273" t="s">
        <v>19</v>
      </c>
      <c r="X5273">
        <v>19</v>
      </c>
      <c r="Y5273" t="s">
        <v>47</v>
      </c>
      <c r="Z5273">
        <v>24</v>
      </c>
      <c r="AA5273">
        <v>315</v>
      </c>
      <c r="AB5273">
        <v>7.6</v>
      </c>
    </row>
    <row r="5274" spans="20:28">
      <c r="T5274" s="340" t="str">
        <f t="shared" si="199"/>
        <v>2010MaleNon-Maori19Sharp object</v>
      </c>
      <c r="U5274">
        <v>2010</v>
      </c>
      <c r="V5274" t="s">
        <v>20</v>
      </c>
      <c r="W5274" t="s">
        <v>19</v>
      </c>
      <c r="X5274">
        <v>19</v>
      </c>
      <c r="Y5274" t="s">
        <v>48</v>
      </c>
      <c r="Z5274">
        <v>6</v>
      </c>
      <c r="AA5274">
        <v>315</v>
      </c>
      <c r="AB5274">
        <v>1.9</v>
      </c>
    </row>
    <row r="5275" spans="20:28">
      <c r="T5275" s="340" t="str">
        <f t="shared" si="199"/>
        <v>2010MaleNon-Maori19Submersion (drowning)</v>
      </c>
      <c r="U5275">
        <v>2010</v>
      </c>
      <c r="V5275" t="s">
        <v>20</v>
      </c>
      <c r="W5275" t="s">
        <v>19</v>
      </c>
      <c r="X5275">
        <v>19</v>
      </c>
      <c r="Y5275" t="s">
        <v>49</v>
      </c>
      <c r="Z5275">
        <v>4</v>
      </c>
      <c r="AA5275">
        <v>315</v>
      </c>
      <c r="AB5275">
        <v>1.3</v>
      </c>
    </row>
    <row r="5276" spans="20:28">
      <c r="T5276" s="340" t="str">
        <f t="shared" si="199"/>
        <v>2011AllSexAllEth19Firearms and explosives</v>
      </c>
      <c r="U5276">
        <v>2011</v>
      </c>
      <c r="V5276" t="s">
        <v>17</v>
      </c>
      <c r="W5276" t="s">
        <v>27</v>
      </c>
      <c r="X5276">
        <v>19</v>
      </c>
      <c r="Y5276" t="s">
        <v>42</v>
      </c>
      <c r="Z5276">
        <v>36</v>
      </c>
      <c r="AA5276">
        <v>495</v>
      </c>
      <c r="AB5276">
        <v>7.3</v>
      </c>
    </row>
    <row r="5277" spans="20:28">
      <c r="T5277" s="340" t="str">
        <f t="shared" si="199"/>
        <v>2011AllSexAllEth19Hanging, strangulation and suffocation</v>
      </c>
      <c r="U5277">
        <v>2011</v>
      </c>
      <c r="V5277" t="s">
        <v>17</v>
      </c>
      <c r="W5277" t="s">
        <v>27</v>
      </c>
      <c r="X5277">
        <v>19</v>
      </c>
      <c r="Y5277" t="s">
        <v>43</v>
      </c>
      <c r="Z5277">
        <v>302</v>
      </c>
      <c r="AA5277">
        <v>495</v>
      </c>
      <c r="AB5277">
        <v>61</v>
      </c>
    </row>
    <row r="5278" spans="20:28">
      <c r="T5278" s="340" t="str">
        <f t="shared" si="199"/>
        <v>2011AllSexAllEth19Jumping from a high place</v>
      </c>
      <c r="U5278">
        <v>2011</v>
      </c>
      <c r="V5278" t="s">
        <v>17</v>
      </c>
      <c r="W5278" t="s">
        <v>27</v>
      </c>
      <c r="X5278">
        <v>19</v>
      </c>
      <c r="Y5278" t="s">
        <v>44</v>
      </c>
      <c r="Z5278">
        <v>12</v>
      </c>
      <c r="AA5278">
        <v>495</v>
      </c>
      <c r="AB5278">
        <v>2.4</v>
      </c>
    </row>
    <row r="5279" spans="20:28">
      <c r="T5279" s="340" t="str">
        <f t="shared" si="199"/>
        <v>2011AllSexAllEth19Other</v>
      </c>
      <c r="U5279">
        <v>2011</v>
      </c>
      <c r="V5279" t="s">
        <v>17</v>
      </c>
      <c r="W5279" t="s">
        <v>27</v>
      </c>
      <c r="X5279">
        <v>19</v>
      </c>
      <c r="Y5279" t="s">
        <v>45</v>
      </c>
      <c r="Z5279">
        <v>18</v>
      </c>
      <c r="AA5279">
        <v>495</v>
      </c>
      <c r="AB5279">
        <v>3.6</v>
      </c>
    </row>
    <row r="5280" spans="20:28">
      <c r="T5280" s="340" t="str">
        <f t="shared" si="199"/>
        <v>2011AllSexAllEth19Poisoning by gases and vapours</v>
      </c>
      <c r="U5280">
        <v>2011</v>
      </c>
      <c r="V5280" t="s">
        <v>17</v>
      </c>
      <c r="W5280" t="s">
        <v>27</v>
      </c>
      <c r="X5280">
        <v>19</v>
      </c>
      <c r="Y5280" t="s">
        <v>46</v>
      </c>
      <c r="Z5280">
        <v>48</v>
      </c>
      <c r="AA5280">
        <v>495</v>
      </c>
      <c r="AB5280">
        <v>9.6999999999999993</v>
      </c>
    </row>
    <row r="5281" spans="20:28">
      <c r="T5281" s="340" t="str">
        <f t="shared" si="199"/>
        <v>2011AllSexAllEth19Poisoning by solids and liquids</v>
      </c>
      <c r="U5281">
        <v>2011</v>
      </c>
      <c r="V5281" t="s">
        <v>17</v>
      </c>
      <c r="W5281" t="s">
        <v>27</v>
      </c>
      <c r="X5281">
        <v>19</v>
      </c>
      <c r="Y5281" t="s">
        <v>47</v>
      </c>
      <c r="Z5281">
        <v>57</v>
      </c>
      <c r="AA5281">
        <v>495</v>
      </c>
      <c r="AB5281">
        <v>11.5</v>
      </c>
    </row>
    <row r="5282" spans="20:28">
      <c r="T5282" s="340" t="str">
        <f t="shared" si="199"/>
        <v>2011AllSexAllEth19Sharp object</v>
      </c>
      <c r="U5282">
        <v>2011</v>
      </c>
      <c r="V5282" t="s">
        <v>17</v>
      </c>
      <c r="W5282" t="s">
        <v>27</v>
      </c>
      <c r="X5282">
        <v>19</v>
      </c>
      <c r="Y5282" t="s">
        <v>48</v>
      </c>
      <c r="Z5282">
        <v>7</v>
      </c>
      <c r="AA5282">
        <v>495</v>
      </c>
      <c r="AB5282">
        <v>1.4</v>
      </c>
    </row>
    <row r="5283" spans="20:28">
      <c r="T5283" s="340" t="str">
        <f t="shared" si="199"/>
        <v>2011AllSexAllEth19Submersion (drowning)</v>
      </c>
      <c r="U5283">
        <v>2011</v>
      </c>
      <c r="V5283" t="s">
        <v>17</v>
      </c>
      <c r="W5283" t="s">
        <v>27</v>
      </c>
      <c r="X5283">
        <v>19</v>
      </c>
      <c r="Y5283" t="s">
        <v>49</v>
      </c>
      <c r="Z5283">
        <v>15</v>
      </c>
      <c r="AA5283">
        <v>495</v>
      </c>
      <c r="AB5283">
        <v>3</v>
      </c>
    </row>
    <row r="5284" spans="20:28">
      <c r="T5284" s="340" t="str">
        <f t="shared" si="199"/>
        <v>2011AllSexMaori19Firearms and explosives</v>
      </c>
      <c r="U5284">
        <v>2011</v>
      </c>
      <c r="V5284" t="s">
        <v>17</v>
      </c>
      <c r="W5284" t="s">
        <v>18</v>
      </c>
      <c r="X5284">
        <v>19</v>
      </c>
      <c r="Y5284" t="s">
        <v>42</v>
      </c>
      <c r="Z5284">
        <v>2</v>
      </c>
      <c r="AA5284">
        <v>113</v>
      </c>
      <c r="AB5284">
        <v>1.8</v>
      </c>
    </row>
    <row r="5285" spans="20:28">
      <c r="T5285" s="340" t="str">
        <f t="shared" si="199"/>
        <v>2011AllSexMaori19Hanging, strangulation and suffocation</v>
      </c>
      <c r="U5285">
        <v>2011</v>
      </c>
      <c r="V5285" t="s">
        <v>17</v>
      </c>
      <c r="W5285" t="s">
        <v>18</v>
      </c>
      <c r="X5285">
        <v>19</v>
      </c>
      <c r="Y5285" t="s">
        <v>43</v>
      </c>
      <c r="Z5285">
        <v>96</v>
      </c>
      <c r="AA5285">
        <v>113</v>
      </c>
      <c r="AB5285">
        <v>85</v>
      </c>
    </row>
    <row r="5286" spans="20:28">
      <c r="T5286" s="340" t="str">
        <f t="shared" si="199"/>
        <v>2011AllSexMaori19Jumping from a high place</v>
      </c>
      <c r="U5286">
        <v>2011</v>
      </c>
      <c r="V5286" t="s">
        <v>17</v>
      </c>
      <c r="W5286" t="s">
        <v>18</v>
      </c>
      <c r="X5286">
        <v>19</v>
      </c>
      <c r="Y5286" t="s">
        <v>44</v>
      </c>
      <c r="Z5286">
        <v>2</v>
      </c>
      <c r="AA5286">
        <v>113</v>
      </c>
      <c r="AB5286">
        <v>1.8</v>
      </c>
    </row>
    <row r="5287" spans="20:28">
      <c r="T5287" s="340" t="str">
        <f t="shared" si="199"/>
        <v>2011AllSexMaori19Other</v>
      </c>
      <c r="U5287">
        <v>2011</v>
      </c>
      <c r="V5287" t="s">
        <v>17</v>
      </c>
      <c r="W5287" t="s">
        <v>18</v>
      </c>
      <c r="X5287">
        <v>19</v>
      </c>
      <c r="Y5287" t="s">
        <v>45</v>
      </c>
      <c r="Z5287">
        <v>3</v>
      </c>
      <c r="AA5287">
        <v>113</v>
      </c>
      <c r="AB5287">
        <v>2.7</v>
      </c>
    </row>
    <row r="5288" spans="20:28">
      <c r="T5288" s="340" t="str">
        <f t="shared" si="199"/>
        <v>2011AllSexMaori19Poisoning by gases and vapours</v>
      </c>
      <c r="U5288">
        <v>2011</v>
      </c>
      <c r="V5288" t="s">
        <v>17</v>
      </c>
      <c r="W5288" t="s">
        <v>18</v>
      </c>
      <c r="X5288">
        <v>19</v>
      </c>
      <c r="Y5288" t="s">
        <v>46</v>
      </c>
      <c r="Z5288">
        <v>5</v>
      </c>
      <c r="AA5288">
        <v>113</v>
      </c>
      <c r="AB5288">
        <v>4.4000000000000004</v>
      </c>
    </row>
    <row r="5289" spans="20:28">
      <c r="T5289" s="340" t="str">
        <f t="shared" si="199"/>
        <v>2011AllSexMaori19Poisoning by solids and liquids</v>
      </c>
      <c r="U5289">
        <v>2011</v>
      </c>
      <c r="V5289" t="s">
        <v>17</v>
      </c>
      <c r="W5289" t="s">
        <v>18</v>
      </c>
      <c r="X5289">
        <v>19</v>
      </c>
      <c r="Y5289" t="s">
        <v>47</v>
      </c>
      <c r="Z5289">
        <v>3</v>
      </c>
      <c r="AA5289">
        <v>113</v>
      </c>
      <c r="AB5289">
        <v>2.7</v>
      </c>
    </row>
    <row r="5290" spans="20:28">
      <c r="T5290" s="340" t="str">
        <f t="shared" si="199"/>
        <v>2011AllSexMaori19Sharp object</v>
      </c>
      <c r="U5290">
        <v>2011</v>
      </c>
      <c r="V5290" t="s">
        <v>17</v>
      </c>
      <c r="W5290" t="s">
        <v>18</v>
      </c>
      <c r="X5290">
        <v>19</v>
      </c>
      <c r="Y5290" t="s">
        <v>48</v>
      </c>
      <c r="Z5290">
        <v>1</v>
      </c>
      <c r="AA5290">
        <v>113</v>
      </c>
      <c r="AB5290">
        <v>0.9</v>
      </c>
    </row>
    <row r="5291" spans="20:28">
      <c r="T5291" s="340" t="str">
        <f t="shared" si="199"/>
        <v>2011AllSexMaori19Submersion (drowning)</v>
      </c>
      <c r="U5291">
        <v>2011</v>
      </c>
      <c r="V5291" t="s">
        <v>17</v>
      </c>
      <c r="W5291" t="s">
        <v>18</v>
      </c>
      <c r="X5291">
        <v>19</v>
      </c>
      <c r="Y5291" t="s">
        <v>49</v>
      </c>
      <c r="Z5291">
        <v>1</v>
      </c>
      <c r="AA5291">
        <v>113</v>
      </c>
      <c r="AB5291">
        <v>0.9</v>
      </c>
    </row>
    <row r="5292" spans="20:28">
      <c r="T5292" s="340" t="str">
        <f t="shared" si="199"/>
        <v>2011AllSexNon-Maori19Firearms and explosives</v>
      </c>
      <c r="U5292">
        <v>2011</v>
      </c>
      <c r="V5292" t="s">
        <v>17</v>
      </c>
      <c r="W5292" t="s">
        <v>19</v>
      </c>
      <c r="X5292">
        <v>19</v>
      </c>
      <c r="Y5292" t="s">
        <v>42</v>
      </c>
      <c r="Z5292">
        <v>34</v>
      </c>
      <c r="AA5292">
        <v>382</v>
      </c>
      <c r="AB5292">
        <v>8.9</v>
      </c>
    </row>
    <row r="5293" spans="20:28">
      <c r="T5293" s="340" t="str">
        <f t="shared" si="199"/>
        <v>2011AllSexNon-Maori19Hanging, strangulation and suffocation</v>
      </c>
      <c r="U5293">
        <v>2011</v>
      </c>
      <c r="V5293" t="s">
        <v>17</v>
      </c>
      <c r="W5293" t="s">
        <v>19</v>
      </c>
      <c r="X5293">
        <v>19</v>
      </c>
      <c r="Y5293" t="s">
        <v>43</v>
      </c>
      <c r="Z5293">
        <v>206</v>
      </c>
      <c r="AA5293">
        <v>382</v>
      </c>
      <c r="AB5293">
        <v>53.9</v>
      </c>
    </row>
    <row r="5294" spans="20:28">
      <c r="T5294" s="340" t="str">
        <f t="shared" si="199"/>
        <v>2011AllSexNon-Maori19Jumping from a high place</v>
      </c>
      <c r="U5294">
        <v>2011</v>
      </c>
      <c r="V5294" t="s">
        <v>17</v>
      </c>
      <c r="W5294" t="s">
        <v>19</v>
      </c>
      <c r="X5294">
        <v>19</v>
      </c>
      <c r="Y5294" t="s">
        <v>44</v>
      </c>
      <c r="Z5294">
        <v>10</v>
      </c>
      <c r="AA5294">
        <v>382</v>
      </c>
      <c r="AB5294">
        <v>2.6</v>
      </c>
    </row>
    <row r="5295" spans="20:28">
      <c r="T5295" s="340" t="str">
        <f t="shared" si="199"/>
        <v>2011AllSexNon-Maori19Other</v>
      </c>
      <c r="U5295">
        <v>2011</v>
      </c>
      <c r="V5295" t="s">
        <v>17</v>
      </c>
      <c r="W5295" t="s">
        <v>19</v>
      </c>
      <c r="X5295">
        <v>19</v>
      </c>
      <c r="Y5295" t="s">
        <v>45</v>
      </c>
      <c r="Z5295">
        <v>15</v>
      </c>
      <c r="AA5295">
        <v>382</v>
      </c>
      <c r="AB5295">
        <v>3.9</v>
      </c>
    </row>
    <row r="5296" spans="20:28">
      <c r="T5296" s="340" t="str">
        <f t="shared" si="199"/>
        <v>2011AllSexNon-Maori19Poisoning by gases and vapours</v>
      </c>
      <c r="U5296">
        <v>2011</v>
      </c>
      <c r="V5296" t="s">
        <v>17</v>
      </c>
      <c r="W5296" t="s">
        <v>19</v>
      </c>
      <c r="X5296">
        <v>19</v>
      </c>
      <c r="Y5296" t="s">
        <v>46</v>
      </c>
      <c r="Z5296">
        <v>43</v>
      </c>
      <c r="AA5296">
        <v>382</v>
      </c>
      <c r="AB5296">
        <v>11.3</v>
      </c>
    </row>
    <row r="5297" spans="20:28">
      <c r="T5297" s="340" t="str">
        <f t="shared" si="199"/>
        <v>2011AllSexNon-Maori19Poisoning by solids and liquids</v>
      </c>
      <c r="U5297">
        <v>2011</v>
      </c>
      <c r="V5297" t="s">
        <v>17</v>
      </c>
      <c r="W5297" t="s">
        <v>19</v>
      </c>
      <c r="X5297">
        <v>19</v>
      </c>
      <c r="Y5297" t="s">
        <v>47</v>
      </c>
      <c r="Z5297">
        <v>54</v>
      </c>
      <c r="AA5297">
        <v>382</v>
      </c>
      <c r="AB5297">
        <v>14.1</v>
      </c>
    </row>
    <row r="5298" spans="20:28">
      <c r="T5298" s="340" t="str">
        <f t="shared" si="199"/>
        <v>2011AllSexNon-Maori19Sharp object</v>
      </c>
      <c r="U5298">
        <v>2011</v>
      </c>
      <c r="V5298" t="s">
        <v>17</v>
      </c>
      <c r="W5298" t="s">
        <v>19</v>
      </c>
      <c r="X5298">
        <v>19</v>
      </c>
      <c r="Y5298" t="s">
        <v>48</v>
      </c>
      <c r="Z5298">
        <v>6</v>
      </c>
      <c r="AA5298">
        <v>382</v>
      </c>
      <c r="AB5298">
        <v>1.6</v>
      </c>
    </row>
    <row r="5299" spans="20:28">
      <c r="T5299" s="340" t="str">
        <f t="shared" si="199"/>
        <v>2011AllSexNon-Maori19Submersion (drowning)</v>
      </c>
      <c r="U5299">
        <v>2011</v>
      </c>
      <c r="V5299" t="s">
        <v>17</v>
      </c>
      <c r="W5299" t="s">
        <v>19</v>
      </c>
      <c r="X5299">
        <v>19</v>
      </c>
      <c r="Y5299" t="s">
        <v>49</v>
      </c>
      <c r="Z5299">
        <v>14</v>
      </c>
      <c r="AA5299">
        <v>382</v>
      </c>
      <c r="AB5299">
        <v>3.7</v>
      </c>
    </row>
    <row r="5300" spans="20:28">
      <c r="T5300" s="340" t="str">
        <f t="shared" si="199"/>
        <v>2011FemaleAllEth19Firearms and explosives</v>
      </c>
      <c r="U5300">
        <v>2011</v>
      </c>
      <c r="V5300" t="s">
        <v>8</v>
      </c>
      <c r="W5300" t="s">
        <v>27</v>
      </c>
      <c r="X5300">
        <v>19</v>
      </c>
      <c r="Y5300" t="s">
        <v>42</v>
      </c>
      <c r="Z5300">
        <v>2</v>
      </c>
      <c r="AA5300">
        <v>118</v>
      </c>
      <c r="AB5300">
        <v>1.7</v>
      </c>
    </row>
    <row r="5301" spans="20:28">
      <c r="T5301" s="340" t="str">
        <f t="shared" si="199"/>
        <v>2011FemaleAllEth19Hanging, strangulation and suffocation</v>
      </c>
      <c r="U5301">
        <v>2011</v>
      </c>
      <c r="V5301" t="s">
        <v>8</v>
      </c>
      <c r="W5301" t="s">
        <v>27</v>
      </c>
      <c r="X5301">
        <v>19</v>
      </c>
      <c r="Y5301" t="s">
        <v>43</v>
      </c>
      <c r="Z5301">
        <v>69</v>
      </c>
      <c r="AA5301">
        <v>118</v>
      </c>
      <c r="AB5301">
        <v>58.5</v>
      </c>
    </row>
    <row r="5302" spans="20:28">
      <c r="T5302" s="340" t="str">
        <f t="shared" si="199"/>
        <v>2011FemaleAllEth19Jumping from a high place</v>
      </c>
      <c r="U5302">
        <v>2011</v>
      </c>
      <c r="V5302" t="s">
        <v>8</v>
      </c>
      <c r="W5302" t="s">
        <v>27</v>
      </c>
      <c r="X5302">
        <v>19</v>
      </c>
      <c r="Y5302" t="s">
        <v>44</v>
      </c>
      <c r="Z5302">
        <v>3</v>
      </c>
      <c r="AA5302">
        <v>118</v>
      </c>
      <c r="AB5302">
        <v>2.5</v>
      </c>
    </row>
    <row r="5303" spans="20:28">
      <c r="T5303" s="340" t="str">
        <f t="shared" si="199"/>
        <v>2011FemaleAllEth19Other</v>
      </c>
      <c r="U5303">
        <v>2011</v>
      </c>
      <c r="V5303" t="s">
        <v>8</v>
      </c>
      <c r="W5303" t="s">
        <v>27</v>
      </c>
      <c r="X5303">
        <v>19</v>
      </c>
      <c r="Y5303" t="s">
        <v>45</v>
      </c>
      <c r="Z5303">
        <v>5</v>
      </c>
      <c r="AA5303">
        <v>118</v>
      </c>
      <c r="AB5303">
        <v>4.2</v>
      </c>
    </row>
    <row r="5304" spans="20:28">
      <c r="T5304" s="340" t="str">
        <f t="shared" si="199"/>
        <v>2011FemaleAllEth19Poisoning by gases and vapours</v>
      </c>
      <c r="U5304">
        <v>2011</v>
      </c>
      <c r="V5304" t="s">
        <v>8</v>
      </c>
      <c r="W5304" t="s">
        <v>27</v>
      </c>
      <c r="X5304">
        <v>19</v>
      </c>
      <c r="Y5304" t="s">
        <v>46</v>
      </c>
      <c r="Z5304">
        <v>5</v>
      </c>
      <c r="AA5304">
        <v>118</v>
      </c>
      <c r="AB5304">
        <v>4.2</v>
      </c>
    </row>
    <row r="5305" spans="20:28">
      <c r="T5305" s="340" t="str">
        <f t="shared" si="199"/>
        <v>2011FemaleAllEth19Poisoning by solids and liquids</v>
      </c>
      <c r="U5305">
        <v>2011</v>
      </c>
      <c r="V5305" t="s">
        <v>8</v>
      </c>
      <c r="W5305" t="s">
        <v>27</v>
      </c>
      <c r="X5305">
        <v>19</v>
      </c>
      <c r="Y5305" t="s">
        <v>47</v>
      </c>
      <c r="Z5305">
        <v>26</v>
      </c>
      <c r="AA5305">
        <v>118</v>
      </c>
      <c r="AB5305">
        <v>22</v>
      </c>
    </row>
    <row r="5306" spans="20:28">
      <c r="T5306" s="340" t="str">
        <f t="shared" si="199"/>
        <v>2011FemaleAllEth19Sharp object</v>
      </c>
      <c r="U5306">
        <v>2011</v>
      </c>
      <c r="V5306" t="s">
        <v>8</v>
      </c>
      <c r="W5306" t="s">
        <v>27</v>
      </c>
      <c r="X5306">
        <v>19</v>
      </c>
      <c r="Y5306" t="s">
        <v>48</v>
      </c>
      <c r="Z5306">
        <v>1</v>
      </c>
      <c r="AA5306">
        <v>118</v>
      </c>
      <c r="AB5306">
        <v>0.8</v>
      </c>
    </row>
    <row r="5307" spans="20:28">
      <c r="T5307" s="340" t="str">
        <f t="shared" si="199"/>
        <v>2011FemaleAllEth19Submersion (drowning)</v>
      </c>
      <c r="U5307">
        <v>2011</v>
      </c>
      <c r="V5307" t="s">
        <v>8</v>
      </c>
      <c r="W5307" t="s">
        <v>27</v>
      </c>
      <c r="X5307">
        <v>19</v>
      </c>
      <c r="Y5307" t="s">
        <v>49</v>
      </c>
      <c r="Z5307">
        <v>7</v>
      </c>
      <c r="AA5307">
        <v>118</v>
      </c>
      <c r="AB5307">
        <v>5.9</v>
      </c>
    </row>
    <row r="5308" spans="20:28">
      <c r="T5308" s="340" t="str">
        <f t="shared" si="199"/>
        <v>2011FemaleMaori19Hanging, strangulation and suffocation</v>
      </c>
      <c r="U5308">
        <v>2011</v>
      </c>
      <c r="V5308" t="s">
        <v>8</v>
      </c>
      <c r="W5308" t="s">
        <v>18</v>
      </c>
      <c r="X5308">
        <v>19</v>
      </c>
      <c r="Y5308" t="s">
        <v>43</v>
      </c>
      <c r="Z5308">
        <v>30</v>
      </c>
      <c r="AA5308">
        <v>32</v>
      </c>
      <c r="AB5308">
        <v>93.8</v>
      </c>
    </row>
    <row r="5309" spans="20:28">
      <c r="T5309" s="340" t="str">
        <f t="shared" si="199"/>
        <v>2011FemaleMaori19Jumping from a high place</v>
      </c>
      <c r="U5309">
        <v>2011</v>
      </c>
      <c r="V5309" t="s">
        <v>8</v>
      </c>
      <c r="W5309" t="s">
        <v>18</v>
      </c>
      <c r="X5309">
        <v>19</v>
      </c>
      <c r="Y5309" t="s">
        <v>44</v>
      </c>
      <c r="Z5309">
        <v>1</v>
      </c>
      <c r="AA5309">
        <v>32</v>
      </c>
      <c r="AB5309">
        <v>3.1</v>
      </c>
    </row>
    <row r="5310" spans="20:28">
      <c r="T5310" s="340" t="str">
        <f t="shared" si="199"/>
        <v>2011FemaleMaori19Poisoning by solids and liquids</v>
      </c>
      <c r="U5310">
        <v>2011</v>
      </c>
      <c r="V5310" t="s">
        <v>8</v>
      </c>
      <c r="W5310" t="s">
        <v>18</v>
      </c>
      <c r="X5310">
        <v>19</v>
      </c>
      <c r="Y5310" t="s">
        <v>47</v>
      </c>
      <c r="Z5310">
        <v>1</v>
      </c>
      <c r="AA5310">
        <v>32</v>
      </c>
      <c r="AB5310">
        <v>3.1</v>
      </c>
    </row>
    <row r="5311" spans="20:28">
      <c r="T5311" s="340" t="str">
        <f t="shared" si="199"/>
        <v>2011FemaleNon-Maori19Firearms and explosives</v>
      </c>
      <c r="U5311">
        <v>2011</v>
      </c>
      <c r="V5311" t="s">
        <v>8</v>
      </c>
      <c r="W5311" t="s">
        <v>19</v>
      </c>
      <c r="X5311">
        <v>19</v>
      </c>
      <c r="Y5311" t="s">
        <v>42</v>
      </c>
      <c r="Z5311">
        <v>2</v>
      </c>
      <c r="AA5311">
        <v>86</v>
      </c>
      <c r="AB5311">
        <v>2.2999999999999998</v>
      </c>
    </row>
    <row r="5312" spans="20:28">
      <c r="T5312" s="340" t="str">
        <f t="shared" si="199"/>
        <v>2011FemaleNon-Maori19Hanging, strangulation and suffocation</v>
      </c>
      <c r="U5312">
        <v>2011</v>
      </c>
      <c r="V5312" t="s">
        <v>8</v>
      </c>
      <c r="W5312" t="s">
        <v>19</v>
      </c>
      <c r="X5312">
        <v>19</v>
      </c>
      <c r="Y5312" t="s">
        <v>43</v>
      </c>
      <c r="Z5312">
        <v>39</v>
      </c>
      <c r="AA5312">
        <v>86</v>
      </c>
      <c r="AB5312">
        <v>45.3</v>
      </c>
    </row>
    <row r="5313" spans="20:28">
      <c r="T5313" s="340" t="str">
        <f t="shared" si="199"/>
        <v>2011FemaleNon-Maori19Jumping from a high place</v>
      </c>
      <c r="U5313">
        <v>2011</v>
      </c>
      <c r="V5313" t="s">
        <v>8</v>
      </c>
      <c r="W5313" t="s">
        <v>19</v>
      </c>
      <c r="X5313">
        <v>19</v>
      </c>
      <c r="Y5313" t="s">
        <v>44</v>
      </c>
      <c r="Z5313">
        <v>2</v>
      </c>
      <c r="AA5313">
        <v>86</v>
      </c>
      <c r="AB5313">
        <v>2.2999999999999998</v>
      </c>
    </row>
    <row r="5314" spans="20:28">
      <c r="T5314" s="340" t="str">
        <f t="shared" si="199"/>
        <v>2011FemaleNon-Maori19Other</v>
      </c>
      <c r="U5314">
        <v>2011</v>
      </c>
      <c r="V5314" t="s">
        <v>8</v>
      </c>
      <c r="W5314" t="s">
        <v>19</v>
      </c>
      <c r="X5314">
        <v>19</v>
      </c>
      <c r="Y5314" t="s">
        <v>45</v>
      </c>
      <c r="Z5314">
        <v>5</v>
      </c>
      <c r="AA5314">
        <v>86</v>
      </c>
      <c r="AB5314">
        <v>5.8</v>
      </c>
    </row>
    <row r="5315" spans="20:28">
      <c r="T5315" s="340" t="str">
        <f t="shared" si="199"/>
        <v>2011FemaleNon-Maori19Poisoning by gases and vapours</v>
      </c>
      <c r="U5315">
        <v>2011</v>
      </c>
      <c r="V5315" t="s">
        <v>8</v>
      </c>
      <c r="W5315" t="s">
        <v>19</v>
      </c>
      <c r="X5315">
        <v>19</v>
      </c>
      <c r="Y5315" t="s">
        <v>46</v>
      </c>
      <c r="Z5315">
        <v>5</v>
      </c>
      <c r="AA5315">
        <v>86</v>
      </c>
      <c r="AB5315">
        <v>5.8</v>
      </c>
    </row>
    <row r="5316" spans="20:28">
      <c r="T5316" s="340" t="str">
        <f t="shared" si="199"/>
        <v>2011FemaleNon-Maori19Poisoning by solids and liquids</v>
      </c>
      <c r="U5316">
        <v>2011</v>
      </c>
      <c r="V5316" t="s">
        <v>8</v>
      </c>
      <c r="W5316" t="s">
        <v>19</v>
      </c>
      <c r="X5316">
        <v>19</v>
      </c>
      <c r="Y5316" t="s">
        <v>47</v>
      </c>
      <c r="Z5316">
        <v>25</v>
      </c>
      <c r="AA5316">
        <v>86</v>
      </c>
      <c r="AB5316">
        <v>29.1</v>
      </c>
    </row>
    <row r="5317" spans="20:28">
      <c r="T5317" s="340" t="str">
        <f t="shared" ref="T5317:T5380" si="200">U5317&amp;V5317&amp;W5317&amp;X5317&amp;Y5317</f>
        <v>2011FemaleNon-Maori19Sharp object</v>
      </c>
      <c r="U5317">
        <v>2011</v>
      </c>
      <c r="V5317" t="s">
        <v>8</v>
      </c>
      <c r="W5317" t="s">
        <v>19</v>
      </c>
      <c r="X5317">
        <v>19</v>
      </c>
      <c r="Y5317" t="s">
        <v>48</v>
      </c>
      <c r="Z5317">
        <v>1</v>
      </c>
      <c r="AA5317">
        <v>86</v>
      </c>
      <c r="AB5317">
        <v>1.2</v>
      </c>
    </row>
    <row r="5318" spans="20:28">
      <c r="T5318" s="340" t="str">
        <f t="shared" si="200"/>
        <v>2011FemaleNon-Maori19Submersion (drowning)</v>
      </c>
      <c r="U5318">
        <v>2011</v>
      </c>
      <c r="V5318" t="s">
        <v>8</v>
      </c>
      <c r="W5318" t="s">
        <v>19</v>
      </c>
      <c r="X5318">
        <v>19</v>
      </c>
      <c r="Y5318" t="s">
        <v>49</v>
      </c>
      <c r="Z5318">
        <v>7</v>
      </c>
      <c r="AA5318">
        <v>86</v>
      </c>
      <c r="AB5318">
        <v>8.1</v>
      </c>
    </row>
    <row r="5319" spans="20:28">
      <c r="T5319" s="340" t="str">
        <f t="shared" si="200"/>
        <v>2011MaleAllEth19Firearms and explosives</v>
      </c>
      <c r="U5319">
        <v>2011</v>
      </c>
      <c r="V5319" t="s">
        <v>20</v>
      </c>
      <c r="W5319" t="s">
        <v>27</v>
      </c>
      <c r="X5319">
        <v>19</v>
      </c>
      <c r="Y5319" t="s">
        <v>42</v>
      </c>
      <c r="Z5319">
        <v>34</v>
      </c>
      <c r="AA5319">
        <v>377</v>
      </c>
      <c r="AB5319">
        <v>9</v>
      </c>
    </row>
    <row r="5320" spans="20:28">
      <c r="T5320" s="340" t="str">
        <f t="shared" si="200"/>
        <v>2011MaleAllEth19Hanging, strangulation and suffocation</v>
      </c>
      <c r="U5320">
        <v>2011</v>
      </c>
      <c r="V5320" t="s">
        <v>20</v>
      </c>
      <c r="W5320" t="s">
        <v>27</v>
      </c>
      <c r="X5320">
        <v>19</v>
      </c>
      <c r="Y5320" t="s">
        <v>43</v>
      </c>
      <c r="Z5320">
        <v>233</v>
      </c>
      <c r="AA5320">
        <v>377</v>
      </c>
      <c r="AB5320">
        <v>61.8</v>
      </c>
    </row>
    <row r="5321" spans="20:28">
      <c r="T5321" s="340" t="str">
        <f t="shared" si="200"/>
        <v>2011MaleAllEth19Jumping from a high place</v>
      </c>
      <c r="U5321">
        <v>2011</v>
      </c>
      <c r="V5321" t="s">
        <v>20</v>
      </c>
      <c r="W5321" t="s">
        <v>27</v>
      </c>
      <c r="X5321">
        <v>19</v>
      </c>
      <c r="Y5321" t="s">
        <v>44</v>
      </c>
      <c r="Z5321">
        <v>9</v>
      </c>
      <c r="AA5321">
        <v>377</v>
      </c>
      <c r="AB5321">
        <v>2.4</v>
      </c>
    </row>
    <row r="5322" spans="20:28">
      <c r="T5322" s="340" t="str">
        <f t="shared" si="200"/>
        <v>2011MaleAllEth19Other</v>
      </c>
      <c r="U5322">
        <v>2011</v>
      </c>
      <c r="V5322" t="s">
        <v>20</v>
      </c>
      <c r="W5322" t="s">
        <v>27</v>
      </c>
      <c r="X5322">
        <v>19</v>
      </c>
      <c r="Y5322" t="s">
        <v>45</v>
      </c>
      <c r="Z5322">
        <v>13</v>
      </c>
      <c r="AA5322">
        <v>377</v>
      </c>
      <c r="AB5322">
        <v>3.4</v>
      </c>
    </row>
    <row r="5323" spans="20:28">
      <c r="T5323" s="340" t="str">
        <f t="shared" si="200"/>
        <v>2011MaleAllEth19Poisoning by gases and vapours</v>
      </c>
      <c r="U5323">
        <v>2011</v>
      </c>
      <c r="V5323" t="s">
        <v>20</v>
      </c>
      <c r="W5323" t="s">
        <v>27</v>
      </c>
      <c r="X5323">
        <v>19</v>
      </c>
      <c r="Y5323" t="s">
        <v>46</v>
      </c>
      <c r="Z5323">
        <v>43</v>
      </c>
      <c r="AA5323">
        <v>377</v>
      </c>
      <c r="AB5323">
        <v>11.4</v>
      </c>
    </row>
    <row r="5324" spans="20:28">
      <c r="T5324" s="340" t="str">
        <f t="shared" si="200"/>
        <v>2011MaleAllEth19Poisoning by solids and liquids</v>
      </c>
      <c r="U5324">
        <v>2011</v>
      </c>
      <c r="V5324" t="s">
        <v>20</v>
      </c>
      <c r="W5324" t="s">
        <v>27</v>
      </c>
      <c r="X5324">
        <v>19</v>
      </c>
      <c r="Y5324" t="s">
        <v>47</v>
      </c>
      <c r="Z5324">
        <v>31</v>
      </c>
      <c r="AA5324">
        <v>377</v>
      </c>
      <c r="AB5324">
        <v>8.1999999999999993</v>
      </c>
    </row>
    <row r="5325" spans="20:28">
      <c r="T5325" s="340" t="str">
        <f t="shared" si="200"/>
        <v>2011MaleAllEth19Sharp object</v>
      </c>
      <c r="U5325">
        <v>2011</v>
      </c>
      <c r="V5325" t="s">
        <v>20</v>
      </c>
      <c r="W5325" t="s">
        <v>27</v>
      </c>
      <c r="X5325">
        <v>19</v>
      </c>
      <c r="Y5325" t="s">
        <v>48</v>
      </c>
      <c r="Z5325">
        <v>6</v>
      </c>
      <c r="AA5325">
        <v>377</v>
      </c>
      <c r="AB5325">
        <v>1.6</v>
      </c>
    </row>
    <row r="5326" spans="20:28">
      <c r="T5326" s="340" t="str">
        <f t="shared" si="200"/>
        <v>2011MaleAllEth19Submersion (drowning)</v>
      </c>
      <c r="U5326">
        <v>2011</v>
      </c>
      <c r="V5326" t="s">
        <v>20</v>
      </c>
      <c r="W5326" t="s">
        <v>27</v>
      </c>
      <c r="X5326">
        <v>19</v>
      </c>
      <c r="Y5326" t="s">
        <v>49</v>
      </c>
      <c r="Z5326">
        <v>8</v>
      </c>
      <c r="AA5326">
        <v>377</v>
      </c>
      <c r="AB5326">
        <v>2.1</v>
      </c>
    </row>
    <row r="5327" spans="20:28">
      <c r="T5327" s="340" t="str">
        <f t="shared" si="200"/>
        <v>2011MaleMaori19Firearms and explosives</v>
      </c>
      <c r="U5327">
        <v>2011</v>
      </c>
      <c r="V5327" t="s">
        <v>20</v>
      </c>
      <c r="W5327" t="s">
        <v>18</v>
      </c>
      <c r="X5327">
        <v>19</v>
      </c>
      <c r="Y5327" t="s">
        <v>42</v>
      </c>
      <c r="Z5327">
        <v>2</v>
      </c>
      <c r="AA5327">
        <v>81</v>
      </c>
      <c r="AB5327">
        <v>2.5</v>
      </c>
    </row>
    <row r="5328" spans="20:28">
      <c r="T5328" s="340" t="str">
        <f t="shared" si="200"/>
        <v>2011MaleMaori19Hanging, strangulation and suffocation</v>
      </c>
      <c r="U5328">
        <v>2011</v>
      </c>
      <c r="V5328" t="s">
        <v>20</v>
      </c>
      <c r="W5328" t="s">
        <v>18</v>
      </c>
      <c r="X5328">
        <v>19</v>
      </c>
      <c r="Y5328" t="s">
        <v>43</v>
      </c>
      <c r="Z5328">
        <v>66</v>
      </c>
      <c r="AA5328">
        <v>81</v>
      </c>
      <c r="AB5328">
        <v>81.5</v>
      </c>
    </row>
    <row r="5329" spans="20:28">
      <c r="T5329" s="340" t="str">
        <f t="shared" si="200"/>
        <v>2011MaleMaori19Jumping from a high place</v>
      </c>
      <c r="U5329">
        <v>2011</v>
      </c>
      <c r="V5329" t="s">
        <v>20</v>
      </c>
      <c r="W5329" t="s">
        <v>18</v>
      </c>
      <c r="X5329">
        <v>19</v>
      </c>
      <c r="Y5329" t="s">
        <v>44</v>
      </c>
      <c r="Z5329">
        <v>1</v>
      </c>
      <c r="AA5329">
        <v>81</v>
      </c>
      <c r="AB5329">
        <v>1.2</v>
      </c>
    </row>
    <row r="5330" spans="20:28">
      <c r="T5330" s="340" t="str">
        <f t="shared" si="200"/>
        <v>2011MaleMaori19Other</v>
      </c>
      <c r="U5330">
        <v>2011</v>
      </c>
      <c r="V5330" t="s">
        <v>20</v>
      </c>
      <c r="W5330" t="s">
        <v>18</v>
      </c>
      <c r="X5330">
        <v>19</v>
      </c>
      <c r="Y5330" t="s">
        <v>45</v>
      </c>
      <c r="Z5330">
        <v>3</v>
      </c>
      <c r="AA5330">
        <v>81</v>
      </c>
      <c r="AB5330">
        <v>3.7</v>
      </c>
    </row>
    <row r="5331" spans="20:28">
      <c r="T5331" s="340" t="str">
        <f t="shared" si="200"/>
        <v>2011MaleMaori19Poisoning by gases and vapours</v>
      </c>
      <c r="U5331">
        <v>2011</v>
      </c>
      <c r="V5331" t="s">
        <v>20</v>
      </c>
      <c r="W5331" t="s">
        <v>18</v>
      </c>
      <c r="X5331">
        <v>19</v>
      </c>
      <c r="Y5331" t="s">
        <v>46</v>
      </c>
      <c r="Z5331">
        <v>5</v>
      </c>
      <c r="AA5331">
        <v>81</v>
      </c>
      <c r="AB5331">
        <v>6.2</v>
      </c>
    </row>
    <row r="5332" spans="20:28">
      <c r="T5332" s="340" t="str">
        <f t="shared" si="200"/>
        <v>2011MaleMaori19Poisoning by solids and liquids</v>
      </c>
      <c r="U5332">
        <v>2011</v>
      </c>
      <c r="V5332" t="s">
        <v>20</v>
      </c>
      <c r="W5332" t="s">
        <v>18</v>
      </c>
      <c r="X5332">
        <v>19</v>
      </c>
      <c r="Y5332" t="s">
        <v>47</v>
      </c>
      <c r="Z5332">
        <v>2</v>
      </c>
      <c r="AA5332">
        <v>81</v>
      </c>
      <c r="AB5332">
        <v>2.5</v>
      </c>
    </row>
    <row r="5333" spans="20:28">
      <c r="T5333" s="340" t="str">
        <f t="shared" si="200"/>
        <v>2011MaleMaori19Sharp object</v>
      </c>
      <c r="U5333">
        <v>2011</v>
      </c>
      <c r="V5333" t="s">
        <v>20</v>
      </c>
      <c r="W5333" t="s">
        <v>18</v>
      </c>
      <c r="X5333">
        <v>19</v>
      </c>
      <c r="Y5333" t="s">
        <v>48</v>
      </c>
      <c r="Z5333">
        <v>1</v>
      </c>
      <c r="AA5333">
        <v>81</v>
      </c>
      <c r="AB5333">
        <v>1.2</v>
      </c>
    </row>
    <row r="5334" spans="20:28">
      <c r="T5334" s="340" t="str">
        <f t="shared" si="200"/>
        <v>2011MaleMaori19Submersion (drowning)</v>
      </c>
      <c r="U5334">
        <v>2011</v>
      </c>
      <c r="V5334" t="s">
        <v>20</v>
      </c>
      <c r="W5334" t="s">
        <v>18</v>
      </c>
      <c r="X5334">
        <v>19</v>
      </c>
      <c r="Y5334" t="s">
        <v>49</v>
      </c>
      <c r="Z5334">
        <v>1</v>
      </c>
      <c r="AA5334">
        <v>81</v>
      </c>
      <c r="AB5334">
        <v>1.2</v>
      </c>
    </row>
    <row r="5335" spans="20:28">
      <c r="T5335" s="340" t="str">
        <f t="shared" si="200"/>
        <v>2011MaleNon-Maori19Firearms and explosives</v>
      </c>
      <c r="U5335">
        <v>2011</v>
      </c>
      <c r="V5335" t="s">
        <v>20</v>
      </c>
      <c r="W5335" t="s">
        <v>19</v>
      </c>
      <c r="X5335">
        <v>19</v>
      </c>
      <c r="Y5335" t="s">
        <v>42</v>
      </c>
      <c r="Z5335">
        <v>32</v>
      </c>
      <c r="AA5335">
        <v>296</v>
      </c>
      <c r="AB5335">
        <v>10.8</v>
      </c>
    </row>
    <row r="5336" spans="20:28">
      <c r="T5336" s="340" t="str">
        <f t="shared" si="200"/>
        <v>2011MaleNon-Maori19Hanging, strangulation and suffocation</v>
      </c>
      <c r="U5336">
        <v>2011</v>
      </c>
      <c r="V5336" t="s">
        <v>20</v>
      </c>
      <c r="W5336" t="s">
        <v>19</v>
      </c>
      <c r="X5336">
        <v>19</v>
      </c>
      <c r="Y5336" t="s">
        <v>43</v>
      </c>
      <c r="Z5336">
        <v>167</v>
      </c>
      <c r="AA5336">
        <v>296</v>
      </c>
      <c r="AB5336">
        <v>56.4</v>
      </c>
    </row>
    <row r="5337" spans="20:28">
      <c r="T5337" s="340" t="str">
        <f t="shared" si="200"/>
        <v>2011MaleNon-Maori19Jumping from a high place</v>
      </c>
      <c r="U5337">
        <v>2011</v>
      </c>
      <c r="V5337" t="s">
        <v>20</v>
      </c>
      <c r="W5337" t="s">
        <v>19</v>
      </c>
      <c r="X5337">
        <v>19</v>
      </c>
      <c r="Y5337" t="s">
        <v>44</v>
      </c>
      <c r="Z5337">
        <v>8</v>
      </c>
      <c r="AA5337">
        <v>296</v>
      </c>
      <c r="AB5337">
        <v>2.7</v>
      </c>
    </row>
    <row r="5338" spans="20:28">
      <c r="T5338" s="340" t="str">
        <f t="shared" si="200"/>
        <v>2011MaleNon-Maori19Other</v>
      </c>
      <c r="U5338">
        <v>2011</v>
      </c>
      <c r="V5338" t="s">
        <v>20</v>
      </c>
      <c r="W5338" t="s">
        <v>19</v>
      </c>
      <c r="X5338">
        <v>19</v>
      </c>
      <c r="Y5338" t="s">
        <v>45</v>
      </c>
      <c r="Z5338">
        <v>10</v>
      </c>
      <c r="AA5338">
        <v>296</v>
      </c>
      <c r="AB5338">
        <v>3.4</v>
      </c>
    </row>
    <row r="5339" spans="20:28">
      <c r="T5339" s="340" t="str">
        <f t="shared" si="200"/>
        <v>2011MaleNon-Maori19Poisoning by gases and vapours</v>
      </c>
      <c r="U5339">
        <v>2011</v>
      </c>
      <c r="V5339" t="s">
        <v>20</v>
      </c>
      <c r="W5339" t="s">
        <v>19</v>
      </c>
      <c r="X5339">
        <v>19</v>
      </c>
      <c r="Y5339" t="s">
        <v>46</v>
      </c>
      <c r="Z5339">
        <v>38</v>
      </c>
      <c r="AA5339">
        <v>296</v>
      </c>
      <c r="AB5339">
        <v>12.8</v>
      </c>
    </row>
    <row r="5340" spans="20:28">
      <c r="T5340" s="340" t="str">
        <f t="shared" si="200"/>
        <v>2011MaleNon-Maori19Poisoning by solids and liquids</v>
      </c>
      <c r="U5340">
        <v>2011</v>
      </c>
      <c r="V5340" t="s">
        <v>20</v>
      </c>
      <c r="W5340" t="s">
        <v>19</v>
      </c>
      <c r="X5340">
        <v>19</v>
      </c>
      <c r="Y5340" t="s">
        <v>47</v>
      </c>
      <c r="Z5340">
        <v>29</v>
      </c>
      <c r="AA5340">
        <v>296</v>
      </c>
      <c r="AB5340">
        <v>9.8000000000000007</v>
      </c>
    </row>
    <row r="5341" spans="20:28">
      <c r="T5341" s="340" t="str">
        <f t="shared" si="200"/>
        <v>2011MaleNon-Maori19Sharp object</v>
      </c>
      <c r="U5341">
        <v>2011</v>
      </c>
      <c r="V5341" t="s">
        <v>20</v>
      </c>
      <c r="W5341" t="s">
        <v>19</v>
      </c>
      <c r="X5341">
        <v>19</v>
      </c>
      <c r="Y5341" t="s">
        <v>48</v>
      </c>
      <c r="Z5341">
        <v>5</v>
      </c>
      <c r="AA5341">
        <v>296</v>
      </c>
      <c r="AB5341">
        <v>1.7</v>
      </c>
    </row>
    <row r="5342" spans="20:28">
      <c r="T5342" s="340" t="str">
        <f t="shared" si="200"/>
        <v>2011MaleNon-Maori19Submersion (drowning)</v>
      </c>
      <c r="U5342">
        <v>2011</v>
      </c>
      <c r="V5342" t="s">
        <v>20</v>
      </c>
      <c r="W5342" t="s">
        <v>19</v>
      </c>
      <c r="X5342">
        <v>19</v>
      </c>
      <c r="Y5342" t="s">
        <v>49</v>
      </c>
      <c r="Z5342">
        <v>7</v>
      </c>
      <c r="AA5342">
        <v>296</v>
      </c>
      <c r="AB5342">
        <v>2.4</v>
      </c>
    </row>
    <row r="5343" spans="20:28">
      <c r="T5343" s="340" t="str">
        <f t="shared" si="200"/>
        <v>2012AllSexAllEth19Firearms and explosives</v>
      </c>
      <c r="U5343">
        <v>2012</v>
      </c>
      <c r="V5343" t="s">
        <v>17</v>
      </c>
      <c r="W5343" t="s">
        <v>27</v>
      </c>
      <c r="X5343">
        <v>19</v>
      </c>
      <c r="Y5343" t="s">
        <v>42</v>
      </c>
      <c r="Z5343">
        <v>47</v>
      </c>
      <c r="AA5343">
        <v>549</v>
      </c>
      <c r="AB5343">
        <v>8.6</v>
      </c>
    </row>
    <row r="5344" spans="20:28">
      <c r="T5344" s="340" t="str">
        <f t="shared" si="200"/>
        <v>2012AllSexAllEth19Hanging, strangulation and suffocation</v>
      </c>
      <c r="U5344">
        <v>2012</v>
      </c>
      <c r="V5344" t="s">
        <v>17</v>
      </c>
      <c r="W5344" t="s">
        <v>27</v>
      </c>
      <c r="X5344">
        <v>19</v>
      </c>
      <c r="Y5344" t="s">
        <v>43</v>
      </c>
      <c r="Z5344">
        <v>342</v>
      </c>
      <c r="AA5344">
        <v>549</v>
      </c>
      <c r="AB5344">
        <v>62.3</v>
      </c>
    </row>
    <row r="5345" spans="20:28">
      <c r="T5345" s="340" t="str">
        <f t="shared" si="200"/>
        <v>2012AllSexAllEth19Jumping from a high place</v>
      </c>
      <c r="U5345">
        <v>2012</v>
      </c>
      <c r="V5345" t="s">
        <v>17</v>
      </c>
      <c r="W5345" t="s">
        <v>27</v>
      </c>
      <c r="X5345">
        <v>19</v>
      </c>
      <c r="Y5345" t="s">
        <v>44</v>
      </c>
      <c r="Z5345">
        <v>16</v>
      </c>
      <c r="AA5345">
        <v>549</v>
      </c>
      <c r="AB5345">
        <v>2.9</v>
      </c>
    </row>
    <row r="5346" spans="20:28">
      <c r="T5346" s="340" t="str">
        <f t="shared" si="200"/>
        <v>2012AllSexAllEth19Other</v>
      </c>
      <c r="U5346">
        <v>2012</v>
      </c>
      <c r="V5346" t="s">
        <v>17</v>
      </c>
      <c r="W5346" t="s">
        <v>27</v>
      </c>
      <c r="X5346">
        <v>19</v>
      </c>
      <c r="Y5346" t="s">
        <v>45</v>
      </c>
      <c r="Z5346">
        <v>19</v>
      </c>
      <c r="AA5346">
        <v>549</v>
      </c>
      <c r="AB5346">
        <v>3.5</v>
      </c>
    </row>
    <row r="5347" spans="20:28">
      <c r="T5347" s="340" t="str">
        <f t="shared" si="200"/>
        <v>2012AllSexAllEth19Poisoning by gases and vapours</v>
      </c>
      <c r="U5347">
        <v>2012</v>
      </c>
      <c r="V5347" t="s">
        <v>17</v>
      </c>
      <c r="W5347" t="s">
        <v>27</v>
      </c>
      <c r="X5347">
        <v>19</v>
      </c>
      <c r="Y5347" t="s">
        <v>46</v>
      </c>
      <c r="Z5347">
        <v>43</v>
      </c>
      <c r="AA5347">
        <v>549</v>
      </c>
      <c r="AB5347">
        <v>7.8</v>
      </c>
    </row>
    <row r="5348" spans="20:28">
      <c r="T5348" s="340" t="str">
        <f t="shared" si="200"/>
        <v>2012AllSexAllEth19Poisoning by solids and liquids</v>
      </c>
      <c r="U5348">
        <v>2012</v>
      </c>
      <c r="V5348" t="s">
        <v>17</v>
      </c>
      <c r="W5348" t="s">
        <v>27</v>
      </c>
      <c r="X5348">
        <v>19</v>
      </c>
      <c r="Y5348" t="s">
        <v>47</v>
      </c>
      <c r="Z5348">
        <v>64</v>
      </c>
      <c r="AA5348">
        <v>549</v>
      </c>
      <c r="AB5348">
        <v>11.7</v>
      </c>
    </row>
    <row r="5349" spans="20:28">
      <c r="T5349" s="340" t="str">
        <f t="shared" si="200"/>
        <v>2012AllSexAllEth19Sharp object</v>
      </c>
      <c r="U5349">
        <v>2012</v>
      </c>
      <c r="V5349" t="s">
        <v>17</v>
      </c>
      <c r="W5349" t="s">
        <v>27</v>
      </c>
      <c r="X5349">
        <v>19</v>
      </c>
      <c r="Y5349" t="s">
        <v>48</v>
      </c>
      <c r="Z5349">
        <v>13</v>
      </c>
      <c r="AA5349">
        <v>549</v>
      </c>
      <c r="AB5349">
        <v>2.4</v>
      </c>
    </row>
    <row r="5350" spans="20:28">
      <c r="T5350" s="340" t="str">
        <f t="shared" si="200"/>
        <v>2012AllSexAllEth19Submersion (drowning)</v>
      </c>
      <c r="U5350">
        <v>2012</v>
      </c>
      <c r="V5350" t="s">
        <v>17</v>
      </c>
      <c r="W5350" t="s">
        <v>27</v>
      </c>
      <c r="X5350">
        <v>19</v>
      </c>
      <c r="Y5350" t="s">
        <v>49</v>
      </c>
      <c r="Z5350">
        <v>5</v>
      </c>
      <c r="AA5350">
        <v>549</v>
      </c>
      <c r="AB5350">
        <v>0.9</v>
      </c>
    </row>
    <row r="5351" spans="20:28">
      <c r="T5351" s="340" t="str">
        <f t="shared" si="200"/>
        <v>2012AllSexMaori19Firearms and explosives</v>
      </c>
      <c r="U5351">
        <v>2012</v>
      </c>
      <c r="V5351" t="s">
        <v>17</v>
      </c>
      <c r="W5351" t="s">
        <v>18</v>
      </c>
      <c r="X5351">
        <v>19</v>
      </c>
      <c r="Y5351" t="s">
        <v>42</v>
      </c>
      <c r="Z5351">
        <v>5</v>
      </c>
      <c r="AA5351">
        <v>118</v>
      </c>
      <c r="AB5351">
        <v>4.2</v>
      </c>
    </row>
    <row r="5352" spans="20:28">
      <c r="T5352" s="340" t="str">
        <f t="shared" si="200"/>
        <v>2012AllSexMaori19Hanging, strangulation and suffocation</v>
      </c>
      <c r="U5352">
        <v>2012</v>
      </c>
      <c r="V5352" t="s">
        <v>17</v>
      </c>
      <c r="W5352" t="s">
        <v>18</v>
      </c>
      <c r="X5352">
        <v>19</v>
      </c>
      <c r="Y5352" t="s">
        <v>43</v>
      </c>
      <c r="Z5352">
        <v>105</v>
      </c>
      <c r="AA5352">
        <v>118</v>
      </c>
      <c r="AB5352">
        <v>89</v>
      </c>
    </row>
    <row r="5353" spans="20:28">
      <c r="T5353" s="340" t="str">
        <f t="shared" si="200"/>
        <v>2012AllSexMaori19Jumping from a high place</v>
      </c>
      <c r="U5353">
        <v>2012</v>
      </c>
      <c r="V5353" t="s">
        <v>17</v>
      </c>
      <c r="W5353" t="s">
        <v>18</v>
      </c>
      <c r="X5353">
        <v>19</v>
      </c>
      <c r="Y5353" t="s">
        <v>44</v>
      </c>
      <c r="Z5353">
        <v>1</v>
      </c>
      <c r="AA5353">
        <v>118</v>
      </c>
      <c r="AB5353">
        <v>0.8</v>
      </c>
    </row>
    <row r="5354" spans="20:28">
      <c r="T5354" s="340" t="str">
        <f t="shared" si="200"/>
        <v>2012AllSexMaori19Other</v>
      </c>
      <c r="U5354">
        <v>2012</v>
      </c>
      <c r="V5354" t="s">
        <v>17</v>
      </c>
      <c r="W5354" t="s">
        <v>18</v>
      </c>
      <c r="X5354">
        <v>19</v>
      </c>
      <c r="Y5354" t="s">
        <v>45</v>
      </c>
      <c r="Z5354">
        <v>2</v>
      </c>
      <c r="AA5354">
        <v>118</v>
      </c>
      <c r="AB5354">
        <v>1.7</v>
      </c>
    </row>
    <row r="5355" spans="20:28">
      <c r="T5355" s="340" t="str">
        <f t="shared" si="200"/>
        <v>2012AllSexMaori19Poisoning by gases and vapours</v>
      </c>
      <c r="U5355">
        <v>2012</v>
      </c>
      <c r="V5355" t="s">
        <v>17</v>
      </c>
      <c r="W5355" t="s">
        <v>18</v>
      </c>
      <c r="X5355">
        <v>19</v>
      </c>
      <c r="Y5355" t="s">
        <v>46</v>
      </c>
      <c r="Z5355">
        <v>2</v>
      </c>
      <c r="AA5355">
        <v>118</v>
      </c>
      <c r="AB5355">
        <v>1.7</v>
      </c>
    </row>
    <row r="5356" spans="20:28">
      <c r="T5356" s="340" t="str">
        <f t="shared" si="200"/>
        <v>2012AllSexMaori19Poisoning by solids and liquids</v>
      </c>
      <c r="U5356">
        <v>2012</v>
      </c>
      <c r="V5356" t="s">
        <v>17</v>
      </c>
      <c r="W5356" t="s">
        <v>18</v>
      </c>
      <c r="X5356">
        <v>19</v>
      </c>
      <c r="Y5356" t="s">
        <v>47</v>
      </c>
      <c r="Z5356">
        <v>2</v>
      </c>
      <c r="AA5356">
        <v>118</v>
      </c>
      <c r="AB5356">
        <v>1.7</v>
      </c>
    </row>
    <row r="5357" spans="20:28">
      <c r="T5357" s="340" t="str">
        <f t="shared" si="200"/>
        <v>2012AllSexMaori19Sharp object</v>
      </c>
      <c r="U5357">
        <v>2012</v>
      </c>
      <c r="V5357" t="s">
        <v>17</v>
      </c>
      <c r="W5357" t="s">
        <v>18</v>
      </c>
      <c r="X5357">
        <v>19</v>
      </c>
      <c r="Y5357" t="s">
        <v>48</v>
      </c>
      <c r="Z5357">
        <v>1</v>
      </c>
      <c r="AA5357">
        <v>118</v>
      </c>
      <c r="AB5357">
        <v>0.8</v>
      </c>
    </row>
    <row r="5358" spans="20:28">
      <c r="T5358" s="340" t="str">
        <f t="shared" si="200"/>
        <v>2012AllSexNon-Maori19Firearms and explosives</v>
      </c>
      <c r="U5358">
        <v>2012</v>
      </c>
      <c r="V5358" t="s">
        <v>17</v>
      </c>
      <c r="W5358" t="s">
        <v>19</v>
      </c>
      <c r="X5358">
        <v>19</v>
      </c>
      <c r="Y5358" t="s">
        <v>42</v>
      </c>
      <c r="Z5358">
        <v>42</v>
      </c>
      <c r="AA5358">
        <v>431</v>
      </c>
      <c r="AB5358">
        <v>9.6999999999999993</v>
      </c>
    </row>
    <row r="5359" spans="20:28">
      <c r="T5359" s="340" t="str">
        <f t="shared" si="200"/>
        <v>2012AllSexNon-Maori19Hanging, strangulation and suffocation</v>
      </c>
      <c r="U5359">
        <v>2012</v>
      </c>
      <c r="V5359" t="s">
        <v>17</v>
      </c>
      <c r="W5359" t="s">
        <v>19</v>
      </c>
      <c r="X5359">
        <v>19</v>
      </c>
      <c r="Y5359" t="s">
        <v>43</v>
      </c>
      <c r="Z5359">
        <v>237</v>
      </c>
      <c r="AA5359">
        <v>431</v>
      </c>
      <c r="AB5359">
        <v>55</v>
      </c>
    </row>
    <row r="5360" spans="20:28">
      <c r="T5360" s="340" t="str">
        <f t="shared" si="200"/>
        <v>2012AllSexNon-Maori19Jumping from a high place</v>
      </c>
      <c r="U5360">
        <v>2012</v>
      </c>
      <c r="V5360" t="s">
        <v>17</v>
      </c>
      <c r="W5360" t="s">
        <v>19</v>
      </c>
      <c r="X5360">
        <v>19</v>
      </c>
      <c r="Y5360" t="s">
        <v>44</v>
      </c>
      <c r="Z5360">
        <v>15</v>
      </c>
      <c r="AA5360">
        <v>431</v>
      </c>
      <c r="AB5360">
        <v>3.5</v>
      </c>
    </row>
    <row r="5361" spans="20:28">
      <c r="T5361" s="340" t="str">
        <f t="shared" si="200"/>
        <v>2012AllSexNon-Maori19Other</v>
      </c>
      <c r="U5361">
        <v>2012</v>
      </c>
      <c r="V5361" t="s">
        <v>17</v>
      </c>
      <c r="W5361" t="s">
        <v>19</v>
      </c>
      <c r="X5361">
        <v>19</v>
      </c>
      <c r="Y5361" t="s">
        <v>45</v>
      </c>
      <c r="Z5361">
        <v>17</v>
      </c>
      <c r="AA5361">
        <v>431</v>
      </c>
      <c r="AB5361">
        <v>3.9</v>
      </c>
    </row>
    <row r="5362" spans="20:28">
      <c r="T5362" s="340" t="str">
        <f t="shared" si="200"/>
        <v>2012AllSexNon-Maori19Poisoning by gases and vapours</v>
      </c>
      <c r="U5362">
        <v>2012</v>
      </c>
      <c r="V5362" t="s">
        <v>17</v>
      </c>
      <c r="W5362" t="s">
        <v>19</v>
      </c>
      <c r="X5362">
        <v>19</v>
      </c>
      <c r="Y5362" t="s">
        <v>46</v>
      </c>
      <c r="Z5362">
        <v>41</v>
      </c>
      <c r="AA5362">
        <v>431</v>
      </c>
      <c r="AB5362">
        <v>9.5</v>
      </c>
    </row>
    <row r="5363" spans="20:28">
      <c r="T5363" s="340" t="str">
        <f t="shared" si="200"/>
        <v>2012AllSexNon-Maori19Poisoning by solids and liquids</v>
      </c>
      <c r="U5363">
        <v>2012</v>
      </c>
      <c r="V5363" t="s">
        <v>17</v>
      </c>
      <c r="W5363" t="s">
        <v>19</v>
      </c>
      <c r="X5363">
        <v>19</v>
      </c>
      <c r="Y5363" t="s">
        <v>47</v>
      </c>
      <c r="Z5363">
        <v>62</v>
      </c>
      <c r="AA5363">
        <v>431</v>
      </c>
      <c r="AB5363">
        <v>14.4</v>
      </c>
    </row>
    <row r="5364" spans="20:28">
      <c r="T5364" s="340" t="str">
        <f t="shared" si="200"/>
        <v>2012AllSexNon-Maori19Sharp object</v>
      </c>
      <c r="U5364">
        <v>2012</v>
      </c>
      <c r="V5364" t="s">
        <v>17</v>
      </c>
      <c r="W5364" t="s">
        <v>19</v>
      </c>
      <c r="X5364">
        <v>19</v>
      </c>
      <c r="Y5364" t="s">
        <v>48</v>
      </c>
      <c r="Z5364">
        <v>12</v>
      </c>
      <c r="AA5364">
        <v>431</v>
      </c>
      <c r="AB5364">
        <v>2.8</v>
      </c>
    </row>
    <row r="5365" spans="20:28">
      <c r="T5365" s="340" t="str">
        <f t="shared" si="200"/>
        <v>2012AllSexNon-Maori19Submersion (drowning)</v>
      </c>
      <c r="U5365">
        <v>2012</v>
      </c>
      <c r="V5365" t="s">
        <v>17</v>
      </c>
      <c r="W5365" t="s">
        <v>19</v>
      </c>
      <c r="X5365">
        <v>19</v>
      </c>
      <c r="Y5365" t="s">
        <v>49</v>
      </c>
      <c r="Z5365">
        <v>5</v>
      </c>
      <c r="AA5365">
        <v>431</v>
      </c>
      <c r="AB5365">
        <v>1.2</v>
      </c>
    </row>
    <row r="5366" spans="20:28">
      <c r="T5366" s="340" t="str">
        <f t="shared" si="200"/>
        <v>2012FemaleAllEth19Firearms and explosives</v>
      </c>
      <c r="U5366">
        <v>2012</v>
      </c>
      <c r="V5366" t="s">
        <v>8</v>
      </c>
      <c r="W5366" t="s">
        <v>27</v>
      </c>
      <c r="X5366">
        <v>19</v>
      </c>
      <c r="Y5366" t="s">
        <v>42</v>
      </c>
      <c r="Z5366">
        <v>2</v>
      </c>
      <c r="AA5366">
        <v>145</v>
      </c>
      <c r="AB5366">
        <v>1.4</v>
      </c>
    </row>
    <row r="5367" spans="20:28">
      <c r="T5367" s="340" t="str">
        <f t="shared" si="200"/>
        <v>2012FemaleAllEth19Hanging, strangulation and suffocation</v>
      </c>
      <c r="U5367">
        <v>2012</v>
      </c>
      <c r="V5367" t="s">
        <v>8</v>
      </c>
      <c r="W5367" t="s">
        <v>27</v>
      </c>
      <c r="X5367">
        <v>19</v>
      </c>
      <c r="Y5367" t="s">
        <v>43</v>
      </c>
      <c r="Z5367">
        <v>88</v>
      </c>
      <c r="AA5367">
        <v>145</v>
      </c>
      <c r="AB5367">
        <v>60.7</v>
      </c>
    </row>
    <row r="5368" spans="20:28">
      <c r="T5368" s="340" t="str">
        <f t="shared" si="200"/>
        <v>2012FemaleAllEth19Jumping from a high place</v>
      </c>
      <c r="U5368">
        <v>2012</v>
      </c>
      <c r="V5368" t="s">
        <v>8</v>
      </c>
      <c r="W5368" t="s">
        <v>27</v>
      </c>
      <c r="X5368">
        <v>19</v>
      </c>
      <c r="Y5368" t="s">
        <v>44</v>
      </c>
      <c r="Z5368">
        <v>7</v>
      </c>
      <c r="AA5368">
        <v>145</v>
      </c>
      <c r="AB5368">
        <v>4.8</v>
      </c>
    </row>
    <row r="5369" spans="20:28">
      <c r="T5369" s="340" t="str">
        <f t="shared" si="200"/>
        <v>2012FemaleAllEth19Other</v>
      </c>
      <c r="U5369">
        <v>2012</v>
      </c>
      <c r="V5369" t="s">
        <v>8</v>
      </c>
      <c r="W5369" t="s">
        <v>27</v>
      </c>
      <c r="X5369">
        <v>19</v>
      </c>
      <c r="Y5369" t="s">
        <v>45</v>
      </c>
      <c r="Z5369">
        <v>5</v>
      </c>
      <c r="AA5369">
        <v>145</v>
      </c>
      <c r="AB5369">
        <v>3.4</v>
      </c>
    </row>
    <row r="5370" spans="20:28">
      <c r="T5370" s="340" t="str">
        <f t="shared" si="200"/>
        <v>2012FemaleAllEth19Poisoning by gases and vapours</v>
      </c>
      <c r="U5370">
        <v>2012</v>
      </c>
      <c r="V5370" t="s">
        <v>8</v>
      </c>
      <c r="W5370" t="s">
        <v>27</v>
      </c>
      <c r="X5370">
        <v>19</v>
      </c>
      <c r="Y5370" t="s">
        <v>46</v>
      </c>
      <c r="Z5370">
        <v>6</v>
      </c>
      <c r="AA5370">
        <v>145</v>
      </c>
      <c r="AB5370">
        <v>4.0999999999999996</v>
      </c>
    </row>
    <row r="5371" spans="20:28">
      <c r="T5371" s="340" t="str">
        <f t="shared" si="200"/>
        <v>2012FemaleAllEth19Poisoning by solids and liquids</v>
      </c>
      <c r="U5371">
        <v>2012</v>
      </c>
      <c r="V5371" t="s">
        <v>8</v>
      </c>
      <c r="W5371" t="s">
        <v>27</v>
      </c>
      <c r="X5371">
        <v>19</v>
      </c>
      <c r="Y5371" t="s">
        <v>47</v>
      </c>
      <c r="Z5371">
        <v>35</v>
      </c>
      <c r="AA5371">
        <v>145</v>
      </c>
      <c r="AB5371">
        <v>24.1</v>
      </c>
    </row>
    <row r="5372" spans="20:28">
      <c r="T5372" s="340" t="str">
        <f t="shared" si="200"/>
        <v>2012FemaleAllEth19Submersion (drowning)</v>
      </c>
      <c r="U5372">
        <v>2012</v>
      </c>
      <c r="V5372" t="s">
        <v>8</v>
      </c>
      <c r="W5372" t="s">
        <v>27</v>
      </c>
      <c r="X5372">
        <v>19</v>
      </c>
      <c r="Y5372" t="s">
        <v>49</v>
      </c>
      <c r="Z5372">
        <v>2</v>
      </c>
      <c r="AA5372">
        <v>145</v>
      </c>
      <c r="AB5372">
        <v>1.4</v>
      </c>
    </row>
    <row r="5373" spans="20:28">
      <c r="T5373" s="340" t="str">
        <f t="shared" si="200"/>
        <v>2012FemaleMaori19Hanging, strangulation and suffocation</v>
      </c>
      <c r="U5373">
        <v>2012</v>
      </c>
      <c r="V5373" t="s">
        <v>8</v>
      </c>
      <c r="W5373" t="s">
        <v>18</v>
      </c>
      <c r="X5373">
        <v>19</v>
      </c>
      <c r="Y5373" t="s">
        <v>43</v>
      </c>
      <c r="Z5373">
        <v>35</v>
      </c>
      <c r="AA5373">
        <v>37</v>
      </c>
      <c r="AB5373">
        <v>94.6</v>
      </c>
    </row>
    <row r="5374" spans="20:28">
      <c r="T5374" s="340" t="str">
        <f t="shared" si="200"/>
        <v>2012FemaleMaori19Jumping from a high place</v>
      </c>
      <c r="U5374">
        <v>2012</v>
      </c>
      <c r="V5374" t="s">
        <v>8</v>
      </c>
      <c r="W5374" t="s">
        <v>18</v>
      </c>
      <c r="X5374">
        <v>19</v>
      </c>
      <c r="Y5374" t="s">
        <v>44</v>
      </c>
      <c r="Z5374">
        <v>1</v>
      </c>
      <c r="AA5374">
        <v>37</v>
      </c>
      <c r="AB5374">
        <v>2.7</v>
      </c>
    </row>
    <row r="5375" spans="20:28">
      <c r="T5375" s="340" t="str">
        <f t="shared" si="200"/>
        <v>2012FemaleMaori19Poisoning by solids and liquids</v>
      </c>
      <c r="U5375">
        <v>2012</v>
      </c>
      <c r="V5375" t="s">
        <v>8</v>
      </c>
      <c r="W5375" t="s">
        <v>18</v>
      </c>
      <c r="X5375">
        <v>19</v>
      </c>
      <c r="Y5375" t="s">
        <v>47</v>
      </c>
      <c r="Z5375">
        <v>1</v>
      </c>
      <c r="AA5375">
        <v>37</v>
      </c>
      <c r="AB5375">
        <v>2.7</v>
      </c>
    </row>
    <row r="5376" spans="20:28">
      <c r="T5376" s="340" t="str">
        <f t="shared" si="200"/>
        <v>2012FemaleNon-Maori19Firearms and explosives</v>
      </c>
      <c r="U5376">
        <v>2012</v>
      </c>
      <c r="V5376" t="s">
        <v>8</v>
      </c>
      <c r="W5376" t="s">
        <v>19</v>
      </c>
      <c r="X5376">
        <v>19</v>
      </c>
      <c r="Y5376" t="s">
        <v>42</v>
      </c>
      <c r="Z5376">
        <v>2</v>
      </c>
      <c r="AA5376">
        <v>108</v>
      </c>
      <c r="AB5376">
        <v>1.9</v>
      </c>
    </row>
    <row r="5377" spans="20:28">
      <c r="T5377" s="340" t="str">
        <f t="shared" si="200"/>
        <v>2012FemaleNon-Maori19Hanging, strangulation and suffocation</v>
      </c>
      <c r="U5377">
        <v>2012</v>
      </c>
      <c r="V5377" t="s">
        <v>8</v>
      </c>
      <c r="W5377" t="s">
        <v>19</v>
      </c>
      <c r="X5377">
        <v>19</v>
      </c>
      <c r="Y5377" t="s">
        <v>43</v>
      </c>
      <c r="Z5377">
        <v>53</v>
      </c>
      <c r="AA5377">
        <v>108</v>
      </c>
      <c r="AB5377">
        <v>49.1</v>
      </c>
    </row>
    <row r="5378" spans="20:28">
      <c r="T5378" s="340" t="str">
        <f t="shared" si="200"/>
        <v>2012FemaleNon-Maori19Jumping from a high place</v>
      </c>
      <c r="U5378">
        <v>2012</v>
      </c>
      <c r="V5378" t="s">
        <v>8</v>
      </c>
      <c r="W5378" t="s">
        <v>19</v>
      </c>
      <c r="X5378">
        <v>19</v>
      </c>
      <c r="Y5378" t="s">
        <v>44</v>
      </c>
      <c r="Z5378">
        <v>6</v>
      </c>
      <c r="AA5378">
        <v>108</v>
      </c>
      <c r="AB5378">
        <v>5.6</v>
      </c>
    </row>
    <row r="5379" spans="20:28">
      <c r="T5379" s="340" t="str">
        <f t="shared" si="200"/>
        <v>2012FemaleNon-Maori19Other</v>
      </c>
      <c r="U5379">
        <v>2012</v>
      </c>
      <c r="V5379" t="s">
        <v>8</v>
      </c>
      <c r="W5379" t="s">
        <v>19</v>
      </c>
      <c r="X5379">
        <v>19</v>
      </c>
      <c r="Y5379" t="s">
        <v>45</v>
      </c>
      <c r="Z5379">
        <v>5</v>
      </c>
      <c r="AA5379">
        <v>108</v>
      </c>
      <c r="AB5379">
        <v>4.5999999999999996</v>
      </c>
    </row>
    <row r="5380" spans="20:28">
      <c r="T5380" s="340" t="str">
        <f t="shared" si="200"/>
        <v>2012FemaleNon-Maori19Poisoning by gases and vapours</v>
      </c>
      <c r="U5380">
        <v>2012</v>
      </c>
      <c r="V5380" t="s">
        <v>8</v>
      </c>
      <c r="W5380" t="s">
        <v>19</v>
      </c>
      <c r="X5380">
        <v>19</v>
      </c>
      <c r="Y5380" t="s">
        <v>46</v>
      </c>
      <c r="Z5380">
        <v>6</v>
      </c>
      <c r="AA5380">
        <v>108</v>
      </c>
      <c r="AB5380">
        <v>5.6</v>
      </c>
    </row>
    <row r="5381" spans="20:28">
      <c r="T5381" s="340" t="str">
        <f t="shared" ref="T5381:T5444" si="201">U5381&amp;V5381&amp;W5381&amp;X5381&amp;Y5381</f>
        <v>2012FemaleNon-Maori19Poisoning by solids and liquids</v>
      </c>
      <c r="U5381">
        <v>2012</v>
      </c>
      <c r="V5381" t="s">
        <v>8</v>
      </c>
      <c r="W5381" t="s">
        <v>19</v>
      </c>
      <c r="X5381">
        <v>19</v>
      </c>
      <c r="Y5381" t="s">
        <v>47</v>
      </c>
      <c r="Z5381">
        <v>34</v>
      </c>
      <c r="AA5381">
        <v>108</v>
      </c>
      <c r="AB5381">
        <v>31.5</v>
      </c>
    </row>
    <row r="5382" spans="20:28">
      <c r="T5382" s="340" t="str">
        <f t="shared" si="201"/>
        <v>2012FemaleNon-Maori19Submersion (drowning)</v>
      </c>
      <c r="U5382">
        <v>2012</v>
      </c>
      <c r="V5382" t="s">
        <v>8</v>
      </c>
      <c r="W5382" t="s">
        <v>19</v>
      </c>
      <c r="X5382">
        <v>19</v>
      </c>
      <c r="Y5382" t="s">
        <v>49</v>
      </c>
      <c r="Z5382">
        <v>2</v>
      </c>
      <c r="AA5382">
        <v>108</v>
      </c>
      <c r="AB5382">
        <v>1.9</v>
      </c>
    </row>
    <row r="5383" spans="20:28">
      <c r="T5383" s="340" t="str">
        <f t="shared" si="201"/>
        <v>2012MaleAllEth19Firearms and explosives</v>
      </c>
      <c r="U5383">
        <v>2012</v>
      </c>
      <c r="V5383" t="s">
        <v>20</v>
      </c>
      <c r="W5383" t="s">
        <v>27</v>
      </c>
      <c r="X5383">
        <v>19</v>
      </c>
      <c r="Y5383" t="s">
        <v>42</v>
      </c>
      <c r="Z5383">
        <v>45</v>
      </c>
      <c r="AA5383">
        <v>404</v>
      </c>
      <c r="AB5383">
        <v>11.1</v>
      </c>
    </row>
    <row r="5384" spans="20:28">
      <c r="T5384" s="340" t="str">
        <f t="shared" si="201"/>
        <v>2012MaleAllEth19Hanging, strangulation and suffocation</v>
      </c>
      <c r="U5384">
        <v>2012</v>
      </c>
      <c r="V5384" t="s">
        <v>20</v>
      </c>
      <c r="W5384" t="s">
        <v>27</v>
      </c>
      <c r="X5384">
        <v>19</v>
      </c>
      <c r="Y5384" t="s">
        <v>43</v>
      </c>
      <c r="Z5384">
        <v>254</v>
      </c>
      <c r="AA5384">
        <v>404</v>
      </c>
      <c r="AB5384">
        <v>62.9</v>
      </c>
    </row>
    <row r="5385" spans="20:28">
      <c r="T5385" s="340" t="str">
        <f t="shared" si="201"/>
        <v>2012MaleAllEth19Jumping from a high place</v>
      </c>
      <c r="U5385">
        <v>2012</v>
      </c>
      <c r="V5385" t="s">
        <v>20</v>
      </c>
      <c r="W5385" t="s">
        <v>27</v>
      </c>
      <c r="X5385">
        <v>19</v>
      </c>
      <c r="Y5385" t="s">
        <v>44</v>
      </c>
      <c r="Z5385">
        <v>9</v>
      </c>
      <c r="AA5385">
        <v>404</v>
      </c>
      <c r="AB5385">
        <v>2.2000000000000002</v>
      </c>
    </row>
    <row r="5386" spans="20:28">
      <c r="T5386" s="340" t="str">
        <f t="shared" si="201"/>
        <v>2012MaleAllEth19Other</v>
      </c>
      <c r="U5386">
        <v>2012</v>
      </c>
      <c r="V5386" t="s">
        <v>20</v>
      </c>
      <c r="W5386" t="s">
        <v>27</v>
      </c>
      <c r="X5386">
        <v>19</v>
      </c>
      <c r="Y5386" t="s">
        <v>45</v>
      </c>
      <c r="Z5386">
        <v>14</v>
      </c>
      <c r="AA5386">
        <v>404</v>
      </c>
      <c r="AB5386">
        <v>3.5</v>
      </c>
    </row>
    <row r="5387" spans="20:28">
      <c r="T5387" s="340" t="str">
        <f t="shared" si="201"/>
        <v>2012MaleAllEth19Poisoning by gases and vapours</v>
      </c>
      <c r="U5387">
        <v>2012</v>
      </c>
      <c r="V5387" t="s">
        <v>20</v>
      </c>
      <c r="W5387" t="s">
        <v>27</v>
      </c>
      <c r="X5387">
        <v>19</v>
      </c>
      <c r="Y5387" t="s">
        <v>46</v>
      </c>
      <c r="Z5387">
        <v>37</v>
      </c>
      <c r="AA5387">
        <v>404</v>
      </c>
      <c r="AB5387">
        <v>9.1999999999999993</v>
      </c>
    </row>
    <row r="5388" spans="20:28">
      <c r="T5388" s="340" t="str">
        <f t="shared" si="201"/>
        <v>2012MaleAllEth19Poisoning by solids and liquids</v>
      </c>
      <c r="U5388">
        <v>2012</v>
      </c>
      <c r="V5388" t="s">
        <v>20</v>
      </c>
      <c r="W5388" t="s">
        <v>27</v>
      </c>
      <c r="X5388">
        <v>19</v>
      </c>
      <c r="Y5388" t="s">
        <v>47</v>
      </c>
      <c r="Z5388">
        <v>29</v>
      </c>
      <c r="AA5388">
        <v>404</v>
      </c>
      <c r="AB5388">
        <v>7.2</v>
      </c>
    </row>
    <row r="5389" spans="20:28">
      <c r="T5389" s="340" t="str">
        <f t="shared" si="201"/>
        <v>2012MaleAllEth19Sharp object</v>
      </c>
      <c r="U5389">
        <v>2012</v>
      </c>
      <c r="V5389" t="s">
        <v>20</v>
      </c>
      <c r="W5389" t="s">
        <v>27</v>
      </c>
      <c r="X5389">
        <v>19</v>
      </c>
      <c r="Y5389" t="s">
        <v>48</v>
      </c>
      <c r="Z5389">
        <v>13</v>
      </c>
      <c r="AA5389">
        <v>404</v>
      </c>
      <c r="AB5389">
        <v>3.2</v>
      </c>
    </row>
    <row r="5390" spans="20:28">
      <c r="T5390" s="340" t="str">
        <f t="shared" si="201"/>
        <v>2012MaleAllEth19Submersion (drowning)</v>
      </c>
      <c r="U5390">
        <v>2012</v>
      </c>
      <c r="V5390" t="s">
        <v>20</v>
      </c>
      <c r="W5390" t="s">
        <v>27</v>
      </c>
      <c r="X5390">
        <v>19</v>
      </c>
      <c r="Y5390" t="s">
        <v>49</v>
      </c>
      <c r="Z5390">
        <v>3</v>
      </c>
      <c r="AA5390">
        <v>404</v>
      </c>
      <c r="AB5390">
        <v>0.7</v>
      </c>
    </row>
    <row r="5391" spans="20:28">
      <c r="T5391" s="340" t="str">
        <f t="shared" si="201"/>
        <v>2012MaleMaori19Firearms and explosives</v>
      </c>
      <c r="U5391">
        <v>2012</v>
      </c>
      <c r="V5391" t="s">
        <v>20</v>
      </c>
      <c r="W5391" t="s">
        <v>18</v>
      </c>
      <c r="X5391">
        <v>19</v>
      </c>
      <c r="Y5391" t="s">
        <v>42</v>
      </c>
      <c r="Z5391">
        <v>5</v>
      </c>
      <c r="AA5391">
        <v>81</v>
      </c>
      <c r="AB5391">
        <v>6.2</v>
      </c>
    </row>
    <row r="5392" spans="20:28">
      <c r="T5392" s="340" t="str">
        <f t="shared" si="201"/>
        <v>2012MaleMaori19Hanging, strangulation and suffocation</v>
      </c>
      <c r="U5392">
        <v>2012</v>
      </c>
      <c r="V5392" t="s">
        <v>20</v>
      </c>
      <c r="W5392" t="s">
        <v>18</v>
      </c>
      <c r="X5392">
        <v>19</v>
      </c>
      <c r="Y5392" t="s">
        <v>43</v>
      </c>
      <c r="Z5392">
        <v>70</v>
      </c>
      <c r="AA5392">
        <v>81</v>
      </c>
      <c r="AB5392">
        <v>86.4</v>
      </c>
    </row>
    <row r="5393" spans="20:28">
      <c r="T5393" s="340" t="str">
        <f t="shared" si="201"/>
        <v>2012MaleMaori19Other</v>
      </c>
      <c r="U5393">
        <v>2012</v>
      </c>
      <c r="V5393" t="s">
        <v>20</v>
      </c>
      <c r="W5393" t="s">
        <v>18</v>
      </c>
      <c r="X5393">
        <v>19</v>
      </c>
      <c r="Y5393" t="s">
        <v>45</v>
      </c>
      <c r="Z5393">
        <v>2</v>
      </c>
      <c r="AA5393">
        <v>81</v>
      </c>
      <c r="AB5393">
        <v>2.5</v>
      </c>
    </row>
    <row r="5394" spans="20:28">
      <c r="T5394" s="340" t="str">
        <f t="shared" si="201"/>
        <v>2012MaleMaori19Poisoning by gases and vapours</v>
      </c>
      <c r="U5394">
        <v>2012</v>
      </c>
      <c r="V5394" t="s">
        <v>20</v>
      </c>
      <c r="W5394" t="s">
        <v>18</v>
      </c>
      <c r="X5394">
        <v>19</v>
      </c>
      <c r="Y5394" t="s">
        <v>46</v>
      </c>
      <c r="Z5394">
        <v>2</v>
      </c>
      <c r="AA5394">
        <v>81</v>
      </c>
      <c r="AB5394">
        <v>2.5</v>
      </c>
    </row>
    <row r="5395" spans="20:28">
      <c r="T5395" s="340" t="str">
        <f t="shared" si="201"/>
        <v>2012MaleMaori19Poisoning by solids and liquids</v>
      </c>
      <c r="U5395">
        <v>2012</v>
      </c>
      <c r="V5395" t="s">
        <v>20</v>
      </c>
      <c r="W5395" t="s">
        <v>18</v>
      </c>
      <c r="X5395">
        <v>19</v>
      </c>
      <c r="Y5395" t="s">
        <v>47</v>
      </c>
      <c r="Z5395">
        <v>1</v>
      </c>
      <c r="AA5395">
        <v>81</v>
      </c>
      <c r="AB5395">
        <v>1.2</v>
      </c>
    </row>
    <row r="5396" spans="20:28">
      <c r="T5396" s="340" t="str">
        <f t="shared" si="201"/>
        <v>2012MaleMaori19Sharp object</v>
      </c>
      <c r="U5396">
        <v>2012</v>
      </c>
      <c r="V5396" t="s">
        <v>20</v>
      </c>
      <c r="W5396" t="s">
        <v>18</v>
      </c>
      <c r="X5396">
        <v>19</v>
      </c>
      <c r="Y5396" t="s">
        <v>48</v>
      </c>
      <c r="Z5396">
        <v>1</v>
      </c>
      <c r="AA5396">
        <v>81</v>
      </c>
      <c r="AB5396">
        <v>1.2</v>
      </c>
    </row>
    <row r="5397" spans="20:28">
      <c r="T5397" s="340" t="str">
        <f t="shared" si="201"/>
        <v>2012MaleNon-Maori19Firearms and explosives</v>
      </c>
      <c r="U5397">
        <v>2012</v>
      </c>
      <c r="V5397" t="s">
        <v>20</v>
      </c>
      <c r="W5397" t="s">
        <v>19</v>
      </c>
      <c r="X5397">
        <v>19</v>
      </c>
      <c r="Y5397" t="s">
        <v>42</v>
      </c>
      <c r="Z5397">
        <v>40</v>
      </c>
      <c r="AA5397">
        <v>323</v>
      </c>
      <c r="AB5397">
        <v>12.4</v>
      </c>
    </row>
    <row r="5398" spans="20:28">
      <c r="T5398" s="340" t="str">
        <f t="shared" si="201"/>
        <v>2012MaleNon-Maori19Hanging, strangulation and suffocation</v>
      </c>
      <c r="U5398">
        <v>2012</v>
      </c>
      <c r="V5398" t="s">
        <v>20</v>
      </c>
      <c r="W5398" t="s">
        <v>19</v>
      </c>
      <c r="X5398">
        <v>19</v>
      </c>
      <c r="Y5398" t="s">
        <v>43</v>
      </c>
      <c r="Z5398">
        <v>184</v>
      </c>
      <c r="AA5398">
        <v>323</v>
      </c>
      <c r="AB5398">
        <v>57</v>
      </c>
    </row>
    <row r="5399" spans="20:28">
      <c r="T5399" s="340" t="str">
        <f t="shared" si="201"/>
        <v>2012MaleNon-Maori19Jumping from a high place</v>
      </c>
      <c r="U5399">
        <v>2012</v>
      </c>
      <c r="V5399" t="s">
        <v>20</v>
      </c>
      <c r="W5399" t="s">
        <v>19</v>
      </c>
      <c r="X5399">
        <v>19</v>
      </c>
      <c r="Y5399" t="s">
        <v>44</v>
      </c>
      <c r="Z5399">
        <v>9</v>
      </c>
      <c r="AA5399">
        <v>323</v>
      </c>
      <c r="AB5399">
        <v>2.8</v>
      </c>
    </row>
    <row r="5400" spans="20:28">
      <c r="T5400" s="340" t="str">
        <f t="shared" si="201"/>
        <v>2012MaleNon-Maori19Other</v>
      </c>
      <c r="U5400">
        <v>2012</v>
      </c>
      <c r="V5400" t="s">
        <v>20</v>
      </c>
      <c r="W5400" t="s">
        <v>19</v>
      </c>
      <c r="X5400">
        <v>19</v>
      </c>
      <c r="Y5400" t="s">
        <v>45</v>
      </c>
      <c r="Z5400">
        <v>12</v>
      </c>
      <c r="AA5400">
        <v>323</v>
      </c>
      <c r="AB5400">
        <v>3.7</v>
      </c>
    </row>
    <row r="5401" spans="20:28">
      <c r="T5401" s="340" t="str">
        <f t="shared" si="201"/>
        <v>2012MaleNon-Maori19Poisoning by gases and vapours</v>
      </c>
      <c r="U5401">
        <v>2012</v>
      </c>
      <c r="V5401" t="s">
        <v>20</v>
      </c>
      <c r="W5401" t="s">
        <v>19</v>
      </c>
      <c r="X5401">
        <v>19</v>
      </c>
      <c r="Y5401" t="s">
        <v>46</v>
      </c>
      <c r="Z5401">
        <v>35</v>
      </c>
      <c r="AA5401">
        <v>323</v>
      </c>
      <c r="AB5401">
        <v>10.8</v>
      </c>
    </row>
    <row r="5402" spans="20:28">
      <c r="T5402" s="340" t="str">
        <f t="shared" si="201"/>
        <v>2012MaleNon-Maori19Poisoning by solids and liquids</v>
      </c>
      <c r="U5402">
        <v>2012</v>
      </c>
      <c r="V5402" t="s">
        <v>20</v>
      </c>
      <c r="W5402" t="s">
        <v>19</v>
      </c>
      <c r="X5402">
        <v>19</v>
      </c>
      <c r="Y5402" t="s">
        <v>47</v>
      </c>
      <c r="Z5402">
        <v>28</v>
      </c>
      <c r="AA5402">
        <v>323</v>
      </c>
      <c r="AB5402">
        <v>8.6999999999999993</v>
      </c>
    </row>
    <row r="5403" spans="20:28">
      <c r="T5403" s="340" t="str">
        <f t="shared" si="201"/>
        <v>2012MaleNon-Maori19Sharp object</v>
      </c>
      <c r="U5403">
        <v>2012</v>
      </c>
      <c r="V5403" t="s">
        <v>20</v>
      </c>
      <c r="W5403" t="s">
        <v>19</v>
      </c>
      <c r="X5403">
        <v>19</v>
      </c>
      <c r="Y5403" t="s">
        <v>48</v>
      </c>
      <c r="Z5403">
        <v>12</v>
      </c>
      <c r="AA5403">
        <v>323</v>
      </c>
      <c r="AB5403">
        <v>3.7</v>
      </c>
    </row>
    <row r="5404" spans="20:28">
      <c r="T5404" s="340" t="str">
        <f t="shared" si="201"/>
        <v>2012MaleNon-Maori19Submersion (drowning)</v>
      </c>
      <c r="U5404">
        <v>2012</v>
      </c>
      <c r="V5404" t="s">
        <v>20</v>
      </c>
      <c r="W5404" t="s">
        <v>19</v>
      </c>
      <c r="X5404">
        <v>19</v>
      </c>
      <c r="Y5404" t="s">
        <v>49</v>
      </c>
      <c r="Z5404">
        <v>3</v>
      </c>
      <c r="AA5404">
        <v>323</v>
      </c>
      <c r="AB5404">
        <v>0.9</v>
      </c>
    </row>
    <row r="5405" spans="20:28">
      <c r="T5405" s="340" t="str">
        <f t="shared" si="201"/>
        <v>2013AllSexAllEth19Firearms and explosives</v>
      </c>
      <c r="U5405">
        <v>2013</v>
      </c>
      <c r="V5405" t="s">
        <v>17</v>
      </c>
      <c r="W5405" t="s">
        <v>27</v>
      </c>
      <c r="X5405">
        <v>19</v>
      </c>
      <c r="Y5405" t="s">
        <v>42</v>
      </c>
      <c r="Z5405">
        <v>48</v>
      </c>
      <c r="AA5405">
        <v>513</v>
      </c>
      <c r="AB5405">
        <v>9.4</v>
      </c>
    </row>
    <row r="5406" spans="20:28">
      <c r="T5406" s="340" t="str">
        <f t="shared" si="201"/>
        <v>2013AllSexAllEth19Hanging, strangulation and suffocation</v>
      </c>
      <c r="U5406">
        <v>2013</v>
      </c>
      <c r="V5406" t="s">
        <v>17</v>
      </c>
      <c r="W5406" t="s">
        <v>27</v>
      </c>
      <c r="X5406">
        <v>19</v>
      </c>
      <c r="Y5406" t="s">
        <v>43</v>
      </c>
      <c r="Z5406">
        <v>293</v>
      </c>
      <c r="AA5406">
        <v>513</v>
      </c>
      <c r="AB5406">
        <v>57.1</v>
      </c>
    </row>
    <row r="5407" spans="20:28">
      <c r="T5407" s="340" t="str">
        <f t="shared" si="201"/>
        <v>2013AllSexAllEth19Jumping from a high place</v>
      </c>
      <c r="U5407">
        <v>2013</v>
      </c>
      <c r="V5407" t="s">
        <v>17</v>
      </c>
      <c r="W5407" t="s">
        <v>27</v>
      </c>
      <c r="X5407">
        <v>19</v>
      </c>
      <c r="Y5407" t="s">
        <v>44</v>
      </c>
      <c r="Z5407">
        <v>14</v>
      </c>
      <c r="AA5407">
        <v>513</v>
      </c>
      <c r="AB5407">
        <v>2.7</v>
      </c>
    </row>
    <row r="5408" spans="20:28">
      <c r="T5408" s="340" t="str">
        <f t="shared" si="201"/>
        <v>2013AllSexAllEth19Other</v>
      </c>
      <c r="U5408">
        <v>2013</v>
      </c>
      <c r="V5408" t="s">
        <v>17</v>
      </c>
      <c r="W5408" t="s">
        <v>27</v>
      </c>
      <c r="X5408">
        <v>19</v>
      </c>
      <c r="Y5408" t="s">
        <v>45</v>
      </c>
      <c r="Z5408">
        <v>19</v>
      </c>
      <c r="AA5408">
        <v>513</v>
      </c>
      <c r="AB5408">
        <v>3.7</v>
      </c>
    </row>
    <row r="5409" spans="20:28">
      <c r="T5409" s="340" t="str">
        <f t="shared" si="201"/>
        <v>2013AllSexAllEth19Poisoning by gases and vapours</v>
      </c>
      <c r="U5409">
        <v>2013</v>
      </c>
      <c r="V5409" t="s">
        <v>17</v>
      </c>
      <c r="W5409" t="s">
        <v>27</v>
      </c>
      <c r="X5409">
        <v>19</v>
      </c>
      <c r="Y5409" t="s">
        <v>46</v>
      </c>
      <c r="Z5409">
        <v>45</v>
      </c>
      <c r="AA5409">
        <v>513</v>
      </c>
      <c r="AB5409">
        <v>8.8000000000000007</v>
      </c>
    </row>
    <row r="5410" spans="20:28">
      <c r="T5410" s="340" t="str">
        <f t="shared" si="201"/>
        <v>2013AllSexAllEth19Poisoning by solids and liquids</v>
      </c>
      <c r="U5410">
        <v>2013</v>
      </c>
      <c r="V5410" t="s">
        <v>17</v>
      </c>
      <c r="W5410" t="s">
        <v>27</v>
      </c>
      <c r="X5410">
        <v>19</v>
      </c>
      <c r="Y5410" t="s">
        <v>47</v>
      </c>
      <c r="Z5410">
        <v>69</v>
      </c>
      <c r="AA5410">
        <v>513</v>
      </c>
      <c r="AB5410">
        <v>13.5</v>
      </c>
    </row>
    <row r="5411" spans="20:28">
      <c r="T5411" s="340" t="str">
        <f t="shared" si="201"/>
        <v>2013AllSexAllEth19Sharp object</v>
      </c>
      <c r="U5411">
        <v>2013</v>
      </c>
      <c r="V5411" t="s">
        <v>17</v>
      </c>
      <c r="W5411" t="s">
        <v>27</v>
      </c>
      <c r="X5411">
        <v>19</v>
      </c>
      <c r="Y5411" t="s">
        <v>48</v>
      </c>
      <c r="Z5411">
        <v>10</v>
      </c>
      <c r="AA5411">
        <v>513</v>
      </c>
      <c r="AB5411">
        <v>1.9</v>
      </c>
    </row>
    <row r="5412" spans="20:28">
      <c r="T5412" s="340" t="str">
        <f t="shared" si="201"/>
        <v>2013AllSexAllEth19Submersion (drowning)</v>
      </c>
      <c r="U5412">
        <v>2013</v>
      </c>
      <c r="V5412" t="s">
        <v>17</v>
      </c>
      <c r="W5412" t="s">
        <v>27</v>
      </c>
      <c r="X5412">
        <v>19</v>
      </c>
      <c r="Y5412" t="s">
        <v>49</v>
      </c>
      <c r="Z5412">
        <v>15</v>
      </c>
      <c r="AA5412">
        <v>513</v>
      </c>
      <c r="AB5412">
        <v>2.9</v>
      </c>
    </row>
    <row r="5413" spans="20:28">
      <c r="T5413" s="340" t="str">
        <f t="shared" si="201"/>
        <v>2013AllSexMaori19Firearms and explosives</v>
      </c>
      <c r="U5413">
        <v>2013</v>
      </c>
      <c r="V5413" t="s">
        <v>17</v>
      </c>
      <c r="W5413" t="s">
        <v>18</v>
      </c>
      <c r="X5413">
        <v>19</v>
      </c>
      <c r="Y5413" t="s">
        <v>42</v>
      </c>
      <c r="Z5413">
        <v>2</v>
      </c>
      <c r="AA5413">
        <v>104</v>
      </c>
      <c r="AB5413">
        <v>1.9</v>
      </c>
    </row>
    <row r="5414" spans="20:28">
      <c r="T5414" s="340" t="str">
        <f t="shared" si="201"/>
        <v>2013AllSexMaori19Hanging, strangulation and suffocation</v>
      </c>
      <c r="U5414">
        <v>2013</v>
      </c>
      <c r="V5414" t="s">
        <v>17</v>
      </c>
      <c r="W5414" t="s">
        <v>18</v>
      </c>
      <c r="X5414">
        <v>19</v>
      </c>
      <c r="Y5414" t="s">
        <v>43</v>
      </c>
      <c r="Z5414">
        <v>84</v>
      </c>
      <c r="AA5414">
        <v>104</v>
      </c>
      <c r="AB5414">
        <v>80.8</v>
      </c>
    </row>
    <row r="5415" spans="20:28">
      <c r="T5415" s="340" t="str">
        <f t="shared" si="201"/>
        <v>2013AllSexMaori19Jumping from a high place</v>
      </c>
      <c r="U5415">
        <v>2013</v>
      </c>
      <c r="V5415" t="s">
        <v>17</v>
      </c>
      <c r="W5415" t="s">
        <v>18</v>
      </c>
      <c r="X5415">
        <v>19</v>
      </c>
      <c r="Y5415" t="s">
        <v>44</v>
      </c>
      <c r="Z5415">
        <v>2</v>
      </c>
      <c r="AA5415">
        <v>104</v>
      </c>
      <c r="AB5415">
        <v>1.9</v>
      </c>
    </row>
    <row r="5416" spans="20:28">
      <c r="T5416" s="340" t="str">
        <f t="shared" si="201"/>
        <v>2013AllSexMaori19Other</v>
      </c>
      <c r="U5416">
        <v>2013</v>
      </c>
      <c r="V5416" t="s">
        <v>17</v>
      </c>
      <c r="W5416" t="s">
        <v>18</v>
      </c>
      <c r="X5416">
        <v>19</v>
      </c>
      <c r="Y5416" t="s">
        <v>45</v>
      </c>
      <c r="Z5416">
        <v>3</v>
      </c>
      <c r="AA5416">
        <v>104</v>
      </c>
      <c r="AB5416">
        <v>2.9</v>
      </c>
    </row>
    <row r="5417" spans="20:28">
      <c r="T5417" s="340" t="str">
        <f t="shared" si="201"/>
        <v>2013AllSexMaori19Poisoning by gases and vapours</v>
      </c>
      <c r="U5417">
        <v>2013</v>
      </c>
      <c r="V5417" t="s">
        <v>17</v>
      </c>
      <c r="W5417" t="s">
        <v>18</v>
      </c>
      <c r="X5417">
        <v>19</v>
      </c>
      <c r="Y5417" t="s">
        <v>46</v>
      </c>
      <c r="Z5417">
        <v>5</v>
      </c>
      <c r="AA5417">
        <v>104</v>
      </c>
      <c r="AB5417">
        <v>4.8</v>
      </c>
    </row>
    <row r="5418" spans="20:28">
      <c r="T5418" s="340" t="str">
        <f t="shared" si="201"/>
        <v>2013AllSexMaori19Poisoning by solids and liquids</v>
      </c>
      <c r="U5418">
        <v>2013</v>
      </c>
      <c r="V5418" t="s">
        <v>17</v>
      </c>
      <c r="W5418" t="s">
        <v>18</v>
      </c>
      <c r="X5418">
        <v>19</v>
      </c>
      <c r="Y5418" t="s">
        <v>47</v>
      </c>
      <c r="Z5418">
        <v>6</v>
      </c>
      <c r="AA5418">
        <v>104</v>
      </c>
      <c r="AB5418">
        <v>5.8</v>
      </c>
    </row>
    <row r="5419" spans="20:28">
      <c r="T5419" s="340" t="str">
        <f t="shared" si="201"/>
        <v>2013AllSexMaori19Sharp object</v>
      </c>
      <c r="U5419">
        <v>2013</v>
      </c>
      <c r="V5419" t="s">
        <v>17</v>
      </c>
      <c r="W5419" t="s">
        <v>18</v>
      </c>
      <c r="X5419">
        <v>19</v>
      </c>
      <c r="Y5419" t="s">
        <v>48</v>
      </c>
      <c r="Z5419">
        <v>2</v>
      </c>
      <c r="AA5419">
        <v>104</v>
      </c>
      <c r="AB5419">
        <v>1.9</v>
      </c>
    </row>
    <row r="5420" spans="20:28">
      <c r="T5420" s="340" t="str">
        <f t="shared" si="201"/>
        <v>2013AllSexNon-Maori19Firearms and explosives</v>
      </c>
      <c r="U5420">
        <v>2013</v>
      </c>
      <c r="V5420" t="s">
        <v>17</v>
      </c>
      <c r="W5420" t="s">
        <v>19</v>
      </c>
      <c r="X5420">
        <v>19</v>
      </c>
      <c r="Y5420" t="s">
        <v>42</v>
      </c>
      <c r="Z5420">
        <v>46</v>
      </c>
      <c r="AA5420">
        <v>409</v>
      </c>
      <c r="AB5420">
        <v>11.2</v>
      </c>
    </row>
    <row r="5421" spans="20:28">
      <c r="T5421" s="340" t="str">
        <f t="shared" si="201"/>
        <v>2013AllSexNon-Maori19Hanging, strangulation and suffocation</v>
      </c>
      <c r="U5421">
        <v>2013</v>
      </c>
      <c r="V5421" t="s">
        <v>17</v>
      </c>
      <c r="W5421" t="s">
        <v>19</v>
      </c>
      <c r="X5421">
        <v>19</v>
      </c>
      <c r="Y5421" t="s">
        <v>43</v>
      </c>
      <c r="Z5421">
        <v>209</v>
      </c>
      <c r="AA5421">
        <v>409</v>
      </c>
      <c r="AB5421">
        <v>51.1</v>
      </c>
    </row>
    <row r="5422" spans="20:28">
      <c r="T5422" s="340" t="str">
        <f t="shared" si="201"/>
        <v>2013AllSexNon-Maori19Jumping from a high place</v>
      </c>
      <c r="U5422">
        <v>2013</v>
      </c>
      <c r="V5422" t="s">
        <v>17</v>
      </c>
      <c r="W5422" t="s">
        <v>19</v>
      </c>
      <c r="X5422">
        <v>19</v>
      </c>
      <c r="Y5422" t="s">
        <v>44</v>
      </c>
      <c r="Z5422">
        <v>12</v>
      </c>
      <c r="AA5422">
        <v>409</v>
      </c>
      <c r="AB5422">
        <v>2.9</v>
      </c>
    </row>
    <row r="5423" spans="20:28">
      <c r="T5423" s="340" t="str">
        <f t="shared" si="201"/>
        <v>2013AllSexNon-Maori19Other</v>
      </c>
      <c r="U5423">
        <v>2013</v>
      </c>
      <c r="V5423" t="s">
        <v>17</v>
      </c>
      <c r="W5423" t="s">
        <v>19</v>
      </c>
      <c r="X5423">
        <v>19</v>
      </c>
      <c r="Y5423" t="s">
        <v>45</v>
      </c>
      <c r="Z5423">
        <v>16</v>
      </c>
      <c r="AA5423">
        <v>409</v>
      </c>
      <c r="AB5423">
        <v>3.9</v>
      </c>
    </row>
    <row r="5424" spans="20:28">
      <c r="T5424" s="340" t="str">
        <f t="shared" si="201"/>
        <v>2013AllSexNon-Maori19Poisoning by gases and vapours</v>
      </c>
      <c r="U5424">
        <v>2013</v>
      </c>
      <c r="V5424" t="s">
        <v>17</v>
      </c>
      <c r="W5424" t="s">
        <v>19</v>
      </c>
      <c r="X5424">
        <v>19</v>
      </c>
      <c r="Y5424" t="s">
        <v>46</v>
      </c>
      <c r="Z5424">
        <v>40</v>
      </c>
      <c r="AA5424">
        <v>409</v>
      </c>
      <c r="AB5424">
        <v>9.8000000000000007</v>
      </c>
    </row>
    <row r="5425" spans="20:28">
      <c r="T5425" s="340" t="str">
        <f t="shared" si="201"/>
        <v>2013AllSexNon-Maori19Poisoning by solids and liquids</v>
      </c>
      <c r="U5425">
        <v>2013</v>
      </c>
      <c r="V5425" t="s">
        <v>17</v>
      </c>
      <c r="W5425" t="s">
        <v>19</v>
      </c>
      <c r="X5425">
        <v>19</v>
      </c>
      <c r="Y5425" t="s">
        <v>47</v>
      </c>
      <c r="Z5425">
        <v>63</v>
      </c>
      <c r="AA5425">
        <v>409</v>
      </c>
      <c r="AB5425">
        <v>15.4</v>
      </c>
    </row>
    <row r="5426" spans="20:28">
      <c r="T5426" s="340" t="str">
        <f t="shared" si="201"/>
        <v>2013AllSexNon-Maori19Sharp object</v>
      </c>
      <c r="U5426">
        <v>2013</v>
      </c>
      <c r="V5426" t="s">
        <v>17</v>
      </c>
      <c r="W5426" t="s">
        <v>19</v>
      </c>
      <c r="X5426">
        <v>19</v>
      </c>
      <c r="Y5426" t="s">
        <v>48</v>
      </c>
      <c r="Z5426">
        <v>8</v>
      </c>
      <c r="AA5426">
        <v>409</v>
      </c>
      <c r="AB5426">
        <v>2</v>
      </c>
    </row>
    <row r="5427" spans="20:28">
      <c r="T5427" s="340" t="str">
        <f t="shared" si="201"/>
        <v>2013AllSexNon-Maori19Submersion (drowning)</v>
      </c>
      <c r="U5427">
        <v>2013</v>
      </c>
      <c r="V5427" t="s">
        <v>17</v>
      </c>
      <c r="W5427" t="s">
        <v>19</v>
      </c>
      <c r="X5427">
        <v>19</v>
      </c>
      <c r="Y5427" t="s">
        <v>49</v>
      </c>
      <c r="Z5427">
        <v>15</v>
      </c>
      <c r="AA5427">
        <v>409</v>
      </c>
      <c r="AB5427">
        <v>3.7</v>
      </c>
    </row>
    <row r="5428" spans="20:28">
      <c r="T5428" s="340" t="str">
        <f t="shared" si="201"/>
        <v>2013FemaleAllEth19Firearms and explosives</v>
      </c>
      <c r="U5428">
        <v>2013</v>
      </c>
      <c r="V5428" t="s">
        <v>8</v>
      </c>
      <c r="W5428" t="s">
        <v>27</v>
      </c>
      <c r="X5428">
        <v>19</v>
      </c>
      <c r="Y5428" t="s">
        <v>42</v>
      </c>
      <c r="Z5428">
        <v>2</v>
      </c>
      <c r="AA5428">
        <v>148</v>
      </c>
      <c r="AB5428">
        <v>1.4</v>
      </c>
    </row>
    <row r="5429" spans="20:28">
      <c r="T5429" s="340" t="str">
        <f t="shared" si="201"/>
        <v>2013FemaleAllEth19Hanging, strangulation and suffocation</v>
      </c>
      <c r="U5429">
        <v>2013</v>
      </c>
      <c r="V5429" t="s">
        <v>8</v>
      </c>
      <c r="W5429" t="s">
        <v>27</v>
      </c>
      <c r="X5429">
        <v>19</v>
      </c>
      <c r="Y5429" t="s">
        <v>43</v>
      </c>
      <c r="Z5429">
        <v>82</v>
      </c>
      <c r="AA5429">
        <v>148</v>
      </c>
      <c r="AB5429">
        <v>55.4</v>
      </c>
    </row>
    <row r="5430" spans="20:28">
      <c r="T5430" s="340" t="str">
        <f t="shared" si="201"/>
        <v>2013FemaleAllEth19Jumping from a high place</v>
      </c>
      <c r="U5430">
        <v>2013</v>
      </c>
      <c r="V5430" t="s">
        <v>8</v>
      </c>
      <c r="W5430" t="s">
        <v>27</v>
      </c>
      <c r="X5430">
        <v>19</v>
      </c>
      <c r="Y5430" t="s">
        <v>44</v>
      </c>
      <c r="Z5430">
        <v>5</v>
      </c>
      <c r="AA5430">
        <v>148</v>
      </c>
      <c r="AB5430">
        <v>3.4</v>
      </c>
    </row>
    <row r="5431" spans="20:28">
      <c r="T5431" s="340" t="str">
        <f t="shared" si="201"/>
        <v>2013FemaleAllEth19Other</v>
      </c>
      <c r="U5431">
        <v>2013</v>
      </c>
      <c r="V5431" t="s">
        <v>8</v>
      </c>
      <c r="W5431" t="s">
        <v>27</v>
      </c>
      <c r="X5431">
        <v>19</v>
      </c>
      <c r="Y5431" t="s">
        <v>45</v>
      </c>
      <c r="Z5431">
        <v>6</v>
      </c>
      <c r="AA5431">
        <v>148</v>
      </c>
      <c r="AB5431">
        <v>4.0999999999999996</v>
      </c>
    </row>
    <row r="5432" spans="20:28">
      <c r="T5432" s="340" t="str">
        <f t="shared" si="201"/>
        <v>2013FemaleAllEth19Poisoning by gases and vapours</v>
      </c>
      <c r="U5432">
        <v>2013</v>
      </c>
      <c r="V5432" t="s">
        <v>8</v>
      </c>
      <c r="W5432" t="s">
        <v>27</v>
      </c>
      <c r="X5432">
        <v>19</v>
      </c>
      <c r="Y5432" t="s">
        <v>46</v>
      </c>
      <c r="Z5432">
        <v>6</v>
      </c>
      <c r="AA5432">
        <v>148</v>
      </c>
      <c r="AB5432">
        <v>4.0999999999999996</v>
      </c>
    </row>
    <row r="5433" spans="20:28">
      <c r="T5433" s="340" t="str">
        <f t="shared" si="201"/>
        <v>2013FemaleAllEth19Poisoning by solids and liquids</v>
      </c>
      <c r="U5433">
        <v>2013</v>
      </c>
      <c r="V5433" t="s">
        <v>8</v>
      </c>
      <c r="W5433" t="s">
        <v>27</v>
      </c>
      <c r="X5433">
        <v>19</v>
      </c>
      <c r="Y5433" t="s">
        <v>47</v>
      </c>
      <c r="Z5433">
        <v>38</v>
      </c>
      <c r="AA5433">
        <v>148</v>
      </c>
      <c r="AB5433">
        <v>25.7</v>
      </c>
    </row>
    <row r="5434" spans="20:28">
      <c r="T5434" s="340" t="str">
        <f t="shared" si="201"/>
        <v>2013FemaleAllEth19Sharp object</v>
      </c>
      <c r="U5434">
        <v>2013</v>
      </c>
      <c r="V5434" t="s">
        <v>8</v>
      </c>
      <c r="W5434" t="s">
        <v>27</v>
      </c>
      <c r="X5434">
        <v>19</v>
      </c>
      <c r="Y5434" t="s">
        <v>48</v>
      </c>
      <c r="Z5434">
        <v>1</v>
      </c>
      <c r="AA5434">
        <v>148</v>
      </c>
      <c r="AB5434">
        <v>0.7</v>
      </c>
    </row>
    <row r="5435" spans="20:28">
      <c r="T5435" s="340" t="str">
        <f t="shared" si="201"/>
        <v>2013FemaleAllEth19Submersion (drowning)</v>
      </c>
      <c r="U5435">
        <v>2013</v>
      </c>
      <c r="V5435" t="s">
        <v>8</v>
      </c>
      <c r="W5435" t="s">
        <v>27</v>
      </c>
      <c r="X5435">
        <v>19</v>
      </c>
      <c r="Y5435" t="s">
        <v>49</v>
      </c>
      <c r="Z5435">
        <v>8</v>
      </c>
      <c r="AA5435">
        <v>148</v>
      </c>
      <c r="AB5435">
        <v>5.4</v>
      </c>
    </row>
    <row r="5436" spans="20:28">
      <c r="T5436" s="340" t="str">
        <f t="shared" si="201"/>
        <v>2013FemaleMaori19Firearms and explosives</v>
      </c>
      <c r="U5436">
        <v>2013</v>
      </c>
      <c r="V5436" t="s">
        <v>8</v>
      </c>
      <c r="W5436" t="s">
        <v>18</v>
      </c>
      <c r="X5436">
        <v>19</v>
      </c>
      <c r="Y5436" t="s">
        <v>42</v>
      </c>
      <c r="Z5436">
        <v>1</v>
      </c>
      <c r="AA5436">
        <v>39</v>
      </c>
      <c r="AB5436">
        <v>2.6</v>
      </c>
    </row>
    <row r="5437" spans="20:28">
      <c r="T5437" s="340" t="str">
        <f t="shared" si="201"/>
        <v>2013FemaleMaori19Hanging, strangulation and suffocation</v>
      </c>
      <c r="U5437">
        <v>2013</v>
      </c>
      <c r="V5437" t="s">
        <v>8</v>
      </c>
      <c r="W5437" t="s">
        <v>18</v>
      </c>
      <c r="X5437">
        <v>19</v>
      </c>
      <c r="Y5437" t="s">
        <v>43</v>
      </c>
      <c r="Z5437">
        <v>32</v>
      </c>
      <c r="AA5437">
        <v>39</v>
      </c>
      <c r="AB5437">
        <v>82.1</v>
      </c>
    </row>
    <row r="5438" spans="20:28">
      <c r="T5438" s="340" t="str">
        <f t="shared" si="201"/>
        <v>2013FemaleMaori19Poisoning by gases and vapours</v>
      </c>
      <c r="U5438">
        <v>2013</v>
      </c>
      <c r="V5438" t="s">
        <v>8</v>
      </c>
      <c r="W5438" t="s">
        <v>18</v>
      </c>
      <c r="X5438">
        <v>19</v>
      </c>
      <c r="Y5438" t="s">
        <v>46</v>
      </c>
      <c r="Z5438">
        <v>1</v>
      </c>
      <c r="AA5438">
        <v>39</v>
      </c>
      <c r="AB5438">
        <v>2.6</v>
      </c>
    </row>
    <row r="5439" spans="20:28">
      <c r="T5439" s="340" t="str">
        <f t="shared" si="201"/>
        <v>2013FemaleMaori19Poisoning by solids and liquids</v>
      </c>
      <c r="U5439">
        <v>2013</v>
      </c>
      <c r="V5439" t="s">
        <v>8</v>
      </c>
      <c r="W5439" t="s">
        <v>18</v>
      </c>
      <c r="X5439">
        <v>19</v>
      </c>
      <c r="Y5439" t="s">
        <v>47</v>
      </c>
      <c r="Z5439">
        <v>5</v>
      </c>
      <c r="AA5439">
        <v>39</v>
      </c>
      <c r="AB5439">
        <v>12.8</v>
      </c>
    </row>
    <row r="5440" spans="20:28">
      <c r="T5440" s="340" t="str">
        <f t="shared" si="201"/>
        <v>2013FemaleNon-Maori19Firearms and explosives</v>
      </c>
      <c r="U5440">
        <v>2013</v>
      </c>
      <c r="V5440" t="s">
        <v>8</v>
      </c>
      <c r="W5440" t="s">
        <v>19</v>
      </c>
      <c r="X5440">
        <v>19</v>
      </c>
      <c r="Y5440" t="s">
        <v>42</v>
      </c>
      <c r="Z5440">
        <v>1</v>
      </c>
      <c r="AA5440">
        <v>109</v>
      </c>
      <c r="AB5440">
        <v>0.9</v>
      </c>
    </row>
    <row r="5441" spans="20:28">
      <c r="T5441" s="340" t="str">
        <f t="shared" si="201"/>
        <v>2013FemaleNon-Maori19Hanging, strangulation and suffocation</v>
      </c>
      <c r="U5441">
        <v>2013</v>
      </c>
      <c r="V5441" t="s">
        <v>8</v>
      </c>
      <c r="W5441" t="s">
        <v>19</v>
      </c>
      <c r="X5441">
        <v>19</v>
      </c>
      <c r="Y5441" t="s">
        <v>43</v>
      </c>
      <c r="Z5441">
        <v>50</v>
      </c>
      <c r="AA5441">
        <v>109</v>
      </c>
      <c r="AB5441">
        <v>45.9</v>
      </c>
    </row>
    <row r="5442" spans="20:28">
      <c r="T5442" s="340" t="str">
        <f t="shared" si="201"/>
        <v>2013FemaleNon-Maori19Jumping from a high place</v>
      </c>
      <c r="U5442">
        <v>2013</v>
      </c>
      <c r="V5442" t="s">
        <v>8</v>
      </c>
      <c r="W5442" t="s">
        <v>19</v>
      </c>
      <c r="X5442">
        <v>19</v>
      </c>
      <c r="Y5442" t="s">
        <v>44</v>
      </c>
      <c r="Z5442">
        <v>5</v>
      </c>
      <c r="AA5442">
        <v>109</v>
      </c>
      <c r="AB5442">
        <v>4.5999999999999996</v>
      </c>
    </row>
    <row r="5443" spans="20:28">
      <c r="T5443" s="340" t="str">
        <f t="shared" si="201"/>
        <v>2013FemaleNon-Maori19Other</v>
      </c>
      <c r="U5443">
        <v>2013</v>
      </c>
      <c r="V5443" t="s">
        <v>8</v>
      </c>
      <c r="W5443" t="s">
        <v>19</v>
      </c>
      <c r="X5443">
        <v>19</v>
      </c>
      <c r="Y5443" t="s">
        <v>45</v>
      </c>
      <c r="Z5443">
        <v>6</v>
      </c>
      <c r="AA5443">
        <v>109</v>
      </c>
      <c r="AB5443">
        <v>5.5</v>
      </c>
    </row>
    <row r="5444" spans="20:28">
      <c r="T5444" s="340" t="str">
        <f t="shared" si="201"/>
        <v>2013FemaleNon-Maori19Poisoning by gases and vapours</v>
      </c>
      <c r="U5444">
        <v>2013</v>
      </c>
      <c r="V5444" t="s">
        <v>8</v>
      </c>
      <c r="W5444" t="s">
        <v>19</v>
      </c>
      <c r="X5444">
        <v>19</v>
      </c>
      <c r="Y5444" t="s">
        <v>46</v>
      </c>
      <c r="Z5444">
        <v>5</v>
      </c>
      <c r="AA5444">
        <v>109</v>
      </c>
      <c r="AB5444">
        <v>4.5999999999999996</v>
      </c>
    </row>
    <row r="5445" spans="20:28">
      <c r="T5445" s="340" t="str">
        <f t="shared" ref="T5445:T5508" si="202">U5445&amp;V5445&amp;W5445&amp;X5445&amp;Y5445</f>
        <v>2013FemaleNon-Maori19Poisoning by solids and liquids</v>
      </c>
      <c r="U5445">
        <v>2013</v>
      </c>
      <c r="V5445" t="s">
        <v>8</v>
      </c>
      <c r="W5445" t="s">
        <v>19</v>
      </c>
      <c r="X5445">
        <v>19</v>
      </c>
      <c r="Y5445" t="s">
        <v>47</v>
      </c>
      <c r="Z5445">
        <v>33</v>
      </c>
      <c r="AA5445">
        <v>109</v>
      </c>
      <c r="AB5445">
        <v>30.3</v>
      </c>
    </row>
    <row r="5446" spans="20:28">
      <c r="T5446" s="340" t="str">
        <f t="shared" si="202"/>
        <v>2013FemaleNon-Maori19Sharp object</v>
      </c>
      <c r="U5446">
        <v>2013</v>
      </c>
      <c r="V5446" t="s">
        <v>8</v>
      </c>
      <c r="W5446" t="s">
        <v>19</v>
      </c>
      <c r="X5446">
        <v>19</v>
      </c>
      <c r="Y5446" t="s">
        <v>48</v>
      </c>
      <c r="Z5446">
        <v>1</v>
      </c>
      <c r="AA5446">
        <v>109</v>
      </c>
      <c r="AB5446">
        <v>0.9</v>
      </c>
    </row>
    <row r="5447" spans="20:28">
      <c r="T5447" s="340" t="str">
        <f t="shared" si="202"/>
        <v>2013FemaleNon-Maori19Submersion (drowning)</v>
      </c>
      <c r="U5447">
        <v>2013</v>
      </c>
      <c r="V5447" t="s">
        <v>8</v>
      </c>
      <c r="W5447" t="s">
        <v>19</v>
      </c>
      <c r="X5447">
        <v>19</v>
      </c>
      <c r="Y5447" t="s">
        <v>49</v>
      </c>
      <c r="Z5447">
        <v>8</v>
      </c>
      <c r="AA5447">
        <v>109</v>
      </c>
      <c r="AB5447">
        <v>7.3</v>
      </c>
    </row>
    <row r="5448" spans="20:28">
      <c r="T5448" s="340" t="str">
        <f t="shared" si="202"/>
        <v>2013MaleAllEth19Firearms and explosives</v>
      </c>
      <c r="U5448">
        <v>2013</v>
      </c>
      <c r="V5448" t="s">
        <v>20</v>
      </c>
      <c r="W5448" t="s">
        <v>27</v>
      </c>
      <c r="X5448">
        <v>19</v>
      </c>
      <c r="Y5448" t="s">
        <v>42</v>
      </c>
      <c r="Z5448">
        <v>46</v>
      </c>
      <c r="AA5448">
        <v>365</v>
      </c>
      <c r="AB5448">
        <v>12.6</v>
      </c>
    </row>
    <row r="5449" spans="20:28">
      <c r="T5449" s="340" t="str">
        <f t="shared" si="202"/>
        <v>2013MaleAllEth19Hanging, strangulation and suffocation</v>
      </c>
      <c r="U5449">
        <v>2013</v>
      </c>
      <c r="V5449" t="s">
        <v>20</v>
      </c>
      <c r="W5449" t="s">
        <v>27</v>
      </c>
      <c r="X5449">
        <v>19</v>
      </c>
      <c r="Y5449" t="s">
        <v>43</v>
      </c>
      <c r="Z5449">
        <v>211</v>
      </c>
      <c r="AA5449">
        <v>365</v>
      </c>
      <c r="AB5449">
        <v>57.8</v>
      </c>
    </row>
    <row r="5450" spans="20:28">
      <c r="T5450" s="340" t="str">
        <f t="shared" si="202"/>
        <v>2013MaleAllEth19Jumping from a high place</v>
      </c>
      <c r="U5450">
        <v>2013</v>
      </c>
      <c r="V5450" t="s">
        <v>20</v>
      </c>
      <c r="W5450" t="s">
        <v>27</v>
      </c>
      <c r="X5450">
        <v>19</v>
      </c>
      <c r="Y5450" t="s">
        <v>44</v>
      </c>
      <c r="Z5450">
        <v>9</v>
      </c>
      <c r="AA5450">
        <v>365</v>
      </c>
      <c r="AB5450">
        <v>2.5</v>
      </c>
    </row>
    <row r="5451" spans="20:28">
      <c r="T5451" s="340" t="str">
        <f t="shared" si="202"/>
        <v>2013MaleAllEth19Other</v>
      </c>
      <c r="U5451">
        <v>2013</v>
      </c>
      <c r="V5451" t="s">
        <v>20</v>
      </c>
      <c r="W5451" t="s">
        <v>27</v>
      </c>
      <c r="X5451">
        <v>19</v>
      </c>
      <c r="Y5451" t="s">
        <v>45</v>
      </c>
      <c r="Z5451">
        <v>13</v>
      </c>
      <c r="AA5451">
        <v>365</v>
      </c>
      <c r="AB5451">
        <v>3.6</v>
      </c>
    </row>
    <row r="5452" spans="20:28">
      <c r="T5452" s="340" t="str">
        <f t="shared" si="202"/>
        <v>2013MaleAllEth19Poisoning by gases and vapours</v>
      </c>
      <c r="U5452">
        <v>2013</v>
      </c>
      <c r="V5452" t="s">
        <v>20</v>
      </c>
      <c r="W5452" t="s">
        <v>27</v>
      </c>
      <c r="X5452">
        <v>19</v>
      </c>
      <c r="Y5452" t="s">
        <v>46</v>
      </c>
      <c r="Z5452">
        <v>39</v>
      </c>
      <c r="AA5452">
        <v>365</v>
      </c>
      <c r="AB5452">
        <v>10.7</v>
      </c>
    </row>
    <row r="5453" spans="20:28">
      <c r="T5453" s="340" t="str">
        <f t="shared" si="202"/>
        <v>2013MaleAllEth19Poisoning by solids and liquids</v>
      </c>
      <c r="U5453">
        <v>2013</v>
      </c>
      <c r="V5453" t="s">
        <v>20</v>
      </c>
      <c r="W5453" t="s">
        <v>27</v>
      </c>
      <c r="X5453">
        <v>19</v>
      </c>
      <c r="Y5453" t="s">
        <v>47</v>
      </c>
      <c r="Z5453">
        <v>31</v>
      </c>
      <c r="AA5453">
        <v>365</v>
      </c>
      <c r="AB5453">
        <v>8.5</v>
      </c>
    </row>
    <row r="5454" spans="20:28">
      <c r="T5454" s="340" t="str">
        <f t="shared" si="202"/>
        <v>2013MaleAllEth19Sharp object</v>
      </c>
      <c r="U5454">
        <v>2013</v>
      </c>
      <c r="V5454" t="s">
        <v>20</v>
      </c>
      <c r="W5454" t="s">
        <v>27</v>
      </c>
      <c r="X5454">
        <v>19</v>
      </c>
      <c r="Y5454" t="s">
        <v>48</v>
      </c>
      <c r="Z5454">
        <v>9</v>
      </c>
      <c r="AA5454">
        <v>365</v>
      </c>
      <c r="AB5454">
        <v>2.5</v>
      </c>
    </row>
    <row r="5455" spans="20:28">
      <c r="T5455" s="340" t="str">
        <f t="shared" si="202"/>
        <v>2013MaleAllEth19Submersion (drowning)</v>
      </c>
      <c r="U5455">
        <v>2013</v>
      </c>
      <c r="V5455" t="s">
        <v>20</v>
      </c>
      <c r="W5455" t="s">
        <v>27</v>
      </c>
      <c r="X5455">
        <v>19</v>
      </c>
      <c r="Y5455" t="s">
        <v>49</v>
      </c>
      <c r="Z5455">
        <v>7</v>
      </c>
      <c r="AA5455">
        <v>365</v>
      </c>
      <c r="AB5455">
        <v>1.9</v>
      </c>
    </row>
    <row r="5456" spans="20:28">
      <c r="T5456" s="340" t="str">
        <f t="shared" si="202"/>
        <v>2013MaleMaori19Firearms and explosives</v>
      </c>
      <c r="U5456">
        <v>2013</v>
      </c>
      <c r="V5456" t="s">
        <v>20</v>
      </c>
      <c r="W5456" t="s">
        <v>18</v>
      </c>
      <c r="X5456">
        <v>19</v>
      </c>
      <c r="Y5456" t="s">
        <v>42</v>
      </c>
      <c r="Z5456">
        <v>1</v>
      </c>
      <c r="AA5456">
        <v>65</v>
      </c>
      <c r="AB5456">
        <v>1.5</v>
      </c>
    </row>
    <row r="5457" spans="20:28">
      <c r="T5457" s="340" t="str">
        <f t="shared" si="202"/>
        <v>2013MaleMaori19Hanging, strangulation and suffocation</v>
      </c>
      <c r="U5457">
        <v>2013</v>
      </c>
      <c r="V5457" t="s">
        <v>20</v>
      </c>
      <c r="W5457" t="s">
        <v>18</v>
      </c>
      <c r="X5457">
        <v>19</v>
      </c>
      <c r="Y5457" t="s">
        <v>43</v>
      </c>
      <c r="Z5457">
        <v>52</v>
      </c>
      <c r="AA5457">
        <v>65</v>
      </c>
      <c r="AB5457">
        <v>80</v>
      </c>
    </row>
    <row r="5458" spans="20:28">
      <c r="T5458" s="340" t="str">
        <f t="shared" si="202"/>
        <v>2013MaleMaori19Jumping from a high place</v>
      </c>
      <c r="U5458">
        <v>2013</v>
      </c>
      <c r="V5458" t="s">
        <v>20</v>
      </c>
      <c r="W5458" t="s">
        <v>18</v>
      </c>
      <c r="X5458">
        <v>19</v>
      </c>
      <c r="Y5458" t="s">
        <v>44</v>
      </c>
      <c r="Z5458">
        <v>2</v>
      </c>
      <c r="AA5458">
        <v>65</v>
      </c>
      <c r="AB5458">
        <v>3.1</v>
      </c>
    </row>
    <row r="5459" spans="20:28">
      <c r="T5459" s="340" t="str">
        <f t="shared" si="202"/>
        <v>2013MaleMaori19Other</v>
      </c>
      <c r="U5459">
        <v>2013</v>
      </c>
      <c r="V5459" t="s">
        <v>20</v>
      </c>
      <c r="W5459" t="s">
        <v>18</v>
      </c>
      <c r="X5459">
        <v>19</v>
      </c>
      <c r="Y5459" t="s">
        <v>45</v>
      </c>
      <c r="Z5459">
        <v>3</v>
      </c>
      <c r="AA5459">
        <v>65</v>
      </c>
      <c r="AB5459">
        <v>4.5999999999999996</v>
      </c>
    </row>
    <row r="5460" spans="20:28">
      <c r="T5460" s="340" t="str">
        <f t="shared" si="202"/>
        <v>2013MaleMaori19Poisoning by gases and vapours</v>
      </c>
      <c r="U5460">
        <v>2013</v>
      </c>
      <c r="V5460" t="s">
        <v>20</v>
      </c>
      <c r="W5460" t="s">
        <v>18</v>
      </c>
      <c r="X5460">
        <v>19</v>
      </c>
      <c r="Y5460" t="s">
        <v>46</v>
      </c>
      <c r="Z5460">
        <v>4</v>
      </c>
      <c r="AA5460">
        <v>65</v>
      </c>
      <c r="AB5460">
        <v>6.2</v>
      </c>
    </row>
    <row r="5461" spans="20:28">
      <c r="T5461" s="340" t="str">
        <f t="shared" si="202"/>
        <v>2013MaleMaori19Poisoning by solids and liquids</v>
      </c>
      <c r="U5461">
        <v>2013</v>
      </c>
      <c r="V5461" t="s">
        <v>20</v>
      </c>
      <c r="W5461" t="s">
        <v>18</v>
      </c>
      <c r="X5461">
        <v>19</v>
      </c>
      <c r="Y5461" t="s">
        <v>47</v>
      </c>
      <c r="Z5461">
        <v>1</v>
      </c>
      <c r="AA5461">
        <v>65</v>
      </c>
      <c r="AB5461">
        <v>1.5</v>
      </c>
    </row>
    <row r="5462" spans="20:28">
      <c r="T5462" s="340" t="str">
        <f t="shared" si="202"/>
        <v>2013MaleMaori19Sharp object</v>
      </c>
      <c r="U5462">
        <v>2013</v>
      </c>
      <c r="V5462" t="s">
        <v>20</v>
      </c>
      <c r="W5462" t="s">
        <v>18</v>
      </c>
      <c r="X5462">
        <v>19</v>
      </c>
      <c r="Y5462" t="s">
        <v>48</v>
      </c>
      <c r="Z5462">
        <v>2</v>
      </c>
      <c r="AA5462">
        <v>65</v>
      </c>
      <c r="AB5462">
        <v>3.1</v>
      </c>
    </row>
    <row r="5463" spans="20:28">
      <c r="T5463" s="340" t="str">
        <f t="shared" si="202"/>
        <v>2013MaleNon-Maori19Firearms and explosives</v>
      </c>
      <c r="U5463">
        <v>2013</v>
      </c>
      <c r="V5463" t="s">
        <v>20</v>
      </c>
      <c r="W5463" t="s">
        <v>19</v>
      </c>
      <c r="X5463">
        <v>19</v>
      </c>
      <c r="Y5463" t="s">
        <v>42</v>
      </c>
      <c r="Z5463">
        <v>45</v>
      </c>
      <c r="AA5463">
        <v>300</v>
      </c>
      <c r="AB5463">
        <v>15</v>
      </c>
    </row>
    <row r="5464" spans="20:28">
      <c r="T5464" s="340" t="str">
        <f t="shared" si="202"/>
        <v>2013MaleNon-Maori19Hanging, strangulation and suffocation</v>
      </c>
      <c r="U5464">
        <v>2013</v>
      </c>
      <c r="V5464" t="s">
        <v>20</v>
      </c>
      <c r="W5464" t="s">
        <v>19</v>
      </c>
      <c r="X5464">
        <v>19</v>
      </c>
      <c r="Y5464" t="s">
        <v>43</v>
      </c>
      <c r="Z5464">
        <v>159</v>
      </c>
      <c r="AA5464">
        <v>300</v>
      </c>
      <c r="AB5464">
        <v>53</v>
      </c>
    </row>
    <row r="5465" spans="20:28">
      <c r="T5465" s="340" t="str">
        <f t="shared" si="202"/>
        <v>2013MaleNon-Maori19Jumping from a high place</v>
      </c>
      <c r="U5465">
        <v>2013</v>
      </c>
      <c r="V5465" t="s">
        <v>20</v>
      </c>
      <c r="W5465" t="s">
        <v>19</v>
      </c>
      <c r="X5465">
        <v>19</v>
      </c>
      <c r="Y5465" t="s">
        <v>44</v>
      </c>
      <c r="Z5465">
        <v>7</v>
      </c>
      <c r="AA5465">
        <v>300</v>
      </c>
      <c r="AB5465">
        <v>2.2999999999999998</v>
      </c>
    </row>
    <row r="5466" spans="20:28">
      <c r="T5466" s="340" t="str">
        <f t="shared" si="202"/>
        <v>2013MaleNon-Maori19Other</v>
      </c>
      <c r="U5466">
        <v>2013</v>
      </c>
      <c r="V5466" t="s">
        <v>20</v>
      </c>
      <c r="W5466" t="s">
        <v>19</v>
      </c>
      <c r="X5466">
        <v>19</v>
      </c>
      <c r="Y5466" t="s">
        <v>45</v>
      </c>
      <c r="Z5466">
        <v>10</v>
      </c>
      <c r="AA5466">
        <v>300</v>
      </c>
      <c r="AB5466">
        <v>3.3</v>
      </c>
    </row>
    <row r="5467" spans="20:28">
      <c r="T5467" s="340" t="str">
        <f t="shared" si="202"/>
        <v>2013MaleNon-Maori19Poisoning by gases and vapours</v>
      </c>
      <c r="U5467">
        <v>2013</v>
      </c>
      <c r="V5467" t="s">
        <v>20</v>
      </c>
      <c r="W5467" t="s">
        <v>19</v>
      </c>
      <c r="X5467">
        <v>19</v>
      </c>
      <c r="Y5467" t="s">
        <v>46</v>
      </c>
      <c r="Z5467">
        <v>35</v>
      </c>
      <c r="AA5467">
        <v>300</v>
      </c>
      <c r="AB5467">
        <v>11.7</v>
      </c>
    </row>
    <row r="5468" spans="20:28">
      <c r="T5468" s="340" t="str">
        <f t="shared" si="202"/>
        <v>2013MaleNon-Maori19Poisoning by solids and liquids</v>
      </c>
      <c r="U5468">
        <v>2013</v>
      </c>
      <c r="V5468" t="s">
        <v>20</v>
      </c>
      <c r="W5468" t="s">
        <v>19</v>
      </c>
      <c r="X5468">
        <v>19</v>
      </c>
      <c r="Y5468" t="s">
        <v>47</v>
      </c>
      <c r="Z5468">
        <v>30</v>
      </c>
      <c r="AA5468">
        <v>300</v>
      </c>
      <c r="AB5468">
        <v>10</v>
      </c>
    </row>
    <row r="5469" spans="20:28">
      <c r="T5469" s="340" t="str">
        <f t="shared" si="202"/>
        <v>2013MaleNon-Maori19Sharp object</v>
      </c>
      <c r="U5469">
        <v>2013</v>
      </c>
      <c r="V5469" t="s">
        <v>20</v>
      </c>
      <c r="W5469" t="s">
        <v>19</v>
      </c>
      <c r="X5469">
        <v>19</v>
      </c>
      <c r="Y5469" t="s">
        <v>48</v>
      </c>
      <c r="Z5469">
        <v>7</v>
      </c>
      <c r="AA5469">
        <v>300</v>
      </c>
      <c r="AB5469">
        <v>2.2999999999999998</v>
      </c>
    </row>
    <row r="5470" spans="20:28">
      <c r="T5470" s="340" t="str">
        <f t="shared" si="202"/>
        <v>2013MaleNon-Maori19Submersion (drowning)</v>
      </c>
      <c r="U5470">
        <v>2013</v>
      </c>
      <c r="V5470" t="s">
        <v>20</v>
      </c>
      <c r="W5470" t="s">
        <v>19</v>
      </c>
      <c r="X5470">
        <v>19</v>
      </c>
      <c r="Y5470" t="s">
        <v>49</v>
      </c>
      <c r="Z5470">
        <v>7</v>
      </c>
      <c r="AA5470">
        <v>300</v>
      </c>
      <c r="AB5470">
        <v>2.2999999999999998</v>
      </c>
    </row>
    <row r="5471" spans="20:28">
      <c r="T5471" s="340" t="str">
        <f t="shared" si="202"/>
        <v>2014AllSexAllEth19Firearms and explosives</v>
      </c>
      <c r="U5471">
        <v>2014</v>
      </c>
      <c r="V5471" t="s">
        <v>17</v>
      </c>
      <c r="W5471" t="s">
        <v>27</v>
      </c>
      <c r="X5471">
        <v>19</v>
      </c>
      <c r="Y5471" t="s">
        <v>42</v>
      </c>
      <c r="Z5471">
        <v>41</v>
      </c>
      <c r="AA5471">
        <v>510</v>
      </c>
      <c r="AB5471">
        <v>8</v>
      </c>
    </row>
    <row r="5472" spans="20:28">
      <c r="T5472" s="340" t="str">
        <f t="shared" si="202"/>
        <v>2014AllSexAllEth19Hanging, strangulation and suffocation</v>
      </c>
      <c r="U5472">
        <v>2014</v>
      </c>
      <c r="V5472" t="s">
        <v>17</v>
      </c>
      <c r="W5472" t="s">
        <v>27</v>
      </c>
      <c r="X5472">
        <v>19</v>
      </c>
      <c r="Y5472" t="s">
        <v>43</v>
      </c>
      <c r="Z5472">
        <v>311</v>
      </c>
      <c r="AA5472">
        <v>510</v>
      </c>
      <c r="AB5472">
        <v>61</v>
      </c>
    </row>
    <row r="5473" spans="20:28">
      <c r="T5473" s="340" t="str">
        <f t="shared" si="202"/>
        <v>2014AllSexAllEth19Jumping from a high place</v>
      </c>
      <c r="U5473">
        <v>2014</v>
      </c>
      <c r="V5473" t="s">
        <v>17</v>
      </c>
      <c r="W5473" t="s">
        <v>27</v>
      </c>
      <c r="X5473">
        <v>19</v>
      </c>
      <c r="Y5473" t="s">
        <v>44</v>
      </c>
      <c r="Z5473">
        <v>15</v>
      </c>
      <c r="AA5473">
        <v>510</v>
      </c>
      <c r="AB5473">
        <v>2.9</v>
      </c>
    </row>
    <row r="5474" spans="20:28">
      <c r="T5474" s="340" t="str">
        <f t="shared" si="202"/>
        <v>2014AllSexAllEth19Other</v>
      </c>
      <c r="U5474">
        <v>2014</v>
      </c>
      <c r="V5474" t="s">
        <v>17</v>
      </c>
      <c r="W5474" t="s">
        <v>27</v>
      </c>
      <c r="X5474">
        <v>19</v>
      </c>
      <c r="Y5474" t="s">
        <v>45</v>
      </c>
      <c r="Z5474">
        <v>15</v>
      </c>
      <c r="AA5474">
        <v>510</v>
      </c>
      <c r="AB5474">
        <v>2.9</v>
      </c>
    </row>
    <row r="5475" spans="20:28">
      <c r="T5475" s="340" t="str">
        <f t="shared" si="202"/>
        <v>2014AllSexAllEth19Poisoning by gases and vapours</v>
      </c>
      <c r="U5475">
        <v>2014</v>
      </c>
      <c r="V5475" t="s">
        <v>17</v>
      </c>
      <c r="W5475" t="s">
        <v>27</v>
      </c>
      <c r="X5475">
        <v>19</v>
      </c>
      <c r="Y5475" t="s">
        <v>46</v>
      </c>
      <c r="Z5475">
        <v>41</v>
      </c>
      <c r="AA5475">
        <v>510</v>
      </c>
      <c r="AB5475">
        <v>8</v>
      </c>
    </row>
    <row r="5476" spans="20:28">
      <c r="T5476" s="340" t="str">
        <f t="shared" si="202"/>
        <v>2014AllSexAllEth19Poisoning by solids and liquids</v>
      </c>
      <c r="U5476">
        <v>2014</v>
      </c>
      <c r="V5476" t="s">
        <v>17</v>
      </c>
      <c r="W5476" t="s">
        <v>27</v>
      </c>
      <c r="X5476">
        <v>19</v>
      </c>
      <c r="Y5476" t="s">
        <v>47</v>
      </c>
      <c r="Z5476">
        <v>67</v>
      </c>
      <c r="AA5476">
        <v>510</v>
      </c>
      <c r="AB5476">
        <v>13.1</v>
      </c>
    </row>
    <row r="5477" spans="20:28">
      <c r="T5477" s="340" t="str">
        <f t="shared" si="202"/>
        <v>2014AllSexAllEth19Sharp object</v>
      </c>
      <c r="U5477">
        <v>2014</v>
      </c>
      <c r="V5477" t="s">
        <v>17</v>
      </c>
      <c r="W5477" t="s">
        <v>27</v>
      </c>
      <c r="X5477">
        <v>19</v>
      </c>
      <c r="Y5477" t="s">
        <v>48</v>
      </c>
      <c r="Z5477">
        <v>10</v>
      </c>
      <c r="AA5477">
        <v>510</v>
      </c>
      <c r="AB5477">
        <v>2</v>
      </c>
    </row>
    <row r="5478" spans="20:28">
      <c r="T5478" s="340" t="str">
        <f t="shared" si="202"/>
        <v>2014AllSexAllEth19Submersion (drowning)</v>
      </c>
      <c r="U5478">
        <v>2014</v>
      </c>
      <c r="V5478" t="s">
        <v>17</v>
      </c>
      <c r="W5478" t="s">
        <v>27</v>
      </c>
      <c r="X5478">
        <v>19</v>
      </c>
      <c r="Y5478" t="s">
        <v>49</v>
      </c>
      <c r="Z5478">
        <v>10</v>
      </c>
      <c r="AA5478">
        <v>510</v>
      </c>
      <c r="AB5478">
        <v>2</v>
      </c>
    </row>
    <row r="5479" spans="20:28">
      <c r="T5479" s="340" t="str">
        <f t="shared" si="202"/>
        <v>2014AllSexMaori19Firearms and explosives</v>
      </c>
      <c r="U5479">
        <v>2014</v>
      </c>
      <c r="V5479" t="s">
        <v>17</v>
      </c>
      <c r="W5479" t="s">
        <v>18</v>
      </c>
      <c r="X5479">
        <v>19</v>
      </c>
      <c r="Y5479" t="s">
        <v>42</v>
      </c>
      <c r="Z5479">
        <v>1</v>
      </c>
      <c r="AA5479">
        <v>93</v>
      </c>
      <c r="AB5479">
        <v>1.1000000000000001</v>
      </c>
    </row>
    <row r="5480" spans="20:28">
      <c r="T5480" s="340" t="str">
        <f t="shared" si="202"/>
        <v>2014AllSexMaori19Hanging, strangulation and suffocation</v>
      </c>
      <c r="U5480">
        <v>2014</v>
      </c>
      <c r="V5480" t="s">
        <v>17</v>
      </c>
      <c r="W5480" t="s">
        <v>18</v>
      </c>
      <c r="X5480">
        <v>19</v>
      </c>
      <c r="Y5480" t="s">
        <v>43</v>
      </c>
      <c r="Z5480">
        <v>78</v>
      </c>
      <c r="AA5480">
        <v>93</v>
      </c>
      <c r="AB5480">
        <v>83.9</v>
      </c>
    </row>
    <row r="5481" spans="20:28">
      <c r="T5481" s="340" t="str">
        <f t="shared" si="202"/>
        <v>2014AllSexMaori19Jumping from a high place</v>
      </c>
      <c r="U5481">
        <v>2014</v>
      </c>
      <c r="V5481" t="s">
        <v>17</v>
      </c>
      <c r="W5481" t="s">
        <v>18</v>
      </c>
      <c r="X5481">
        <v>19</v>
      </c>
      <c r="Y5481" t="s">
        <v>44</v>
      </c>
      <c r="Z5481">
        <v>1</v>
      </c>
      <c r="AA5481">
        <v>93</v>
      </c>
      <c r="AB5481">
        <v>1.1000000000000001</v>
      </c>
    </row>
    <row r="5482" spans="20:28">
      <c r="T5482" s="340" t="str">
        <f t="shared" si="202"/>
        <v>2014AllSexMaori19Other</v>
      </c>
      <c r="U5482">
        <v>2014</v>
      </c>
      <c r="V5482" t="s">
        <v>17</v>
      </c>
      <c r="W5482" t="s">
        <v>18</v>
      </c>
      <c r="X5482">
        <v>19</v>
      </c>
      <c r="Y5482" t="s">
        <v>45</v>
      </c>
      <c r="Z5482">
        <v>3</v>
      </c>
      <c r="AA5482">
        <v>93</v>
      </c>
      <c r="AB5482">
        <v>3.2</v>
      </c>
    </row>
    <row r="5483" spans="20:28">
      <c r="T5483" s="340" t="str">
        <f t="shared" si="202"/>
        <v>2014AllSexMaori19Poisoning by gases and vapours</v>
      </c>
      <c r="U5483">
        <v>2014</v>
      </c>
      <c r="V5483" t="s">
        <v>17</v>
      </c>
      <c r="W5483" t="s">
        <v>18</v>
      </c>
      <c r="X5483">
        <v>19</v>
      </c>
      <c r="Y5483" t="s">
        <v>46</v>
      </c>
      <c r="Z5483">
        <v>2</v>
      </c>
      <c r="AA5483">
        <v>93</v>
      </c>
      <c r="AB5483">
        <v>2.2000000000000002</v>
      </c>
    </row>
    <row r="5484" spans="20:28">
      <c r="T5484" s="340" t="str">
        <f t="shared" si="202"/>
        <v>2014AllSexMaori19Poisoning by solids and liquids</v>
      </c>
      <c r="U5484">
        <v>2014</v>
      </c>
      <c r="V5484" t="s">
        <v>17</v>
      </c>
      <c r="W5484" t="s">
        <v>18</v>
      </c>
      <c r="X5484">
        <v>19</v>
      </c>
      <c r="Y5484" t="s">
        <v>47</v>
      </c>
      <c r="Z5484">
        <v>7</v>
      </c>
      <c r="AA5484">
        <v>93</v>
      </c>
      <c r="AB5484">
        <v>7.5</v>
      </c>
    </row>
    <row r="5485" spans="20:28">
      <c r="T5485" s="340" t="str">
        <f t="shared" si="202"/>
        <v>2014AllSexMaori19Submersion (drowning)</v>
      </c>
      <c r="U5485">
        <v>2014</v>
      </c>
      <c r="V5485" t="s">
        <v>17</v>
      </c>
      <c r="W5485" t="s">
        <v>18</v>
      </c>
      <c r="X5485">
        <v>19</v>
      </c>
      <c r="Y5485" t="s">
        <v>49</v>
      </c>
      <c r="Z5485">
        <v>1</v>
      </c>
      <c r="AA5485">
        <v>93</v>
      </c>
      <c r="AB5485">
        <v>1.1000000000000001</v>
      </c>
    </row>
    <row r="5486" spans="20:28">
      <c r="T5486" s="340" t="str">
        <f t="shared" si="202"/>
        <v>2014AllSexNon-Maori19Firearms and explosives</v>
      </c>
      <c r="U5486">
        <v>2014</v>
      </c>
      <c r="V5486" t="s">
        <v>17</v>
      </c>
      <c r="W5486" t="s">
        <v>19</v>
      </c>
      <c r="X5486">
        <v>19</v>
      </c>
      <c r="Y5486" t="s">
        <v>42</v>
      </c>
      <c r="Z5486">
        <v>40</v>
      </c>
      <c r="AA5486">
        <v>417</v>
      </c>
      <c r="AB5486">
        <v>9.6</v>
      </c>
    </row>
    <row r="5487" spans="20:28">
      <c r="T5487" s="340" t="str">
        <f t="shared" si="202"/>
        <v>2014AllSexNon-Maori19Hanging, strangulation and suffocation</v>
      </c>
      <c r="U5487">
        <v>2014</v>
      </c>
      <c r="V5487" t="s">
        <v>17</v>
      </c>
      <c r="W5487" t="s">
        <v>19</v>
      </c>
      <c r="X5487">
        <v>19</v>
      </c>
      <c r="Y5487" t="s">
        <v>43</v>
      </c>
      <c r="Z5487">
        <v>233</v>
      </c>
      <c r="AA5487">
        <v>417</v>
      </c>
      <c r="AB5487">
        <v>55.9</v>
      </c>
    </row>
    <row r="5488" spans="20:28">
      <c r="T5488" s="340" t="str">
        <f t="shared" si="202"/>
        <v>2014AllSexNon-Maori19Jumping from a high place</v>
      </c>
      <c r="U5488">
        <v>2014</v>
      </c>
      <c r="V5488" t="s">
        <v>17</v>
      </c>
      <c r="W5488" t="s">
        <v>19</v>
      </c>
      <c r="X5488">
        <v>19</v>
      </c>
      <c r="Y5488" t="s">
        <v>44</v>
      </c>
      <c r="Z5488">
        <v>14</v>
      </c>
      <c r="AA5488">
        <v>417</v>
      </c>
      <c r="AB5488">
        <v>3.4</v>
      </c>
    </row>
    <row r="5489" spans="20:28">
      <c r="T5489" s="340" t="str">
        <f t="shared" si="202"/>
        <v>2014AllSexNon-Maori19Other</v>
      </c>
      <c r="U5489">
        <v>2014</v>
      </c>
      <c r="V5489" t="s">
        <v>17</v>
      </c>
      <c r="W5489" t="s">
        <v>19</v>
      </c>
      <c r="X5489">
        <v>19</v>
      </c>
      <c r="Y5489" t="s">
        <v>45</v>
      </c>
      <c r="Z5489">
        <v>12</v>
      </c>
      <c r="AA5489">
        <v>417</v>
      </c>
      <c r="AB5489">
        <v>2.9</v>
      </c>
    </row>
    <row r="5490" spans="20:28">
      <c r="T5490" s="340" t="str">
        <f t="shared" si="202"/>
        <v>2014AllSexNon-Maori19Poisoning by gases and vapours</v>
      </c>
      <c r="U5490">
        <v>2014</v>
      </c>
      <c r="V5490" t="s">
        <v>17</v>
      </c>
      <c r="W5490" t="s">
        <v>19</v>
      </c>
      <c r="X5490">
        <v>19</v>
      </c>
      <c r="Y5490" t="s">
        <v>46</v>
      </c>
      <c r="Z5490">
        <v>39</v>
      </c>
      <c r="AA5490">
        <v>417</v>
      </c>
      <c r="AB5490">
        <v>9.4</v>
      </c>
    </row>
    <row r="5491" spans="20:28">
      <c r="T5491" s="340" t="str">
        <f t="shared" si="202"/>
        <v>2014AllSexNon-Maori19Poisoning by solids and liquids</v>
      </c>
      <c r="U5491">
        <v>2014</v>
      </c>
      <c r="V5491" t="s">
        <v>17</v>
      </c>
      <c r="W5491" t="s">
        <v>19</v>
      </c>
      <c r="X5491">
        <v>19</v>
      </c>
      <c r="Y5491" t="s">
        <v>47</v>
      </c>
      <c r="Z5491">
        <v>60</v>
      </c>
      <c r="AA5491">
        <v>417</v>
      </c>
      <c r="AB5491">
        <v>14.4</v>
      </c>
    </row>
    <row r="5492" spans="20:28">
      <c r="T5492" s="340" t="str">
        <f t="shared" si="202"/>
        <v>2014AllSexNon-Maori19Sharp object</v>
      </c>
      <c r="U5492">
        <v>2014</v>
      </c>
      <c r="V5492" t="s">
        <v>17</v>
      </c>
      <c r="W5492" t="s">
        <v>19</v>
      </c>
      <c r="X5492">
        <v>19</v>
      </c>
      <c r="Y5492" t="s">
        <v>48</v>
      </c>
      <c r="Z5492">
        <v>10</v>
      </c>
      <c r="AA5492">
        <v>417</v>
      </c>
      <c r="AB5492">
        <v>2.4</v>
      </c>
    </row>
    <row r="5493" spans="20:28">
      <c r="T5493" s="340" t="str">
        <f t="shared" si="202"/>
        <v>2014AllSexNon-Maori19Submersion (drowning)</v>
      </c>
      <c r="U5493">
        <v>2014</v>
      </c>
      <c r="V5493" t="s">
        <v>17</v>
      </c>
      <c r="W5493" t="s">
        <v>19</v>
      </c>
      <c r="X5493">
        <v>19</v>
      </c>
      <c r="Y5493" t="s">
        <v>49</v>
      </c>
      <c r="Z5493">
        <v>9</v>
      </c>
      <c r="AA5493">
        <v>417</v>
      </c>
      <c r="AB5493">
        <v>2.2000000000000002</v>
      </c>
    </row>
    <row r="5494" spans="20:28">
      <c r="T5494" s="340" t="str">
        <f t="shared" si="202"/>
        <v>2014FemaleAllEth19Firearms and explosives</v>
      </c>
      <c r="U5494">
        <v>2014</v>
      </c>
      <c r="V5494" t="s">
        <v>8</v>
      </c>
      <c r="W5494" t="s">
        <v>27</v>
      </c>
      <c r="X5494">
        <v>19</v>
      </c>
      <c r="Y5494" t="s">
        <v>42</v>
      </c>
      <c r="Z5494">
        <v>3</v>
      </c>
      <c r="AA5494">
        <v>131</v>
      </c>
      <c r="AB5494">
        <v>2.2999999999999998</v>
      </c>
    </row>
    <row r="5495" spans="20:28">
      <c r="T5495" s="340" t="str">
        <f t="shared" si="202"/>
        <v>2014FemaleAllEth19Hanging, strangulation and suffocation</v>
      </c>
      <c r="U5495">
        <v>2014</v>
      </c>
      <c r="V5495" t="s">
        <v>8</v>
      </c>
      <c r="W5495" t="s">
        <v>27</v>
      </c>
      <c r="X5495">
        <v>19</v>
      </c>
      <c r="Y5495" t="s">
        <v>43</v>
      </c>
      <c r="Z5495">
        <v>70</v>
      </c>
      <c r="AA5495">
        <v>131</v>
      </c>
      <c r="AB5495">
        <v>53.4</v>
      </c>
    </row>
    <row r="5496" spans="20:28">
      <c r="T5496" s="340" t="str">
        <f t="shared" si="202"/>
        <v>2014FemaleAllEth19Jumping from a high place</v>
      </c>
      <c r="U5496">
        <v>2014</v>
      </c>
      <c r="V5496" t="s">
        <v>8</v>
      </c>
      <c r="W5496" t="s">
        <v>27</v>
      </c>
      <c r="X5496">
        <v>19</v>
      </c>
      <c r="Y5496" t="s">
        <v>44</v>
      </c>
      <c r="Z5496">
        <v>4</v>
      </c>
      <c r="AA5496">
        <v>131</v>
      </c>
      <c r="AB5496">
        <v>3.1</v>
      </c>
    </row>
    <row r="5497" spans="20:28">
      <c r="T5497" s="340" t="str">
        <f t="shared" si="202"/>
        <v>2014FemaleAllEth19Other</v>
      </c>
      <c r="U5497">
        <v>2014</v>
      </c>
      <c r="V5497" t="s">
        <v>8</v>
      </c>
      <c r="W5497" t="s">
        <v>27</v>
      </c>
      <c r="X5497">
        <v>19</v>
      </c>
      <c r="Y5497" t="s">
        <v>45</v>
      </c>
      <c r="Z5497">
        <v>2</v>
      </c>
      <c r="AA5497">
        <v>131</v>
      </c>
      <c r="AB5497">
        <v>1.5</v>
      </c>
    </row>
    <row r="5498" spans="20:28">
      <c r="T5498" s="340" t="str">
        <f t="shared" si="202"/>
        <v>2014FemaleAllEth19Poisoning by gases and vapours</v>
      </c>
      <c r="U5498">
        <v>2014</v>
      </c>
      <c r="V5498" t="s">
        <v>8</v>
      </c>
      <c r="W5498" t="s">
        <v>27</v>
      </c>
      <c r="X5498">
        <v>19</v>
      </c>
      <c r="Y5498" t="s">
        <v>46</v>
      </c>
      <c r="Z5498">
        <v>9</v>
      </c>
      <c r="AA5498">
        <v>131</v>
      </c>
      <c r="AB5498">
        <v>6.9</v>
      </c>
    </row>
    <row r="5499" spans="20:28">
      <c r="T5499" s="340" t="str">
        <f t="shared" si="202"/>
        <v>2014FemaleAllEth19Poisoning by solids and liquids</v>
      </c>
      <c r="U5499">
        <v>2014</v>
      </c>
      <c r="V5499" t="s">
        <v>8</v>
      </c>
      <c r="W5499" t="s">
        <v>27</v>
      </c>
      <c r="X5499">
        <v>19</v>
      </c>
      <c r="Y5499" t="s">
        <v>47</v>
      </c>
      <c r="Z5499">
        <v>35</v>
      </c>
      <c r="AA5499">
        <v>131</v>
      </c>
      <c r="AB5499">
        <v>26.7</v>
      </c>
    </row>
    <row r="5500" spans="20:28">
      <c r="T5500" s="340" t="str">
        <f t="shared" si="202"/>
        <v>2014FemaleAllEth19Sharp object</v>
      </c>
      <c r="U5500">
        <v>2014</v>
      </c>
      <c r="V5500" t="s">
        <v>8</v>
      </c>
      <c r="W5500" t="s">
        <v>27</v>
      </c>
      <c r="X5500">
        <v>19</v>
      </c>
      <c r="Y5500" t="s">
        <v>48</v>
      </c>
      <c r="Z5500">
        <v>6</v>
      </c>
      <c r="AA5500">
        <v>131</v>
      </c>
      <c r="AB5500">
        <v>4.5999999999999996</v>
      </c>
    </row>
    <row r="5501" spans="20:28">
      <c r="T5501" s="340" t="str">
        <f t="shared" si="202"/>
        <v>2014FemaleAllEth19Submersion (drowning)</v>
      </c>
      <c r="U5501">
        <v>2014</v>
      </c>
      <c r="V5501" t="s">
        <v>8</v>
      </c>
      <c r="W5501" t="s">
        <v>27</v>
      </c>
      <c r="X5501">
        <v>19</v>
      </c>
      <c r="Y5501" t="s">
        <v>49</v>
      </c>
      <c r="Z5501">
        <v>2</v>
      </c>
      <c r="AA5501">
        <v>131</v>
      </c>
      <c r="AB5501">
        <v>1.5</v>
      </c>
    </row>
    <row r="5502" spans="20:28">
      <c r="T5502" s="340" t="str">
        <f t="shared" si="202"/>
        <v>2014FemaleMaori19Hanging, strangulation and suffocation</v>
      </c>
      <c r="U5502">
        <v>2014</v>
      </c>
      <c r="V5502" t="s">
        <v>8</v>
      </c>
      <c r="W5502" t="s">
        <v>18</v>
      </c>
      <c r="X5502">
        <v>19</v>
      </c>
      <c r="Y5502" t="s">
        <v>43</v>
      </c>
      <c r="Z5502">
        <v>21</v>
      </c>
      <c r="AA5502">
        <v>27</v>
      </c>
      <c r="AB5502">
        <v>77.8</v>
      </c>
    </row>
    <row r="5503" spans="20:28">
      <c r="T5503" s="340" t="str">
        <f t="shared" si="202"/>
        <v>2014FemaleMaori19Jumping from a high place</v>
      </c>
      <c r="U5503">
        <v>2014</v>
      </c>
      <c r="V5503" t="s">
        <v>8</v>
      </c>
      <c r="W5503" t="s">
        <v>18</v>
      </c>
      <c r="X5503">
        <v>19</v>
      </c>
      <c r="Y5503" t="s">
        <v>44</v>
      </c>
      <c r="Z5503">
        <v>1</v>
      </c>
      <c r="AA5503">
        <v>27</v>
      </c>
      <c r="AB5503">
        <v>3.7</v>
      </c>
    </row>
    <row r="5504" spans="20:28">
      <c r="T5504" s="340" t="str">
        <f t="shared" si="202"/>
        <v>2014FemaleMaori19Poisoning by solids and liquids</v>
      </c>
      <c r="U5504">
        <v>2014</v>
      </c>
      <c r="V5504" t="s">
        <v>8</v>
      </c>
      <c r="W5504" t="s">
        <v>18</v>
      </c>
      <c r="X5504">
        <v>19</v>
      </c>
      <c r="Y5504" t="s">
        <v>47</v>
      </c>
      <c r="Z5504">
        <v>5</v>
      </c>
      <c r="AA5504">
        <v>27</v>
      </c>
      <c r="AB5504">
        <v>18.5</v>
      </c>
    </row>
    <row r="5505" spans="20:28">
      <c r="T5505" s="340" t="str">
        <f t="shared" si="202"/>
        <v>2014FemaleNon-Maori19Firearms and explosives</v>
      </c>
      <c r="U5505">
        <v>2014</v>
      </c>
      <c r="V5505" t="s">
        <v>8</v>
      </c>
      <c r="W5505" t="s">
        <v>19</v>
      </c>
      <c r="X5505">
        <v>19</v>
      </c>
      <c r="Y5505" t="s">
        <v>42</v>
      </c>
      <c r="Z5505">
        <v>3</v>
      </c>
      <c r="AA5505">
        <v>104</v>
      </c>
      <c r="AB5505">
        <v>2.9</v>
      </c>
    </row>
    <row r="5506" spans="20:28">
      <c r="T5506" s="340" t="str">
        <f t="shared" si="202"/>
        <v>2014FemaleNon-Maori19Hanging, strangulation and suffocation</v>
      </c>
      <c r="U5506">
        <v>2014</v>
      </c>
      <c r="V5506" t="s">
        <v>8</v>
      </c>
      <c r="W5506" t="s">
        <v>19</v>
      </c>
      <c r="X5506">
        <v>19</v>
      </c>
      <c r="Y5506" t="s">
        <v>43</v>
      </c>
      <c r="Z5506">
        <v>49</v>
      </c>
      <c r="AA5506">
        <v>104</v>
      </c>
      <c r="AB5506">
        <v>47.1</v>
      </c>
    </row>
    <row r="5507" spans="20:28">
      <c r="T5507" s="340" t="str">
        <f t="shared" si="202"/>
        <v>2014FemaleNon-Maori19Jumping from a high place</v>
      </c>
      <c r="U5507">
        <v>2014</v>
      </c>
      <c r="V5507" t="s">
        <v>8</v>
      </c>
      <c r="W5507" t="s">
        <v>19</v>
      </c>
      <c r="X5507">
        <v>19</v>
      </c>
      <c r="Y5507" t="s">
        <v>44</v>
      </c>
      <c r="Z5507">
        <v>3</v>
      </c>
      <c r="AA5507">
        <v>104</v>
      </c>
      <c r="AB5507">
        <v>2.9</v>
      </c>
    </row>
    <row r="5508" spans="20:28">
      <c r="T5508" s="340" t="str">
        <f t="shared" si="202"/>
        <v>2014FemaleNon-Maori19Other</v>
      </c>
      <c r="U5508">
        <v>2014</v>
      </c>
      <c r="V5508" t="s">
        <v>8</v>
      </c>
      <c r="W5508" t="s">
        <v>19</v>
      </c>
      <c r="X5508">
        <v>19</v>
      </c>
      <c r="Y5508" t="s">
        <v>45</v>
      </c>
      <c r="Z5508">
        <v>2</v>
      </c>
      <c r="AA5508">
        <v>104</v>
      </c>
      <c r="AB5508">
        <v>1.9</v>
      </c>
    </row>
    <row r="5509" spans="20:28">
      <c r="T5509" s="340" t="str">
        <f t="shared" ref="T5509:T5572" si="203">U5509&amp;V5509&amp;W5509&amp;X5509&amp;Y5509</f>
        <v>2014FemaleNon-Maori19Poisoning by gases and vapours</v>
      </c>
      <c r="U5509">
        <v>2014</v>
      </c>
      <c r="V5509" t="s">
        <v>8</v>
      </c>
      <c r="W5509" t="s">
        <v>19</v>
      </c>
      <c r="X5509">
        <v>19</v>
      </c>
      <c r="Y5509" t="s">
        <v>46</v>
      </c>
      <c r="Z5509">
        <v>9</v>
      </c>
      <c r="AA5509">
        <v>104</v>
      </c>
      <c r="AB5509">
        <v>8.6999999999999993</v>
      </c>
    </row>
    <row r="5510" spans="20:28">
      <c r="T5510" s="340" t="str">
        <f t="shared" si="203"/>
        <v>2014FemaleNon-Maori19Poisoning by solids and liquids</v>
      </c>
      <c r="U5510">
        <v>2014</v>
      </c>
      <c r="V5510" t="s">
        <v>8</v>
      </c>
      <c r="W5510" t="s">
        <v>19</v>
      </c>
      <c r="X5510">
        <v>19</v>
      </c>
      <c r="Y5510" t="s">
        <v>47</v>
      </c>
      <c r="Z5510">
        <v>30</v>
      </c>
      <c r="AA5510">
        <v>104</v>
      </c>
      <c r="AB5510">
        <v>28.8</v>
      </c>
    </row>
    <row r="5511" spans="20:28">
      <c r="T5511" s="340" t="str">
        <f t="shared" si="203"/>
        <v>2014FemaleNon-Maori19Sharp object</v>
      </c>
      <c r="U5511">
        <v>2014</v>
      </c>
      <c r="V5511" t="s">
        <v>8</v>
      </c>
      <c r="W5511" t="s">
        <v>19</v>
      </c>
      <c r="X5511">
        <v>19</v>
      </c>
      <c r="Y5511" t="s">
        <v>48</v>
      </c>
      <c r="Z5511">
        <v>6</v>
      </c>
      <c r="AA5511">
        <v>104</v>
      </c>
      <c r="AB5511">
        <v>5.8</v>
      </c>
    </row>
    <row r="5512" spans="20:28">
      <c r="T5512" s="340" t="str">
        <f t="shared" si="203"/>
        <v>2014FemaleNon-Maori19Submersion (drowning)</v>
      </c>
      <c r="U5512">
        <v>2014</v>
      </c>
      <c r="V5512" t="s">
        <v>8</v>
      </c>
      <c r="W5512" t="s">
        <v>19</v>
      </c>
      <c r="X5512">
        <v>19</v>
      </c>
      <c r="Y5512" t="s">
        <v>49</v>
      </c>
      <c r="Z5512">
        <v>2</v>
      </c>
      <c r="AA5512">
        <v>104</v>
      </c>
      <c r="AB5512">
        <v>1.9</v>
      </c>
    </row>
    <row r="5513" spans="20:28">
      <c r="T5513" s="340" t="str">
        <f t="shared" si="203"/>
        <v>2014MaleAllEth19Firearms and explosives</v>
      </c>
      <c r="U5513">
        <v>2014</v>
      </c>
      <c r="V5513" t="s">
        <v>20</v>
      </c>
      <c r="W5513" t="s">
        <v>27</v>
      </c>
      <c r="X5513">
        <v>19</v>
      </c>
      <c r="Y5513" t="s">
        <v>42</v>
      </c>
      <c r="Z5513">
        <v>38</v>
      </c>
      <c r="AA5513">
        <v>379</v>
      </c>
      <c r="AB5513">
        <v>10</v>
      </c>
    </row>
    <row r="5514" spans="20:28">
      <c r="T5514" s="340" t="str">
        <f t="shared" si="203"/>
        <v>2014MaleAllEth19Hanging, strangulation and suffocation</v>
      </c>
      <c r="U5514">
        <v>2014</v>
      </c>
      <c r="V5514" t="s">
        <v>20</v>
      </c>
      <c r="W5514" t="s">
        <v>27</v>
      </c>
      <c r="X5514">
        <v>19</v>
      </c>
      <c r="Y5514" t="s">
        <v>43</v>
      </c>
      <c r="Z5514">
        <v>241</v>
      </c>
      <c r="AA5514">
        <v>379</v>
      </c>
      <c r="AB5514">
        <v>63.6</v>
      </c>
    </row>
    <row r="5515" spans="20:28">
      <c r="T5515" s="340" t="str">
        <f t="shared" si="203"/>
        <v>2014MaleAllEth19Jumping from a high place</v>
      </c>
      <c r="U5515">
        <v>2014</v>
      </c>
      <c r="V5515" t="s">
        <v>20</v>
      </c>
      <c r="W5515" t="s">
        <v>27</v>
      </c>
      <c r="X5515">
        <v>19</v>
      </c>
      <c r="Y5515" t="s">
        <v>44</v>
      </c>
      <c r="Z5515">
        <v>11</v>
      </c>
      <c r="AA5515">
        <v>379</v>
      </c>
      <c r="AB5515">
        <v>2.9</v>
      </c>
    </row>
    <row r="5516" spans="20:28">
      <c r="T5516" s="340" t="str">
        <f t="shared" si="203"/>
        <v>2014MaleAllEth19Other</v>
      </c>
      <c r="U5516">
        <v>2014</v>
      </c>
      <c r="V5516" t="s">
        <v>20</v>
      </c>
      <c r="W5516" t="s">
        <v>27</v>
      </c>
      <c r="X5516">
        <v>19</v>
      </c>
      <c r="Y5516" t="s">
        <v>45</v>
      </c>
      <c r="Z5516">
        <v>13</v>
      </c>
      <c r="AA5516">
        <v>379</v>
      </c>
      <c r="AB5516">
        <v>3.4</v>
      </c>
    </row>
    <row r="5517" spans="20:28">
      <c r="T5517" s="340" t="str">
        <f t="shared" si="203"/>
        <v>2014MaleAllEth19Poisoning by gases and vapours</v>
      </c>
      <c r="U5517">
        <v>2014</v>
      </c>
      <c r="V5517" t="s">
        <v>20</v>
      </c>
      <c r="W5517" t="s">
        <v>27</v>
      </c>
      <c r="X5517">
        <v>19</v>
      </c>
      <c r="Y5517" t="s">
        <v>46</v>
      </c>
      <c r="Z5517">
        <v>32</v>
      </c>
      <c r="AA5517">
        <v>379</v>
      </c>
      <c r="AB5517">
        <v>8.4</v>
      </c>
    </row>
    <row r="5518" spans="20:28">
      <c r="T5518" s="340" t="str">
        <f t="shared" si="203"/>
        <v>2014MaleAllEth19Poisoning by solids and liquids</v>
      </c>
      <c r="U5518">
        <v>2014</v>
      </c>
      <c r="V5518" t="s">
        <v>20</v>
      </c>
      <c r="W5518" t="s">
        <v>27</v>
      </c>
      <c r="X5518">
        <v>19</v>
      </c>
      <c r="Y5518" t="s">
        <v>47</v>
      </c>
      <c r="Z5518">
        <v>32</v>
      </c>
      <c r="AA5518">
        <v>379</v>
      </c>
      <c r="AB5518">
        <v>8.4</v>
      </c>
    </row>
    <row r="5519" spans="20:28">
      <c r="T5519" s="340" t="str">
        <f t="shared" si="203"/>
        <v>2014MaleAllEth19Sharp object</v>
      </c>
      <c r="U5519">
        <v>2014</v>
      </c>
      <c r="V5519" t="s">
        <v>20</v>
      </c>
      <c r="W5519" t="s">
        <v>27</v>
      </c>
      <c r="X5519">
        <v>19</v>
      </c>
      <c r="Y5519" t="s">
        <v>48</v>
      </c>
      <c r="Z5519">
        <v>4</v>
      </c>
      <c r="AA5519">
        <v>379</v>
      </c>
      <c r="AB5519">
        <v>1.1000000000000001</v>
      </c>
    </row>
    <row r="5520" spans="20:28">
      <c r="T5520" s="340" t="str">
        <f t="shared" si="203"/>
        <v>2014MaleAllEth19Submersion (drowning)</v>
      </c>
      <c r="U5520">
        <v>2014</v>
      </c>
      <c r="V5520" t="s">
        <v>20</v>
      </c>
      <c r="W5520" t="s">
        <v>27</v>
      </c>
      <c r="X5520">
        <v>19</v>
      </c>
      <c r="Y5520" t="s">
        <v>49</v>
      </c>
      <c r="Z5520">
        <v>8</v>
      </c>
      <c r="AA5520">
        <v>379</v>
      </c>
      <c r="AB5520">
        <v>2.1</v>
      </c>
    </row>
    <row r="5521" spans="20:28">
      <c r="T5521" s="340" t="str">
        <f t="shared" si="203"/>
        <v>2014MaleMaori19Firearms and explosives</v>
      </c>
      <c r="U5521">
        <v>2014</v>
      </c>
      <c r="V5521" t="s">
        <v>20</v>
      </c>
      <c r="W5521" t="s">
        <v>18</v>
      </c>
      <c r="X5521">
        <v>19</v>
      </c>
      <c r="Y5521" t="s">
        <v>42</v>
      </c>
      <c r="Z5521">
        <v>1</v>
      </c>
      <c r="AA5521">
        <v>66</v>
      </c>
      <c r="AB5521">
        <v>1.5</v>
      </c>
    </row>
    <row r="5522" spans="20:28">
      <c r="T5522" s="340" t="str">
        <f t="shared" si="203"/>
        <v>2014MaleMaori19Hanging, strangulation and suffocation</v>
      </c>
      <c r="U5522">
        <v>2014</v>
      </c>
      <c r="V5522" t="s">
        <v>20</v>
      </c>
      <c r="W5522" t="s">
        <v>18</v>
      </c>
      <c r="X5522">
        <v>19</v>
      </c>
      <c r="Y5522" t="s">
        <v>43</v>
      </c>
      <c r="Z5522">
        <v>57</v>
      </c>
      <c r="AA5522">
        <v>66</v>
      </c>
      <c r="AB5522">
        <v>86.4</v>
      </c>
    </row>
    <row r="5523" spans="20:28">
      <c r="T5523" s="340" t="str">
        <f t="shared" si="203"/>
        <v>2014MaleMaori19Other</v>
      </c>
      <c r="U5523">
        <v>2014</v>
      </c>
      <c r="V5523" t="s">
        <v>20</v>
      </c>
      <c r="W5523" t="s">
        <v>18</v>
      </c>
      <c r="X5523">
        <v>19</v>
      </c>
      <c r="Y5523" t="s">
        <v>45</v>
      </c>
      <c r="Z5523">
        <v>3</v>
      </c>
      <c r="AA5523">
        <v>66</v>
      </c>
      <c r="AB5523">
        <v>4.5</v>
      </c>
    </row>
    <row r="5524" spans="20:28">
      <c r="T5524" s="340" t="str">
        <f t="shared" si="203"/>
        <v>2014MaleMaori19Poisoning by gases and vapours</v>
      </c>
      <c r="U5524">
        <v>2014</v>
      </c>
      <c r="V5524" t="s">
        <v>20</v>
      </c>
      <c r="W5524" t="s">
        <v>18</v>
      </c>
      <c r="X5524">
        <v>19</v>
      </c>
      <c r="Y5524" t="s">
        <v>46</v>
      </c>
      <c r="Z5524">
        <v>2</v>
      </c>
      <c r="AA5524">
        <v>66</v>
      </c>
      <c r="AB5524">
        <v>3</v>
      </c>
    </row>
    <row r="5525" spans="20:28">
      <c r="T5525" s="340" t="str">
        <f t="shared" si="203"/>
        <v>2014MaleMaori19Poisoning by solids and liquids</v>
      </c>
      <c r="U5525">
        <v>2014</v>
      </c>
      <c r="V5525" t="s">
        <v>20</v>
      </c>
      <c r="W5525" t="s">
        <v>18</v>
      </c>
      <c r="X5525">
        <v>19</v>
      </c>
      <c r="Y5525" t="s">
        <v>47</v>
      </c>
      <c r="Z5525">
        <v>2</v>
      </c>
      <c r="AA5525">
        <v>66</v>
      </c>
      <c r="AB5525">
        <v>3</v>
      </c>
    </row>
    <row r="5526" spans="20:28">
      <c r="T5526" s="340" t="str">
        <f t="shared" si="203"/>
        <v>2014MaleMaori19Submersion (drowning)</v>
      </c>
      <c r="U5526">
        <v>2014</v>
      </c>
      <c r="V5526" t="s">
        <v>20</v>
      </c>
      <c r="W5526" t="s">
        <v>18</v>
      </c>
      <c r="X5526">
        <v>19</v>
      </c>
      <c r="Y5526" t="s">
        <v>49</v>
      </c>
      <c r="Z5526">
        <v>1</v>
      </c>
      <c r="AA5526">
        <v>66</v>
      </c>
      <c r="AB5526">
        <v>1.5</v>
      </c>
    </row>
    <row r="5527" spans="20:28">
      <c r="T5527" s="340" t="str">
        <f t="shared" si="203"/>
        <v>2014MaleNon-Maori19Firearms and explosives</v>
      </c>
      <c r="U5527">
        <v>2014</v>
      </c>
      <c r="V5527" t="s">
        <v>20</v>
      </c>
      <c r="W5527" t="s">
        <v>19</v>
      </c>
      <c r="X5527">
        <v>19</v>
      </c>
      <c r="Y5527" t="s">
        <v>42</v>
      </c>
      <c r="Z5527">
        <v>37</v>
      </c>
      <c r="AA5527">
        <v>313</v>
      </c>
      <c r="AB5527">
        <v>11.8</v>
      </c>
    </row>
    <row r="5528" spans="20:28">
      <c r="T5528" s="340" t="str">
        <f t="shared" si="203"/>
        <v>2014MaleNon-Maori19Hanging, strangulation and suffocation</v>
      </c>
      <c r="U5528">
        <v>2014</v>
      </c>
      <c r="V5528" t="s">
        <v>20</v>
      </c>
      <c r="W5528" t="s">
        <v>19</v>
      </c>
      <c r="X5528">
        <v>19</v>
      </c>
      <c r="Y5528" t="s">
        <v>43</v>
      </c>
      <c r="Z5528">
        <v>184</v>
      </c>
      <c r="AA5528">
        <v>313</v>
      </c>
      <c r="AB5528">
        <v>58.8</v>
      </c>
    </row>
    <row r="5529" spans="20:28">
      <c r="T5529" s="340" t="str">
        <f t="shared" si="203"/>
        <v>2014MaleNon-Maori19Jumping from a high place</v>
      </c>
      <c r="U5529">
        <v>2014</v>
      </c>
      <c r="V5529" t="s">
        <v>20</v>
      </c>
      <c r="W5529" t="s">
        <v>19</v>
      </c>
      <c r="X5529">
        <v>19</v>
      </c>
      <c r="Y5529" t="s">
        <v>44</v>
      </c>
      <c r="Z5529">
        <v>11</v>
      </c>
      <c r="AA5529">
        <v>313</v>
      </c>
      <c r="AB5529">
        <v>3.5</v>
      </c>
    </row>
    <row r="5530" spans="20:28">
      <c r="T5530" s="340" t="str">
        <f t="shared" si="203"/>
        <v>2014MaleNon-Maori19Other</v>
      </c>
      <c r="U5530">
        <v>2014</v>
      </c>
      <c r="V5530" t="s">
        <v>20</v>
      </c>
      <c r="W5530" t="s">
        <v>19</v>
      </c>
      <c r="X5530">
        <v>19</v>
      </c>
      <c r="Y5530" t="s">
        <v>45</v>
      </c>
      <c r="Z5530">
        <v>10</v>
      </c>
      <c r="AA5530">
        <v>313</v>
      </c>
      <c r="AB5530">
        <v>3.2</v>
      </c>
    </row>
    <row r="5531" spans="20:28">
      <c r="T5531" s="340" t="str">
        <f t="shared" si="203"/>
        <v>2014MaleNon-Maori19Poisoning by gases and vapours</v>
      </c>
      <c r="U5531">
        <v>2014</v>
      </c>
      <c r="V5531" t="s">
        <v>20</v>
      </c>
      <c r="W5531" t="s">
        <v>19</v>
      </c>
      <c r="X5531">
        <v>19</v>
      </c>
      <c r="Y5531" t="s">
        <v>46</v>
      </c>
      <c r="Z5531">
        <v>30</v>
      </c>
      <c r="AA5531">
        <v>313</v>
      </c>
      <c r="AB5531">
        <v>9.6</v>
      </c>
    </row>
    <row r="5532" spans="20:28">
      <c r="T5532" s="340" t="str">
        <f t="shared" si="203"/>
        <v>2014MaleNon-Maori19Poisoning by solids and liquids</v>
      </c>
      <c r="U5532">
        <v>2014</v>
      </c>
      <c r="V5532" t="s">
        <v>20</v>
      </c>
      <c r="W5532" t="s">
        <v>19</v>
      </c>
      <c r="X5532">
        <v>19</v>
      </c>
      <c r="Y5532" t="s">
        <v>47</v>
      </c>
      <c r="Z5532">
        <v>30</v>
      </c>
      <c r="AA5532">
        <v>313</v>
      </c>
      <c r="AB5532">
        <v>9.6</v>
      </c>
    </row>
    <row r="5533" spans="20:28">
      <c r="T5533" s="340" t="str">
        <f t="shared" si="203"/>
        <v>2014MaleNon-Maori19Sharp object</v>
      </c>
      <c r="U5533">
        <v>2014</v>
      </c>
      <c r="V5533" t="s">
        <v>20</v>
      </c>
      <c r="W5533" t="s">
        <v>19</v>
      </c>
      <c r="X5533">
        <v>19</v>
      </c>
      <c r="Y5533" t="s">
        <v>48</v>
      </c>
      <c r="Z5533">
        <v>4</v>
      </c>
      <c r="AA5533">
        <v>313</v>
      </c>
      <c r="AB5533">
        <v>1.3</v>
      </c>
    </row>
    <row r="5534" spans="20:28">
      <c r="T5534" s="340" t="str">
        <f t="shared" si="203"/>
        <v>2014MaleNon-Maori19Submersion (drowning)</v>
      </c>
      <c r="U5534">
        <v>2014</v>
      </c>
      <c r="V5534" t="s">
        <v>20</v>
      </c>
      <c r="W5534" t="s">
        <v>19</v>
      </c>
      <c r="X5534">
        <v>19</v>
      </c>
      <c r="Y5534" t="s">
        <v>49</v>
      </c>
      <c r="Z5534">
        <v>7</v>
      </c>
      <c r="AA5534">
        <v>313</v>
      </c>
      <c r="AB5534">
        <v>2.2000000000000002</v>
      </c>
    </row>
    <row r="5535" spans="20:28">
      <c r="T5535" s="340" t="str">
        <f t="shared" si="203"/>
        <v>2015AllSexAllEth19Firearms and explosives</v>
      </c>
      <c r="U5535">
        <v>2015</v>
      </c>
      <c r="V5535" t="s">
        <v>17</v>
      </c>
      <c r="W5535" t="s">
        <v>27</v>
      </c>
      <c r="X5535">
        <v>19</v>
      </c>
      <c r="Y5535" t="s">
        <v>42</v>
      </c>
      <c r="Z5535">
        <v>41</v>
      </c>
      <c r="AA5535">
        <v>530</v>
      </c>
      <c r="AB5535">
        <v>7.7</v>
      </c>
    </row>
    <row r="5536" spans="20:28">
      <c r="T5536" s="340" t="str">
        <f t="shared" si="203"/>
        <v>2015AllSexAllEth19Hanging, strangulation and suffocation</v>
      </c>
      <c r="U5536">
        <v>2015</v>
      </c>
      <c r="V5536" t="s">
        <v>17</v>
      </c>
      <c r="W5536" t="s">
        <v>27</v>
      </c>
      <c r="X5536">
        <v>19</v>
      </c>
      <c r="Y5536" t="s">
        <v>43</v>
      </c>
      <c r="Z5536">
        <v>327</v>
      </c>
      <c r="AA5536">
        <v>530</v>
      </c>
      <c r="AB5536">
        <v>61.7</v>
      </c>
    </row>
    <row r="5537" spans="20:28">
      <c r="T5537" s="340" t="str">
        <f t="shared" si="203"/>
        <v>2015AllSexAllEth19Jumping from a high place</v>
      </c>
      <c r="U5537">
        <v>2015</v>
      </c>
      <c r="V5537" t="s">
        <v>17</v>
      </c>
      <c r="W5537" t="s">
        <v>27</v>
      </c>
      <c r="X5537">
        <v>19</v>
      </c>
      <c r="Y5537" t="s">
        <v>44</v>
      </c>
      <c r="Z5537">
        <v>18</v>
      </c>
      <c r="AA5537">
        <v>530</v>
      </c>
      <c r="AB5537">
        <v>3.4</v>
      </c>
    </row>
    <row r="5538" spans="20:28">
      <c r="T5538" s="340" t="str">
        <f t="shared" si="203"/>
        <v>2015AllSexAllEth19Other</v>
      </c>
      <c r="U5538">
        <v>2015</v>
      </c>
      <c r="V5538" t="s">
        <v>17</v>
      </c>
      <c r="W5538" t="s">
        <v>27</v>
      </c>
      <c r="X5538">
        <v>19</v>
      </c>
      <c r="Y5538" t="s">
        <v>45</v>
      </c>
      <c r="Z5538">
        <v>25</v>
      </c>
      <c r="AA5538">
        <v>530</v>
      </c>
      <c r="AB5538">
        <v>4.7</v>
      </c>
    </row>
    <row r="5539" spans="20:28">
      <c r="T5539" s="340" t="str">
        <f t="shared" si="203"/>
        <v>2015AllSexAllEth19Poisoning by gases and vapours</v>
      </c>
      <c r="U5539">
        <v>2015</v>
      </c>
      <c r="V5539" t="s">
        <v>17</v>
      </c>
      <c r="W5539" t="s">
        <v>27</v>
      </c>
      <c r="X5539">
        <v>19</v>
      </c>
      <c r="Y5539" t="s">
        <v>46</v>
      </c>
      <c r="Z5539">
        <v>45</v>
      </c>
      <c r="AA5539">
        <v>530</v>
      </c>
      <c r="AB5539">
        <v>8.5</v>
      </c>
    </row>
    <row r="5540" spans="20:28">
      <c r="T5540" s="340" t="str">
        <f t="shared" si="203"/>
        <v>2015AllSexAllEth19Poisoning by solids and liquids</v>
      </c>
      <c r="U5540">
        <v>2015</v>
      </c>
      <c r="V5540" t="s">
        <v>17</v>
      </c>
      <c r="W5540" t="s">
        <v>27</v>
      </c>
      <c r="X5540">
        <v>19</v>
      </c>
      <c r="Y5540" t="s">
        <v>47</v>
      </c>
      <c r="Z5540">
        <v>54</v>
      </c>
      <c r="AA5540">
        <v>530</v>
      </c>
      <c r="AB5540">
        <v>10.199999999999999</v>
      </c>
    </row>
    <row r="5541" spans="20:28">
      <c r="T5541" s="340" t="str">
        <f t="shared" si="203"/>
        <v>2015AllSexAllEth19Sharp object</v>
      </c>
      <c r="U5541">
        <v>2015</v>
      </c>
      <c r="V5541" t="s">
        <v>17</v>
      </c>
      <c r="W5541" t="s">
        <v>27</v>
      </c>
      <c r="X5541">
        <v>19</v>
      </c>
      <c r="Y5541" t="s">
        <v>48</v>
      </c>
      <c r="Z5541">
        <v>8</v>
      </c>
      <c r="AA5541">
        <v>530</v>
      </c>
      <c r="AB5541">
        <v>1.5</v>
      </c>
    </row>
    <row r="5542" spans="20:28">
      <c r="T5542" s="340" t="str">
        <f t="shared" si="203"/>
        <v>2015AllSexAllEth19Submersion (drowning)</v>
      </c>
      <c r="U5542">
        <v>2015</v>
      </c>
      <c r="V5542" t="s">
        <v>17</v>
      </c>
      <c r="W5542" t="s">
        <v>27</v>
      </c>
      <c r="X5542">
        <v>19</v>
      </c>
      <c r="Y5542" t="s">
        <v>49</v>
      </c>
      <c r="Z5542">
        <v>12</v>
      </c>
      <c r="AA5542">
        <v>530</v>
      </c>
      <c r="AB5542">
        <v>2.2999999999999998</v>
      </c>
    </row>
    <row r="5543" spans="20:28">
      <c r="T5543" s="340" t="str">
        <f t="shared" si="203"/>
        <v>2015AllSexMaori19Firearms and explosives</v>
      </c>
      <c r="U5543">
        <v>2015</v>
      </c>
      <c r="V5543" t="s">
        <v>17</v>
      </c>
      <c r="W5543" t="s">
        <v>18</v>
      </c>
      <c r="X5543">
        <v>19</v>
      </c>
      <c r="Y5543" t="s">
        <v>42</v>
      </c>
      <c r="Z5543">
        <v>1</v>
      </c>
      <c r="AA5543">
        <v>118</v>
      </c>
      <c r="AB5543">
        <v>0.8</v>
      </c>
    </row>
    <row r="5544" spans="20:28">
      <c r="T5544" s="340" t="str">
        <f t="shared" si="203"/>
        <v>2015AllSexMaori19Hanging, strangulation and suffocation</v>
      </c>
      <c r="U5544">
        <v>2015</v>
      </c>
      <c r="V5544" t="s">
        <v>17</v>
      </c>
      <c r="W5544" t="s">
        <v>18</v>
      </c>
      <c r="X5544">
        <v>19</v>
      </c>
      <c r="Y5544" t="s">
        <v>43</v>
      </c>
      <c r="Z5544">
        <v>105</v>
      </c>
      <c r="AA5544">
        <v>118</v>
      </c>
      <c r="AB5544">
        <v>89</v>
      </c>
    </row>
    <row r="5545" spans="20:28">
      <c r="T5545" s="340" t="str">
        <f t="shared" si="203"/>
        <v>2015AllSexMaori19Other</v>
      </c>
      <c r="U5545">
        <v>2015</v>
      </c>
      <c r="V5545" t="s">
        <v>17</v>
      </c>
      <c r="W5545" t="s">
        <v>18</v>
      </c>
      <c r="X5545">
        <v>19</v>
      </c>
      <c r="Y5545" t="s">
        <v>45</v>
      </c>
      <c r="Z5545">
        <v>4</v>
      </c>
      <c r="AA5545">
        <v>118</v>
      </c>
      <c r="AB5545">
        <v>3.4</v>
      </c>
    </row>
    <row r="5546" spans="20:28">
      <c r="T5546" s="340" t="str">
        <f t="shared" si="203"/>
        <v>2015AllSexMaori19Poisoning by gases and vapours</v>
      </c>
      <c r="U5546">
        <v>2015</v>
      </c>
      <c r="V5546" t="s">
        <v>17</v>
      </c>
      <c r="W5546" t="s">
        <v>18</v>
      </c>
      <c r="X5546">
        <v>19</v>
      </c>
      <c r="Y5546" t="s">
        <v>46</v>
      </c>
      <c r="Z5546">
        <v>4</v>
      </c>
      <c r="AA5546">
        <v>118</v>
      </c>
      <c r="AB5546">
        <v>3.4</v>
      </c>
    </row>
    <row r="5547" spans="20:28">
      <c r="T5547" s="340" t="str">
        <f t="shared" si="203"/>
        <v>2015AllSexMaori19Poisoning by solids and liquids</v>
      </c>
      <c r="U5547">
        <v>2015</v>
      </c>
      <c r="V5547" t="s">
        <v>17</v>
      </c>
      <c r="W5547" t="s">
        <v>18</v>
      </c>
      <c r="X5547">
        <v>19</v>
      </c>
      <c r="Y5547" t="s">
        <v>47</v>
      </c>
      <c r="Z5547">
        <v>2</v>
      </c>
      <c r="AA5547">
        <v>118</v>
      </c>
      <c r="AB5547">
        <v>1.7</v>
      </c>
    </row>
    <row r="5548" spans="20:28">
      <c r="T5548" s="340" t="str">
        <f t="shared" si="203"/>
        <v>2015AllSexMaori19Submersion (drowning)</v>
      </c>
      <c r="U5548">
        <v>2015</v>
      </c>
      <c r="V5548" t="s">
        <v>17</v>
      </c>
      <c r="W5548" t="s">
        <v>18</v>
      </c>
      <c r="X5548">
        <v>19</v>
      </c>
      <c r="Y5548" t="s">
        <v>49</v>
      </c>
      <c r="Z5548">
        <v>2</v>
      </c>
      <c r="AA5548">
        <v>118</v>
      </c>
      <c r="AB5548">
        <v>1.7</v>
      </c>
    </row>
    <row r="5549" spans="20:28">
      <c r="T5549" s="340" t="str">
        <f t="shared" si="203"/>
        <v>2015AllSexNon-Maori19Firearms and explosives</v>
      </c>
      <c r="U5549">
        <v>2015</v>
      </c>
      <c r="V5549" t="s">
        <v>17</v>
      </c>
      <c r="W5549" t="s">
        <v>19</v>
      </c>
      <c r="X5549">
        <v>19</v>
      </c>
      <c r="Y5549" t="s">
        <v>42</v>
      </c>
      <c r="Z5549">
        <v>40</v>
      </c>
      <c r="AA5549">
        <v>412</v>
      </c>
      <c r="AB5549">
        <v>9.6999999999999993</v>
      </c>
    </row>
    <row r="5550" spans="20:28">
      <c r="T5550" s="340" t="str">
        <f t="shared" si="203"/>
        <v>2015AllSexNon-Maori19Hanging, strangulation and suffocation</v>
      </c>
      <c r="U5550">
        <v>2015</v>
      </c>
      <c r="V5550" t="s">
        <v>17</v>
      </c>
      <c r="W5550" t="s">
        <v>19</v>
      </c>
      <c r="X5550">
        <v>19</v>
      </c>
      <c r="Y5550" t="s">
        <v>43</v>
      </c>
      <c r="Z5550">
        <v>222</v>
      </c>
      <c r="AA5550">
        <v>412</v>
      </c>
      <c r="AB5550">
        <v>53.9</v>
      </c>
    </row>
    <row r="5551" spans="20:28">
      <c r="T5551" s="340" t="str">
        <f t="shared" si="203"/>
        <v>2015AllSexNon-Maori19Jumping from a high place</v>
      </c>
      <c r="U5551">
        <v>2015</v>
      </c>
      <c r="V5551" t="s">
        <v>17</v>
      </c>
      <c r="W5551" t="s">
        <v>19</v>
      </c>
      <c r="X5551">
        <v>19</v>
      </c>
      <c r="Y5551" t="s">
        <v>44</v>
      </c>
      <c r="Z5551">
        <v>18</v>
      </c>
      <c r="AA5551">
        <v>412</v>
      </c>
      <c r="AB5551">
        <v>4.4000000000000004</v>
      </c>
    </row>
    <row r="5552" spans="20:28">
      <c r="T5552" s="340" t="str">
        <f t="shared" si="203"/>
        <v>2015AllSexNon-Maori19Other</v>
      </c>
      <c r="U5552">
        <v>2015</v>
      </c>
      <c r="V5552" t="s">
        <v>17</v>
      </c>
      <c r="W5552" t="s">
        <v>19</v>
      </c>
      <c r="X5552">
        <v>19</v>
      </c>
      <c r="Y5552" t="s">
        <v>45</v>
      </c>
      <c r="Z5552">
        <v>21</v>
      </c>
      <c r="AA5552">
        <v>412</v>
      </c>
      <c r="AB5552">
        <v>5.0999999999999996</v>
      </c>
    </row>
    <row r="5553" spans="20:28">
      <c r="T5553" s="340" t="str">
        <f t="shared" si="203"/>
        <v>2015AllSexNon-Maori19Poisoning by gases and vapours</v>
      </c>
      <c r="U5553">
        <v>2015</v>
      </c>
      <c r="V5553" t="s">
        <v>17</v>
      </c>
      <c r="W5553" t="s">
        <v>19</v>
      </c>
      <c r="X5553">
        <v>19</v>
      </c>
      <c r="Y5553" t="s">
        <v>46</v>
      </c>
      <c r="Z5553">
        <v>41</v>
      </c>
      <c r="AA5553">
        <v>412</v>
      </c>
      <c r="AB5553">
        <v>10</v>
      </c>
    </row>
    <row r="5554" spans="20:28">
      <c r="T5554" s="340" t="str">
        <f t="shared" si="203"/>
        <v>2015AllSexNon-Maori19Poisoning by solids and liquids</v>
      </c>
      <c r="U5554">
        <v>2015</v>
      </c>
      <c r="V5554" t="s">
        <v>17</v>
      </c>
      <c r="W5554" t="s">
        <v>19</v>
      </c>
      <c r="X5554">
        <v>19</v>
      </c>
      <c r="Y5554" t="s">
        <v>47</v>
      </c>
      <c r="Z5554">
        <v>52</v>
      </c>
      <c r="AA5554">
        <v>412</v>
      </c>
      <c r="AB5554">
        <v>12.6</v>
      </c>
    </row>
    <row r="5555" spans="20:28">
      <c r="T5555" s="340" t="str">
        <f t="shared" si="203"/>
        <v>2015AllSexNon-Maori19Sharp object</v>
      </c>
      <c r="U5555">
        <v>2015</v>
      </c>
      <c r="V5555" t="s">
        <v>17</v>
      </c>
      <c r="W5555" t="s">
        <v>19</v>
      </c>
      <c r="X5555">
        <v>19</v>
      </c>
      <c r="Y5555" t="s">
        <v>48</v>
      </c>
      <c r="Z5555">
        <v>8</v>
      </c>
      <c r="AA5555">
        <v>412</v>
      </c>
      <c r="AB5555">
        <v>1.9</v>
      </c>
    </row>
    <row r="5556" spans="20:28">
      <c r="T5556" s="340" t="str">
        <f t="shared" si="203"/>
        <v>2015AllSexNon-Maori19Submersion (drowning)</v>
      </c>
      <c r="U5556">
        <v>2015</v>
      </c>
      <c r="V5556" t="s">
        <v>17</v>
      </c>
      <c r="W5556" t="s">
        <v>19</v>
      </c>
      <c r="X5556">
        <v>19</v>
      </c>
      <c r="Y5556" t="s">
        <v>49</v>
      </c>
      <c r="Z5556">
        <v>10</v>
      </c>
      <c r="AA5556">
        <v>412</v>
      </c>
      <c r="AB5556">
        <v>2.4</v>
      </c>
    </row>
    <row r="5557" spans="20:28">
      <c r="T5557" s="340" t="str">
        <f t="shared" si="203"/>
        <v>2015FemaleAllEth19Firearms and explosives</v>
      </c>
      <c r="U5557">
        <v>2015</v>
      </c>
      <c r="V5557" t="s">
        <v>8</v>
      </c>
      <c r="W5557" t="s">
        <v>27</v>
      </c>
      <c r="X5557">
        <v>19</v>
      </c>
      <c r="Y5557" t="s">
        <v>42</v>
      </c>
      <c r="Z5557">
        <v>3</v>
      </c>
      <c r="AA5557">
        <v>144</v>
      </c>
      <c r="AB5557">
        <v>2.1</v>
      </c>
    </row>
    <row r="5558" spans="20:28">
      <c r="T5558" s="340" t="str">
        <f t="shared" si="203"/>
        <v>2015FemaleAllEth19Hanging, strangulation and suffocation</v>
      </c>
      <c r="U5558">
        <v>2015</v>
      </c>
      <c r="V5558" t="s">
        <v>8</v>
      </c>
      <c r="W5558" t="s">
        <v>27</v>
      </c>
      <c r="X5558">
        <v>19</v>
      </c>
      <c r="Y5558" t="s">
        <v>43</v>
      </c>
      <c r="Z5558">
        <v>84</v>
      </c>
      <c r="AA5558">
        <v>144</v>
      </c>
      <c r="AB5558">
        <v>58.3</v>
      </c>
    </row>
    <row r="5559" spans="20:28">
      <c r="T5559" s="340" t="str">
        <f t="shared" si="203"/>
        <v>2015FemaleAllEth19Jumping from a high place</v>
      </c>
      <c r="U5559">
        <v>2015</v>
      </c>
      <c r="V5559" t="s">
        <v>8</v>
      </c>
      <c r="W5559" t="s">
        <v>27</v>
      </c>
      <c r="X5559">
        <v>19</v>
      </c>
      <c r="Y5559" t="s">
        <v>44</v>
      </c>
      <c r="Z5559">
        <v>3</v>
      </c>
      <c r="AA5559">
        <v>144</v>
      </c>
      <c r="AB5559">
        <v>2.1</v>
      </c>
    </row>
    <row r="5560" spans="20:28">
      <c r="T5560" s="340" t="str">
        <f t="shared" si="203"/>
        <v>2015FemaleAllEth19Other</v>
      </c>
      <c r="U5560">
        <v>2015</v>
      </c>
      <c r="V5560" t="s">
        <v>8</v>
      </c>
      <c r="W5560" t="s">
        <v>27</v>
      </c>
      <c r="X5560">
        <v>19</v>
      </c>
      <c r="Y5560" t="s">
        <v>45</v>
      </c>
      <c r="Z5560">
        <v>8</v>
      </c>
      <c r="AA5560">
        <v>144</v>
      </c>
      <c r="AB5560">
        <v>5.6</v>
      </c>
    </row>
    <row r="5561" spans="20:28">
      <c r="T5561" s="340" t="str">
        <f t="shared" si="203"/>
        <v>2015FemaleAllEth19Poisoning by gases and vapours</v>
      </c>
      <c r="U5561">
        <v>2015</v>
      </c>
      <c r="V5561" t="s">
        <v>8</v>
      </c>
      <c r="W5561" t="s">
        <v>27</v>
      </c>
      <c r="X5561">
        <v>19</v>
      </c>
      <c r="Y5561" t="s">
        <v>46</v>
      </c>
      <c r="Z5561">
        <v>8</v>
      </c>
      <c r="AA5561">
        <v>144</v>
      </c>
      <c r="AB5561">
        <v>5.6</v>
      </c>
    </row>
    <row r="5562" spans="20:28">
      <c r="T5562" s="340" t="str">
        <f t="shared" si="203"/>
        <v>2015FemaleAllEth19Poisoning by solids and liquids</v>
      </c>
      <c r="U5562">
        <v>2015</v>
      </c>
      <c r="V5562" t="s">
        <v>8</v>
      </c>
      <c r="W5562" t="s">
        <v>27</v>
      </c>
      <c r="X5562">
        <v>19</v>
      </c>
      <c r="Y5562" t="s">
        <v>47</v>
      </c>
      <c r="Z5562">
        <v>34</v>
      </c>
      <c r="AA5562">
        <v>144</v>
      </c>
      <c r="AB5562">
        <v>23.6</v>
      </c>
    </row>
    <row r="5563" spans="20:28">
      <c r="T5563" s="340" t="str">
        <f t="shared" si="203"/>
        <v>2015FemaleAllEth19Submersion (drowning)</v>
      </c>
      <c r="U5563">
        <v>2015</v>
      </c>
      <c r="V5563" t="s">
        <v>8</v>
      </c>
      <c r="W5563" t="s">
        <v>27</v>
      </c>
      <c r="X5563">
        <v>19</v>
      </c>
      <c r="Y5563" t="s">
        <v>49</v>
      </c>
      <c r="Z5563">
        <v>4</v>
      </c>
      <c r="AA5563">
        <v>144</v>
      </c>
      <c r="AB5563">
        <v>2.8</v>
      </c>
    </row>
    <row r="5564" spans="20:28">
      <c r="T5564" s="340" t="str">
        <f t="shared" si="203"/>
        <v>2015FemaleMaori19Hanging, strangulation and suffocation</v>
      </c>
      <c r="U5564">
        <v>2015</v>
      </c>
      <c r="V5564" t="s">
        <v>8</v>
      </c>
      <c r="W5564" t="s">
        <v>18</v>
      </c>
      <c r="X5564">
        <v>19</v>
      </c>
      <c r="Y5564" t="s">
        <v>43</v>
      </c>
      <c r="Z5564">
        <v>36</v>
      </c>
      <c r="AA5564">
        <v>40</v>
      </c>
      <c r="AB5564">
        <v>90</v>
      </c>
    </row>
    <row r="5565" spans="20:28">
      <c r="T5565" s="340" t="str">
        <f t="shared" si="203"/>
        <v>2015FemaleMaori19Other</v>
      </c>
      <c r="U5565">
        <v>2015</v>
      </c>
      <c r="V5565" t="s">
        <v>8</v>
      </c>
      <c r="W5565" t="s">
        <v>18</v>
      </c>
      <c r="X5565">
        <v>19</v>
      </c>
      <c r="Y5565" t="s">
        <v>45</v>
      </c>
      <c r="Z5565">
        <v>2</v>
      </c>
      <c r="AA5565">
        <v>40</v>
      </c>
      <c r="AB5565">
        <v>5</v>
      </c>
    </row>
    <row r="5566" spans="20:28">
      <c r="T5566" s="340" t="str">
        <f t="shared" si="203"/>
        <v>2015FemaleMaori19Poisoning by solids and liquids</v>
      </c>
      <c r="U5566">
        <v>2015</v>
      </c>
      <c r="V5566" t="s">
        <v>8</v>
      </c>
      <c r="W5566" t="s">
        <v>18</v>
      </c>
      <c r="X5566">
        <v>19</v>
      </c>
      <c r="Y5566" t="s">
        <v>47</v>
      </c>
      <c r="Z5566">
        <v>2</v>
      </c>
      <c r="AA5566">
        <v>40</v>
      </c>
      <c r="AB5566">
        <v>5</v>
      </c>
    </row>
    <row r="5567" spans="20:28">
      <c r="T5567" s="340" t="str">
        <f t="shared" si="203"/>
        <v>2015FemaleNon-Maori19Firearms and explosives</v>
      </c>
      <c r="U5567">
        <v>2015</v>
      </c>
      <c r="V5567" t="s">
        <v>8</v>
      </c>
      <c r="W5567" t="s">
        <v>19</v>
      </c>
      <c r="X5567">
        <v>19</v>
      </c>
      <c r="Y5567" t="s">
        <v>42</v>
      </c>
      <c r="Z5567">
        <v>3</v>
      </c>
      <c r="AA5567">
        <v>104</v>
      </c>
      <c r="AB5567">
        <v>2.9</v>
      </c>
    </row>
    <row r="5568" spans="20:28">
      <c r="T5568" s="340" t="str">
        <f t="shared" si="203"/>
        <v>2015FemaleNon-Maori19Hanging, strangulation and suffocation</v>
      </c>
      <c r="U5568">
        <v>2015</v>
      </c>
      <c r="V5568" t="s">
        <v>8</v>
      </c>
      <c r="W5568" t="s">
        <v>19</v>
      </c>
      <c r="X5568">
        <v>19</v>
      </c>
      <c r="Y5568" t="s">
        <v>43</v>
      </c>
      <c r="Z5568">
        <v>48</v>
      </c>
      <c r="AA5568">
        <v>104</v>
      </c>
      <c r="AB5568">
        <v>46.2</v>
      </c>
    </row>
    <row r="5569" spans="20:28">
      <c r="T5569" s="340" t="str">
        <f t="shared" si="203"/>
        <v>2015FemaleNon-Maori19Jumping from a high place</v>
      </c>
      <c r="U5569">
        <v>2015</v>
      </c>
      <c r="V5569" t="s">
        <v>8</v>
      </c>
      <c r="W5569" t="s">
        <v>19</v>
      </c>
      <c r="X5569">
        <v>19</v>
      </c>
      <c r="Y5569" t="s">
        <v>44</v>
      </c>
      <c r="Z5569">
        <v>3</v>
      </c>
      <c r="AA5569">
        <v>104</v>
      </c>
      <c r="AB5569">
        <v>2.9</v>
      </c>
    </row>
    <row r="5570" spans="20:28">
      <c r="T5570" s="340" t="str">
        <f t="shared" si="203"/>
        <v>2015FemaleNon-Maori19Other</v>
      </c>
      <c r="U5570">
        <v>2015</v>
      </c>
      <c r="V5570" t="s">
        <v>8</v>
      </c>
      <c r="W5570" t="s">
        <v>19</v>
      </c>
      <c r="X5570">
        <v>19</v>
      </c>
      <c r="Y5570" t="s">
        <v>45</v>
      </c>
      <c r="Z5570">
        <v>6</v>
      </c>
      <c r="AA5570">
        <v>104</v>
      </c>
      <c r="AB5570">
        <v>5.8</v>
      </c>
    </row>
    <row r="5571" spans="20:28">
      <c r="T5571" s="340" t="str">
        <f t="shared" si="203"/>
        <v>2015FemaleNon-Maori19Poisoning by gases and vapours</v>
      </c>
      <c r="U5571">
        <v>2015</v>
      </c>
      <c r="V5571" t="s">
        <v>8</v>
      </c>
      <c r="W5571" t="s">
        <v>19</v>
      </c>
      <c r="X5571">
        <v>19</v>
      </c>
      <c r="Y5571" t="s">
        <v>46</v>
      </c>
      <c r="Z5571">
        <v>8</v>
      </c>
      <c r="AA5571">
        <v>104</v>
      </c>
      <c r="AB5571">
        <v>7.7</v>
      </c>
    </row>
    <row r="5572" spans="20:28">
      <c r="T5572" s="340" t="str">
        <f t="shared" si="203"/>
        <v>2015FemaleNon-Maori19Poisoning by solids and liquids</v>
      </c>
      <c r="U5572">
        <v>2015</v>
      </c>
      <c r="V5572" t="s">
        <v>8</v>
      </c>
      <c r="W5572" t="s">
        <v>19</v>
      </c>
      <c r="X5572">
        <v>19</v>
      </c>
      <c r="Y5572" t="s">
        <v>47</v>
      </c>
      <c r="Z5572">
        <v>32</v>
      </c>
      <c r="AA5572">
        <v>104</v>
      </c>
      <c r="AB5572">
        <v>30.8</v>
      </c>
    </row>
    <row r="5573" spans="20:28">
      <c r="T5573" s="340" t="str">
        <f t="shared" ref="T5573:T5636" si="204">U5573&amp;V5573&amp;W5573&amp;X5573&amp;Y5573</f>
        <v>2015FemaleNon-Maori19Submersion (drowning)</v>
      </c>
      <c r="U5573">
        <v>2015</v>
      </c>
      <c r="V5573" t="s">
        <v>8</v>
      </c>
      <c r="W5573" t="s">
        <v>19</v>
      </c>
      <c r="X5573">
        <v>19</v>
      </c>
      <c r="Y5573" t="s">
        <v>49</v>
      </c>
      <c r="Z5573">
        <v>4</v>
      </c>
      <c r="AA5573">
        <v>104</v>
      </c>
      <c r="AB5573">
        <v>3.8</v>
      </c>
    </row>
    <row r="5574" spans="20:28">
      <c r="T5574" s="340" t="str">
        <f t="shared" si="204"/>
        <v>2015MaleAllEth19Firearms and explosives</v>
      </c>
      <c r="U5574">
        <v>2015</v>
      </c>
      <c r="V5574" t="s">
        <v>20</v>
      </c>
      <c r="W5574" t="s">
        <v>27</v>
      </c>
      <c r="X5574">
        <v>19</v>
      </c>
      <c r="Y5574" t="s">
        <v>42</v>
      </c>
      <c r="Z5574">
        <v>38</v>
      </c>
      <c r="AA5574">
        <v>386</v>
      </c>
      <c r="AB5574">
        <v>9.8000000000000007</v>
      </c>
    </row>
    <row r="5575" spans="20:28">
      <c r="T5575" s="340" t="str">
        <f t="shared" si="204"/>
        <v>2015MaleAllEth19Hanging, strangulation and suffocation</v>
      </c>
      <c r="U5575">
        <v>2015</v>
      </c>
      <c r="V5575" t="s">
        <v>20</v>
      </c>
      <c r="W5575" t="s">
        <v>27</v>
      </c>
      <c r="X5575">
        <v>19</v>
      </c>
      <c r="Y5575" t="s">
        <v>43</v>
      </c>
      <c r="Z5575">
        <v>243</v>
      </c>
      <c r="AA5575">
        <v>386</v>
      </c>
      <c r="AB5575">
        <v>63</v>
      </c>
    </row>
    <row r="5576" spans="20:28">
      <c r="T5576" s="340" t="str">
        <f t="shared" si="204"/>
        <v>2015MaleAllEth19Jumping from a high place</v>
      </c>
      <c r="U5576">
        <v>2015</v>
      </c>
      <c r="V5576" t="s">
        <v>20</v>
      </c>
      <c r="W5576" t="s">
        <v>27</v>
      </c>
      <c r="X5576">
        <v>19</v>
      </c>
      <c r="Y5576" t="s">
        <v>44</v>
      </c>
      <c r="Z5576">
        <v>15</v>
      </c>
      <c r="AA5576">
        <v>386</v>
      </c>
      <c r="AB5576">
        <v>3.9</v>
      </c>
    </row>
    <row r="5577" spans="20:28">
      <c r="T5577" s="340" t="str">
        <f t="shared" si="204"/>
        <v>2015MaleAllEth19Other</v>
      </c>
      <c r="U5577">
        <v>2015</v>
      </c>
      <c r="V5577" t="s">
        <v>20</v>
      </c>
      <c r="W5577" t="s">
        <v>27</v>
      </c>
      <c r="X5577">
        <v>19</v>
      </c>
      <c r="Y5577" t="s">
        <v>45</v>
      </c>
      <c r="Z5577">
        <v>17</v>
      </c>
      <c r="AA5577">
        <v>386</v>
      </c>
      <c r="AB5577">
        <v>4.4000000000000004</v>
      </c>
    </row>
    <row r="5578" spans="20:28">
      <c r="T5578" s="340" t="str">
        <f t="shared" si="204"/>
        <v>2015MaleAllEth19Poisoning by gases and vapours</v>
      </c>
      <c r="U5578">
        <v>2015</v>
      </c>
      <c r="V5578" t="s">
        <v>20</v>
      </c>
      <c r="W5578" t="s">
        <v>27</v>
      </c>
      <c r="X5578">
        <v>19</v>
      </c>
      <c r="Y5578" t="s">
        <v>46</v>
      </c>
      <c r="Z5578">
        <v>37</v>
      </c>
      <c r="AA5578">
        <v>386</v>
      </c>
      <c r="AB5578">
        <v>9.6</v>
      </c>
    </row>
    <row r="5579" spans="20:28">
      <c r="T5579" s="340" t="str">
        <f t="shared" si="204"/>
        <v>2015MaleAllEth19Poisoning by solids and liquids</v>
      </c>
      <c r="U5579">
        <v>2015</v>
      </c>
      <c r="V5579" t="s">
        <v>20</v>
      </c>
      <c r="W5579" t="s">
        <v>27</v>
      </c>
      <c r="X5579">
        <v>19</v>
      </c>
      <c r="Y5579" t="s">
        <v>47</v>
      </c>
      <c r="Z5579">
        <v>20</v>
      </c>
      <c r="AA5579">
        <v>386</v>
      </c>
      <c r="AB5579">
        <v>5.2</v>
      </c>
    </row>
    <row r="5580" spans="20:28">
      <c r="T5580" s="340" t="str">
        <f t="shared" si="204"/>
        <v>2015MaleAllEth19Sharp object</v>
      </c>
      <c r="U5580">
        <v>2015</v>
      </c>
      <c r="V5580" t="s">
        <v>20</v>
      </c>
      <c r="W5580" t="s">
        <v>27</v>
      </c>
      <c r="X5580">
        <v>19</v>
      </c>
      <c r="Y5580" t="s">
        <v>48</v>
      </c>
      <c r="Z5580">
        <v>8</v>
      </c>
      <c r="AA5580">
        <v>386</v>
      </c>
      <c r="AB5580">
        <v>2.1</v>
      </c>
    </row>
    <row r="5581" spans="20:28">
      <c r="T5581" s="340" t="str">
        <f t="shared" si="204"/>
        <v>2015MaleAllEth19Submersion (drowning)</v>
      </c>
      <c r="U5581">
        <v>2015</v>
      </c>
      <c r="V5581" t="s">
        <v>20</v>
      </c>
      <c r="W5581" t="s">
        <v>27</v>
      </c>
      <c r="X5581">
        <v>19</v>
      </c>
      <c r="Y5581" t="s">
        <v>49</v>
      </c>
      <c r="Z5581">
        <v>8</v>
      </c>
      <c r="AA5581">
        <v>386</v>
      </c>
      <c r="AB5581">
        <v>2.1</v>
      </c>
    </row>
    <row r="5582" spans="20:28">
      <c r="T5582" s="340" t="str">
        <f t="shared" si="204"/>
        <v>2015MaleMaori19Firearms and explosives</v>
      </c>
      <c r="U5582">
        <v>2015</v>
      </c>
      <c r="V5582" t="s">
        <v>20</v>
      </c>
      <c r="W5582" t="s">
        <v>18</v>
      </c>
      <c r="X5582">
        <v>19</v>
      </c>
      <c r="Y5582" t="s">
        <v>42</v>
      </c>
      <c r="Z5582">
        <v>1</v>
      </c>
      <c r="AA5582">
        <v>78</v>
      </c>
      <c r="AB5582">
        <v>1.3</v>
      </c>
    </row>
    <row r="5583" spans="20:28">
      <c r="T5583" s="340" t="str">
        <f t="shared" si="204"/>
        <v>2015MaleMaori19Hanging, strangulation and suffocation</v>
      </c>
      <c r="U5583">
        <v>2015</v>
      </c>
      <c r="V5583" t="s">
        <v>20</v>
      </c>
      <c r="W5583" t="s">
        <v>18</v>
      </c>
      <c r="X5583">
        <v>19</v>
      </c>
      <c r="Y5583" t="s">
        <v>43</v>
      </c>
      <c r="Z5583">
        <v>69</v>
      </c>
      <c r="AA5583">
        <v>78</v>
      </c>
      <c r="AB5583">
        <v>88.5</v>
      </c>
    </row>
    <row r="5584" spans="20:28">
      <c r="T5584" s="340" t="str">
        <f t="shared" si="204"/>
        <v>2015MaleMaori19Other</v>
      </c>
      <c r="U5584">
        <v>2015</v>
      </c>
      <c r="V5584" t="s">
        <v>20</v>
      </c>
      <c r="W5584" t="s">
        <v>18</v>
      </c>
      <c r="X5584">
        <v>19</v>
      </c>
      <c r="Y5584" t="s">
        <v>45</v>
      </c>
      <c r="Z5584">
        <v>2</v>
      </c>
      <c r="AA5584">
        <v>78</v>
      </c>
      <c r="AB5584">
        <v>2.6</v>
      </c>
    </row>
    <row r="5585" spans="20:28">
      <c r="T5585" s="340" t="str">
        <f t="shared" si="204"/>
        <v>2015MaleMaori19Poisoning by gases and vapours</v>
      </c>
      <c r="U5585">
        <v>2015</v>
      </c>
      <c r="V5585" t="s">
        <v>20</v>
      </c>
      <c r="W5585" t="s">
        <v>18</v>
      </c>
      <c r="X5585">
        <v>19</v>
      </c>
      <c r="Y5585" t="s">
        <v>46</v>
      </c>
      <c r="Z5585">
        <v>4</v>
      </c>
      <c r="AA5585">
        <v>78</v>
      </c>
      <c r="AB5585">
        <v>5.0999999999999996</v>
      </c>
    </row>
    <row r="5586" spans="20:28">
      <c r="T5586" s="340" t="str">
        <f t="shared" si="204"/>
        <v>2015MaleMaori19Submersion (drowning)</v>
      </c>
      <c r="U5586">
        <v>2015</v>
      </c>
      <c r="V5586" t="s">
        <v>20</v>
      </c>
      <c r="W5586" t="s">
        <v>18</v>
      </c>
      <c r="X5586">
        <v>19</v>
      </c>
      <c r="Y5586" t="s">
        <v>49</v>
      </c>
      <c r="Z5586">
        <v>2</v>
      </c>
      <c r="AA5586">
        <v>78</v>
      </c>
      <c r="AB5586">
        <v>2.6</v>
      </c>
    </row>
    <row r="5587" spans="20:28">
      <c r="T5587" s="340" t="str">
        <f t="shared" si="204"/>
        <v>2015MaleNon-Maori19Firearms and explosives</v>
      </c>
      <c r="U5587">
        <v>2015</v>
      </c>
      <c r="V5587" t="s">
        <v>20</v>
      </c>
      <c r="W5587" t="s">
        <v>19</v>
      </c>
      <c r="X5587">
        <v>19</v>
      </c>
      <c r="Y5587" t="s">
        <v>42</v>
      </c>
      <c r="Z5587">
        <v>37</v>
      </c>
      <c r="AA5587">
        <v>308</v>
      </c>
      <c r="AB5587">
        <v>12</v>
      </c>
    </row>
    <row r="5588" spans="20:28">
      <c r="T5588" s="340" t="str">
        <f t="shared" si="204"/>
        <v>2015MaleNon-Maori19Hanging, strangulation and suffocation</v>
      </c>
      <c r="U5588">
        <v>2015</v>
      </c>
      <c r="V5588" t="s">
        <v>20</v>
      </c>
      <c r="W5588" t="s">
        <v>19</v>
      </c>
      <c r="X5588">
        <v>19</v>
      </c>
      <c r="Y5588" t="s">
        <v>43</v>
      </c>
      <c r="Z5588">
        <v>174</v>
      </c>
      <c r="AA5588">
        <v>308</v>
      </c>
      <c r="AB5588">
        <v>56.5</v>
      </c>
    </row>
    <row r="5589" spans="20:28">
      <c r="T5589" s="340" t="str">
        <f t="shared" si="204"/>
        <v>2015MaleNon-Maori19Jumping from a high place</v>
      </c>
      <c r="U5589">
        <v>2015</v>
      </c>
      <c r="V5589" t="s">
        <v>20</v>
      </c>
      <c r="W5589" t="s">
        <v>19</v>
      </c>
      <c r="X5589">
        <v>19</v>
      </c>
      <c r="Y5589" t="s">
        <v>44</v>
      </c>
      <c r="Z5589">
        <v>15</v>
      </c>
      <c r="AA5589">
        <v>308</v>
      </c>
      <c r="AB5589">
        <v>4.9000000000000004</v>
      </c>
    </row>
    <row r="5590" spans="20:28">
      <c r="T5590" s="340" t="str">
        <f t="shared" si="204"/>
        <v>2015MaleNon-Maori19Other</v>
      </c>
      <c r="U5590">
        <v>2015</v>
      </c>
      <c r="V5590" t="s">
        <v>20</v>
      </c>
      <c r="W5590" t="s">
        <v>19</v>
      </c>
      <c r="X5590">
        <v>19</v>
      </c>
      <c r="Y5590" t="s">
        <v>45</v>
      </c>
      <c r="Z5590">
        <v>15</v>
      </c>
      <c r="AA5590">
        <v>308</v>
      </c>
      <c r="AB5590">
        <v>4.9000000000000004</v>
      </c>
    </row>
    <row r="5591" spans="20:28">
      <c r="T5591" s="340" t="str">
        <f t="shared" si="204"/>
        <v>2015MaleNon-Maori19Poisoning by gases and vapours</v>
      </c>
      <c r="U5591">
        <v>2015</v>
      </c>
      <c r="V5591" t="s">
        <v>20</v>
      </c>
      <c r="W5591" t="s">
        <v>19</v>
      </c>
      <c r="X5591">
        <v>19</v>
      </c>
      <c r="Y5591" t="s">
        <v>46</v>
      </c>
      <c r="Z5591">
        <v>33</v>
      </c>
      <c r="AA5591">
        <v>308</v>
      </c>
      <c r="AB5591">
        <v>10.7</v>
      </c>
    </row>
    <row r="5592" spans="20:28">
      <c r="T5592" s="340" t="str">
        <f t="shared" si="204"/>
        <v>2015MaleNon-Maori19Poisoning by solids and liquids</v>
      </c>
      <c r="U5592">
        <v>2015</v>
      </c>
      <c r="V5592" t="s">
        <v>20</v>
      </c>
      <c r="W5592" t="s">
        <v>19</v>
      </c>
      <c r="X5592">
        <v>19</v>
      </c>
      <c r="Y5592" t="s">
        <v>47</v>
      </c>
      <c r="Z5592">
        <v>20</v>
      </c>
      <c r="AA5592">
        <v>308</v>
      </c>
      <c r="AB5592">
        <v>6.5</v>
      </c>
    </row>
    <row r="5593" spans="20:28">
      <c r="T5593" s="340" t="str">
        <f t="shared" si="204"/>
        <v>2015MaleNon-Maori19Sharp object</v>
      </c>
      <c r="U5593">
        <v>2015</v>
      </c>
      <c r="V5593" t="s">
        <v>20</v>
      </c>
      <c r="W5593" t="s">
        <v>19</v>
      </c>
      <c r="X5593">
        <v>19</v>
      </c>
      <c r="Y5593" t="s">
        <v>48</v>
      </c>
      <c r="Z5593">
        <v>8</v>
      </c>
      <c r="AA5593">
        <v>308</v>
      </c>
      <c r="AB5593">
        <v>2.6</v>
      </c>
    </row>
    <row r="5594" spans="20:28">
      <c r="T5594" s="340" t="str">
        <f t="shared" si="204"/>
        <v>2015MaleNon-Maori19Submersion (drowning)</v>
      </c>
      <c r="U5594">
        <v>2015</v>
      </c>
      <c r="V5594" t="s">
        <v>20</v>
      </c>
      <c r="W5594" t="s">
        <v>19</v>
      </c>
      <c r="X5594">
        <v>19</v>
      </c>
      <c r="Y5594" t="s">
        <v>49</v>
      </c>
      <c r="Z5594">
        <v>6</v>
      </c>
      <c r="AA5594">
        <v>308</v>
      </c>
      <c r="AB5594">
        <v>1.9</v>
      </c>
    </row>
    <row r="5595" spans="20:28">
      <c r="T5595" s="340" t="str">
        <f t="shared" si="204"/>
        <v>2016AllSexAllEth19Firearms and explosives</v>
      </c>
      <c r="U5595">
        <v>2016</v>
      </c>
      <c r="V5595" t="s">
        <v>17</v>
      </c>
      <c r="W5595" t="s">
        <v>27</v>
      </c>
      <c r="X5595">
        <v>19</v>
      </c>
      <c r="Y5595" t="s">
        <v>42</v>
      </c>
      <c r="Z5595">
        <v>34</v>
      </c>
      <c r="AA5595">
        <v>554</v>
      </c>
      <c r="AB5595">
        <v>6.1</v>
      </c>
    </row>
    <row r="5596" spans="20:28">
      <c r="T5596" s="340" t="str">
        <f t="shared" si="204"/>
        <v>2016AllSexAllEth19Hanging, strangulation and suffocation</v>
      </c>
      <c r="U5596">
        <v>2016</v>
      </c>
      <c r="V5596" t="s">
        <v>17</v>
      </c>
      <c r="W5596" t="s">
        <v>27</v>
      </c>
      <c r="X5596">
        <v>19</v>
      </c>
      <c r="Y5596" t="s">
        <v>43</v>
      </c>
      <c r="Z5596">
        <v>362</v>
      </c>
      <c r="AA5596">
        <v>554</v>
      </c>
      <c r="AB5596">
        <v>65.3</v>
      </c>
    </row>
    <row r="5597" spans="20:28">
      <c r="T5597" s="340" t="str">
        <f t="shared" si="204"/>
        <v>2016AllSexAllEth19Jumping from a high place</v>
      </c>
      <c r="U5597">
        <v>2016</v>
      </c>
      <c r="V5597" t="s">
        <v>17</v>
      </c>
      <c r="W5597" t="s">
        <v>27</v>
      </c>
      <c r="X5597">
        <v>19</v>
      </c>
      <c r="Y5597" t="s">
        <v>44</v>
      </c>
      <c r="Z5597">
        <v>24</v>
      </c>
      <c r="AA5597">
        <v>554</v>
      </c>
      <c r="AB5597">
        <v>4.3</v>
      </c>
    </row>
    <row r="5598" spans="20:28">
      <c r="T5598" s="340" t="str">
        <f t="shared" si="204"/>
        <v>2016AllSexAllEth19Other</v>
      </c>
      <c r="U5598">
        <v>2016</v>
      </c>
      <c r="V5598" t="s">
        <v>17</v>
      </c>
      <c r="W5598" t="s">
        <v>27</v>
      </c>
      <c r="X5598">
        <v>19</v>
      </c>
      <c r="Y5598" t="s">
        <v>45</v>
      </c>
      <c r="Z5598">
        <v>20</v>
      </c>
      <c r="AA5598">
        <v>554</v>
      </c>
      <c r="AB5598">
        <v>3.6</v>
      </c>
    </row>
    <row r="5599" spans="20:28">
      <c r="T5599" s="340" t="str">
        <f t="shared" si="204"/>
        <v>2016AllSexAllEth19Poisoning by gases and vapours</v>
      </c>
      <c r="U5599">
        <v>2016</v>
      </c>
      <c r="V5599" t="s">
        <v>17</v>
      </c>
      <c r="W5599" t="s">
        <v>27</v>
      </c>
      <c r="X5599">
        <v>19</v>
      </c>
      <c r="Y5599" t="s">
        <v>46</v>
      </c>
      <c r="Z5599">
        <v>44</v>
      </c>
      <c r="AA5599">
        <v>554</v>
      </c>
      <c r="AB5599">
        <v>7.9</v>
      </c>
    </row>
    <row r="5600" spans="20:28">
      <c r="T5600" s="340" t="str">
        <f t="shared" si="204"/>
        <v>2016AllSexAllEth19Poisoning by solids and liquids</v>
      </c>
      <c r="U5600">
        <v>2016</v>
      </c>
      <c r="V5600" t="s">
        <v>17</v>
      </c>
      <c r="W5600" t="s">
        <v>27</v>
      </c>
      <c r="X5600">
        <v>19</v>
      </c>
      <c r="Y5600" t="s">
        <v>47</v>
      </c>
      <c r="Z5600">
        <v>48</v>
      </c>
      <c r="AA5600">
        <v>554</v>
      </c>
      <c r="AB5600">
        <v>8.6999999999999993</v>
      </c>
    </row>
    <row r="5601" spans="20:28">
      <c r="T5601" s="340" t="str">
        <f t="shared" si="204"/>
        <v>2016AllSexAllEth19Sharp object</v>
      </c>
      <c r="U5601">
        <v>2016</v>
      </c>
      <c r="V5601" t="s">
        <v>17</v>
      </c>
      <c r="W5601" t="s">
        <v>27</v>
      </c>
      <c r="X5601">
        <v>19</v>
      </c>
      <c r="Y5601" t="s">
        <v>48</v>
      </c>
      <c r="Z5601">
        <v>10</v>
      </c>
      <c r="AA5601">
        <v>554</v>
      </c>
      <c r="AB5601">
        <v>1.8</v>
      </c>
    </row>
    <row r="5602" spans="20:28">
      <c r="T5602" s="340" t="str">
        <f t="shared" si="204"/>
        <v>2016AllSexAllEth19Submersion (drowning)</v>
      </c>
      <c r="U5602">
        <v>2016</v>
      </c>
      <c r="V5602" t="s">
        <v>17</v>
      </c>
      <c r="W5602" t="s">
        <v>27</v>
      </c>
      <c r="X5602">
        <v>19</v>
      </c>
      <c r="Y5602" t="s">
        <v>49</v>
      </c>
      <c r="Z5602">
        <v>12</v>
      </c>
      <c r="AA5602">
        <v>554</v>
      </c>
      <c r="AB5602">
        <v>2.2000000000000002</v>
      </c>
    </row>
    <row r="5603" spans="20:28">
      <c r="T5603" s="340" t="str">
        <f t="shared" si="204"/>
        <v>2016AllSexMaori19Firearms and explosives</v>
      </c>
      <c r="U5603">
        <v>2016</v>
      </c>
      <c r="V5603" t="s">
        <v>17</v>
      </c>
      <c r="W5603" t="s">
        <v>18</v>
      </c>
      <c r="X5603">
        <v>19</v>
      </c>
      <c r="Y5603" t="s">
        <v>42</v>
      </c>
      <c r="Z5603">
        <v>3</v>
      </c>
      <c r="AA5603">
        <v>135</v>
      </c>
      <c r="AB5603">
        <v>2.2000000000000002</v>
      </c>
    </row>
    <row r="5604" spans="20:28">
      <c r="T5604" s="340" t="str">
        <f t="shared" si="204"/>
        <v>2016AllSexMaori19Hanging, strangulation and suffocation</v>
      </c>
      <c r="U5604">
        <v>2016</v>
      </c>
      <c r="V5604" t="s">
        <v>17</v>
      </c>
      <c r="W5604" t="s">
        <v>18</v>
      </c>
      <c r="X5604">
        <v>19</v>
      </c>
      <c r="Y5604" t="s">
        <v>43</v>
      </c>
      <c r="Z5604">
        <v>114</v>
      </c>
      <c r="AA5604">
        <v>135</v>
      </c>
      <c r="AB5604">
        <v>84.4</v>
      </c>
    </row>
    <row r="5605" spans="20:28">
      <c r="T5605" s="340" t="str">
        <f t="shared" si="204"/>
        <v>2016AllSexMaori19Jumping from a high place</v>
      </c>
      <c r="U5605">
        <v>2016</v>
      </c>
      <c r="V5605" t="s">
        <v>17</v>
      </c>
      <c r="W5605" t="s">
        <v>18</v>
      </c>
      <c r="X5605">
        <v>19</v>
      </c>
      <c r="Y5605" t="s">
        <v>44</v>
      </c>
      <c r="Z5605">
        <v>4</v>
      </c>
      <c r="AA5605">
        <v>135</v>
      </c>
      <c r="AB5605">
        <v>3</v>
      </c>
    </row>
    <row r="5606" spans="20:28">
      <c r="T5606" s="340" t="str">
        <f t="shared" si="204"/>
        <v>2016AllSexMaori19Other</v>
      </c>
      <c r="U5606">
        <v>2016</v>
      </c>
      <c r="V5606" t="s">
        <v>17</v>
      </c>
      <c r="W5606" t="s">
        <v>18</v>
      </c>
      <c r="X5606">
        <v>19</v>
      </c>
      <c r="Y5606" t="s">
        <v>45</v>
      </c>
      <c r="Z5606">
        <v>2</v>
      </c>
      <c r="AA5606">
        <v>135</v>
      </c>
      <c r="AB5606">
        <v>1.5</v>
      </c>
    </row>
    <row r="5607" spans="20:28">
      <c r="T5607" s="340" t="str">
        <f t="shared" si="204"/>
        <v>2016AllSexMaori19Poisoning by gases and vapours</v>
      </c>
      <c r="U5607">
        <v>2016</v>
      </c>
      <c r="V5607" t="s">
        <v>17</v>
      </c>
      <c r="W5607" t="s">
        <v>18</v>
      </c>
      <c r="X5607">
        <v>19</v>
      </c>
      <c r="Y5607" t="s">
        <v>46</v>
      </c>
      <c r="Z5607">
        <v>3</v>
      </c>
      <c r="AA5607">
        <v>135</v>
      </c>
      <c r="AB5607">
        <v>2.2000000000000002</v>
      </c>
    </row>
    <row r="5608" spans="20:28">
      <c r="T5608" s="340" t="str">
        <f t="shared" si="204"/>
        <v>2016AllSexMaori19Poisoning by solids and liquids</v>
      </c>
      <c r="U5608">
        <v>2016</v>
      </c>
      <c r="V5608" t="s">
        <v>17</v>
      </c>
      <c r="W5608" t="s">
        <v>18</v>
      </c>
      <c r="X5608">
        <v>19</v>
      </c>
      <c r="Y5608" t="s">
        <v>47</v>
      </c>
      <c r="Z5608">
        <v>8</v>
      </c>
      <c r="AA5608">
        <v>135</v>
      </c>
      <c r="AB5608">
        <v>5.9</v>
      </c>
    </row>
    <row r="5609" spans="20:28">
      <c r="T5609" s="340" t="str">
        <f t="shared" si="204"/>
        <v>2016AllSexMaori19Sharp object</v>
      </c>
      <c r="U5609">
        <v>2016</v>
      </c>
      <c r="V5609" t="s">
        <v>17</v>
      </c>
      <c r="W5609" t="s">
        <v>18</v>
      </c>
      <c r="X5609">
        <v>19</v>
      </c>
      <c r="Y5609" t="s">
        <v>48</v>
      </c>
      <c r="Z5609">
        <v>1</v>
      </c>
      <c r="AA5609">
        <v>135</v>
      </c>
      <c r="AB5609">
        <v>0.7</v>
      </c>
    </row>
    <row r="5610" spans="20:28">
      <c r="T5610" s="340" t="str">
        <f t="shared" si="204"/>
        <v>2016AllSexNon-Maori19Firearms and explosives</v>
      </c>
      <c r="U5610">
        <v>2016</v>
      </c>
      <c r="V5610" t="s">
        <v>17</v>
      </c>
      <c r="W5610" t="s">
        <v>19</v>
      </c>
      <c r="X5610">
        <v>19</v>
      </c>
      <c r="Y5610" t="s">
        <v>42</v>
      </c>
      <c r="Z5610">
        <v>31</v>
      </c>
      <c r="AA5610">
        <v>419</v>
      </c>
      <c r="AB5610">
        <v>7.4</v>
      </c>
    </row>
    <row r="5611" spans="20:28">
      <c r="T5611" s="340" t="str">
        <f t="shared" si="204"/>
        <v>2016AllSexNon-Maori19Hanging, strangulation and suffocation</v>
      </c>
      <c r="U5611">
        <v>2016</v>
      </c>
      <c r="V5611" t="s">
        <v>17</v>
      </c>
      <c r="W5611" t="s">
        <v>19</v>
      </c>
      <c r="X5611">
        <v>19</v>
      </c>
      <c r="Y5611" t="s">
        <v>43</v>
      </c>
      <c r="Z5611">
        <v>248</v>
      </c>
      <c r="AA5611">
        <v>419</v>
      </c>
      <c r="AB5611">
        <v>59.2</v>
      </c>
    </row>
    <row r="5612" spans="20:28">
      <c r="T5612" s="340" t="str">
        <f t="shared" si="204"/>
        <v>2016AllSexNon-Maori19Jumping from a high place</v>
      </c>
      <c r="U5612">
        <v>2016</v>
      </c>
      <c r="V5612" t="s">
        <v>17</v>
      </c>
      <c r="W5612" t="s">
        <v>19</v>
      </c>
      <c r="X5612">
        <v>19</v>
      </c>
      <c r="Y5612" t="s">
        <v>44</v>
      </c>
      <c r="Z5612">
        <v>20</v>
      </c>
      <c r="AA5612">
        <v>419</v>
      </c>
      <c r="AB5612">
        <v>4.8</v>
      </c>
    </row>
    <row r="5613" spans="20:28">
      <c r="T5613" s="340" t="str">
        <f t="shared" si="204"/>
        <v>2016AllSexNon-Maori19Other</v>
      </c>
      <c r="U5613">
        <v>2016</v>
      </c>
      <c r="V5613" t="s">
        <v>17</v>
      </c>
      <c r="W5613" t="s">
        <v>19</v>
      </c>
      <c r="X5613">
        <v>19</v>
      </c>
      <c r="Y5613" t="s">
        <v>45</v>
      </c>
      <c r="Z5613">
        <v>18</v>
      </c>
      <c r="AA5613">
        <v>419</v>
      </c>
      <c r="AB5613">
        <v>4.3</v>
      </c>
    </row>
    <row r="5614" spans="20:28">
      <c r="T5614" s="340" t="str">
        <f t="shared" si="204"/>
        <v>2016AllSexNon-Maori19Poisoning by gases and vapours</v>
      </c>
      <c r="U5614">
        <v>2016</v>
      </c>
      <c r="V5614" t="s">
        <v>17</v>
      </c>
      <c r="W5614" t="s">
        <v>19</v>
      </c>
      <c r="X5614">
        <v>19</v>
      </c>
      <c r="Y5614" t="s">
        <v>46</v>
      </c>
      <c r="Z5614">
        <v>41</v>
      </c>
      <c r="AA5614">
        <v>419</v>
      </c>
      <c r="AB5614">
        <v>9.8000000000000007</v>
      </c>
    </row>
    <row r="5615" spans="20:28">
      <c r="T5615" s="340" t="str">
        <f t="shared" si="204"/>
        <v>2016AllSexNon-Maori19Poisoning by solids and liquids</v>
      </c>
      <c r="U5615">
        <v>2016</v>
      </c>
      <c r="V5615" t="s">
        <v>17</v>
      </c>
      <c r="W5615" t="s">
        <v>19</v>
      </c>
      <c r="X5615">
        <v>19</v>
      </c>
      <c r="Y5615" t="s">
        <v>47</v>
      </c>
      <c r="Z5615">
        <v>40</v>
      </c>
      <c r="AA5615">
        <v>419</v>
      </c>
      <c r="AB5615">
        <v>9.5</v>
      </c>
    </row>
    <row r="5616" spans="20:28">
      <c r="T5616" s="340" t="str">
        <f t="shared" si="204"/>
        <v>2016AllSexNon-Maori19Sharp object</v>
      </c>
      <c r="U5616">
        <v>2016</v>
      </c>
      <c r="V5616" t="s">
        <v>17</v>
      </c>
      <c r="W5616" t="s">
        <v>19</v>
      </c>
      <c r="X5616">
        <v>19</v>
      </c>
      <c r="Y5616" t="s">
        <v>48</v>
      </c>
      <c r="Z5616">
        <v>9</v>
      </c>
      <c r="AA5616">
        <v>419</v>
      </c>
      <c r="AB5616">
        <v>2.1</v>
      </c>
    </row>
    <row r="5617" spans="20:28">
      <c r="T5617" s="340" t="str">
        <f t="shared" si="204"/>
        <v>2016AllSexNon-Maori19Submersion (drowning)</v>
      </c>
      <c r="U5617">
        <v>2016</v>
      </c>
      <c r="V5617" t="s">
        <v>17</v>
      </c>
      <c r="W5617" t="s">
        <v>19</v>
      </c>
      <c r="X5617">
        <v>19</v>
      </c>
      <c r="Y5617" t="s">
        <v>49</v>
      </c>
      <c r="Z5617">
        <v>12</v>
      </c>
      <c r="AA5617">
        <v>419</v>
      </c>
      <c r="AB5617">
        <v>2.9</v>
      </c>
    </row>
    <row r="5618" spans="20:28">
      <c r="T5618" s="340" t="str">
        <f t="shared" si="204"/>
        <v>2016FemaleAllEth19Hanging, strangulation and suffocation</v>
      </c>
      <c r="U5618">
        <v>2016</v>
      </c>
      <c r="V5618" t="s">
        <v>8</v>
      </c>
      <c r="W5618" t="s">
        <v>27</v>
      </c>
      <c r="X5618">
        <v>19</v>
      </c>
      <c r="Y5618" t="s">
        <v>43</v>
      </c>
      <c r="Z5618">
        <v>87</v>
      </c>
      <c r="AA5618">
        <v>142</v>
      </c>
      <c r="AB5618">
        <v>61.3</v>
      </c>
    </row>
    <row r="5619" spans="20:28">
      <c r="T5619" s="340" t="str">
        <f t="shared" si="204"/>
        <v>2016FemaleAllEth19Jumping from a high place</v>
      </c>
      <c r="U5619">
        <v>2016</v>
      </c>
      <c r="V5619" t="s">
        <v>8</v>
      </c>
      <c r="W5619" t="s">
        <v>27</v>
      </c>
      <c r="X5619">
        <v>19</v>
      </c>
      <c r="Y5619" t="s">
        <v>44</v>
      </c>
      <c r="Z5619">
        <v>5</v>
      </c>
      <c r="AA5619">
        <v>142</v>
      </c>
      <c r="AB5619">
        <v>3.5</v>
      </c>
    </row>
    <row r="5620" spans="20:28">
      <c r="T5620" s="340" t="str">
        <f t="shared" si="204"/>
        <v>2016FemaleAllEth19Other</v>
      </c>
      <c r="U5620">
        <v>2016</v>
      </c>
      <c r="V5620" t="s">
        <v>8</v>
      </c>
      <c r="W5620" t="s">
        <v>27</v>
      </c>
      <c r="X5620">
        <v>19</v>
      </c>
      <c r="Y5620" t="s">
        <v>45</v>
      </c>
      <c r="Z5620">
        <v>4</v>
      </c>
      <c r="AA5620">
        <v>142</v>
      </c>
      <c r="AB5620">
        <v>2.8</v>
      </c>
    </row>
    <row r="5621" spans="20:28">
      <c r="T5621" s="340" t="str">
        <f t="shared" si="204"/>
        <v>2016FemaleAllEth19Poisoning by gases and vapours</v>
      </c>
      <c r="U5621">
        <v>2016</v>
      </c>
      <c r="V5621" t="s">
        <v>8</v>
      </c>
      <c r="W5621" t="s">
        <v>27</v>
      </c>
      <c r="X5621">
        <v>19</v>
      </c>
      <c r="Y5621" t="s">
        <v>46</v>
      </c>
      <c r="Z5621">
        <v>12</v>
      </c>
      <c r="AA5621">
        <v>142</v>
      </c>
      <c r="AB5621">
        <v>8.5</v>
      </c>
    </row>
    <row r="5622" spans="20:28">
      <c r="T5622" s="340" t="str">
        <f t="shared" si="204"/>
        <v>2016FemaleAllEth19Poisoning by solids and liquids</v>
      </c>
      <c r="U5622">
        <v>2016</v>
      </c>
      <c r="V5622" t="s">
        <v>8</v>
      </c>
      <c r="W5622" t="s">
        <v>27</v>
      </c>
      <c r="X5622">
        <v>19</v>
      </c>
      <c r="Y5622" t="s">
        <v>47</v>
      </c>
      <c r="Z5622">
        <v>30</v>
      </c>
      <c r="AA5622">
        <v>142</v>
      </c>
      <c r="AB5622">
        <v>21.1</v>
      </c>
    </row>
    <row r="5623" spans="20:28">
      <c r="T5623" s="340" t="str">
        <f t="shared" si="204"/>
        <v>2016FemaleAllEth19Sharp object</v>
      </c>
      <c r="U5623">
        <v>2016</v>
      </c>
      <c r="V5623" t="s">
        <v>8</v>
      </c>
      <c r="W5623" t="s">
        <v>27</v>
      </c>
      <c r="X5623">
        <v>19</v>
      </c>
      <c r="Y5623" t="s">
        <v>48</v>
      </c>
      <c r="Z5623">
        <v>1</v>
      </c>
      <c r="AA5623">
        <v>142</v>
      </c>
      <c r="AB5623">
        <v>0.7</v>
      </c>
    </row>
    <row r="5624" spans="20:28">
      <c r="T5624" s="340" t="str">
        <f t="shared" si="204"/>
        <v>2016FemaleAllEth19Submersion (drowning)</v>
      </c>
      <c r="U5624">
        <v>2016</v>
      </c>
      <c r="V5624" t="s">
        <v>8</v>
      </c>
      <c r="W5624" t="s">
        <v>27</v>
      </c>
      <c r="X5624">
        <v>19</v>
      </c>
      <c r="Y5624" t="s">
        <v>49</v>
      </c>
      <c r="Z5624">
        <v>3</v>
      </c>
      <c r="AA5624">
        <v>142</v>
      </c>
      <c r="AB5624">
        <v>2.1</v>
      </c>
    </row>
    <row r="5625" spans="20:28">
      <c r="T5625" s="340" t="str">
        <f t="shared" si="204"/>
        <v>2016FemaleMaori19Hanging, strangulation and suffocation</v>
      </c>
      <c r="U5625">
        <v>2016</v>
      </c>
      <c r="V5625" t="s">
        <v>8</v>
      </c>
      <c r="W5625" t="s">
        <v>18</v>
      </c>
      <c r="X5625">
        <v>19</v>
      </c>
      <c r="Y5625" t="s">
        <v>43</v>
      </c>
      <c r="Z5625">
        <v>30</v>
      </c>
      <c r="AA5625">
        <v>37</v>
      </c>
      <c r="AB5625">
        <v>81.099999999999994</v>
      </c>
    </row>
    <row r="5626" spans="20:28">
      <c r="T5626" s="340" t="str">
        <f t="shared" si="204"/>
        <v>2016FemaleMaori19Poisoning by gases and vapours</v>
      </c>
      <c r="U5626">
        <v>2016</v>
      </c>
      <c r="V5626" t="s">
        <v>8</v>
      </c>
      <c r="W5626" t="s">
        <v>18</v>
      </c>
      <c r="X5626">
        <v>19</v>
      </c>
      <c r="Y5626" t="s">
        <v>46</v>
      </c>
      <c r="Z5626">
        <v>2</v>
      </c>
      <c r="AA5626">
        <v>37</v>
      </c>
      <c r="AB5626">
        <v>5.4</v>
      </c>
    </row>
    <row r="5627" spans="20:28">
      <c r="T5627" s="340" t="str">
        <f t="shared" si="204"/>
        <v>2016FemaleMaori19Poisoning by solids and liquids</v>
      </c>
      <c r="U5627">
        <v>2016</v>
      </c>
      <c r="V5627" t="s">
        <v>8</v>
      </c>
      <c r="W5627" t="s">
        <v>18</v>
      </c>
      <c r="X5627">
        <v>19</v>
      </c>
      <c r="Y5627" t="s">
        <v>47</v>
      </c>
      <c r="Z5627">
        <v>5</v>
      </c>
      <c r="AA5627">
        <v>37</v>
      </c>
      <c r="AB5627">
        <v>13.5</v>
      </c>
    </row>
    <row r="5628" spans="20:28">
      <c r="T5628" s="340" t="str">
        <f t="shared" si="204"/>
        <v>2016FemaleNon-Maori19Hanging, strangulation and suffocation</v>
      </c>
      <c r="U5628">
        <v>2016</v>
      </c>
      <c r="V5628" t="s">
        <v>8</v>
      </c>
      <c r="W5628" t="s">
        <v>19</v>
      </c>
      <c r="X5628">
        <v>19</v>
      </c>
      <c r="Y5628" t="s">
        <v>43</v>
      </c>
      <c r="Z5628">
        <v>57</v>
      </c>
      <c r="AA5628">
        <v>105</v>
      </c>
      <c r="AB5628">
        <v>54.3</v>
      </c>
    </row>
    <row r="5629" spans="20:28">
      <c r="T5629" s="340" t="str">
        <f t="shared" si="204"/>
        <v>2016FemaleNon-Maori19Jumping from a high place</v>
      </c>
      <c r="U5629">
        <v>2016</v>
      </c>
      <c r="V5629" t="s">
        <v>8</v>
      </c>
      <c r="W5629" t="s">
        <v>19</v>
      </c>
      <c r="X5629">
        <v>19</v>
      </c>
      <c r="Y5629" t="s">
        <v>44</v>
      </c>
      <c r="Z5629">
        <v>5</v>
      </c>
      <c r="AA5629">
        <v>105</v>
      </c>
      <c r="AB5629">
        <v>4.8</v>
      </c>
    </row>
    <row r="5630" spans="20:28">
      <c r="T5630" s="340" t="str">
        <f t="shared" si="204"/>
        <v>2016FemaleNon-Maori19Other</v>
      </c>
      <c r="U5630">
        <v>2016</v>
      </c>
      <c r="V5630" t="s">
        <v>8</v>
      </c>
      <c r="W5630" t="s">
        <v>19</v>
      </c>
      <c r="X5630">
        <v>19</v>
      </c>
      <c r="Y5630" t="s">
        <v>45</v>
      </c>
      <c r="Z5630">
        <v>4</v>
      </c>
      <c r="AA5630">
        <v>105</v>
      </c>
      <c r="AB5630">
        <v>3.8</v>
      </c>
    </row>
    <row r="5631" spans="20:28">
      <c r="T5631" s="340" t="str">
        <f t="shared" si="204"/>
        <v>2016FemaleNon-Maori19Poisoning by gases and vapours</v>
      </c>
      <c r="U5631">
        <v>2016</v>
      </c>
      <c r="V5631" t="s">
        <v>8</v>
      </c>
      <c r="W5631" t="s">
        <v>19</v>
      </c>
      <c r="X5631">
        <v>19</v>
      </c>
      <c r="Y5631" t="s">
        <v>46</v>
      </c>
      <c r="Z5631">
        <v>10</v>
      </c>
      <c r="AA5631">
        <v>105</v>
      </c>
      <c r="AB5631">
        <v>9.5</v>
      </c>
    </row>
    <row r="5632" spans="20:28">
      <c r="T5632" s="340" t="str">
        <f t="shared" si="204"/>
        <v>2016FemaleNon-Maori19Poisoning by solids and liquids</v>
      </c>
      <c r="U5632">
        <v>2016</v>
      </c>
      <c r="V5632" t="s">
        <v>8</v>
      </c>
      <c r="W5632" t="s">
        <v>19</v>
      </c>
      <c r="X5632">
        <v>19</v>
      </c>
      <c r="Y5632" t="s">
        <v>47</v>
      </c>
      <c r="Z5632">
        <v>25</v>
      </c>
      <c r="AA5632">
        <v>105</v>
      </c>
      <c r="AB5632">
        <v>23.8</v>
      </c>
    </row>
    <row r="5633" spans="20:28">
      <c r="T5633" s="340" t="str">
        <f t="shared" si="204"/>
        <v>2016FemaleNon-Maori19Sharp object</v>
      </c>
      <c r="U5633">
        <v>2016</v>
      </c>
      <c r="V5633" t="s">
        <v>8</v>
      </c>
      <c r="W5633" t="s">
        <v>19</v>
      </c>
      <c r="X5633">
        <v>19</v>
      </c>
      <c r="Y5633" t="s">
        <v>48</v>
      </c>
      <c r="Z5633">
        <v>1</v>
      </c>
      <c r="AA5633">
        <v>105</v>
      </c>
      <c r="AB5633">
        <v>1</v>
      </c>
    </row>
    <row r="5634" spans="20:28">
      <c r="T5634" s="340" t="str">
        <f t="shared" si="204"/>
        <v>2016FemaleNon-Maori19Submersion (drowning)</v>
      </c>
      <c r="U5634">
        <v>2016</v>
      </c>
      <c r="V5634" t="s">
        <v>8</v>
      </c>
      <c r="W5634" t="s">
        <v>19</v>
      </c>
      <c r="X5634">
        <v>19</v>
      </c>
      <c r="Y5634" t="s">
        <v>49</v>
      </c>
      <c r="Z5634">
        <v>3</v>
      </c>
      <c r="AA5634">
        <v>105</v>
      </c>
      <c r="AB5634">
        <v>2.9</v>
      </c>
    </row>
    <row r="5635" spans="20:28">
      <c r="T5635" s="340" t="str">
        <f t="shared" si="204"/>
        <v>2016MaleAllEth19Firearms and explosives</v>
      </c>
      <c r="U5635">
        <v>2016</v>
      </c>
      <c r="V5635" t="s">
        <v>20</v>
      </c>
      <c r="W5635" t="s">
        <v>27</v>
      </c>
      <c r="X5635">
        <v>19</v>
      </c>
      <c r="Y5635" t="s">
        <v>42</v>
      </c>
      <c r="Z5635">
        <v>34</v>
      </c>
      <c r="AA5635">
        <v>412</v>
      </c>
      <c r="AB5635">
        <v>8.3000000000000007</v>
      </c>
    </row>
    <row r="5636" spans="20:28">
      <c r="T5636" s="340" t="str">
        <f t="shared" si="204"/>
        <v>2016MaleAllEth19Hanging, strangulation and suffocation</v>
      </c>
      <c r="U5636">
        <v>2016</v>
      </c>
      <c r="V5636" t="s">
        <v>20</v>
      </c>
      <c r="W5636" t="s">
        <v>27</v>
      </c>
      <c r="X5636">
        <v>19</v>
      </c>
      <c r="Y5636" t="s">
        <v>43</v>
      </c>
      <c r="Z5636">
        <v>275</v>
      </c>
      <c r="AA5636">
        <v>412</v>
      </c>
      <c r="AB5636">
        <v>66.7</v>
      </c>
    </row>
    <row r="5637" spans="20:28">
      <c r="T5637" s="340" t="str">
        <f t="shared" ref="T5637:T5657" si="205">U5637&amp;V5637&amp;W5637&amp;X5637&amp;Y5637</f>
        <v>2016MaleAllEth19Jumping from a high place</v>
      </c>
      <c r="U5637">
        <v>2016</v>
      </c>
      <c r="V5637" t="s">
        <v>20</v>
      </c>
      <c r="W5637" t="s">
        <v>27</v>
      </c>
      <c r="X5637">
        <v>19</v>
      </c>
      <c r="Y5637" t="s">
        <v>44</v>
      </c>
      <c r="Z5637">
        <v>19</v>
      </c>
      <c r="AA5637">
        <v>412</v>
      </c>
      <c r="AB5637">
        <v>4.5999999999999996</v>
      </c>
    </row>
    <row r="5638" spans="20:28">
      <c r="T5638" s="340" t="str">
        <f t="shared" si="205"/>
        <v>2016MaleAllEth19Other</v>
      </c>
      <c r="U5638">
        <v>2016</v>
      </c>
      <c r="V5638" t="s">
        <v>20</v>
      </c>
      <c r="W5638" t="s">
        <v>27</v>
      </c>
      <c r="X5638">
        <v>19</v>
      </c>
      <c r="Y5638" t="s">
        <v>45</v>
      </c>
      <c r="Z5638">
        <v>16</v>
      </c>
      <c r="AA5638">
        <v>412</v>
      </c>
      <c r="AB5638">
        <v>3.9</v>
      </c>
    </row>
    <row r="5639" spans="20:28">
      <c r="T5639" s="340" t="str">
        <f t="shared" si="205"/>
        <v>2016MaleAllEth19Poisoning by gases and vapours</v>
      </c>
      <c r="U5639">
        <v>2016</v>
      </c>
      <c r="V5639" t="s">
        <v>20</v>
      </c>
      <c r="W5639" t="s">
        <v>27</v>
      </c>
      <c r="X5639">
        <v>19</v>
      </c>
      <c r="Y5639" t="s">
        <v>46</v>
      </c>
      <c r="Z5639">
        <v>32</v>
      </c>
      <c r="AA5639">
        <v>412</v>
      </c>
      <c r="AB5639">
        <v>7.8</v>
      </c>
    </row>
    <row r="5640" spans="20:28">
      <c r="T5640" s="340" t="str">
        <f t="shared" si="205"/>
        <v>2016MaleAllEth19Poisoning by solids and liquids</v>
      </c>
      <c r="U5640">
        <v>2016</v>
      </c>
      <c r="V5640" t="s">
        <v>20</v>
      </c>
      <c r="W5640" t="s">
        <v>27</v>
      </c>
      <c r="X5640">
        <v>19</v>
      </c>
      <c r="Y5640" t="s">
        <v>47</v>
      </c>
      <c r="Z5640">
        <v>18</v>
      </c>
      <c r="AA5640">
        <v>412</v>
      </c>
      <c r="AB5640">
        <v>4.4000000000000004</v>
      </c>
    </row>
    <row r="5641" spans="20:28">
      <c r="T5641" s="340" t="str">
        <f t="shared" si="205"/>
        <v>2016MaleAllEth19Sharp object</v>
      </c>
      <c r="U5641">
        <v>2016</v>
      </c>
      <c r="V5641" t="s">
        <v>20</v>
      </c>
      <c r="W5641" t="s">
        <v>27</v>
      </c>
      <c r="X5641">
        <v>19</v>
      </c>
      <c r="Y5641" t="s">
        <v>48</v>
      </c>
      <c r="Z5641">
        <v>9</v>
      </c>
      <c r="AA5641">
        <v>412</v>
      </c>
      <c r="AB5641">
        <v>2.2000000000000002</v>
      </c>
    </row>
    <row r="5642" spans="20:28">
      <c r="T5642" s="340" t="str">
        <f t="shared" si="205"/>
        <v>2016MaleAllEth19Submersion (drowning)</v>
      </c>
      <c r="U5642">
        <v>2016</v>
      </c>
      <c r="V5642" t="s">
        <v>20</v>
      </c>
      <c r="W5642" t="s">
        <v>27</v>
      </c>
      <c r="X5642">
        <v>19</v>
      </c>
      <c r="Y5642" t="s">
        <v>49</v>
      </c>
      <c r="Z5642">
        <v>9</v>
      </c>
      <c r="AA5642">
        <v>412</v>
      </c>
      <c r="AB5642">
        <v>2.2000000000000002</v>
      </c>
    </row>
    <row r="5643" spans="20:28">
      <c r="T5643" s="340" t="str">
        <f t="shared" si="205"/>
        <v>2016MaleMaori19Firearms and explosives</v>
      </c>
      <c r="U5643">
        <v>2016</v>
      </c>
      <c r="V5643" t="s">
        <v>20</v>
      </c>
      <c r="W5643" t="s">
        <v>18</v>
      </c>
      <c r="X5643">
        <v>19</v>
      </c>
      <c r="Y5643" t="s">
        <v>42</v>
      </c>
      <c r="Z5643">
        <v>3</v>
      </c>
      <c r="AA5643">
        <v>98</v>
      </c>
      <c r="AB5643">
        <v>3.1</v>
      </c>
    </row>
    <row r="5644" spans="20:28">
      <c r="T5644" s="340" t="str">
        <f t="shared" si="205"/>
        <v>2016MaleMaori19Hanging, strangulation and suffocation</v>
      </c>
      <c r="U5644">
        <v>2016</v>
      </c>
      <c r="V5644" t="s">
        <v>20</v>
      </c>
      <c r="W5644" t="s">
        <v>18</v>
      </c>
      <c r="X5644">
        <v>19</v>
      </c>
      <c r="Y5644" t="s">
        <v>43</v>
      </c>
      <c r="Z5644">
        <v>84</v>
      </c>
      <c r="AA5644">
        <v>98</v>
      </c>
      <c r="AB5644">
        <v>85.7</v>
      </c>
    </row>
    <row r="5645" spans="20:28">
      <c r="T5645" s="340" t="str">
        <f t="shared" si="205"/>
        <v>2016MaleMaori19Jumping from a high place</v>
      </c>
      <c r="U5645">
        <v>2016</v>
      </c>
      <c r="V5645" t="s">
        <v>20</v>
      </c>
      <c r="W5645" t="s">
        <v>18</v>
      </c>
      <c r="X5645">
        <v>19</v>
      </c>
      <c r="Y5645" t="s">
        <v>44</v>
      </c>
      <c r="Z5645">
        <v>4</v>
      </c>
      <c r="AA5645">
        <v>98</v>
      </c>
      <c r="AB5645">
        <v>4.0999999999999996</v>
      </c>
    </row>
    <row r="5646" spans="20:28">
      <c r="T5646" s="340" t="str">
        <f t="shared" si="205"/>
        <v>2016MaleMaori19Other</v>
      </c>
      <c r="U5646">
        <v>2016</v>
      </c>
      <c r="V5646" t="s">
        <v>20</v>
      </c>
      <c r="W5646" t="s">
        <v>18</v>
      </c>
      <c r="X5646">
        <v>19</v>
      </c>
      <c r="Y5646" t="s">
        <v>45</v>
      </c>
      <c r="Z5646">
        <v>2</v>
      </c>
      <c r="AA5646">
        <v>98</v>
      </c>
      <c r="AB5646">
        <v>2</v>
      </c>
    </row>
    <row r="5647" spans="20:28">
      <c r="T5647" s="340" t="str">
        <f t="shared" si="205"/>
        <v>2016MaleMaori19Poisoning by gases and vapours</v>
      </c>
      <c r="U5647">
        <v>2016</v>
      </c>
      <c r="V5647" t="s">
        <v>20</v>
      </c>
      <c r="W5647" t="s">
        <v>18</v>
      </c>
      <c r="X5647">
        <v>19</v>
      </c>
      <c r="Y5647" t="s">
        <v>46</v>
      </c>
      <c r="Z5647">
        <v>1</v>
      </c>
      <c r="AA5647">
        <v>98</v>
      </c>
      <c r="AB5647">
        <v>1</v>
      </c>
    </row>
    <row r="5648" spans="20:28">
      <c r="T5648" s="340" t="str">
        <f t="shared" si="205"/>
        <v>2016MaleMaori19Poisoning by solids and liquids</v>
      </c>
      <c r="U5648">
        <v>2016</v>
      </c>
      <c r="V5648" t="s">
        <v>20</v>
      </c>
      <c r="W5648" t="s">
        <v>18</v>
      </c>
      <c r="X5648">
        <v>19</v>
      </c>
      <c r="Y5648" t="s">
        <v>47</v>
      </c>
      <c r="Z5648">
        <v>3</v>
      </c>
      <c r="AA5648">
        <v>98</v>
      </c>
      <c r="AB5648">
        <v>3.1</v>
      </c>
    </row>
    <row r="5649" spans="20:28">
      <c r="T5649" s="340" t="str">
        <f t="shared" si="205"/>
        <v>2016MaleMaori19Sharp object</v>
      </c>
      <c r="U5649">
        <v>2016</v>
      </c>
      <c r="V5649" t="s">
        <v>20</v>
      </c>
      <c r="W5649" t="s">
        <v>18</v>
      </c>
      <c r="X5649">
        <v>19</v>
      </c>
      <c r="Y5649" t="s">
        <v>48</v>
      </c>
      <c r="Z5649">
        <v>1</v>
      </c>
      <c r="AA5649">
        <v>98</v>
      </c>
      <c r="AB5649">
        <v>1</v>
      </c>
    </row>
    <row r="5650" spans="20:28">
      <c r="T5650" s="340" t="str">
        <f t="shared" si="205"/>
        <v>2016MaleNon-Maori19Firearms and explosives</v>
      </c>
      <c r="U5650">
        <v>2016</v>
      </c>
      <c r="V5650" t="s">
        <v>20</v>
      </c>
      <c r="W5650" t="s">
        <v>19</v>
      </c>
      <c r="X5650">
        <v>19</v>
      </c>
      <c r="Y5650" t="s">
        <v>42</v>
      </c>
      <c r="Z5650">
        <v>31</v>
      </c>
      <c r="AA5650">
        <v>314</v>
      </c>
      <c r="AB5650">
        <v>9.9</v>
      </c>
    </row>
    <row r="5651" spans="20:28">
      <c r="T5651" s="340" t="str">
        <f t="shared" si="205"/>
        <v>2016MaleNon-Maori19Hanging, strangulation and suffocation</v>
      </c>
      <c r="U5651">
        <v>2016</v>
      </c>
      <c r="V5651" t="s">
        <v>20</v>
      </c>
      <c r="W5651" t="s">
        <v>19</v>
      </c>
      <c r="X5651">
        <v>19</v>
      </c>
      <c r="Y5651" t="s">
        <v>43</v>
      </c>
      <c r="Z5651">
        <v>191</v>
      </c>
      <c r="AA5651">
        <v>314</v>
      </c>
      <c r="AB5651">
        <v>60.8</v>
      </c>
    </row>
    <row r="5652" spans="20:28">
      <c r="T5652" s="340" t="str">
        <f t="shared" si="205"/>
        <v>2016MaleNon-Maori19Jumping from a high place</v>
      </c>
      <c r="U5652">
        <v>2016</v>
      </c>
      <c r="V5652" t="s">
        <v>20</v>
      </c>
      <c r="W5652" t="s">
        <v>19</v>
      </c>
      <c r="X5652">
        <v>19</v>
      </c>
      <c r="Y5652" t="s">
        <v>44</v>
      </c>
      <c r="Z5652">
        <v>15</v>
      </c>
      <c r="AA5652">
        <v>314</v>
      </c>
      <c r="AB5652">
        <v>4.8</v>
      </c>
    </row>
    <row r="5653" spans="20:28">
      <c r="T5653" s="340" t="str">
        <f t="shared" si="205"/>
        <v>2016MaleNon-Maori19Other</v>
      </c>
      <c r="U5653">
        <v>2016</v>
      </c>
      <c r="V5653" t="s">
        <v>20</v>
      </c>
      <c r="W5653" t="s">
        <v>19</v>
      </c>
      <c r="X5653">
        <v>19</v>
      </c>
      <c r="Y5653" t="s">
        <v>45</v>
      </c>
      <c r="Z5653">
        <v>14</v>
      </c>
      <c r="AA5653">
        <v>314</v>
      </c>
      <c r="AB5653">
        <v>4.5</v>
      </c>
    </row>
    <row r="5654" spans="20:28">
      <c r="T5654" s="340" t="str">
        <f t="shared" si="205"/>
        <v>2016MaleNon-Maori19Poisoning by gases and vapours</v>
      </c>
      <c r="U5654">
        <v>2016</v>
      </c>
      <c r="V5654" t="s">
        <v>20</v>
      </c>
      <c r="W5654" t="s">
        <v>19</v>
      </c>
      <c r="X5654">
        <v>19</v>
      </c>
      <c r="Y5654" t="s">
        <v>46</v>
      </c>
      <c r="Z5654">
        <v>31</v>
      </c>
      <c r="AA5654">
        <v>314</v>
      </c>
      <c r="AB5654">
        <v>9.9</v>
      </c>
    </row>
    <row r="5655" spans="20:28">
      <c r="T5655" s="340" t="str">
        <f t="shared" si="205"/>
        <v>2016MaleNon-Maori19Poisoning by solids and liquids</v>
      </c>
      <c r="U5655">
        <v>2016</v>
      </c>
      <c r="V5655" t="s">
        <v>20</v>
      </c>
      <c r="W5655" t="s">
        <v>19</v>
      </c>
      <c r="X5655">
        <v>19</v>
      </c>
      <c r="Y5655" t="s">
        <v>47</v>
      </c>
      <c r="Z5655">
        <v>15</v>
      </c>
      <c r="AA5655">
        <v>314</v>
      </c>
      <c r="AB5655">
        <v>4.8</v>
      </c>
    </row>
    <row r="5656" spans="20:28">
      <c r="T5656" s="340" t="str">
        <f t="shared" si="205"/>
        <v>2016MaleNon-Maori19Sharp object</v>
      </c>
      <c r="U5656">
        <v>2016</v>
      </c>
      <c r="V5656" t="s">
        <v>20</v>
      </c>
      <c r="W5656" t="s">
        <v>19</v>
      </c>
      <c r="X5656">
        <v>19</v>
      </c>
      <c r="Y5656" t="s">
        <v>48</v>
      </c>
      <c r="Z5656">
        <v>8</v>
      </c>
      <c r="AA5656">
        <v>314</v>
      </c>
      <c r="AB5656">
        <v>2.5</v>
      </c>
    </row>
    <row r="5657" spans="20:28">
      <c r="T5657" s="340" t="str">
        <f t="shared" si="205"/>
        <v>2016MaleNon-Maori19Submersion (drowning)</v>
      </c>
      <c r="U5657">
        <v>2016</v>
      </c>
      <c r="V5657" t="s">
        <v>20</v>
      </c>
      <c r="W5657" t="s">
        <v>19</v>
      </c>
      <c r="X5657">
        <v>19</v>
      </c>
      <c r="Y5657" t="s">
        <v>49</v>
      </c>
      <c r="Z5657">
        <v>9</v>
      </c>
      <c r="AA5657">
        <v>314</v>
      </c>
      <c r="AB5657">
        <v>2.9</v>
      </c>
    </row>
  </sheetData>
  <sortState xmlns:xlrd2="http://schemas.microsoft.com/office/spreadsheetml/2017/richdata2" ref="J4:R4053">
    <sortCondition ref="O4:O4053"/>
    <sortCondition ref="N4:N4053"/>
    <sortCondition ref="L4:L4053"/>
    <sortCondition ref="M4:M4053"/>
    <sortCondition ref="K4:K4053"/>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E35"/>
  <sheetViews>
    <sheetView zoomScaleNormal="100" workbookViewId="0">
      <selection activeCell="D30" sqref="D30"/>
    </sheetView>
  </sheetViews>
  <sheetFormatPr defaultRowHeight="12.75"/>
  <cols>
    <col min="1" max="1" width="4.7109375" style="174" customWidth="1"/>
    <col min="2" max="2" width="2" style="174" customWidth="1"/>
    <col min="3" max="3" width="34.5703125" style="268" customWidth="1"/>
    <col min="4" max="4" width="135" style="307" customWidth="1"/>
    <col min="5" max="5" width="2.5703125" style="174" customWidth="1"/>
    <col min="6" max="16384" width="9.140625" style="174"/>
  </cols>
  <sheetData>
    <row r="2" spans="1:5" ht="23.25">
      <c r="C2" s="316" t="s">
        <v>151</v>
      </c>
    </row>
    <row r="3" spans="1:5" ht="18" customHeight="1">
      <c r="C3" s="316"/>
    </row>
    <row r="4" spans="1:5" ht="11.25" customHeight="1">
      <c r="A4" s="174" t="s">
        <v>109</v>
      </c>
      <c r="B4" s="70"/>
      <c r="C4" s="317"/>
      <c r="D4" s="312"/>
      <c r="E4" s="70"/>
    </row>
    <row r="5" spans="1:5" ht="18" customHeight="1">
      <c r="B5" s="70"/>
      <c r="C5" s="313" t="s">
        <v>274</v>
      </c>
      <c r="D5" s="314" t="s">
        <v>273</v>
      </c>
      <c r="E5" s="70"/>
    </row>
    <row r="6" spans="1:5" ht="20.25" customHeight="1">
      <c r="B6" s="70"/>
      <c r="C6" s="321" t="s">
        <v>329</v>
      </c>
      <c r="D6" s="318"/>
      <c r="E6" s="70"/>
    </row>
    <row r="7" spans="1:5" ht="22.5" customHeight="1">
      <c r="B7" s="70"/>
      <c r="C7" s="309" t="s">
        <v>318</v>
      </c>
      <c r="D7" s="242" t="s">
        <v>503</v>
      </c>
      <c r="E7" s="70"/>
    </row>
    <row r="8" spans="1:5" ht="22.5" customHeight="1">
      <c r="B8" s="70"/>
      <c r="C8" s="140"/>
      <c r="D8" s="242" t="s">
        <v>337</v>
      </c>
      <c r="E8" s="70"/>
    </row>
    <row r="9" spans="1:5" ht="22.5" customHeight="1">
      <c r="B9" s="70"/>
      <c r="C9" s="140"/>
      <c r="D9" s="242" t="s">
        <v>473</v>
      </c>
      <c r="E9" s="70"/>
    </row>
    <row r="10" spans="1:5" ht="22.5" customHeight="1">
      <c r="B10" s="70"/>
      <c r="C10" s="140"/>
      <c r="D10" s="242" t="s">
        <v>363</v>
      </c>
      <c r="E10" s="70"/>
    </row>
    <row r="11" spans="1:5" ht="30.6" customHeight="1">
      <c r="B11" s="70"/>
      <c r="C11" s="157" t="s">
        <v>275</v>
      </c>
      <c r="D11" s="242" t="s">
        <v>594</v>
      </c>
      <c r="E11" s="70"/>
    </row>
    <row r="12" spans="1:5" s="187" customFormat="1">
      <c r="B12" s="75"/>
      <c r="C12" s="311"/>
      <c r="D12" s="312"/>
      <c r="E12" s="75"/>
    </row>
    <row r="13" spans="1:5" ht="44.45" customHeight="1">
      <c r="B13" s="70"/>
      <c r="C13" s="322" t="s">
        <v>279</v>
      </c>
      <c r="D13" s="319" t="s">
        <v>474</v>
      </c>
      <c r="E13" s="70"/>
    </row>
    <row r="14" spans="1:5" ht="30.6" customHeight="1">
      <c r="B14" s="70"/>
      <c r="C14" s="385"/>
      <c r="D14" s="386" t="s">
        <v>390</v>
      </c>
      <c r="E14" s="70"/>
    </row>
    <row r="15" spans="1:5" ht="47.25" customHeight="1">
      <c r="B15" s="70"/>
      <c r="C15" s="385"/>
      <c r="D15" s="386" t="s">
        <v>425</v>
      </c>
      <c r="E15" s="70"/>
    </row>
    <row r="16" spans="1:5" ht="18" customHeight="1">
      <c r="B16" s="70"/>
      <c r="C16" s="320"/>
      <c r="D16" s="318" t="s">
        <v>322</v>
      </c>
      <c r="E16" s="70"/>
    </row>
    <row r="17" spans="2:5" ht="22.5" customHeight="1">
      <c r="B17" s="70"/>
      <c r="C17" s="320"/>
      <c r="D17" s="318" t="s">
        <v>502</v>
      </c>
      <c r="E17" s="70"/>
    </row>
    <row r="18" spans="2:5">
      <c r="B18" s="70"/>
      <c r="C18" s="156"/>
      <c r="D18" s="242"/>
      <c r="E18" s="70"/>
    </row>
    <row r="19" spans="2:5" ht="24.95" customHeight="1">
      <c r="B19" s="70"/>
      <c r="C19" s="157" t="s">
        <v>319</v>
      </c>
      <c r="D19" s="242" t="s">
        <v>326</v>
      </c>
      <c r="E19" s="70"/>
    </row>
    <row r="20" spans="2:5" ht="24.95" customHeight="1">
      <c r="B20" s="70"/>
      <c r="C20" s="156"/>
      <c r="D20" s="242" t="s">
        <v>327</v>
      </c>
      <c r="E20" s="70"/>
    </row>
    <row r="21" spans="2:5" ht="24.95" customHeight="1">
      <c r="B21" s="70"/>
      <c r="C21" s="157" t="s">
        <v>320</v>
      </c>
      <c r="D21" s="242" t="s">
        <v>328</v>
      </c>
      <c r="E21" s="70"/>
    </row>
    <row r="22" spans="2:5" ht="24.95" customHeight="1">
      <c r="B22" s="70"/>
      <c r="C22" s="157" t="s">
        <v>5</v>
      </c>
      <c r="D22" s="242" t="s">
        <v>364</v>
      </c>
      <c r="E22" s="70"/>
    </row>
    <row r="23" spans="2:5" ht="24.95" customHeight="1">
      <c r="B23" s="70"/>
      <c r="C23" s="157" t="s">
        <v>6</v>
      </c>
      <c r="D23" s="242" t="s">
        <v>665</v>
      </c>
      <c r="E23" s="70"/>
    </row>
    <row r="24" spans="2:5" ht="30.6" customHeight="1">
      <c r="B24" s="70"/>
      <c r="C24" s="157" t="s">
        <v>321</v>
      </c>
      <c r="D24" s="242" t="s">
        <v>476</v>
      </c>
      <c r="E24" s="70"/>
    </row>
    <row r="25" spans="2:5" ht="24.95" customHeight="1">
      <c r="B25" s="70"/>
      <c r="C25" s="156"/>
      <c r="D25" s="242" t="s">
        <v>451</v>
      </c>
      <c r="E25" s="70"/>
    </row>
    <row r="26" spans="2:5" ht="30.6" customHeight="1">
      <c r="B26" s="70"/>
      <c r="C26" s="156"/>
      <c r="D26" s="242" t="s">
        <v>638</v>
      </c>
      <c r="E26" s="70"/>
    </row>
    <row r="27" spans="2:5" ht="24.95" customHeight="1">
      <c r="B27" s="70"/>
      <c r="C27" s="309" t="s">
        <v>94</v>
      </c>
      <c r="D27" s="242" t="s">
        <v>374</v>
      </c>
      <c r="E27" s="70"/>
    </row>
    <row r="28" spans="2:5" ht="30.6" customHeight="1">
      <c r="B28" s="70"/>
      <c r="C28" s="309" t="s">
        <v>302</v>
      </c>
      <c r="D28" s="242" t="s">
        <v>475</v>
      </c>
      <c r="E28" s="70"/>
    </row>
    <row r="29" spans="2:5" ht="24.95" customHeight="1">
      <c r="B29" s="70"/>
      <c r="C29" s="309"/>
      <c r="D29" s="242" t="s">
        <v>667</v>
      </c>
      <c r="E29" s="70"/>
    </row>
    <row r="30" spans="2:5" ht="24.95" customHeight="1">
      <c r="B30" s="70"/>
      <c r="C30" s="309" t="s">
        <v>291</v>
      </c>
      <c r="D30" s="242" t="s">
        <v>324</v>
      </c>
      <c r="E30" s="70"/>
    </row>
    <row r="31" spans="2:5" ht="24.75" customHeight="1">
      <c r="B31" s="70"/>
      <c r="C31" s="323" t="s">
        <v>323</v>
      </c>
      <c r="D31" s="319"/>
      <c r="E31" s="70"/>
    </row>
    <row r="32" spans="2:5">
      <c r="B32" s="70"/>
      <c r="C32" s="140"/>
      <c r="D32" s="242"/>
      <c r="E32" s="70"/>
    </row>
    <row r="33" spans="2:5" ht="24.95" customHeight="1">
      <c r="B33" s="70"/>
      <c r="C33" s="309" t="s">
        <v>278</v>
      </c>
      <c r="D33" s="242" t="s">
        <v>325</v>
      </c>
      <c r="E33" s="70"/>
    </row>
    <row r="34" spans="2:5" ht="24.75" customHeight="1">
      <c r="B34" s="70"/>
      <c r="C34" s="309" t="s">
        <v>277</v>
      </c>
      <c r="D34" s="466" t="s">
        <v>504</v>
      </c>
      <c r="E34" s="70"/>
    </row>
    <row r="35" spans="2:5">
      <c r="B35" s="70"/>
      <c r="C35" s="315"/>
      <c r="D35" s="310"/>
      <c r="E35" s="70"/>
    </row>
  </sheetData>
  <hyperlinks>
    <hyperlink ref="C7" location="'Quick facts'!A1" display="Quick facts" xr:uid="{00000000-0004-0000-0100-000000000000}"/>
    <hyperlink ref="C11" location="'Key findings'!A1" display="Key findings" xr:uid="{00000000-0004-0000-0100-000001000000}"/>
    <hyperlink ref="C19" location="'Māori Non-Māori'!A1" display="Māori Non-Māori" xr:uid="{00000000-0004-0000-0100-000002000000}"/>
    <hyperlink ref="C21" location="'Age Sex'!A1" display="Age Sex" xr:uid="{00000000-0004-0000-0100-000003000000}"/>
    <hyperlink ref="C22" location="Deprivation!A1" display="Deprivation" xr:uid="{00000000-0004-0000-0100-000004000000}"/>
    <hyperlink ref="C23" location="Methods!A1" display="Methods" xr:uid="{00000000-0004-0000-0100-000005000000}"/>
    <hyperlink ref="C24" location="'DHB region'!A1" display="DHB region" xr:uid="{00000000-0004-0000-0100-000006000000}"/>
    <hyperlink ref="C27" location="'Urban Rural'!A1" display="Urban Rural" xr:uid="{00000000-0004-0000-0100-000007000000}"/>
    <hyperlink ref="C28" location="'Ethnic group'!A1" display="Ethnic group" xr:uid="{00000000-0004-0000-0100-000008000000}"/>
    <hyperlink ref="C33" location="About!A1" display="About" xr:uid="{00000000-0004-0000-0100-000009000000}"/>
    <hyperlink ref="C34" location="Codes!A1" display="Codes" xr:uid="{00000000-0004-0000-0100-00000A000000}"/>
    <hyperlink ref="C30" location="International!A1" display="International " xr:uid="{00000000-0004-0000-0100-00000B000000}"/>
  </hyperlinks>
  <pageMargins left="0.7" right="0.7" top="0.75" bottom="0.75" header="0.3" footer="0.3"/>
  <pageSetup paperSize="9" scale="4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Z281"/>
  <sheetViews>
    <sheetView showGridLines="0" zoomScaleNormal="100" workbookViewId="0">
      <pane ySplit="2" topLeftCell="A3" activePane="bottomLeft" state="frozen"/>
      <selection pane="bottomLeft" activeCell="J21" sqref="J21"/>
    </sheetView>
  </sheetViews>
  <sheetFormatPr defaultRowHeight="12.75"/>
  <cols>
    <col min="1" max="1" width="4.7109375" style="12" customWidth="1"/>
    <col min="2" max="2" width="3.42578125" style="12" customWidth="1"/>
    <col min="3" max="3" width="7.42578125" style="12" customWidth="1"/>
    <col min="4" max="4" width="9.140625" style="12" customWidth="1"/>
    <col min="5" max="7" width="9.140625" style="12"/>
    <col min="8" max="8" width="12.85546875" style="12" customWidth="1"/>
    <col min="9" max="9" width="5.85546875" style="12" customWidth="1"/>
    <col min="10" max="10" width="3.28515625" style="12" customWidth="1"/>
    <col min="11" max="11" width="1.28515625" style="12" customWidth="1"/>
    <col min="12" max="12" width="11" style="12" customWidth="1"/>
    <col min="13" max="15" width="9.140625" style="12"/>
    <col min="16" max="16" width="7.5703125" style="12" customWidth="1"/>
    <col min="17" max="17" width="4" style="387" customWidth="1"/>
    <col min="18" max="18" width="5.28515625" style="271" customWidth="1"/>
    <col min="19" max="19" width="8.140625" style="12" customWidth="1"/>
    <col min="20" max="20" width="2.7109375" style="12" customWidth="1"/>
    <col min="21" max="21" width="9.42578125" style="12" customWidth="1"/>
    <col min="22" max="23" width="10.7109375" style="44" customWidth="1"/>
    <col min="24" max="25" width="8.7109375" style="44" customWidth="1"/>
    <col min="26" max="45" width="8.7109375" style="12" customWidth="1"/>
    <col min="46" max="47" width="9.140625" style="12"/>
    <col min="48" max="60" width="9.140625" style="53"/>
    <col min="61" max="16384" width="9.140625" style="12"/>
  </cols>
  <sheetData>
    <row r="1" spans="1:36">
      <c r="S1" s="126" t="s">
        <v>371</v>
      </c>
    </row>
    <row r="2" spans="1:36" ht="26.25">
      <c r="C2" s="115" t="s">
        <v>359</v>
      </c>
      <c r="D2" s="115"/>
      <c r="E2" s="85"/>
      <c r="S2" s="126"/>
    </row>
    <row r="3" spans="1:36">
      <c r="A3" s="187"/>
      <c r="B3" s="187"/>
      <c r="C3" s="187"/>
      <c r="D3" s="187"/>
      <c r="E3" s="187"/>
      <c r="F3" s="187"/>
      <c r="G3" s="187"/>
      <c r="H3" s="187"/>
      <c r="I3" s="187"/>
      <c r="J3" s="187"/>
      <c r="K3" s="187"/>
      <c r="L3" s="187"/>
      <c r="M3" s="187"/>
      <c r="N3" s="187"/>
      <c r="O3" s="187"/>
      <c r="P3" s="187"/>
      <c r="Q3" s="410"/>
      <c r="S3" s="219"/>
      <c r="T3" s="187"/>
      <c r="U3" s="187"/>
      <c r="V3" s="220"/>
      <c r="W3" s="220"/>
      <c r="X3" s="220"/>
      <c r="Y3" s="220"/>
      <c r="Z3" s="187"/>
      <c r="AA3" s="187"/>
      <c r="AB3" s="187"/>
      <c r="AC3" s="187"/>
      <c r="AD3" s="187"/>
      <c r="AE3" s="187"/>
      <c r="AF3" s="187"/>
      <c r="AG3" s="187"/>
      <c r="AH3" s="187"/>
      <c r="AI3" s="187"/>
      <c r="AJ3" s="187"/>
    </row>
    <row r="4" spans="1:36" ht="14.25">
      <c r="A4" s="187"/>
      <c r="B4" s="524"/>
      <c r="C4" s="525"/>
      <c r="D4" s="525"/>
      <c r="E4" s="525"/>
      <c r="F4" s="525"/>
      <c r="G4" s="525"/>
      <c r="H4" s="525"/>
      <c r="I4" s="525"/>
      <c r="J4" s="525"/>
      <c r="K4" s="525"/>
      <c r="L4" s="525"/>
      <c r="M4" s="525"/>
      <c r="N4" s="525"/>
      <c r="O4" s="525"/>
      <c r="P4" s="526"/>
      <c r="Q4" s="410"/>
      <c r="R4" s="44"/>
      <c r="S4" s="44"/>
      <c r="T4" s="534"/>
      <c r="U4" s="535"/>
      <c r="V4" s="535"/>
      <c r="W4" s="535"/>
      <c r="X4" s="535"/>
      <c r="Y4" s="535"/>
      <c r="Z4" s="525"/>
      <c r="AA4" s="525"/>
      <c r="AB4" s="525"/>
      <c r="AC4" s="525"/>
      <c r="AD4" s="525"/>
      <c r="AE4" s="525"/>
      <c r="AF4" s="536"/>
      <c r="AG4" s="537"/>
      <c r="AH4" s="222"/>
      <c r="AI4" s="222"/>
      <c r="AJ4" s="218"/>
    </row>
    <row r="5" spans="1:36" ht="15">
      <c r="A5" s="187"/>
      <c r="B5" s="527"/>
      <c r="C5" s="221" t="s">
        <v>491</v>
      </c>
      <c r="D5" s="75"/>
      <c r="E5" s="86"/>
      <c r="F5" s="86"/>
      <c r="G5" s="86"/>
      <c r="H5" s="86"/>
      <c r="I5" s="86"/>
      <c r="J5" s="86"/>
      <c r="K5" s="86"/>
      <c r="L5" s="86"/>
      <c r="M5" s="86"/>
      <c r="N5" s="86"/>
      <c r="O5" s="86"/>
      <c r="P5" s="528"/>
      <c r="Q5" s="410"/>
      <c r="R5" s="44"/>
      <c r="S5" s="44"/>
      <c r="T5" s="538"/>
      <c r="U5" s="407" t="s">
        <v>506</v>
      </c>
      <c r="V5" s="237"/>
      <c r="W5" s="294"/>
      <c r="X5" s="294"/>
      <c r="Y5" s="294"/>
      <c r="Z5" s="294"/>
      <c r="AA5" s="294"/>
      <c r="AB5" s="294"/>
      <c r="AC5" s="294"/>
      <c r="AD5" s="294"/>
      <c r="AE5" s="237"/>
      <c r="AF5" s="224"/>
      <c r="AG5" s="539"/>
      <c r="AH5" s="214"/>
      <c r="AI5" s="214"/>
      <c r="AJ5" s="215"/>
    </row>
    <row r="6" spans="1:36" ht="14.25">
      <c r="A6" s="187"/>
      <c r="B6" s="527"/>
      <c r="C6" s="75"/>
      <c r="D6" s="224"/>
      <c r="E6" s="224"/>
      <c r="F6" s="224"/>
      <c r="G6" s="224"/>
      <c r="H6" s="224"/>
      <c r="I6" s="224"/>
      <c r="J6" s="224"/>
      <c r="K6" s="224"/>
      <c r="L6" s="224"/>
      <c r="M6" s="224"/>
      <c r="N6" s="224"/>
      <c r="O6" s="224"/>
      <c r="P6" s="528"/>
      <c r="Q6" s="410"/>
      <c r="R6" s="44"/>
      <c r="S6" s="44"/>
      <c r="T6" s="538"/>
      <c r="U6" s="237"/>
      <c r="V6" s="481"/>
      <c r="W6" s="404"/>
      <c r="X6" s="404"/>
      <c r="Y6" s="404"/>
      <c r="Z6" s="404"/>
      <c r="AA6" s="404"/>
      <c r="AB6" s="404"/>
      <c r="AC6" s="404"/>
      <c r="AD6" s="404"/>
      <c r="AE6" s="237"/>
      <c r="AF6" s="224"/>
      <c r="AG6" s="540"/>
      <c r="AH6" s="217"/>
      <c r="AI6" s="217"/>
      <c r="AJ6" s="215"/>
    </row>
    <row r="7" spans="1:36" ht="14.25">
      <c r="A7" s="187"/>
      <c r="B7" s="527"/>
      <c r="C7" s="405" t="s">
        <v>312</v>
      </c>
      <c r="D7" s="185" t="s">
        <v>477</v>
      </c>
      <c r="E7" s="224"/>
      <c r="F7" s="224"/>
      <c r="G7" s="224"/>
      <c r="H7" s="224"/>
      <c r="I7" s="224"/>
      <c r="J7" s="224"/>
      <c r="K7" s="224"/>
      <c r="L7" s="224"/>
      <c r="M7" s="224"/>
      <c r="N7" s="224"/>
      <c r="O7" s="224"/>
      <c r="P7" s="528"/>
      <c r="Q7" s="410"/>
      <c r="T7" s="527"/>
      <c r="U7" s="405" t="s">
        <v>312</v>
      </c>
      <c r="V7" s="482" t="s">
        <v>311</v>
      </c>
      <c r="W7" s="482"/>
      <c r="X7" s="482"/>
      <c r="Y7" s="482"/>
      <c r="Z7" s="482"/>
      <c r="AA7" s="482"/>
      <c r="AB7" s="482"/>
      <c r="AC7" s="482"/>
      <c r="AD7" s="482"/>
      <c r="AE7" s="237"/>
      <c r="AF7" s="224"/>
      <c r="AG7" s="540"/>
      <c r="AH7" s="217"/>
      <c r="AI7" s="217"/>
      <c r="AJ7" s="217"/>
    </row>
    <row r="8" spans="1:36" ht="14.25">
      <c r="A8" s="187"/>
      <c r="B8" s="527"/>
      <c r="C8" s="405" t="s">
        <v>312</v>
      </c>
      <c r="D8" s="185" t="s">
        <v>478</v>
      </c>
      <c r="E8" s="224"/>
      <c r="F8" s="224"/>
      <c r="G8" s="224"/>
      <c r="H8" s="224"/>
      <c r="I8" s="224"/>
      <c r="J8" s="224"/>
      <c r="K8" s="224"/>
      <c r="L8" s="224"/>
      <c r="M8" s="224"/>
      <c r="N8" s="224"/>
      <c r="O8" s="224"/>
      <c r="P8" s="528"/>
      <c r="Q8" s="410"/>
      <c r="T8" s="527"/>
      <c r="U8" s="405"/>
      <c r="V8" s="482"/>
      <c r="W8" s="482"/>
      <c r="X8" s="482"/>
      <c r="Y8" s="482"/>
      <c r="Z8" s="482"/>
      <c r="AA8" s="482"/>
      <c r="AB8" s="482"/>
      <c r="AC8" s="482"/>
      <c r="AD8" s="482"/>
      <c r="AE8" s="237"/>
      <c r="AF8" s="224"/>
      <c r="AG8" s="539"/>
      <c r="AH8" s="214"/>
      <c r="AI8" s="214"/>
      <c r="AJ8" s="215"/>
    </row>
    <row r="9" spans="1:36" ht="14.25">
      <c r="A9" s="187"/>
      <c r="B9" s="527"/>
      <c r="C9" s="405"/>
      <c r="D9" s="460"/>
      <c r="E9" s="224"/>
      <c r="F9" s="224"/>
      <c r="G9" s="224"/>
      <c r="H9" s="224"/>
      <c r="I9" s="224"/>
      <c r="J9" s="224"/>
      <c r="K9" s="224"/>
      <c r="L9" s="224"/>
      <c r="M9" s="224"/>
      <c r="N9" s="224"/>
      <c r="O9" s="224"/>
      <c r="P9" s="528"/>
      <c r="Q9" s="410"/>
      <c r="T9" s="527"/>
      <c r="U9" s="405" t="s">
        <v>312</v>
      </c>
      <c r="V9" s="482" t="s">
        <v>487</v>
      </c>
      <c r="W9" s="482"/>
      <c r="X9" s="482"/>
      <c r="Y9" s="482"/>
      <c r="Z9" s="482"/>
      <c r="AA9" s="482"/>
      <c r="AB9" s="482"/>
      <c r="AC9" s="482"/>
      <c r="AD9" s="482"/>
      <c r="AE9" s="237"/>
      <c r="AF9" s="224"/>
      <c r="AG9" s="539"/>
      <c r="AH9" s="214"/>
      <c r="AI9" s="214"/>
      <c r="AJ9" s="215"/>
    </row>
    <row r="10" spans="1:36" ht="14.25">
      <c r="A10" s="187"/>
      <c r="B10" s="527"/>
      <c r="C10" s="405" t="s">
        <v>312</v>
      </c>
      <c r="D10" s="185" t="s">
        <v>479</v>
      </c>
      <c r="E10" s="224"/>
      <c r="F10" s="224"/>
      <c r="G10" s="224"/>
      <c r="H10" s="224"/>
      <c r="I10" s="224"/>
      <c r="J10" s="224"/>
      <c r="K10" s="224"/>
      <c r="L10" s="224"/>
      <c r="M10" s="224"/>
      <c r="N10" s="224"/>
      <c r="O10" s="224"/>
      <c r="P10" s="528"/>
      <c r="Q10" s="410"/>
      <c r="T10" s="527"/>
      <c r="U10" s="405"/>
      <c r="V10" s="482"/>
      <c r="W10" s="482"/>
      <c r="X10" s="482"/>
      <c r="Y10" s="482"/>
      <c r="Z10" s="482"/>
      <c r="AA10" s="482"/>
      <c r="AB10" s="482"/>
      <c r="AC10" s="482"/>
      <c r="AD10" s="482"/>
      <c r="AE10" s="237"/>
      <c r="AF10" s="224"/>
      <c r="AG10" s="539"/>
      <c r="AH10" s="214"/>
      <c r="AI10" s="214"/>
      <c r="AJ10" s="215"/>
    </row>
    <row r="11" spans="1:36" ht="14.25">
      <c r="A11" s="187"/>
      <c r="B11" s="527"/>
      <c r="C11" s="405" t="s">
        <v>312</v>
      </c>
      <c r="D11" s="185" t="s">
        <v>480</v>
      </c>
      <c r="E11" s="224"/>
      <c r="F11" s="224"/>
      <c r="G11" s="224"/>
      <c r="H11" s="224"/>
      <c r="I11" s="224"/>
      <c r="J11" s="224"/>
      <c r="K11" s="224"/>
      <c r="L11" s="224"/>
      <c r="M11" s="224"/>
      <c r="N11" s="224"/>
      <c r="O11" s="224"/>
      <c r="P11" s="528"/>
      <c r="Q11" s="410"/>
      <c r="T11" s="527"/>
      <c r="U11" s="405" t="s">
        <v>312</v>
      </c>
      <c r="V11" s="482" t="s">
        <v>488</v>
      </c>
      <c r="W11" s="482"/>
      <c r="X11" s="482"/>
      <c r="Y11" s="482"/>
      <c r="Z11" s="482"/>
      <c r="AA11" s="482"/>
      <c r="AB11" s="482"/>
      <c r="AC11" s="482"/>
      <c r="AD11" s="482"/>
      <c r="AE11" s="237"/>
      <c r="AF11" s="224"/>
      <c r="AG11" s="539"/>
      <c r="AH11" s="214"/>
      <c r="AI11" s="214"/>
      <c r="AJ11" s="215"/>
    </row>
    <row r="12" spans="1:36" ht="15.75" customHeight="1">
      <c r="A12" s="187"/>
      <c r="B12" s="527"/>
      <c r="C12" s="405"/>
      <c r="D12" s="460"/>
      <c r="E12" s="224"/>
      <c r="F12" s="224"/>
      <c r="G12" s="224"/>
      <c r="H12" s="224"/>
      <c r="I12" s="224"/>
      <c r="J12" s="224"/>
      <c r="K12" s="224"/>
      <c r="L12" s="224"/>
      <c r="M12" s="224"/>
      <c r="N12" s="224"/>
      <c r="O12" s="224"/>
      <c r="P12" s="528"/>
      <c r="Q12" s="410"/>
      <c r="T12" s="527"/>
      <c r="U12" s="405"/>
      <c r="V12" s="482"/>
      <c r="W12" s="482"/>
      <c r="X12" s="482"/>
      <c r="Y12" s="482"/>
      <c r="Z12" s="482"/>
      <c r="AA12" s="482"/>
      <c r="AB12" s="482"/>
      <c r="AC12" s="482"/>
      <c r="AD12" s="482"/>
      <c r="AE12" s="237"/>
      <c r="AF12" s="224"/>
      <c r="AG12" s="541"/>
      <c r="AH12" s="215"/>
      <c r="AI12" s="215"/>
      <c r="AJ12" s="215"/>
    </row>
    <row r="13" spans="1:36" ht="15.75" customHeight="1">
      <c r="A13" s="187"/>
      <c r="B13" s="527"/>
      <c r="C13" s="405" t="s">
        <v>312</v>
      </c>
      <c r="D13" s="185" t="s">
        <v>313</v>
      </c>
      <c r="E13" s="224"/>
      <c r="F13" s="224"/>
      <c r="G13" s="224"/>
      <c r="H13" s="224"/>
      <c r="I13" s="224"/>
      <c r="J13" s="224"/>
      <c r="K13" s="224"/>
      <c r="L13" s="224"/>
      <c r="M13" s="224"/>
      <c r="N13" s="224"/>
      <c r="O13" s="224"/>
      <c r="P13" s="528"/>
      <c r="Q13" s="410"/>
      <c r="T13" s="527"/>
      <c r="U13" s="405" t="s">
        <v>312</v>
      </c>
      <c r="V13" s="482" t="s">
        <v>489</v>
      </c>
      <c r="W13" s="482"/>
      <c r="X13" s="482"/>
      <c r="Y13" s="482"/>
      <c r="Z13" s="482"/>
      <c r="AA13" s="482"/>
      <c r="AB13" s="482"/>
      <c r="AC13" s="482"/>
      <c r="AD13" s="482"/>
      <c r="AE13" s="237"/>
      <c r="AF13" s="224"/>
      <c r="AG13" s="541"/>
      <c r="AH13" s="215"/>
      <c r="AI13" s="215"/>
      <c r="AJ13" s="215"/>
    </row>
    <row r="14" spans="1:36" ht="14.25" customHeight="1">
      <c r="A14" s="187"/>
      <c r="B14" s="527"/>
      <c r="C14" s="405" t="s">
        <v>312</v>
      </c>
      <c r="D14" s="185" t="s">
        <v>481</v>
      </c>
      <c r="E14" s="224"/>
      <c r="F14" s="224"/>
      <c r="G14" s="224"/>
      <c r="H14" s="224"/>
      <c r="I14" s="224"/>
      <c r="J14" s="224"/>
      <c r="K14" s="224"/>
      <c r="L14" s="224"/>
      <c r="M14" s="224"/>
      <c r="N14" s="224"/>
      <c r="O14" s="224"/>
      <c r="P14" s="528"/>
      <c r="Q14" s="410"/>
      <c r="T14" s="527"/>
      <c r="U14" s="405"/>
      <c r="V14" s="482"/>
      <c r="W14" s="482"/>
      <c r="X14" s="482"/>
      <c r="Y14" s="482"/>
      <c r="Z14" s="482"/>
      <c r="AA14" s="482"/>
      <c r="AB14" s="482"/>
      <c r="AC14" s="482"/>
      <c r="AD14" s="482"/>
      <c r="AE14" s="237"/>
      <c r="AF14" s="224"/>
      <c r="AG14" s="539"/>
      <c r="AH14" s="214"/>
      <c r="AI14" s="214"/>
      <c r="AJ14" s="215"/>
    </row>
    <row r="15" spans="1:36" ht="14.25">
      <c r="A15" s="187"/>
      <c r="B15" s="527"/>
      <c r="C15" s="405"/>
      <c r="D15" s="460"/>
      <c r="E15" s="224"/>
      <c r="F15" s="224"/>
      <c r="G15" s="224"/>
      <c r="H15" s="224"/>
      <c r="I15" s="224"/>
      <c r="J15" s="224"/>
      <c r="K15" s="224"/>
      <c r="L15" s="224"/>
      <c r="M15" s="224"/>
      <c r="N15" s="224"/>
      <c r="O15" s="224"/>
      <c r="P15" s="528"/>
      <c r="Q15" s="410"/>
      <c r="T15" s="527"/>
      <c r="U15" s="405" t="s">
        <v>312</v>
      </c>
      <c r="V15" s="482" t="s">
        <v>393</v>
      </c>
      <c r="W15" s="482"/>
      <c r="X15" s="482"/>
      <c r="Y15" s="482"/>
      <c r="Z15" s="482"/>
      <c r="AA15" s="482"/>
      <c r="AB15" s="482"/>
      <c r="AC15" s="482"/>
      <c r="AD15" s="482"/>
      <c r="AE15" s="237"/>
      <c r="AF15" s="224"/>
      <c r="AG15" s="541"/>
      <c r="AH15" s="215"/>
      <c r="AI15" s="215"/>
      <c r="AJ15" s="215"/>
    </row>
    <row r="16" spans="1:36" ht="17.25" customHeight="1">
      <c r="A16" s="187"/>
      <c r="B16" s="527"/>
      <c r="C16" s="405" t="s">
        <v>312</v>
      </c>
      <c r="D16" s="185" t="s">
        <v>650</v>
      </c>
      <c r="E16" s="224"/>
      <c r="F16" s="224"/>
      <c r="G16" s="224"/>
      <c r="H16" s="224"/>
      <c r="I16" s="224"/>
      <c r="J16" s="224"/>
      <c r="K16" s="224"/>
      <c r="L16" s="224"/>
      <c r="M16" s="224"/>
      <c r="N16" s="224"/>
      <c r="O16" s="224"/>
      <c r="P16" s="528"/>
      <c r="Q16" s="410"/>
      <c r="T16" s="527"/>
      <c r="U16" s="405"/>
      <c r="V16" s="482"/>
      <c r="W16" s="482"/>
      <c r="X16" s="482"/>
      <c r="Y16" s="482"/>
      <c r="Z16" s="482"/>
      <c r="AA16" s="482"/>
      <c r="AB16" s="482"/>
      <c r="AC16" s="482"/>
      <c r="AD16" s="482"/>
      <c r="AE16" s="237"/>
      <c r="AF16" s="224"/>
      <c r="AG16" s="539"/>
      <c r="AH16" s="214"/>
      <c r="AI16" s="214"/>
      <c r="AJ16" s="215"/>
    </row>
    <row r="17" spans="1:49" ht="24.75" customHeight="1">
      <c r="A17" s="187"/>
      <c r="B17" s="527"/>
      <c r="C17" s="405" t="s">
        <v>312</v>
      </c>
      <c r="D17" s="185" t="s">
        <v>651</v>
      </c>
      <c r="E17" s="224"/>
      <c r="F17" s="224"/>
      <c r="G17" s="224"/>
      <c r="H17" s="224"/>
      <c r="I17" s="224"/>
      <c r="J17" s="224"/>
      <c r="K17" s="224"/>
      <c r="L17" s="224"/>
      <c r="M17" s="224"/>
      <c r="N17" s="224"/>
      <c r="O17" s="224"/>
      <c r="P17" s="528"/>
      <c r="Q17" s="410"/>
      <c r="T17" s="527"/>
      <c r="U17" s="405" t="s">
        <v>312</v>
      </c>
      <c r="V17" s="482" t="s">
        <v>606</v>
      </c>
      <c r="W17" s="482"/>
      <c r="X17" s="482"/>
      <c r="Y17" s="482"/>
      <c r="Z17" s="482"/>
      <c r="AA17" s="482"/>
      <c r="AB17" s="482"/>
      <c r="AC17" s="482"/>
      <c r="AD17" s="482"/>
      <c r="AE17" s="237"/>
      <c r="AF17" s="224"/>
      <c r="AG17" s="539"/>
      <c r="AH17" s="214"/>
      <c r="AI17" s="214"/>
      <c r="AJ17" s="215"/>
    </row>
    <row r="18" spans="1:49" ht="33" customHeight="1">
      <c r="A18" s="187"/>
      <c r="B18" s="527"/>
      <c r="C18" s="405" t="s">
        <v>312</v>
      </c>
      <c r="D18" s="649" t="s">
        <v>652</v>
      </c>
      <c r="E18" s="633"/>
      <c r="F18" s="633"/>
      <c r="G18" s="633"/>
      <c r="H18" s="633"/>
      <c r="I18" s="633"/>
      <c r="J18" s="633"/>
      <c r="K18" s="633"/>
      <c r="L18" s="633"/>
      <c r="M18" s="633"/>
      <c r="N18" s="633"/>
      <c r="O18" s="633"/>
      <c r="P18" s="528"/>
      <c r="Q18" s="410"/>
      <c r="T18" s="527"/>
      <c r="U18" s="405" t="s">
        <v>312</v>
      </c>
      <c r="V18" s="632" t="s">
        <v>394</v>
      </c>
      <c r="W18" s="632"/>
      <c r="X18" s="632"/>
      <c r="Y18" s="632"/>
      <c r="Z18" s="632"/>
      <c r="AA18" s="632"/>
      <c r="AB18" s="632"/>
      <c r="AC18" s="632"/>
      <c r="AD18" s="632"/>
      <c r="AE18" s="633"/>
      <c r="AF18" s="633"/>
      <c r="AG18" s="542"/>
      <c r="AH18" s="218"/>
      <c r="AI18" s="218"/>
      <c r="AJ18" s="218"/>
    </row>
    <row r="19" spans="1:49" ht="14.25">
      <c r="A19" s="187"/>
      <c r="B19" s="527"/>
      <c r="C19" s="405"/>
      <c r="D19" s="461" t="s">
        <v>482</v>
      </c>
      <c r="E19" s="224"/>
      <c r="F19" s="224"/>
      <c r="G19" s="224"/>
      <c r="H19" s="224"/>
      <c r="I19" s="224"/>
      <c r="J19" s="224"/>
      <c r="K19" s="224"/>
      <c r="L19" s="224"/>
      <c r="M19" s="224"/>
      <c r="N19" s="224"/>
      <c r="O19" s="224"/>
      <c r="P19" s="528"/>
      <c r="Q19" s="410"/>
      <c r="T19" s="527"/>
      <c r="U19" s="405" t="s">
        <v>312</v>
      </c>
      <c r="V19" s="482" t="s">
        <v>490</v>
      </c>
      <c r="W19" s="482"/>
      <c r="X19" s="482"/>
      <c r="Y19" s="482"/>
      <c r="Z19" s="482"/>
      <c r="AA19" s="482"/>
      <c r="AB19" s="482"/>
      <c r="AC19" s="482"/>
      <c r="AD19" s="482"/>
      <c r="AE19" s="237"/>
      <c r="AF19" s="224"/>
      <c r="AG19" s="542"/>
      <c r="AH19" s="218"/>
      <c r="AI19" s="218"/>
      <c r="AJ19" s="218"/>
    </row>
    <row r="20" spans="1:49" ht="12.75" customHeight="1">
      <c r="A20" s="187"/>
      <c r="B20" s="527"/>
      <c r="C20" s="405"/>
      <c r="D20" s="460"/>
      <c r="E20" s="224"/>
      <c r="F20" s="224"/>
      <c r="G20" s="224"/>
      <c r="H20" s="224"/>
      <c r="I20" s="224"/>
      <c r="J20" s="224"/>
      <c r="K20" s="224"/>
      <c r="L20" s="224"/>
      <c r="M20" s="224"/>
      <c r="N20" s="224"/>
      <c r="O20" s="224"/>
      <c r="P20" s="528"/>
      <c r="Q20" s="410"/>
      <c r="T20" s="527"/>
      <c r="U20" s="405"/>
      <c r="V20" s="482"/>
      <c r="W20" s="482"/>
      <c r="X20" s="482"/>
      <c r="Y20" s="482"/>
      <c r="Z20" s="482"/>
      <c r="AA20" s="482"/>
      <c r="AB20" s="482"/>
      <c r="AC20" s="482"/>
      <c r="AD20" s="482"/>
      <c r="AE20" s="237"/>
      <c r="AF20" s="224"/>
      <c r="AG20" s="542"/>
      <c r="AH20" s="223"/>
      <c r="AI20" s="223"/>
      <c r="AJ20" s="223"/>
    </row>
    <row r="21" spans="1:49" ht="14.25" customHeight="1">
      <c r="A21" s="187"/>
      <c r="B21" s="527"/>
      <c r="C21" s="405" t="s">
        <v>312</v>
      </c>
      <c r="D21" s="482" t="s">
        <v>483</v>
      </c>
      <c r="E21" s="482"/>
      <c r="F21" s="482"/>
      <c r="G21" s="482"/>
      <c r="H21" s="482"/>
      <c r="I21" s="482"/>
      <c r="J21" s="224"/>
      <c r="K21" s="224"/>
      <c r="L21" s="224"/>
      <c r="M21" s="224"/>
      <c r="N21" s="224"/>
      <c r="O21" s="224"/>
      <c r="P21" s="528"/>
      <c r="Q21" s="410"/>
      <c r="T21" s="527"/>
      <c r="U21" s="405" t="s">
        <v>312</v>
      </c>
      <c r="V21" s="482" t="s">
        <v>395</v>
      </c>
      <c r="W21" s="482"/>
      <c r="X21" s="482"/>
      <c r="Y21" s="482"/>
      <c r="Z21" s="482"/>
      <c r="AA21" s="482"/>
      <c r="AB21" s="482"/>
      <c r="AC21" s="482"/>
      <c r="AD21" s="482"/>
      <c r="AE21" s="237"/>
      <c r="AF21" s="224"/>
      <c r="AG21" s="542"/>
      <c r="AH21" s="223"/>
      <c r="AI21" s="223"/>
      <c r="AJ21" s="223"/>
    </row>
    <row r="22" spans="1:49" ht="14.25" customHeight="1">
      <c r="A22" s="187"/>
      <c r="B22" s="527"/>
      <c r="C22" s="405" t="s">
        <v>312</v>
      </c>
      <c r="D22" s="482" t="s">
        <v>484</v>
      </c>
      <c r="E22" s="482"/>
      <c r="F22" s="482"/>
      <c r="G22" s="482"/>
      <c r="H22" s="482"/>
      <c r="I22" s="482"/>
      <c r="J22" s="224"/>
      <c r="K22" s="224"/>
      <c r="L22" s="224"/>
      <c r="M22" s="224"/>
      <c r="N22" s="224"/>
      <c r="O22" s="224"/>
      <c r="P22" s="528"/>
      <c r="Q22" s="410"/>
      <c r="T22" s="527"/>
      <c r="U22" s="405"/>
      <c r="V22" s="482"/>
      <c r="W22" s="482"/>
      <c r="X22" s="482"/>
      <c r="Y22" s="482"/>
      <c r="Z22" s="482"/>
      <c r="AA22" s="482"/>
      <c r="AB22" s="482"/>
      <c r="AC22" s="482"/>
      <c r="AD22" s="482"/>
      <c r="AE22" s="237"/>
      <c r="AF22" s="224"/>
      <c r="AG22" s="542"/>
      <c r="AH22" s="212"/>
      <c r="AI22" s="212"/>
      <c r="AJ22" s="212"/>
      <c r="AL22" s="174"/>
    </row>
    <row r="23" spans="1:49" ht="14.25" customHeight="1">
      <c r="A23" s="187"/>
      <c r="B23" s="527"/>
      <c r="C23" s="405" t="s">
        <v>312</v>
      </c>
      <c r="D23" s="482" t="s">
        <v>485</v>
      </c>
      <c r="E23" s="482"/>
      <c r="F23" s="482"/>
      <c r="G23" s="482"/>
      <c r="H23" s="482"/>
      <c r="I23" s="482"/>
      <c r="J23" s="224"/>
      <c r="K23" s="224"/>
      <c r="L23" s="224"/>
      <c r="M23" s="224"/>
      <c r="N23" s="224"/>
      <c r="O23" s="224"/>
      <c r="P23" s="528"/>
      <c r="Q23" s="410"/>
      <c r="T23" s="527"/>
      <c r="U23" s="405" t="s">
        <v>312</v>
      </c>
      <c r="V23" s="632" t="s">
        <v>492</v>
      </c>
      <c r="W23" s="632"/>
      <c r="X23" s="632"/>
      <c r="Y23" s="632"/>
      <c r="Z23" s="632"/>
      <c r="AA23" s="632"/>
      <c r="AB23" s="632"/>
      <c r="AC23" s="632"/>
      <c r="AD23" s="632"/>
      <c r="AE23" s="632"/>
      <c r="AF23" s="633"/>
      <c r="AG23" s="542"/>
      <c r="AH23" s="212"/>
      <c r="AI23" s="212"/>
      <c r="AJ23" s="212"/>
    </row>
    <row r="24" spans="1:49" ht="14.25" customHeight="1">
      <c r="A24" s="187"/>
      <c r="B24" s="527"/>
      <c r="C24" s="405" t="s">
        <v>312</v>
      </c>
      <c r="D24" s="482" t="s">
        <v>486</v>
      </c>
      <c r="E24" s="185"/>
      <c r="F24" s="224"/>
      <c r="G24" s="224"/>
      <c r="H24" s="224"/>
      <c r="I24" s="224"/>
      <c r="J24" s="224"/>
      <c r="K24" s="224"/>
      <c r="L24" s="224"/>
      <c r="M24" s="224"/>
      <c r="N24" s="224"/>
      <c r="O24" s="224"/>
      <c r="P24" s="528"/>
      <c r="Q24" s="410"/>
      <c r="T24" s="527"/>
      <c r="U24" s="406"/>
      <c r="V24" s="644" t="s">
        <v>333</v>
      </c>
      <c r="W24" s="644"/>
      <c r="X24" s="644"/>
      <c r="Y24" s="644"/>
      <c r="Z24" s="644"/>
      <c r="AA24" s="644"/>
      <c r="AB24" s="644"/>
      <c r="AC24" s="644"/>
      <c r="AD24" s="644"/>
      <c r="AE24" s="644"/>
      <c r="AF24" s="224"/>
      <c r="AG24" s="542"/>
      <c r="AH24" s="212"/>
      <c r="AI24" s="212"/>
      <c r="AJ24" s="212"/>
    </row>
    <row r="25" spans="1:49" ht="15.75" customHeight="1">
      <c r="A25" s="187"/>
      <c r="B25" s="529"/>
      <c r="C25" s="530"/>
      <c r="D25" s="531"/>
      <c r="E25" s="531"/>
      <c r="F25" s="531"/>
      <c r="G25" s="531"/>
      <c r="H25" s="531"/>
      <c r="I25" s="531"/>
      <c r="J25" s="531"/>
      <c r="K25" s="531"/>
      <c r="L25" s="531"/>
      <c r="M25" s="532"/>
      <c r="N25" s="531"/>
      <c r="O25" s="531"/>
      <c r="P25" s="533"/>
      <c r="Q25" s="410"/>
      <c r="R25" s="126"/>
      <c r="T25" s="543"/>
      <c r="U25" s="544"/>
      <c r="V25" s="544"/>
      <c r="W25" s="544"/>
      <c r="X25" s="545"/>
      <c r="Y25" s="545"/>
      <c r="Z25" s="544"/>
      <c r="AA25" s="544"/>
      <c r="AB25" s="544"/>
      <c r="AC25" s="532"/>
      <c r="AD25" s="532"/>
      <c r="AE25" s="546"/>
      <c r="AF25" s="532"/>
      <c r="AG25" s="533"/>
      <c r="AH25" s="212"/>
      <c r="AI25" s="212"/>
      <c r="AJ25" s="212"/>
    </row>
    <row r="26" spans="1:49" ht="18.75" customHeight="1">
      <c r="A26" s="187"/>
      <c r="B26" s="187"/>
      <c r="C26" s="187"/>
      <c r="D26" s="187"/>
      <c r="E26" s="187"/>
      <c r="F26" s="187"/>
      <c r="G26" s="187"/>
      <c r="H26" s="187"/>
      <c r="I26" s="187"/>
      <c r="J26" s="187"/>
      <c r="K26" s="187"/>
      <c r="L26" s="187"/>
      <c r="M26" s="187"/>
      <c r="N26" s="187"/>
      <c r="O26" s="187"/>
      <c r="P26" s="187"/>
      <c r="Q26" s="410"/>
      <c r="R26" s="33"/>
      <c r="S26" s="33"/>
      <c r="T26" s="33"/>
      <c r="U26" s="33"/>
      <c r="V26" s="33"/>
      <c r="W26" s="68"/>
    </row>
    <row r="27" spans="1:49">
      <c r="A27" s="187"/>
      <c r="B27" s="187"/>
      <c r="C27" s="187"/>
      <c r="D27" s="187"/>
      <c r="E27" s="187"/>
      <c r="F27" s="187"/>
      <c r="G27" s="187"/>
      <c r="H27" s="187"/>
      <c r="I27" s="187"/>
      <c r="J27" s="187"/>
      <c r="K27" s="187"/>
      <c r="L27" s="187"/>
      <c r="M27" s="187"/>
      <c r="N27" s="187"/>
      <c r="O27" s="187"/>
      <c r="P27" s="187"/>
      <c r="Q27" s="410"/>
      <c r="T27" s="33"/>
      <c r="U27" s="33"/>
    </row>
    <row r="28" spans="1:49">
      <c r="B28" s="75"/>
      <c r="C28" s="70"/>
      <c r="D28" s="70"/>
      <c r="E28" s="70"/>
      <c r="F28" s="70"/>
      <c r="G28" s="70"/>
      <c r="H28" s="70"/>
      <c r="I28" s="70"/>
      <c r="J28" s="70"/>
      <c r="K28" s="70"/>
      <c r="L28" s="70"/>
      <c r="M28" s="70"/>
      <c r="N28" s="70"/>
      <c r="O28" s="70"/>
      <c r="P28" s="272"/>
      <c r="R28" s="12"/>
      <c r="S28" s="44"/>
    </row>
    <row r="29" spans="1:49" ht="15">
      <c r="B29" s="70"/>
      <c r="C29" s="88" t="s">
        <v>493</v>
      </c>
      <c r="D29" s="70"/>
      <c r="E29" s="70"/>
      <c r="F29" s="70"/>
      <c r="G29" s="70"/>
      <c r="H29" s="70"/>
      <c r="I29" s="70"/>
      <c r="J29" s="70"/>
      <c r="K29" s="70"/>
      <c r="L29" s="70"/>
      <c r="M29" s="70"/>
      <c r="N29" s="70"/>
      <c r="O29" s="70"/>
      <c r="P29" s="272"/>
      <c r="R29" s="12"/>
      <c r="T29" s="286" t="s">
        <v>501</v>
      </c>
      <c r="U29" s="286"/>
      <c r="W29" s="19"/>
      <c r="X29" s="117"/>
      <c r="Y29" s="117"/>
      <c r="Z29" s="117"/>
      <c r="AA29" s="117"/>
      <c r="AB29" s="117"/>
      <c r="AC29" s="117"/>
      <c r="AD29" s="117"/>
      <c r="AE29" s="117"/>
      <c r="AF29" s="117"/>
      <c r="AG29" s="117"/>
      <c r="AH29" s="117"/>
      <c r="AI29" s="117"/>
      <c r="AJ29" s="117"/>
      <c r="AK29" s="117"/>
      <c r="AL29" s="117"/>
      <c r="AM29" s="117"/>
      <c r="AN29" s="117"/>
      <c r="AO29" s="117"/>
      <c r="AP29" s="117"/>
      <c r="AQ29" s="14"/>
    </row>
    <row r="30" spans="1:49" ht="15">
      <c r="B30" s="70"/>
      <c r="C30" s="70"/>
      <c r="D30" s="70"/>
      <c r="E30" s="70"/>
      <c r="F30" s="70"/>
      <c r="G30" s="70"/>
      <c r="H30" s="70"/>
      <c r="I30" s="70"/>
      <c r="J30" s="70"/>
      <c r="K30" s="70"/>
      <c r="L30" s="70"/>
      <c r="M30" s="70"/>
      <c r="N30" s="70"/>
      <c r="O30" s="70"/>
      <c r="P30" s="272"/>
      <c r="R30" s="12"/>
      <c r="T30" s="44"/>
      <c r="U30" s="44"/>
      <c r="W30" s="295"/>
      <c r="X30" s="233"/>
      <c r="Y30" s="118"/>
      <c r="Z30" s="118"/>
      <c r="AA30" s="118"/>
      <c r="AB30" s="118"/>
      <c r="AC30" s="118"/>
      <c r="AD30" s="118"/>
      <c r="AE30" s="118"/>
      <c r="AF30" s="118"/>
      <c r="AG30" s="118"/>
      <c r="AH30" s="118"/>
      <c r="AI30" s="118"/>
      <c r="AJ30" s="118"/>
      <c r="AK30" s="118"/>
      <c r="AL30" s="118"/>
      <c r="AM30" s="118"/>
      <c r="AN30" s="118"/>
      <c r="AO30" s="118"/>
      <c r="AP30" s="118"/>
      <c r="AQ30" s="14"/>
    </row>
    <row r="31" spans="1:49">
      <c r="B31" s="70"/>
      <c r="C31" s="70"/>
      <c r="D31" s="70"/>
      <c r="E31" s="70"/>
      <c r="F31" s="70"/>
      <c r="G31" s="70"/>
      <c r="H31" s="70"/>
      <c r="I31" s="70"/>
      <c r="J31" s="70"/>
      <c r="K31" s="70"/>
      <c r="L31" s="70"/>
      <c r="M31" s="70"/>
      <c r="N31" s="70"/>
      <c r="O31" s="70"/>
      <c r="P31" s="272"/>
      <c r="R31" s="12"/>
      <c r="T31" s="120" t="s">
        <v>1</v>
      </c>
      <c r="U31" s="120"/>
      <c r="V31" s="120"/>
      <c r="W31" s="298"/>
      <c r="X31" s="299">
        <v>1996</v>
      </c>
      <c r="Y31" s="299">
        <v>1997</v>
      </c>
      <c r="Z31" s="299">
        <v>1998</v>
      </c>
      <c r="AA31" s="299">
        <v>1999</v>
      </c>
      <c r="AB31" s="299">
        <v>2000</v>
      </c>
      <c r="AC31" s="299">
        <v>2001</v>
      </c>
      <c r="AD31" s="299">
        <v>2002</v>
      </c>
      <c r="AE31" s="299">
        <v>2003</v>
      </c>
      <c r="AF31" s="299">
        <v>2004</v>
      </c>
      <c r="AG31" s="299">
        <v>2005</v>
      </c>
      <c r="AH31" s="299">
        <v>2006</v>
      </c>
      <c r="AI31" s="299">
        <v>2007</v>
      </c>
      <c r="AJ31" s="299">
        <v>2008</v>
      </c>
      <c r="AK31" s="299">
        <v>2009</v>
      </c>
      <c r="AL31" s="299">
        <v>2010</v>
      </c>
      <c r="AM31" s="299">
        <v>2011</v>
      </c>
      <c r="AN31" s="299">
        <v>2012</v>
      </c>
      <c r="AO31" s="299">
        <v>2013</v>
      </c>
      <c r="AP31" s="299">
        <v>2014</v>
      </c>
      <c r="AQ31" s="300">
        <v>2015</v>
      </c>
      <c r="AR31" s="300">
        <v>2016</v>
      </c>
      <c r="AT31" s="22"/>
      <c r="AU31" s="22"/>
      <c r="AV31" s="22"/>
      <c r="AW31" s="23"/>
    </row>
    <row r="32" spans="1:49">
      <c r="B32" s="70"/>
      <c r="C32" s="70"/>
      <c r="D32" s="70"/>
      <c r="E32" s="70"/>
      <c r="F32" s="70"/>
      <c r="G32" s="70"/>
      <c r="H32" s="70"/>
      <c r="I32" s="70"/>
      <c r="J32" s="70"/>
      <c r="K32" s="70"/>
      <c r="L32" s="70"/>
      <c r="M32" s="70"/>
      <c r="N32" s="70"/>
      <c r="O32" s="70"/>
      <c r="P32" s="272"/>
      <c r="R32" s="12"/>
      <c r="T32" s="25"/>
      <c r="U32" s="25"/>
      <c r="V32" s="25"/>
      <c r="W32" s="296"/>
      <c r="X32" s="118"/>
      <c r="Y32" s="118"/>
      <c r="Z32" s="118"/>
      <c r="AA32" s="213"/>
      <c r="AB32" s="118"/>
      <c r="AC32" s="118"/>
      <c r="AD32" s="118"/>
      <c r="AE32" s="118"/>
      <c r="AF32" s="118"/>
      <c r="AG32" s="118"/>
      <c r="AH32" s="118"/>
      <c r="AI32" s="118"/>
      <c r="AJ32" s="118"/>
      <c r="AK32" s="118"/>
      <c r="AL32" s="118"/>
      <c r="AM32" s="118"/>
      <c r="AN32" s="118"/>
      <c r="AO32" s="118"/>
      <c r="AP32" s="118"/>
      <c r="AQ32" s="14"/>
      <c r="AT32" s="24"/>
      <c r="AU32" s="24"/>
      <c r="AV32" s="24"/>
    </row>
    <row r="33" spans="2:48">
      <c r="B33" s="70"/>
      <c r="C33" s="70"/>
      <c r="D33" s="70"/>
      <c r="E33" s="70"/>
      <c r="F33" s="70"/>
      <c r="G33" s="70"/>
      <c r="H33" s="70"/>
      <c r="I33" s="70"/>
      <c r="J33" s="70"/>
      <c r="K33" s="70"/>
      <c r="L33" s="70"/>
      <c r="M33" s="70"/>
      <c r="N33" s="70"/>
      <c r="O33" s="70"/>
      <c r="P33" s="272"/>
      <c r="R33" s="12"/>
      <c r="T33" s="25" t="s">
        <v>0</v>
      </c>
      <c r="U33" s="25"/>
      <c r="V33" s="25" t="s">
        <v>9</v>
      </c>
      <c r="W33" s="296" t="s">
        <v>21</v>
      </c>
      <c r="X33" s="285">
        <f t="shared" ref="X33:AR33" si="0">VLOOKUP(X$31&amp;"AllSex"&amp;"AllEth"&amp;19,agesextable,6,FALSE)</f>
        <v>540</v>
      </c>
      <c r="Y33" s="285">
        <f t="shared" si="0"/>
        <v>562</v>
      </c>
      <c r="Z33" s="285">
        <f t="shared" si="0"/>
        <v>578</v>
      </c>
      <c r="AA33" s="285">
        <f t="shared" si="0"/>
        <v>516</v>
      </c>
      <c r="AB33" s="285">
        <f t="shared" si="0"/>
        <v>459</v>
      </c>
      <c r="AC33" s="285">
        <f t="shared" si="0"/>
        <v>508</v>
      </c>
      <c r="AD33" s="285">
        <f t="shared" si="0"/>
        <v>470</v>
      </c>
      <c r="AE33" s="285">
        <f t="shared" si="0"/>
        <v>522</v>
      </c>
      <c r="AF33" s="285">
        <f t="shared" si="0"/>
        <v>494</v>
      </c>
      <c r="AG33" s="285">
        <f t="shared" si="0"/>
        <v>515</v>
      </c>
      <c r="AH33" s="285">
        <f t="shared" si="0"/>
        <v>524</v>
      </c>
      <c r="AI33" s="285">
        <f t="shared" si="0"/>
        <v>501</v>
      </c>
      <c r="AJ33" s="285">
        <f t="shared" si="0"/>
        <v>518</v>
      </c>
      <c r="AK33" s="285">
        <f t="shared" si="0"/>
        <v>512</v>
      </c>
      <c r="AL33" s="285">
        <f t="shared" si="0"/>
        <v>534</v>
      </c>
      <c r="AM33" s="285">
        <f t="shared" si="0"/>
        <v>495</v>
      </c>
      <c r="AN33" s="285">
        <f t="shared" si="0"/>
        <v>549</v>
      </c>
      <c r="AO33" s="285">
        <f t="shared" si="0"/>
        <v>513</v>
      </c>
      <c r="AP33" s="285">
        <f t="shared" si="0"/>
        <v>510</v>
      </c>
      <c r="AQ33" s="285">
        <f t="shared" si="0"/>
        <v>530</v>
      </c>
      <c r="AR33" s="285">
        <f t="shared" si="0"/>
        <v>554</v>
      </c>
      <c r="AT33" s="24"/>
      <c r="AU33" s="24"/>
      <c r="AV33" s="24"/>
    </row>
    <row r="34" spans="2:48">
      <c r="B34" s="70"/>
      <c r="C34" s="70"/>
      <c r="D34" s="77"/>
      <c r="E34" s="77"/>
      <c r="F34" s="77"/>
      <c r="G34" s="77"/>
      <c r="H34" s="77"/>
      <c r="I34" s="77"/>
      <c r="J34" s="77"/>
      <c r="K34" s="77"/>
      <c r="L34" s="77"/>
      <c r="M34" s="70"/>
      <c r="N34" s="70"/>
      <c r="O34" s="70"/>
      <c r="P34" s="272"/>
      <c r="R34" s="12"/>
      <c r="T34" s="25" t="s">
        <v>20</v>
      </c>
      <c r="U34" s="25"/>
      <c r="V34" s="25"/>
      <c r="W34" s="31"/>
      <c r="X34" s="119">
        <f t="shared" ref="X34:AQ34" si="1">VLOOKUP(X31&amp;"Male"&amp;"AllEth"&amp;19,agesextable,6,FALSE)</f>
        <v>429</v>
      </c>
      <c r="Y34" s="119">
        <f t="shared" si="1"/>
        <v>441</v>
      </c>
      <c r="Z34" s="119">
        <f t="shared" si="1"/>
        <v>445</v>
      </c>
      <c r="AA34" s="119">
        <f t="shared" si="1"/>
        <v>384</v>
      </c>
      <c r="AB34" s="119">
        <f t="shared" si="1"/>
        <v>376</v>
      </c>
      <c r="AC34" s="119">
        <f t="shared" si="1"/>
        <v>390</v>
      </c>
      <c r="AD34" s="119">
        <f t="shared" si="1"/>
        <v>356</v>
      </c>
      <c r="AE34" s="119">
        <f t="shared" si="1"/>
        <v>380</v>
      </c>
      <c r="AF34" s="119">
        <f t="shared" si="1"/>
        <v>382</v>
      </c>
      <c r="AG34" s="119">
        <f t="shared" si="1"/>
        <v>383</v>
      </c>
      <c r="AH34" s="119">
        <f t="shared" si="1"/>
        <v>387</v>
      </c>
      <c r="AI34" s="119">
        <f t="shared" si="1"/>
        <v>381</v>
      </c>
      <c r="AJ34" s="119">
        <f t="shared" si="1"/>
        <v>379</v>
      </c>
      <c r="AK34" s="119">
        <f t="shared" si="1"/>
        <v>394</v>
      </c>
      <c r="AL34" s="119">
        <f t="shared" si="1"/>
        <v>387</v>
      </c>
      <c r="AM34" s="119">
        <f t="shared" si="1"/>
        <v>377</v>
      </c>
      <c r="AN34" s="119">
        <f t="shared" si="1"/>
        <v>404</v>
      </c>
      <c r="AO34" s="119">
        <f t="shared" si="1"/>
        <v>365</v>
      </c>
      <c r="AP34" s="119">
        <f t="shared" si="1"/>
        <v>379</v>
      </c>
      <c r="AQ34" s="119">
        <f t="shared" si="1"/>
        <v>386</v>
      </c>
      <c r="AR34" s="119">
        <f t="shared" ref="AR34" si="2">VLOOKUP(AR31&amp;"Male"&amp;"AllEth"&amp;19,agesextable,6,FALSE)</f>
        <v>412</v>
      </c>
      <c r="AT34" s="24"/>
      <c r="AU34" s="24"/>
      <c r="AV34" s="24"/>
    </row>
    <row r="35" spans="2:48">
      <c r="B35" s="70"/>
      <c r="C35" s="70"/>
      <c r="D35" s="70"/>
      <c r="E35" s="70"/>
      <c r="F35" s="70"/>
      <c r="G35" s="70"/>
      <c r="H35" s="70"/>
      <c r="I35" s="70"/>
      <c r="J35" s="70"/>
      <c r="K35" s="70"/>
      <c r="L35" s="70"/>
      <c r="M35" s="70"/>
      <c r="N35" s="70"/>
      <c r="O35" s="70"/>
      <c r="P35" s="272"/>
      <c r="R35" s="12"/>
      <c r="T35" s="25" t="s">
        <v>8</v>
      </c>
      <c r="U35" s="25"/>
      <c r="V35" s="25"/>
      <c r="W35" s="31"/>
      <c r="X35" s="119">
        <f t="shared" ref="X35:AQ35" si="3">VLOOKUP(X31&amp;"Female"&amp;"AllEth"&amp;19,agesextable,6,FALSE)</f>
        <v>111</v>
      </c>
      <c r="Y35" s="119">
        <f t="shared" si="3"/>
        <v>121</v>
      </c>
      <c r="Z35" s="119">
        <f t="shared" si="3"/>
        <v>133</v>
      </c>
      <c r="AA35" s="119">
        <f t="shared" si="3"/>
        <v>132</v>
      </c>
      <c r="AB35" s="119">
        <f t="shared" si="3"/>
        <v>83</v>
      </c>
      <c r="AC35" s="119">
        <f t="shared" si="3"/>
        <v>118</v>
      </c>
      <c r="AD35" s="119">
        <f t="shared" si="3"/>
        <v>114</v>
      </c>
      <c r="AE35" s="119">
        <f t="shared" si="3"/>
        <v>142</v>
      </c>
      <c r="AF35" s="119">
        <f t="shared" si="3"/>
        <v>112</v>
      </c>
      <c r="AG35" s="119">
        <f t="shared" si="3"/>
        <v>132</v>
      </c>
      <c r="AH35" s="119">
        <f t="shared" si="3"/>
        <v>137</v>
      </c>
      <c r="AI35" s="119">
        <f t="shared" si="3"/>
        <v>120</v>
      </c>
      <c r="AJ35" s="119">
        <f t="shared" si="3"/>
        <v>139</v>
      </c>
      <c r="AK35" s="119">
        <f t="shared" si="3"/>
        <v>118</v>
      </c>
      <c r="AL35" s="119">
        <f t="shared" si="3"/>
        <v>147</v>
      </c>
      <c r="AM35" s="119">
        <f t="shared" si="3"/>
        <v>118</v>
      </c>
      <c r="AN35" s="119">
        <f t="shared" si="3"/>
        <v>145</v>
      </c>
      <c r="AO35" s="119">
        <f t="shared" si="3"/>
        <v>148</v>
      </c>
      <c r="AP35" s="119">
        <f t="shared" si="3"/>
        <v>131</v>
      </c>
      <c r="AQ35" s="229">
        <f t="shared" si="3"/>
        <v>144</v>
      </c>
      <c r="AR35" s="229">
        <f t="shared" ref="AR35" si="4">VLOOKUP(AR31&amp;"Female"&amp;"AllEth"&amp;19,agesextable,6,FALSE)</f>
        <v>142</v>
      </c>
      <c r="AT35" s="24"/>
      <c r="AU35" s="24"/>
      <c r="AV35" s="24"/>
    </row>
    <row r="36" spans="2:48">
      <c r="B36" s="70"/>
      <c r="C36" s="70"/>
      <c r="D36" s="70"/>
      <c r="E36" s="70"/>
      <c r="F36" s="70"/>
      <c r="G36" s="70"/>
      <c r="H36" s="70"/>
      <c r="I36" s="70"/>
      <c r="J36" s="70"/>
      <c r="K36" s="70"/>
      <c r="L36" s="70"/>
      <c r="M36" s="70"/>
      <c r="N36" s="70"/>
      <c r="O36" s="70"/>
      <c r="P36" s="272"/>
      <c r="R36" s="12"/>
      <c r="T36" s="28"/>
      <c r="U36" s="28"/>
      <c r="V36" s="28"/>
      <c r="W36" s="28"/>
      <c r="X36" s="123"/>
      <c r="Y36" s="123"/>
      <c r="Z36" s="123"/>
      <c r="AA36" s="123"/>
      <c r="AB36" s="123"/>
      <c r="AC36" s="123"/>
      <c r="AD36" s="123"/>
      <c r="AE36" s="123"/>
      <c r="AF36" s="123"/>
      <c r="AG36" s="123"/>
      <c r="AH36" s="123"/>
      <c r="AI36" s="123"/>
      <c r="AJ36" s="123"/>
      <c r="AK36" s="123"/>
      <c r="AL36" s="123"/>
      <c r="AM36" s="123"/>
      <c r="AN36" s="123"/>
      <c r="AO36" s="123"/>
      <c r="AP36" s="123"/>
      <c r="AQ36" s="30"/>
      <c r="AT36" s="24"/>
      <c r="AU36" s="24"/>
      <c r="AV36" s="24"/>
    </row>
    <row r="37" spans="2:48">
      <c r="B37" s="70"/>
      <c r="C37" s="70"/>
      <c r="D37" s="70"/>
      <c r="E37" s="70"/>
      <c r="F37" s="70"/>
      <c r="G37" s="70"/>
      <c r="H37" s="70"/>
      <c r="I37" s="70"/>
      <c r="J37" s="70"/>
      <c r="K37" s="70"/>
      <c r="L37" s="70"/>
      <c r="M37" s="70"/>
      <c r="N37" s="70"/>
      <c r="O37" s="70"/>
      <c r="P37" s="272"/>
      <c r="R37" s="12"/>
      <c r="T37" s="25" t="s">
        <v>0</v>
      </c>
      <c r="U37" s="25"/>
      <c r="V37" s="25" t="s">
        <v>9</v>
      </c>
      <c r="W37" s="31" t="s">
        <v>22</v>
      </c>
      <c r="X37" s="45">
        <f t="shared" ref="X37:AQ37" si="5">VLOOKUP(X31&amp;"AllSex"&amp;"AllEth"&amp;19,agesextable,7,FALSE)</f>
        <v>14.1955765609588</v>
      </c>
      <c r="Y37" s="45">
        <f t="shared" si="5"/>
        <v>14.7420910684024</v>
      </c>
      <c r="Z37" s="45">
        <f t="shared" si="5"/>
        <v>15.019333169925099</v>
      </c>
      <c r="AA37" s="45">
        <f t="shared" si="5"/>
        <v>13.312991012512001</v>
      </c>
      <c r="AB37" s="45">
        <f t="shared" si="5"/>
        <v>11.849825329552701</v>
      </c>
      <c r="AC37" s="45">
        <f t="shared" si="5"/>
        <v>12.883752602379101</v>
      </c>
      <c r="AD37" s="45">
        <f t="shared" si="5"/>
        <v>11.6928074680746</v>
      </c>
      <c r="AE37" s="45">
        <f t="shared" si="5"/>
        <v>12.438164727895</v>
      </c>
      <c r="AF37" s="45">
        <f t="shared" si="5"/>
        <v>11.7975245433749</v>
      </c>
      <c r="AG37" s="45">
        <f t="shared" si="5"/>
        <v>12.193157353861301</v>
      </c>
      <c r="AH37" s="45">
        <f t="shared" si="5"/>
        <v>12.199561585611701</v>
      </c>
      <c r="AI37" s="45">
        <f t="shared" si="5"/>
        <v>11.3776715520784</v>
      </c>
      <c r="AJ37" s="45">
        <f t="shared" si="5"/>
        <v>11.809655272717</v>
      </c>
      <c r="AK37" s="45">
        <f t="shared" si="5"/>
        <v>11.484055558810701</v>
      </c>
      <c r="AL37" s="45">
        <f t="shared" si="5"/>
        <v>11.9073434349195</v>
      </c>
      <c r="AM37" s="45">
        <f t="shared" si="5"/>
        <v>11.144714822415599</v>
      </c>
      <c r="AN37" s="45">
        <f t="shared" si="5"/>
        <v>12.308740005230501</v>
      </c>
      <c r="AO37" s="45">
        <f t="shared" si="5"/>
        <v>11.0080199296969</v>
      </c>
      <c r="AP37" s="45">
        <f t="shared" si="5"/>
        <v>10.808867367895701</v>
      </c>
      <c r="AQ37" s="45">
        <f t="shared" si="5"/>
        <v>11.101919255474099</v>
      </c>
      <c r="AR37" s="45">
        <f t="shared" ref="AR37" si="6">VLOOKUP(AR31&amp;"AllSex"&amp;"AllEth"&amp;19,agesextable,7,FALSE)</f>
        <v>11.3314970522047</v>
      </c>
      <c r="AT37" s="45"/>
      <c r="AU37" s="24"/>
      <c r="AV37" s="24"/>
    </row>
    <row r="38" spans="2:48">
      <c r="B38" s="70"/>
      <c r="C38" s="70"/>
      <c r="D38" s="70"/>
      <c r="E38" s="70"/>
      <c r="F38" s="70"/>
      <c r="G38" s="70"/>
      <c r="H38" s="70"/>
      <c r="I38" s="70"/>
      <c r="J38" s="70"/>
      <c r="K38" s="70"/>
      <c r="L38" s="70"/>
      <c r="M38" s="70"/>
      <c r="N38" s="70"/>
      <c r="O38" s="70"/>
      <c r="P38" s="272"/>
      <c r="R38" s="12"/>
      <c r="T38" s="25" t="s">
        <v>20</v>
      </c>
      <c r="U38" s="25"/>
      <c r="V38" s="25"/>
      <c r="W38" s="31"/>
      <c r="X38" s="45">
        <f t="shared" ref="X38:AQ38" si="7">VLOOKUP(X31&amp;"Male"&amp;"AllEth"&amp;19,agesextable,7,FALSE)</f>
        <v>22.945293453419598</v>
      </c>
      <c r="Y38" s="45">
        <f t="shared" si="7"/>
        <v>23.553351547621599</v>
      </c>
      <c r="Z38" s="45">
        <f t="shared" si="7"/>
        <v>23.5842826835054</v>
      </c>
      <c r="AA38" s="45">
        <f t="shared" si="7"/>
        <v>20.2680561278816</v>
      </c>
      <c r="AB38" s="45">
        <f t="shared" si="7"/>
        <v>19.947436156558702</v>
      </c>
      <c r="AC38" s="45">
        <f t="shared" si="7"/>
        <v>20.356398349177098</v>
      </c>
      <c r="AD38" s="45">
        <f t="shared" si="7"/>
        <v>18.167720892576899</v>
      </c>
      <c r="AE38" s="45">
        <f t="shared" si="7"/>
        <v>18.574084657112099</v>
      </c>
      <c r="AF38" s="45">
        <f t="shared" si="7"/>
        <v>18.725315817265901</v>
      </c>
      <c r="AG38" s="45">
        <f t="shared" si="7"/>
        <v>18.722380905625801</v>
      </c>
      <c r="AH38" s="45">
        <f t="shared" si="7"/>
        <v>18.521171460464299</v>
      </c>
      <c r="AI38" s="45">
        <f t="shared" si="7"/>
        <v>17.981880281474702</v>
      </c>
      <c r="AJ38" s="45">
        <f t="shared" si="7"/>
        <v>17.700121249097698</v>
      </c>
      <c r="AK38" s="45">
        <f t="shared" si="7"/>
        <v>18.249471294450601</v>
      </c>
      <c r="AL38" s="45">
        <f t="shared" si="7"/>
        <v>17.638688314312301</v>
      </c>
      <c r="AM38" s="45">
        <f t="shared" si="7"/>
        <v>17.402217133944198</v>
      </c>
      <c r="AN38" s="45">
        <f t="shared" si="7"/>
        <v>18.558588062938799</v>
      </c>
      <c r="AO38" s="45">
        <f t="shared" si="7"/>
        <v>15.8972409761442</v>
      </c>
      <c r="AP38" s="45">
        <f t="shared" si="7"/>
        <v>16.4366760918771</v>
      </c>
      <c r="AQ38" s="45">
        <f t="shared" si="7"/>
        <v>16.433078219363999</v>
      </c>
      <c r="AR38" s="45">
        <f t="shared" ref="AR38" si="8">VLOOKUP(AR31&amp;"Male"&amp;"AllEth"&amp;19,agesextable,7,FALSE)</f>
        <v>16.990960917875199</v>
      </c>
      <c r="AT38" s="45"/>
      <c r="AU38" s="24"/>
      <c r="AV38" s="24"/>
    </row>
    <row r="39" spans="2:48">
      <c r="B39" s="70"/>
      <c r="C39" s="70"/>
      <c r="D39" s="70"/>
      <c r="E39" s="70"/>
      <c r="F39" s="70"/>
      <c r="G39" s="70"/>
      <c r="H39" s="70"/>
      <c r="I39" s="70"/>
      <c r="J39" s="70"/>
      <c r="K39" s="70"/>
      <c r="L39" s="70"/>
      <c r="M39" s="70"/>
      <c r="N39" s="70"/>
      <c r="O39" s="70"/>
      <c r="P39" s="272"/>
      <c r="R39" s="12"/>
      <c r="T39" s="25" t="s">
        <v>8</v>
      </c>
      <c r="U39" s="25"/>
      <c r="V39" s="25"/>
      <c r="W39" s="160"/>
      <c r="X39" s="45">
        <f t="shared" ref="X39:AQ39" si="9">VLOOKUP(X31&amp;"Female"&amp;"AllEth"&amp;19,agesextable,7,FALSE)</f>
        <v>5.8886653384406102</v>
      </c>
      <c r="Y39" s="45">
        <f t="shared" si="9"/>
        <v>6.2967087648044799</v>
      </c>
      <c r="Z39" s="45">
        <f t="shared" si="9"/>
        <v>6.7999900162587199</v>
      </c>
      <c r="AA39" s="45">
        <f t="shared" si="9"/>
        <v>6.7167156494892</v>
      </c>
      <c r="AB39" s="45">
        <f t="shared" si="9"/>
        <v>4.1665204234231998</v>
      </c>
      <c r="AC39" s="45">
        <f t="shared" si="9"/>
        <v>5.8286706673737303</v>
      </c>
      <c r="AD39" s="45">
        <f t="shared" si="9"/>
        <v>5.6012768971608997</v>
      </c>
      <c r="AE39" s="45">
        <f t="shared" si="9"/>
        <v>6.6355676799870498</v>
      </c>
      <c r="AF39" s="45">
        <f t="shared" si="9"/>
        <v>5.3216551470799702</v>
      </c>
      <c r="AG39" s="45">
        <f t="shared" si="9"/>
        <v>5.9861646575977696</v>
      </c>
      <c r="AH39" s="45">
        <f t="shared" si="9"/>
        <v>6.2050827070238999</v>
      </c>
      <c r="AI39" s="45">
        <f t="shared" si="9"/>
        <v>5.16144825407138</v>
      </c>
      <c r="AJ39" s="45">
        <f t="shared" si="9"/>
        <v>6.26512973729122</v>
      </c>
      <c r="AK39" s="45">
        <f t="shared" si="9"/>
        <v>5.08858477285475</v>
      </c>
      <c r="AL39" s="45">
        <f t="shared" si="9"/>
        <v>6.5442717734968303</v>
      </c>
      <c r="AM39" s="45">
        <f t="shared" si="9"/>
        <v>5.2036444183005299</v>
      </c>
      <c r="AN39" s="45">
        <f t="shared" si="9"/>
        <v>6.37288192291782</v>
      </c>
      <c r="AO39" s="45">
        <f t="shared" si="9"/>
        <v>6.4674511523826501</v>
      </c>
      <c r="AP39" s="45">
        <f t="shared" si="9"/>
        <v>5.4860225639845002</v>
      </c>
      <c r="AQ39" s="45">
        <f t="shared" si="9"/>
        <v>6.0611481326862204</v>
      </c>
      <c r="AR39" s="45">
        <f t="shared" ref="AR39" si="10">VLOOKUP(AR31&amp;"Female"&amp;"AllEth"&amp;19,agesextable,7,FALSE)</f>
        <v>5.8550315461954598</v>
      </c>
      <c r="AT39" s="45"/>
      <c r="AU39" s="24"/>
      <c r="AV39" s="24"/>
    </row>
    <row r="40" spans="2:48">
      <c r="B40" s="70"/>
      <c r="C40" s="70"/>
      <c r="D40" s="70"/>
      <c r="E40" s="70"/>
      <c r="F40" s="70"/>
      <c r="G40" s="70"/>
      <c r="H40" s="70"/>
      <c r="I40" s="70"/>
      <c r="J40" s="70"/>
      <c r="K40" s="70"/>
      <c r="L40" s="70"/>
      <c r="M40" s="70"/>
      <c r="N40" s="70"/>
      <c r="O40" s="70"/>
      <c r="P40" s="272"/>
      <c r="R40" s="12"/>
      <c r="T40" s="25"/>
      <c r="U40" s="25"/>
      <c r="V40" s="25"/>
      <c r="W40" s="25"/>
      <c r="X40" s="24"/>
      <c r="Y40" s="24"/>
      <c r="Z40" s="24"/>
      <c r="AA40" s="24"/>
      <c r="AB40" s="24"/>
      <c r="AC40" s="24"/>
      <c r="AD40" s="24"/>
      <c r="AE40" s="24"/>
      <c r="AF40" s="24"/>
      <c r="AG40" s="24"/>
      <c r="AH40" s="24"/>
      <c r="AI40" s="24"/>
      <c r="AJ40" s="24"/>
      <c r="AK40" s="24"/>
      <c r="AL40" s="45"/>
      <c r="AM40" s="45"/>
      <c r="AN40" s="45"/>
      <c r="AO40" s="45"/>
      <c r="AP40" s="45"/>
      <c r="AQ40" s="30"/>
      <c r="AT40" s="24"/>
      <c r="AU40" s="24"/>
      <c r="AV40" s="24"/>
    </row>
    <row r="41" spans="2:48">
      <c r="B41" s="70"/>
      <c r="C41" s="70"/>
      <c r="D41" s="70"/>
      <c r="E41" s="70"/>
      <c r="F41" s="70"/>
      <c r="G41" s="70"/>
      <c r="H41" s="70"/>
      <c r="I41" s="70"/>
      <c r="J41" s="70"/>
      <c r="K41" s="70"/>
      <c r="L41" s="70"/>
      <c r="M41" s="70"/>
      <c r="N41" s="70"/>
      <c r="O41" s="70"/>
      <c r="P41" s="272"/>
      <c r="R41" s="12"/>
      <c r="T41" s="190" t="s">
        <v>140</v>
      </c>
      <c r="U41" s="190"/>
      <c r="V41" s="261" t="s">
        <v>280</v>
      </c>
      <c r="W41" s="304"/>
      <c r="X41" s="289"/>
      <c r="Y41" s="190"/>
      <c r="Z41" s="190"/>
      <c r="AA41" s="274"/>
      <c r="AB41" s="274"/>
      <c r="AC41" s="274"/>
      <c r="AD41" s="274"/>
      <c r="AE41" s="274"/>
      <c r="AF41" s="287"/>
      <c r="AG41" s="287"/>
      <c r="AH41" s="287"/>
      <c r="AI41" s="287"/>
      <c r="AJ41" s="287"/>
      <c r="AK41" s="287"/>
      <c r="AL41" s="118"/>
      <c r="AM41" s="118"/>
      <c r="AN41" s="118"/>
      <c r="AO41" s="118"/>
      <c r="AP41" s="118"/>
      <c r="AQ41" s="30"/>
      <c r="AT41" s="24"/>
      <c r="AU41" s="24"/>
      <c r="AV41" s="24"/>
    </row>
    <row r="42" spans="2:48">
      <c r="B42" s="70"/>
      <c r="C42" s="70"/>
      <c r="D42" s="70"/>
      <c r="E42" s="70"/>
      <c r="F42" s="70"/>
      <c r="G42" s="70"/>
      <c r="H42" s="70"/>
      <c r="I42" s="70"/>
      <c r="J42" s="70"/>
      <c r="K42" s="70"/>
      <c r="L42" s="70"/>
      <c r="M42" s="70"/>
      <c r="N42" s="70"/>
      <c r="O42" s="70"/>
      <c r="P42" s="272"/>
      <c r="R42" s="12"/>
      <c r="T42" s="190"/>
      <c r="U42" s="190"/>
      <c r="V42" s="261" t="s">
        <v>106</v>
      </c>
      <c r="W42" s="261"/>
      <c r="X42" s="289"/>
      <c r="Y42" s="190"/>
      <c r="Z42" s="190"/>
      <c r="AA42" s="274"/>
      <c r="AB42" s="274"/>
      <c r="AC42" s="274"/>
      <c r="AD42" s="274"/>
      <c r="AE42" s="274"/>
      <c r="AF42" s="288"/>
      <c r="AG42" s="288"/>
      <c r="AH42" s="288"/>
      <c r="AI42" s="288"/>
      <c r="AJ42" s="288"/>
      <c r="AK42" s="288"/>
      <c r="AL42" s="118"/>
      <c r="AM42" s="118"/>
      <c r="AN42" s="118"/>
      <c r="AO42" s="118"/>
      <c r="AP42" s="118"/>
      <c r="AQ42" s="30"/>
      <c r="AT42" s="24"/>
      <c r="AU42" s="24"/>
      <c r="AV42" s="24"/>
    </row>
    <row r="43" spans="2:48" ht="13.5" customHeight="1">
      <c r="B43" s="70"/>
      <c r="C43" s="78"/>
      <c r="D43" s="77"/>
      <c r="E43" s="79"/>
      <c r="F43" s="79"/>
      <c r="G43" s="70"/>
      <c r="H43" s="70"/>
      <c r="I43" s="70"/>
      <c r="J43" s="70"/>
      <c r="K43" s="70"/>
      <c r="L43" s="70"/>
      <c r="M43" s="70"/>
      <c r="N43" s="70"/>
      <c r="O43" s="70"/>
      <c r="P43" s="272"/>
      <c r="R43" s="12"/>
      <c r="T43" s="409" t="s">
        <v>145</v>
      </c>
      <c r="U43" s="409"/>
      <c r="V43" s="261" t="s">
        <v>144</v>
      </c>
      <c r="W43" s="261"/>
      <c r="X43" s="289"/>
      <c r="Y43" s="190"/>
      <c r="Z43" s="190"/>
      <c r="AA43" s="274"/>
      <c r="AB43" s="274"/>
      <c r="AC43" s="274"/>
      <c r="AD43" s="274"/>
      <c r="AE43" s="274"/>
      <c r="AF43" s="288"/>
      <c r="AG43" s="288"/>
      <c r="AH43" s="288"/>
      <c r="AI43" s="288"/>
      <c r="AJ43" s="288"/>
      <c r="AK43" s="288"/>
      <c r="AL43" s="24"/>
      <c r="AM43" s="24"/>
      <c r="AN43" s="24"/>
      <c r="AO43" s="24"/>
      <c r="AP43" s="24"/>
      <c r="AQ43" s="24"/>
      <c r="AR43" s="230"/>
      <c r="AT43" s="24"/>
      <c r="AU43" s="24"/>
      <c r="AV43" s="24"/>
    </row>
    <row r="44" spans="2:48">
      <c r="B44" s="70"/>
      <c r="C44" s="81" t="s">
        <v>140</v>
      </c>
      <c r="D44" s="81" t="s">
        <v>280</v>
      </c>
      <c r="E44" s="77"/>
      <c r="F44" s="77"/>
      <c r="G44" s="70"/>
      <c r="H44" s="70"/>
      <c r="I44" s="70"/>
      <c r="J44" s="70"/>
      <c r="K44" s="70"/>
      <c r="L44" s="70"/>
      <c r="M44" s="70"/>
      <c r="N44" s="70"/>
      <c r="O44" s="70"/>
      <c r="P44" s="272"/>
      <c r="R44" s="12"/>
      <c r="T44" s="20"/>
      <c r="U44" s="20"/>
      <c r="V44" s="262"/>
      <c r="W44" s="262"/>
      <c r="X44" s="262"/>
      <c r="Y44" s="303"/>
      <c r="Z44" s="303"/>
      <c r="AA44" s="303"/>
      <c r="AB44" s="303"/>
      <c r="AC44" s="303"/>
      <c r="AD44" s="303"/>
      <c r="AE44" s="303"/>
      <c r="AF44" s="303"/>
      <c r="AG44" s="303"/>
      <c r="AH44" s="303"/>
      <c r="AI44" s="303"/>
      <c r="AJ44" s="303"/>
      <c r="AK44" s="303"/>
      <c r="AL44" s="303"/>
      <c r="AM44" s="26"/>
      <c r="AN44" s="26"/>
      <c r="AO44" s="26"/>
      <c r="AP44" s="26"/>
      <c r="AQ44" s="26"/>
      <c r="AR44" s="30"/>
      <c r="AT44" s="24"/>
      <c r="AU44" s="24"/>
      <c r="AV44" s="24"/>
    </row>
    <row r="45" spans="2:48">
      <c r="B45" s="70"/>
      <c r="C45" s="70"/>
      <c r="D45" s="81" t="s">
        <v>106</v>
      </c>
      <c r="E45" s="70"/>
      <c r="F45" s="77"/>
      <c r="G45" s="70"/>
      <c r="H45" s="70"/>
      <c r="I45" s="70"/>
      <c r="J45" s="70"/>
      <c r="K45" s="70"/>
      <c r="L45" s="70"/>
      <c r="M45" s="70"/>
      <c r="N45" s="70"/>
      <c r="O45" s="70"/>
      <c r="P45" s="272"/>
      <c r="R45" s="12"/>
      <c r="W45" s="25"/>
      <c r="X45" s="25"/>
      <c r="Y45" s="25"/>
      <c r="Z45" s="24"/>
      <c r="AA45" s="24"/>
      <c r="AB45" s="24"/>
      <c r="AC45" s="24"/>
      <c r="AD45" s="24"/>
      <c r="AE45" s="24"/>
      <c r="AF45" s="24"/>
      <c r="AG45" s="24"/>
      <c r="AH45" s="24"/>
      <c r="AI45" s="24"/>
      <c r="AJ45" s="24"/>
      <c r="AK45" s="24"/>
      <c r="AL45" s="24"/>
      <c r="AM45" s="24"/>
      <c r="AN45" s="24"/>
      <c r="AO45" s="24"/>
      <c r="AP45" s="24"/>
      <c r="AQ45" s="24"/>
      <c r="AR45" s="24"/>
      <c r="AS45" s="24"/>
      <c r="AT45" s="24"/>
      <c r="AU45" s="24"/>
      <c r="AV45" s="24"/>
    </row>
    <row r="46" spans="2:48">
      <c r="B46" s="70"/>
      <c r="C46" s="78" t="s">
        <v>145</v>
      </c>
      <c r="D46" s="81" t="s">
        <v>144</v>
      </c>
      <c r="E46" s="70"/>
      <c r="F46" s="77"/>
      <c r="G46" s="70"/>
      <c r="H46" s="70"/>
      <c r="I46" s="70"/>
      <c r="J46" s="70"/>
      <c r="K46" s="70"/>
      <c r="L46" s="70"/>
      <c r="M46" s="70"/>
      <c r="N46" s="70"/>
      <c r="O46" s="70"/>
      <c r="P46" s="272"/>
      <c r="R46" s="12"/>
      <c r="W46" s="25"/>
      <c r="X46" s="25"/>
      <c r="Y46" s="25"/>
      <c r="Z46" s="24"/>
      <c r="AA46" s="24"/>
      <c r="AB46" s="24"/>
      <c r="AC46" s="24"/>
      <c r="AD46" s="24"/>
      <c r="AE46" s="24"/>
      <c r="AF46" s="24"/>
      <c r="AG46" s="24"/>
      <c r="AH46" s="24"/>
      <c r="AI46" s="24"/>
      <c r="AJ46" s="24"/>
      <c r="AK46" s="24"/>
      <c r="AL46" s="24"/>
      <c r="AM46" s="24"/>
      <c r="AN46" s="24"/>
      <c r="AO46" s="24"/>
      <c r="AP46" s="24"/>
      <c r="AQ46" s="24"/>
      <c r="AR46" s="24"/>
      <c r="AS46" s="24"/>
      <c r="AT46" s="24"/>
      <c r="AU46" s="24"/>
      <c r="AV46" s="24"/>
    </row>
    <row r="47" spans="2:48">
      <c r="B47" s="70"/>
      <c r="C47" s="78"/>
      <c r="D47" s="81"/>
      <c r="E47" s="70"/>
      <c r="F47" s="77"/>
      <c r="G47" s="70"/>
      <c r="H47" s="70"/>
      <c r="I47" s="70"/>
      <c r="J47" s="70"/>
      <c r="K47" s="70"/>
      <c r="L47" s="70"/>
      <c r="M47" s="70"/>
      <c r="N47" s="70"/>
      <c r="O47" s="70"/>
      <c r="P47" s="272"/>
      <c r="R47" s="12"/>
    </row>
    <row r="48" spans="2:48">
      <c r="C48" s="174"/>
      <c r="D48" s="289"/>
      <c r="E48" s="190"/>
      <c r="F48" s="174"/>
      <c r="G48" s="232"/>
      <c r="H48" s="174"/>
      <c r="I48" s="174"/>
      <c r="J48" s="174"/>
      <c r="K48" s="174"/>
      <c r="L48" s="174"/>
      <c r="M48" s="174"/>
      <c r="N48" s="174"/>
      <c r="O48" s="174"/>
      <c r="P48" s="174"/>
      <c r="Q48" s="411"/>
      <c r="R48" s="12"/>
    </row>
    <row r="49" spans="2:48" ht="15">
      <c r="P49" s="31"/>
      <c r="Q49" s="412"/>
      <c r="R49" s="44"/>
      <c r="T49" s="286" t="s">
        <v>500</v>
      </c>
      <c r="U49" s="286"/>
      <c r="X49" s="12"/>
      <c r="Y49" s="12"/>
    </row>
    <row r="50" spans="2:48">
      <c r="B50" s="70"/>
      <c r="C50" s="70"/>
      <c r="D50" s="70"/>
      <c r="E50" s="70"/>
      <c r="F50" s="70"/>
      <c r="G50" s="70"/>
      <c r="H50" s="70"/>
      <c r="I50" s="70"/>
      <c r="J50" s="70"/>
      <c r="K50" s="70"/>
      <c r="L50" s="70"/>
      <c r="M50" s="70"/>
      <c r="N50" s="234"/>
      <c r="O50" s="236"/>
      <c r="P50" s="70"/>
      <c r="R50" s="44"/>
      <c r="T50" s="44"/>
      <c r="U50" s="44"/>
      <c r="W50" s="31"/>
      <c r="X50" s="119"/>
      <c r="Y50" s="119"/>
      <c r="Z50" s="119"/>
      <c r="AA50" s="119"/>
      <c r="AB50" s="119"/>
      <c r="AC50" s="119"/>
      <c r="AD50" s="119"/>
      <c r="AE50" s="119"/>
      <c r="AF50" s="119"/>
      <c r="AG50" s="119"/>
      <c r="AH50" s="119"/>
      <c r="AI50" s="119"/>
      <c r="AJ50" s="119"/>
      <c r="AK50" s="119"/>
      <c r="AL50" s="119"/>
      <c r="AM50" s="119"/>
      <c r="AN50" s="119"/>
      <c r="AO50" s="119"/>
      <c r="AP50" s="119"/>
      <c r="AQ50" s="33"/>
    </row>
    <row r="51" spans="2:48" ht="30.75" customHeight="1">
      <c r="B51" s="70"/>
      <c r="C51" s="89" t="s">
        <v>494</v>
      </c>
      <c r="D51" s="77"/>
      <c r="E51" s="70"/>
      <c r="F51" s="70"/>
      <c r="G51" s="70"/>
      <c r="H51" s="70"/>
      <c r="I51" s="70"/>
      <c r="J51" s="634" t="s">
        <v>495</v>
      </c>
      <c r="K51" s="635"/>
      <c r="L51" s="635"/>
      <c r="M51" s="635"/>
      <c r="N51" s="635"/>
      <c r="O51" s="635"/>
      <c r="P51" s="635"/>
      <c r="R51" s="44"/>
      <c r="T51" s="305" t="s">
        <v>3</v>
      </c>
      <c r="U51" s="305"/>
      <c r="V51" s="305"/>
      <c r="W51" s="297"/>
      <c r="X51" s="293">
        <v>1996</v>
      </c>
      <c r="Y51" s="293">
        <v>1997</v>
      </c>
      <c r="Z51" s="293">
        <v>1998</v>
      </c>
      <c r="AA51" s="293">
        <v>1999</v>
      </c>
      <c r="AB51" s="293">
        <v>2000</v>
      </c>
      <c r="AC51" s="293">
        <v>2001</v>
      </c>
      <c r="AD51" s="293">
        <v>2002</v>
      </c>
      <c r="AE51" s="293">
        <v>2003</v>
      </c>
      <c r="AF51" s="293">
        <v>2004</v>
      </c>
      <c r="AG51" s="293">
        <v>2005</v>
      </c>
      <c r="AH51" s="293">
        <v>2006</v>
      </c>
      <c r="AI51" s="293">
        <v>2007</v>
      </c>
      <c r="AJ51" s="293">
        <v>2008</v>
      </c>
      <c r="AK51" s="293">
        <v>2009</v>
      </c>
      <c r="AL51" s="293">
        <v>2010</v>
      </c>
      <c r="AM51" s="293">
        <v>2011</v>
      </c>
      <c r="AN51" s="293">
        <v>2012</v>
      </c>
      <c r="AO51" s="293">
        <v>2013</v>
      </c>
      <c r="AP51" s="186">
        <v>2014</v>
      </c>
      <c r="AQ51" s="186">
        <v>2015</v>
      </c>
      <c r="AR51" s="186">
        <v>2016</v>
      </c>
      <c r="AU51" s="245"/>
      <c r="AV51" s="570"/>
    </row>
    <row r="52" spans="2:48" ht="13.5" customHeight="1">
      <c r="B52" s="79"/>
      <c r="C52" s="79"/>
      <c r="D52" s="79"/>
      <c r="E52" s="79"/>
      <c r="F52" s="79"/>
      <c r="G52" s="79"/>
      <c r="H52" s="79"/>
      <c r="I52" s="83"/>
      <c r="J52" s="83"/>
      <c r="K52" s="70"/>
      <c r="L52" s="70"/>
      <c r="M52" s="70"/>
      <c r="N52" s="234"/>
      <c r="O52" s="235"/>
      <c r="P52" s="70"/>
      <c r="R52" s="44"/>
      <c r="T52" s="25" t="s">
        <v>0</v>
      </c>
      <c r="U52" s="25"/>
      <c r="V52" s="25" t="s">
        <v>9</v>
      </c>
      <c r="W52" s="31" t="s">
        <v>21</v>
      </c>
      <c r="X52" s="119">
        <f t="shared" ref="X52:AQ52" si="11">VLOOKUP(X51&amp;"AllSex"&amp;"Maori"&amp;19,agesextable,6,FALSE)</f>
        <v>97</v>
      </c>
      <c r="Y52" s="119">
        <f t="shared" si="11"/>
        <v>106</v>
      </c>
      <c r="Z52" s="119">
        <f t="shared" si="11"/>
        <v>112</v>
      </c>
      <c r="AA52" s="119">
        <f t="shared" si="11"/>
        <v>79</v>
      </c>
      <c r="AB52" s="119">
        <f t="shared" si="11"/>
        <v>80</v>
      </c>
      <c r="AC52" s="119">
        <f t="shared" si="11"/>
        <v>79</v>
      </c>
      <c r="AD52" s="119">
        <f t="shared" si="11"/>
        <v>80</v>
      </c>
      <c r="AE52" s="119">
        <f t="shared" si="11"/>
        <v>87</v>
      </c>
      <c r="AF52" s="119">
        <f t="shared" si="11"/>
        <v>111</v>
      </c>
      <c r="AG52" s="119">
        <f t="shared" si="11"/>
        <v>105</v>
      </c>
      <c r="AH52" s="119">
        <f t="shared" si="11"/>
        <v>108</v>
      </c>
      <c r="AI52" s="119">
        <f t="shared" si="11"/>
        <v>97</v>
      </c>
      <c r="AJ52" s="119">
        <f t="shared" si="11"/>
        <v>87</v>
      </c>
      <c r="AK52" s="119">
        <f t="shared" si="11"/>
        <v>83</v>
      </c>
      <c r="AL52" s="119">
        <f t="shared" si="11"/>
        <v>102</v>
      </c>
      <c r="AM52" s="119">
        <f t="shared" si="11"/>
        <v>113</v>
      </c>
      <c r="AN52" s="119">
        <f t="shared" si="11"/>
        <v>118</v>
      </c>
      <c r="AO52" s="119">
        <f t="shared" si="11"/>
        <v>104</v>
      </c>
      <c r="AP52" s="119">
        <f t="shared" si="11"/>
        <v>93</v>
      </c>
      <c r="AQ52" s="119">
        <f t="shared" si="11"/>
        <v>118</v>
      </c>
      <c r="AR52" s="119">
        <f t="shared" ref="AR52" si="12">VLOOKUP(AR51&amp;"AllSex"&amp;"Maori"&amp;19,agesextable,6,FALSE)</f>
        <v>135</v>
      </c>
    </row>
    <row r="53" spans="2:48">
      <c r="B53" s="79"/>
      <c r="C53" s="79"/>
      <c r="D53" s="79"/>
      <c r="E53" s="79"/>
      <c r="F53" s="79"/>
      <c r="G53" s="79"/>
      <c r="H53" s="79"/>
      <c r="I53" s="83"/>
      <c r="J53" s="83"/>
      <c r="K53" s="70"/>
      <c r="L53" s="70"/>
      <c r="M53" s="70"/>
      <c r="N53" s="234"/>
      <c r="O53" s="236"/>
      <c r="P53" s="70"/>
      <c r="R53" s="44"/>
      <c r="T53" s="25"/>
      <c r="U53" s="25"/>
      <c r="V53" s="25"/>
      <c r="W53" s="31" t="s">
        <v>22</v>
      </c>
      <c r="X53" s="45">
        <f t="shared" ref="X53:AQ53" si="13">VLOOKUP(X51&amp;"AllSex"&amp;"Maori"&amp;19,agesextable,7,FALSE)</f>
        <v>18.424036081023001</v>
      </c>
      <c r="Y53" s="45">
        <f t="shared" si="13"/>
        <v>19.8982046762785</v>
      </c>
      <c r="Z53" s="45">
        <f t="shared" si="13"/>
        <v>20.911450065459601</v>
      </c>
      <c r="AA53" s="45">
        <f t="shared" si="13"/>
        <v>13.680080488400799</v>
      </c>
      <c r="AB53" s="45">
        <f t="shared" si="13"/>
        <v>15.0216247954586</v>
      </c>
      <c r="AC53" s="45">
        <f t="shared" si="13"/>
        <v>14.087317407503001</v>
      </c>
      <c r="AD53" s="45">
        <f t="shared" si="13"/>
        <v>13.892088049665601</v>
      </c>
      <c r="AE53" s="45">
        <f t="shared" si="13"/>
        <v>14.459643080013199</v>
      </c>
      <c r="AF53" s="45">
        <f t="shared" si="13"/>
        <v>18.923065742235899</v>
      </c>
      <c r="AG53" s="45">
        <f t="shared" si="13"/>
        <v>17.852603495775298</v>
      </c>
      <c r="AH53" s="45">
        <f t="shared" si="13"/>
        <v>17.9531609994688</v>
      </c>
      <c r="AI53" s="45">
        <f t="shared" si="13"/>
        <v>16.111509144203101</v>
      </c>
      <c r="AJ53" s="45">
        <f t="shared" si="13"/>
        <v>14.0105109663824</v>
      </c>
      <c r="AK53" s="45">
        <f t="shared" si="13"/>
        <v>13.081017831193</v>
      </c>
      <c r="AL53" s="45">
        <f t="shared" si="13"/>
        <v>15.806302990390501</v>
      </c>
      <c r="AM53" s="45">
        <f t="shared" si="13"/>
        <v>17.366835060391999</v>
      </c>
      <c r="AN53" s="45">
        <f t="shared" si="13"/>
        <v>17.511079499725199</v>
      </c>
      <c r="AO53" s="45">
        <f t="shared" si="13"/>
        <v>15.8165730495112</v>
      </c>
      <c r="AP53" s="45">
        <f t="shared" si="13"/>
        <v>14.573975403997499</v>
      </c>
      <c r="AQ53" s="45">
        <f t="shared" si="13"/>
        <v>17.835459808531901</v>
      </c>
      <c r="AR53" s="45">
        <f t="shared" ref="AR53" si="14">VLOOKUP(AR51&amp;"AllSex"&amp;"Maori"&amp;19,agesextable,7,FALSE)</f>
        <v>20.237649160748301</v>
      </c>
    </row>
    <row r="54" spans="2:48">
      <c r="B54" s="79"/>
      <c r="C54" s="79"/>
      <c r="D54" s="79"/>
      <c r="E54" s="79"/>
      <c r="F54" s="79"/>
      <c r="G54" s="79"/>
      <c r="H54" s="79"/>
      <c r="I54" s="83"/>
      <c r="J54" s="83"/>
      <c r="K54" s="70"/>
      <c r="L54" s="70"/>
      <c r="M54" s="70"/>
      <c r="N54" s="234"/>
      <c r="O54" s="236"/>
      <c r="P54" s="70"/>
      <c r="R54" s="44"/>
      <c r="T54" s="25"/>
      <c r="U54" s="25"/>
      <c r="V54" s="25"/>
      <c r="W54" s="31"/>
      <c r="X54" s="119"/>
      <c r="Y54" s="119"/>
      <c r="Z54" s="119"/>
      <c r="AA54" s="119"/>
      <c r="AB54" s="119"/>
      <c r="AC54" s="119"/>
      <c r="AD54" s="119"/>
      <c r="AE54" s="119"/>
      <c r="AF54" s="119"/>
      <c r="AG54" s="119"/>
      <c r="AH54" s="119"/>
      <c r="AI54" s="119"/>
      <c r="AJ54" s="119"/>
      <c r="AK54" s="119"/>
      <c r="AL54" s="119"/>
      <c r="AM54" s="119"/>
      <c r="AN54" s="119"/>
      <c r="AO54" s="119"/>
      <c r="AP54" s="24"/>
      <c r="AQ54" s="24"/>
      <c r="AR54" s="24"/>
    </row>
    <row r="55" spans="2:48">
      <c r="B55" s="79"/>
      <c r="C55" s="79"/>
      <c r="D55" s="79"/>
      <c r="E55" s="79"/>
      <c r="F55" s="79"/>
      <c r="G55" s="79"/>
      <c r="H55" s="79"/>
      <c r="I55" s="82"/>
      <c r="J55" s="83"/>
      <c r="K55" s="70"/>
      <c r="L55" s="70"/>
      <c r="M55" s="70"/>
      <c r="N55" s="237"/>
      <c r="O55" s="237"/>
      <c r="P55" s="70"/>
      <c r="R55" s="44"/>
      <c r="T55" s="25" t="s">
        <v>20</v>
      </c>
      <c r="U55" s="25"/>
      <c r="V55" s="25" t="s">
        <v>9</v>
      </c>
      <c r="W55" s="31" t="s">
        <v>21</v>
      </c>
      <c r="X55" s="119">
        <f>VLOOKUP(X51&amp;"Male"&amp;"Maori"&amp;19,agesextable,6,FALSE)</f>
        <v>73</v>
      </c>
      <c r="Y55" s="119">
        <f t="shared" ref="Y55:AQ55" si="15">VLOOKUP(Y51&amp;"Male"&amp;"Maori"&amp;19,agesextable,6,FALSE)</f>
        <v>80</v>
      </c>
      <c r="Z55" s="119">
        <f t="shared" si="15"/>
        <v>87</v>
      </c>
      <c r="AA55" s="119">
        <f t="shared" si="15"/>
        <v>59</v>
      </c>
      <c r="AB55" s="119">
        <f t="shared" si="15"/>
        <v>69</v>
      </c>
      <c r="AC55" s="119">
        <f t="shared" si="15"/>
        <v>58</v>
      </c>
      <c r="AD55" s="119">
        <f t="shared" si="15"/>
        <v>60</v>
      </c>
      <c r="AE55" s="119">
        <f t="shared" si="15"/>
        <v>67</v>
      </c>
      <c r="AF55" s="119">
        <f t="shared" si="15"/>
        <v>83</v>
      </c>
      <c r="AG55" s="119">
        <f t="shared" si="15"/>
        <v>78</v>
      </c>
      <c r="AH55" s="119">
        <f t="shared" si="15"/>
        <v>75</v>
      </c>
      <c r="AI55" s="119">
        <f t="shared" si="15"/>
        <v>74</v>
      </c>
      <c r="AJ55" s="119">
        <f t="shared" si="15"/>
        <v>56</v>
      </c>
      <c r="AK55" s="119">
        <f t="shared" si="15"/>
        <v>58</v>
      </c>
      <c r="AL55" s="119">
        <f t="shared" si="15"/>
        <v>72</v>
      </c>
      <c r="AM55" s="119">
        <f t="shared" si="15"/>
        <v>81</v>
      </c>
      <c r="AN55" s="119">
        <f t="shared" si="15"/>
        <v>81</v>
      </c>
      <c r="AO55" s="119">
        <f t="shared" si="15"/>
        <v>65</v>
      </c>
      <c r="AP55" s="24">
        <f t="shared" si="15"/>
        <v>66</v>
      </c>
      <c r="AQ55" s="24">
        <f t="shared" si="15"/>
        <v>78</v>
      </c>
      <c r="AR55" s="24">
        <f t="shared" ref="AR55" si="16">VLOOKUP(AR51&amp;"Male"&amp;"Maori"&amp;19,agesextable,6,FALSE)</f>
        <v>98</v>
      </c>
    </row>
    <row r="56" spans="2:48">
      <c r="B56" s="79"/>
      <c r="C56" s="79"/>
      <c r="D56" s="79"/>
      <c r="E56" s="79"/>
      <c r="F56" s="79"/>
      <c r="G56" s="79"/>
      <c r="H56" s="79"/>
      <c r="I56" s="82"/>
      <c r="J56" s="83"/>
      <c r="K56" s="70"/>
      <c r="L56" s="70"/>
      <c r="M56" s="70"/>
      <c r="N56" s="154"/>
      <c r="O56" s="154"/>
      <c r="P56" s="70"/>
      <c r="R56" s="44"/>
      <c r="T56" s="25"/>
      <c r="U56" s="25"/>
      <c r="V56" s="25"/>
      <c r="W56" s="25" t="s">
        <v>22</v>
      </c>
      <c r="X56" s="27">
        <f t="shared" ref="X56:AQ56" si="17">VLOOKUP(X51&amp;"Male"&amp;"Maori"&amp;19,agesextable,7,FALSE)</f>
        <v>28.6634614636843</v>
      </c>
      <c r="Y56" s="27">
        <f t="shared" si="17"/>
        <v>30.622870852715899</v>
      </c>
      <c r="Z56" s="27">
        <f t="shared" si="17"/>
        <v>34.348686121607798</v>
      </c>
      <c r="AA56" s="27">
        <f t="shared" si="17"/>
        <v>21.453377474962299</v>
      </c>
      <c r="AB56" s="27">
        <f t="shared" si="17"/>
        <v>27.198711801126699</v>
      </c>
      <c r="AC56" s="27">
        <f t="shared" si="17"/>
        <v>22.0828947481947</v>
      </c>
      <c r="AD56" s="27">
        <f t="shared" si="17"/>
        <v>21.881613181334401</v>
      </c>
      <c r="AE56" s="27">
        <f t="shared" si="17"/>
        <v>23.229010507537701</v>
      </c>
      <c r="AF56" s="27">
        <f t="shared" si="17"/>
        <v>30.210797391523901</v>
      </c>
      <c r="AG56" s="27">
        <f t="shared" si="17"/>
        <v>27.973177382021099</v>
      </c>
      <c r="AH56" s="27">
        <f t="shared" si="17"/>
        <v>25.8876809253644</v>
      </c>
      <c r="AI56" s="27">
        <f t="shared" si="17"/>
        <v>25.915091779548401</v>
      </c>
      <c r="AJ56" s="27">
        <f t="shared" si="17"/>
        <v>19.8732690696398</v>
      </c>
      <c r="AK56" s="27">
        <f t="shared" si="17"/>
        <v>19.4811396989931</v>
      </c>
      <c r="AL56" s="27">
        <f t="shared" si="17"/>
        <v>23.689392361421</v>
      </c>
      <c r="AM56" s="27">
        <f t="shared" si="17"/>
        <v>26.239623561034499</v>
      </c>
      <c r="AN56" s="27">
        <f t="shared" si="17"/>
        <v>25.431338448587201</v>
      </c>
      <c r="AO56" s="27">
        <f t="shared" si="17"/>
        <v>21.1859227055823</v>
      </c>
      <c r="AP56" s="27">
        <f t="shared" si="17"/>
        <v>22.014569367455099</v>
      </c>
      <c r="AQ56" s="27">
        <f t="shared" si="17"/>
        <v>25.5838413177833</v>
      </c>
      <c r="AR56" s="27">
        <f t="shared" ref="AR56" si="18">VLOOKUP(AR51&amp;"Male"&amp;"Maori"&amp;19,agesextable,7,FALSE)</f>
        <v>31.3123998180094</v>
      </c>
    </row>
    <row r="57" spans="2:48">
      <c r="B57" s="79"/>
      <c r="C57" s="79"/>
      <c r="D57" s="79"/>
      <c r="E57" s="79"/>
      <c r="F57" s="79"/>
      <c r="G57" s="79"/>
      <c r="H57" s="79"/>
      <c r="I57" s="82"/>
      <c r="J57" s="83"/>
      <c r="K57" s="70"/>
      <c r="L57" s="70"/>
      <c r="M57" s="70"/>
      <c r="N57" s="154"/>
      <c r="O57" s="154"/>
      <c r="P57" s="70"/>
      <c r="R57" s="44"/>
      <c r="T57" s="25"/>
      <c r="U57" s="25"/>
      <c r="V57" s="25"/>
      <c r="W57" s="25"/>
      <c r="X57" s="24"/>
      <c r="Y57" s="24"/>
      <c r="Z57" s="24"/>
      <c r="AA57" s="24"/>
      <c r="AB57" s="24"/>
      <c r="AC57" s="24"/>
      <c r="AD57" s="24"/>
      <c r="AE57" s="24"/>
      <c r="AF57" s="24"/>
      <c r="AG57" s="24"/>
      <c r="AH57" s="24"/>
      <c r="AI57" s="24"/>
      <c r="AJ57" s="24"/>
      <c r="AK57" s="24"/>
      <c r="AL57" s="24"/>
      <c r="AM57" s="24"/>
      <c r="AN57" s="24"/>
      <c r="AO57" s="24"/>
      <c r="AP57" s="24"/>
      <c r="AQ57" s="24"/>
      <c r="AR57" s="24"/>
    </row>
    <row r="58" spans="2:48">
      <c r="B58" s="79"/>
      <c r="C58" s="79"/>
      <c r="D58" s="79"/>
      <c r="E58" s="79"/>
      <c r="F58" s="79"/>
      <c r="G58" s="79"/>
      <c r="H58" s="79"/>
      <c r="I58" s="82"/>
      <c r="J58" s="83"/>
      <c r="K58" s="70"/>
      <c r="L58" s="70"/>
      <c r="M58" s="70"/>
      <c r="N58" s="238"/>
      <c r="O58" s="238"/>
      <c r="P58" s="70"/>
      <c r="R58" s="44"/>
      <c r="T58" s="25" t="s">
        <v>8</v>
      </c>
      <c r="U58" s="25"/>
      <c r="V58" s="25" t="s">
        <v>9</v>
      </c>
      <c r="W58" s="25" t="s">
        <v>21</v>
      </c>
      <c r="X58" s="24">
        <f t="shared" ref="X58:AQ58" si="19">VLOOKUP(X51&amp;"Female"&amp;"Maori"&amp;19,agesextable,6,FALSE)</f>
        <v>24</v>
      </c>
      <c r="Y58" s="24">
        <f t="shared" si="19"/>
        <v>26</v>
      </c>
      <c r="Z58" s="24">
        <f t="shared" si="19"/>
        <v>25</v>
      </c>
      <c r="AA58" s="24">
        <f t="shared" si="19"/>
        <v>20</v>
      </c>
      <c r="AB58" s="24">
        <f t="shared" si="19"/>
        <v>11</v>
      </c>
      <c r="AC58" s="24">
        <f t="shared" si="19"/>
        <v>21</v>
      </c>
      <c r="AD58" s="24">
        <f t="shared" si="19"/>
        <v>20</v>
      </c>
      <c r="AE58" s="24">
        <f t="shared" si="19"/>
        <v>20</v>
      </c>
      <c r="AF58" s="24">
        <f t="shared" si="19"/>
        <v>28</v>
      </c>
      <c r="AG58" s="24">
        <f t="shared" si="19"/>
        <v>27</v>
      </c>
      <c r="AH58" s="24">
        <f t="shared" si="19"/>
        <v>33</v>
      </c>
      <c r="AI58" s="24">
        <f t="shared" si="19"/>
        <v>23</v>
      </c>
      <c r="AJ58" s="24">
        <f t="shared" si="19"/>
        <v>31</v>
      </c>
      <c r="AK58" s="24">
        <f t="shared" si="19"/>
        <v>25</v>
      </c>
      <c r="AL58" s="24">
        <f t="shared" si="19"/>
        <v>30</v>
      </c>
      <c r="AM58" s="24">
        <f t="shared" si="19"/>
        <v>32</v>
      </c>
      <c r="AN58" s="24">
        <f t="shared" si="19"/>
        <v>37</v>
      </c>
      <c r="AO58" s="24">
        <f t="shared" si="19"/>
        <v>39</v>
      </c>
      <c r="AP58" s="24">
        <f t="shared" si="19"/>
        <v>27</v>
      </c>
      <c r="AQ58" s="24">
        <f t="shared" si="19"/>
        <v>40</v>
      </c>
      <c r="AR58" s="24">
        <f t="shared" ref="AR58" si="20">VLOOKUP(AR51&amp;"Female"&amp;"Maori"&amp;19,agesextable,6,FALSE)</f>
        <v>37</v>
      </c>
    </row>
    <row r="59" spans="2:48">
      <c r="B59" s="79"/>
      <c r="C59" s="79"/>
      <c r="D59" s="79"/>
      <c r="E59" s="79"/>
      <c r="F59" s="79"/>
      <c r="G59" s="79"/>
      <c r="H59" s="79"/>
      <c r="I59" s="82"/>
      <c r="J59" s="83"/>
      <c r="K59" s="70"/>
      <c r="L59" s="70"/>
      <c r="M59" s="70"/>
      <c r="N59" s="237"/>
      <c r="O59" s="237"/>
      <c r="P59" s="70"/>
      <c r="R59" s="44"/>
      <c r="T59" s="25"/>
      <c r="U59" s="25"/>
      <c r="V59" s="25"/>
      <c r="W59" s="25" t="s">
        <v>22</v>
      </c>
      <c r="X59" s="27">
        <f t="shared" ref="X59:AQ59" si="21">VLOOKUP(X51&amp;"Female"&amp;"Maori"&amp;19,agesextable,7,FALSE)</f>
        <v>9.0066061781584406</v>
      </c>
      <c r="Y59" s="27">
        <f t="shared" si="21"/>
        <v>9.7792096693832598</v>
      </c>
      <c r="Z59" s="27">
        <f t="shared" si="21"/>
        <v>8.5337610468083493</v>
      </c>
      <c r="AA59" s="27">
        <f t="shared" si="21"/>
        <v>6.5325578987774104</v>
      </c>
      <c r="AB59" s="27">
        <f t="shared" si="21"/>
        <v>3.9576666859530998</v>
      </c>
      <c r="AC59" s="27">
        <f t="shared" si="21"/>
        <v>6.6998382352426704</v>
      </c>
      <c r="AD59" s="27">
        <f t="shared" si="21"/>
        <v>6.4896231886298903</v>
      </c>
      <c r="AE59" s="27">
        <f t="shared" si="21"/>
        <v>6.4102244752664204</v>
      </c>
      <c r="AF59" s="27">
        <f t="shared" si="21"/>
        <v>8.6787187808636208</v>
      </c>
      <c r="AG59" s="27">
        <f t="shared" si="21"/>
        <v>8.7267571514896503</v>
      </c>
      <c r="AH59" s="27">
        <f t="shared" si="21"/>
        <v>10.6723123955334</v>
      </c>
      <c r="AI59" s="27">
        <f t="shared" si="21"/>
        <v>7.2545885050603403</v>
      </c>
      <c r="AJ59" s="27">
        <f t="shared" si="21"/>
        <v>8.8796426541518301</v>
      </c>
      <c r="AK59" s="27">
        <f t="shared" si="21"/>
        <v>7.3206868063360204</v>
      </c>
      <c r="AL59" s="27">
        <f t="shared" si="21"/>
        <v>8.74468389486562</v>
      </c>
      <c r="AM59" s="27">
        <f t="shared" si="21"/>
        <v>9.3323745071337907</v>
      </c>
      <c r="AN59" s="27">
        <f t="shared" si="21"/>
        <v>10.376266848783301</v>
      </c>
      <c r="AO59" s="27">
        <f t="shared" si="21"/>
        <v>11.129535195000299</v>
      </c>
      <c r="AP59" s="27">
        <f t="shared" si="21"/>
        <v>8.0088287466587804</v>
      </c>
      <c r="AQ59" s="27">
        <f t="shared" si="21"/>
        <v>11.215062247293901</v>
      </c>
      <c r="AR59" s="465">
        <f t="shared" ref="AR59" si="22">VLOOKUP(AR51&amp;"Female"&amp;"Maori"&amp;19,agesextable,7,FALSE)</f>
        <v>10.4255863001727</v>
      </c>
    </row>
    <row r="60" spans="2:48">
      <c r="B60" s="79"/>
      <c r="C60" s="79"/>
      <c r="D60" s="79"/>
      <c r="E60" s="79"/>
      <c r="F60" s="79"/>
      <c r="G60" s="79"/>
      <c r="H60" s="79"/>
      <c r="I60" s="77"/>
      <c r="J60" s="83"/>
      <c r="K60" s="70"/>
      <c r="L60" s="70"/>
      <c r="M60" s="70"/>
      <c r="N60" s="238"/>
      <c r="O60" s="238"/>
      <c r="P60" s="70"/>
      <c r="R60" s="44"/>
      <c r="T60" s="28"/>
      <c r="U60" s="28"/>
      <c r="V60" s="28"/>
      <c r="W60" s="28"/>
      <c r="X60" s="26"/>
      <c r="Y60" s="26"/>
      <c r="Z60" s="26"/>
      <c r="AA60" s="26"/>
      <c r="AB60" s="26"/>
      <c r="AC60" s="26"/>
      <c r="AD60" s="26"/>
      <c r="AE60" s="26"/>
      <c r="AF60" s="26"/>
      <c r="AG60" s="26"/>
      <c r="AH60" s="26"/>
      <c r="AI60" s="26"/>
      <c r="AJ60" s="26"/>
      <c r="AK60" s="26"/>
      <c r="AL60" s="26"/>
      <c r="AM60" s="26"/>
      <c r="AN60" s="26"/>
      <c r="AO60" s="26"/>
      <c r="AP60" s="26"/>
      <c r="AQ60" s="26"/>
      <c r="AR60" s="30"/>
    </row>
    <row r="61" spans="2:48">
      <c r="B61" s="79"/>
      <c r="C61" s="79"/>
      <c r="D61" s="79"/>
      <c r="E61" s="79"/>
      <c r="F61" s="79"/>
      <c r="G61" s="79"/>
      <c r="H61" s="79"/>
      <c r="I61" s="82"/>
      <c r="J61" s="83"/>
      <c r="K61" s="70"/>
      <c r="L61" s="70"/>
      <c r="M61" s="70"/>
      <c r="N61" s="238"/>
      <c r="O61" s="238"/>
      <c r="P61" s="70"/>
      <c r="R61" s="44"/>
      <c r="T61" s="120" t="s">
        <v>4</v>
      </c>
      <c r="U61" s="120"/>
      <c r="V61" s="25"/>
      <c r="W61" s="25"/>
      <c r="X61" s="24"/>
      <c r="Y61" s="24"/>
      <c r="Z61" s="24"/>
      <c r="AA61" s="24"/>
      <c r="AB61" s="24"/>
      <c r="AC61" s="24"/>
      <c r="AD61" s="24"/>
      <c r="AE61" s="24"/>
      <c r="AF61" s="24"/>
      <c r="AG61" s="24"/>
      <c r="AH61" s="24"/>
      <c r="AI61" s="24"/>
      <c r="AJ61" s="24"/>
      <c r="AK61" s="24"/>
      <c r="AL61" s="24"/>
      <c r="AM61" s="24"/>
      <c r="AN61" s="24"/>
      <c r="AO61" s="24"/>
      <c r="AP61" s="24"/>
      <c r="AQ61" s="24"/>
      <c r="AR61" s="24"/>
    </row>
    <row r="62" spans="2:48">
      <c r="B62" s="79"/>
      <c r="C62" s="79"/>
      <c r="D62" s="79"/>
      <c r="E62" s="79"/>
      <c r="F62" s="79"/>
      <c r="G62" s="79"/>
      <c r="H62" s="79"/>
      <c r="I62" s="82"/>
      <c r="J62" s="83"/>
      <c r="K62" s="70"/>
      <c r="L62" s="70"/>
      <c r="M62" s="70"/>
      <c r="N62" s="238"/>
      <c r="O62" s="238"/>
      <c r="P62" s="70"/>
      <c r="R62" s="44"/>
      <c r="T62" s="25"/>
      <c r="U62" s="25"/>
      <c r="V62" s="25"/>
      <c r="W62" s="25"/>
      <c r="X62" s="24"/>
      <c r="Y62" s="24"/>
      <c r="Z62" s="24"/>
      <c r="AA62" s="24"/>
      <c r="AB62" s="24"/>
      <c r="AC62" s="24"/>
      <c r="AD62" s="24"/>
      <c r="AE62" s="24"/>
      <c r="AF62" s="24"/>
      <c r="AG62" s="24"/>
      <c r="AH62" s="24"/>
      <c r="AI62" s="24"/>
      <c r="AJ62" s="24"/>
      <c r="AK62" s="24"/>
      <c r="AL62" s="24"/>
      <c r="AM62" s="24"/>
      <c r="AN62" s="24"/>
      <c r="AO62" s="24"/>
      <c r="AP62" s="24"/>
      <c r="AQ62" s="24"/>
      <c r="AR62" s="24"/>
    </row>
    <row r="63" spans="2:48">
      <c r="B63" s="79"/>
      <c r="C63" s="79"/>
      <c r="D63" s="79"/>
      <c r="E63" s="79"/>
      <c r="F63" s="79"/>
      <c r="G63" s="79"/>
      <c r="H63" s="79"/>
      <c r="I63" s="82"/>
      <c r="J63" s="83"/>
      <c r="K63" s="70"/>
      <c r="L63" s="70"/>
      <c r="M63" s="70"/>
      <c r="N63" s="237"/>
      <c r="O63" s="237"/>
      <c r="P63" s="70"/>
      <c r="R63" s="44"/>
      <c r="T63" s="25" t="s">
        <v>0</v>
      </c>
      <c r="U63" s="25"/>
      <c r="V63" s="25" t="s">
        <v>9</v>
      </c>
      <c r="W63" s="25" t="s">
        <v>21</v>
      </c>
      <c r="X63" s="24">
        <f t="shared" ref="X63:AQ63" si="23">VLOOKUP(X51&amp;"AllSex"&amp;"Non-Maori"&amp;19,agesextable,6,FALSE)</f>
        <v>443</v>
      </c>
      <c r="Y63" s="24">
        <f t="shared" si="23"/>
        <v>456</v>
      </c>
      <c r="Z63" s="24">
        <f t="shared" si="23"/>
        <v>466</v>
      </c>
      <c r="AA63" s="24">
        <f t="shared" si="23"/>
        <v>437</v>
      </c>
      <c r="AB63" s="24">
        <f t="shared" si="23"/>
        <v>379</v>
      </c>
      <c r="AC63" s="24">
        <f t="shared" si="23"/>
        <v>429</v>
      </c>
      <c r="AD63" s="24">
        <f t="shared" si="23"/>
        <v>390</v>
      </c>
      <c r="AE63" s="24">
        <f t="shared" si="23"/>
        <v>435</v>
      </c>
      <c r="AF63" s="24">
        <f t="shared" si="23"/>
        <v>383</v>
      </c>
      <c r="AG63" s="24">
        <f t="shared" si="23"/>
        <v>410</v>
      </c>
      <c r="AH63" s="24">
        <f t="shared" si="23"/>
        <v>416</v>
      </c>
      <c r="AI63" s="24">
        <f t="shared" si="23"/>
        <v>404</v>
      </c>
      <c r="AJ63" s="24">
        <f t="shared" si="23"/>
        <v>431</v>
      </c>
      <c r="AK63" s="24">
        <f t="shared" si="23"/>
        <v>429</v>
      </c>
      <c r="AL63" s="24">
        <f t="shared" si="23"/>
        <v>432</v>
      </c>
      <c r="AM63" s="24">
        <f t="shared" si="23"/>
        <v>382</v>
      </c>
      <c r="AN63" s="24">
        <f t="shared" si="23"/>
        <v>431</v>
      </c>
      <c r="AO63" s="24">
        <f t="shared" si="23"/>
        <v>409</v>
      </c>
      <c r="AP63" s="24">
        <f t="shared" si="23"/>
        <v>417</v>
      </c>
      <c r="AQ63" s="24">
        <f t="shared" si="23"/>
        <v>412</v>
      </c>
      <c r="AR63" s="24">
        <f t="shared" ref="AR63" si="24">VLOOKUP(AR51&amp;"AllSex"&amp;"Non-Maori"&amp;19,agesextable,6,FALSE)</f>
        <v>419</v>
      </c>
    </row>
    <row r="64" spans="2:48">
      <c r="B64" s="79"/>
      <c r="C64" s="79"/>
      <c r="D64" s="79"/>
      <c r="E64" s="79"/>
      <c r="F64" s="79"/>
      <c r="G64" s="79"/>
      <c r="H64" s="79"/>
      <c r="I64" s="82"/>
      <c r="J64" s="83"/>
      <c r="K64" s="70"/>
      <c r="L64" s="70"/>
      <c r="M64" s="70"/>
      <c r="N64" s="238"/>
      <c r="O64" s="238"/>
      <c r="P64" s="70"/>
      <c r="R64" s="44"/>
      <c r="T64" s="25"/>
      <c r="U64" s="25"/>
      <c r="V64" s="25"/>
      <c r="W64" s="25" t="s">
        <v>22</v>
      </c>
      <c r="X64" s="27">
        <f t="shared" ref="X64:AQ64" si="25">VLOOKUP(X51&amp;"AllSex"&amp;"Non-Maori"&amp;19,agesextable,7,FALSE)</f>
        <v>13.202661641130099</v>
      </c>
      <c r="Y64" s="27">
        <f t="shared" si="25"/>
        <v>13.6356969902152</v>
      </c>
      <c r="Z64" s="27">
        <f t="shared" si="25"/>
        <v>13.719933399984299</v>
      </c>
      <c r="AA64" s="27">
        <f t="shared" si="25"/>
        <v>12.8048336121334</v>
      </c>
      <c r="AB64" s="27">
        <f t="shared" si="25"/>
        <v>11.1683814296716</v>
      </c>
      <c r="AC64" s="27">
        <f t="shared" si="25"/>
        <v>12.3764768268776</v>
      </c>
      <c r="AD64" s="27">
        <f t="shared" si="25"/>
        <v>10.9882846931341</v>
      </c>
      <c r="AE64" s="27">
        <f t="shared" si="25"/>
        <v>11.6548370610064</v>
      </c>
      <c r="AF64" s="27">
        <f t="shared" si="25"/>
        <v>10.3253251579566</v>
      </c>
      <c r="AG64" s="27">
        <f t="shared" si="25"/>
        <v>10.916375074971301</v>
      </c>
      <c r="AH64" s="27">
        <f t="shared" si="25"/>
        <v>10.9315740531038</v>
      </c>
      <c r="AI64" s="27">
        <f t="shared" si="25"/>
        <v>10.318814507971201</v>
      </c>
      <c r="AJ64" s="27">
        <f t="shared" si="25"/>
        <v>11.1639267014209</v>
      </c>
      <c r="AK64" s="27">
        <f t="shared" si="25"/>
        <v>10.9175102802797</v>
      </c>
      <c r="AL64" s="27">
        <f t="shared" si="25"/>
        <v>10.8724229875909</v>
      </c>
      <c r="AM64" s="27">
        <f t="shared" si="25"/>
        <v>9.6392127320325294</v>
      </c>
      <c r="AN64" s="27">
        <f t="shared" si="25"/>
        <v>10.8700975052411</v>
      </c>
      <c r="AO64" s="27">
        <f t="shared" si="25"/>
        <v>9.7148957708980408</v>
      </c>
      <c r="AP64" s="27">
        <f t="shared" si="25"/>
        <v>9.8906686786863496</v>
      </c>
      <c r="AQ64" s="27">
        <f t="shared" si="25"/>
        <v>9.6400921606719798</v>
      </c>
      <c r="AR64" s="27">
        <f t="shared" ref="AR64" si="26">VLOOKUP(AR51&amp;"AllSex"&amp;"Non-Maori"&amp;19,agesextable,7,FALSE)</f>
        <v>9.5499137559285696</v>
      </c>
    </row>
    <row r="65" spans="2:44" ht="21" customHeight="1">
      <c r="B65" s="79"/>
      <c r="C65" s="81" t="s">
        <v>314</v>
      </c>
      <c r="D65" s="106" t="s">
        <v>106</v>
      </c>
      <c r="E65" s="106"/>
      <c r="F65" s="106"/>
      <c r="G65" s="106"/>
      <c r="H65" s="79"/>
      <c r="I65" s="82"/>
      <c r="J65" s="83"/>
      <c r="K65" s="70"/>
      <c r="L65" s="70"/>
      <c r="M65" s="70"/>
      <c r="N65" s="238"/>
      <c r="O65" s="238"/>
      <c r="P65" s="70"/>
      <c r="R65" s="44"/>
      <c r="T65" s="25"/>
      <c r="U65" s="25"/>
      <c r="V65" s="25"/>
      <c r="W65" s="25"/>
      <c r="X65" s="24"/>
      <c r="Y65" s="24"/>
      <c r="Z65" s="24"/>
      <c r="AA65" s="24"/>
      <c r="AB65" s="24"/>
      <c r="AC65" s="24"/>
      <c r="AD65" s="24"/>
      <c r="AE65" s="24"/>
      <c r="AF65" s="24"/>
      <c r="AG65" s="24"/>
      <c r="AH65" s="24"/>
      <c r="AI65" s="24"/>
      <c r="AJ65" s="24"/>
      <c r="AK65" s="24"/>
      <c r="AL65" s="24"/>
      <c r="AM65" s="24"/>
      <c r="AN65" s="24"/>
      <c r="AO65" s="24"/>
      <c r="AP65" s="24"/>
      <c r="AQ65" s="30"/>
      <c r="AR65" s="30"/>
    </row>
    <row r="66" spans="2:44">
      <c r="B66" s="79"/>
      <c r="C66" s="106" t="s">
        <v>141</v>
      </c>
      <c r="D66" s="106" t="s">
        <v>144</v>
      </c>
      <c r="E66" s="106"/>
      <c r="F66" s="106"/>
      <c r="G66" s="106"/>
      <c r="H66" s="79"/>
      <c r="I66" s="82"/>
      <c r="J66" s="83"/>
      <c r="K66" s="70"/>
      <c r="L66" s="70"/>
      <c r="M66" s="70"/>
      <c r="N66" s="238"/>
      <c r="O66" s="238"/>
      <c r="P66" s="70"/>
      <c r="R66" s="44"/>
      <c r="T66" s="25" t="s">
        <v>20</v>
      </c>
      <c r="U66" s="25"/>
      <c r="V66" s="25" t="s">
        <v>9</v>
      </c>
      <c r="W66" s="25" t="s">
        <v>21</v>
      </c>
      <c r="X66" s="24">
        <f t="shared" ref="X66:AQ66" si="27">VLOOKUP(X51&amp;"Male"&amp;"Non-Maori"&amp;19,agesextable,6,FALSE)</f>
        <v>356</v>
      </c>
      <c r="Y66" s="24">
        <f t="shared" si="27"/>
        <v>361</v>
      </c>
      <c r="Z66" s="24">
        <f t="shared" si="27"/>
        <v>358</v>
      </c>
      <c r="AA66" s="24">
        <f t="shared" si="27"/>
        <v>325</v>
      </c>
      <c r="AB66" s="24">
        <f t="shared" si="27"/>
        <v>307</v>
      </c>
      <c r="AC66" s="24">
        <f t="shared" si="27"/>
        <v>332</v>
      </c>
      <c r="AD66" s="24">
        <f t="shared" si="27"/>
        <v>296</v>
      </c>
      <c r="AE66" s="24">
        <f t="shared" si="27"/>
        <v>313</v>
      </c>
      <c r="AF66" s="24">
        <f t="shared" si="27"/>
        <v>299</v>
      </c>
      <c r="AG66" s="24">
        <f t="shared" si="27"/>
        <v>305</v>
      </c>
      <c r="AH66" s="24">
        <f t="shared" si="27"/>
        <v>312</v>
      </c>
      <c r="AI66" s="24">
        <f t="shared" si="27"/>
        <v>307</v>
      </c>
      <c r="AJ66" s="24">
        <f t="shared" si="27"/>
        <v>323</v>
      </c>
      <c r="AK66" s="24">
        <f t="shared" si="27"/>
        <v>336</v>
      </c>
      <c r="AL66" s="24">
        <f t="shared" si="27"/>
        <v>315</v>
      </c>
      <c r="AM66" s="24">
        <f t="shared" si="27"/>
        <v>296</v>
      </c>
      <c r="AN66" s="24">
        <f t="shared" si="27"/>
        <v>323</v>
      </c>
      <c r="AO66" s="24">
        <f t="shared" si="27"/>
        <v>300</v>
      </c>
      <c r="AP66" s="24">
        <f t="shared" si="27"/>
        <v>313</v>
      </c>
      <c r="AQ66" s="30">
        <f t="shared" si="27"/>
        <v>308</v>
      </c>
      <c r="AR66" s="30">
        <f t="shared" ref="AR66" si="28">VLOOKUP(AR51&amp;"Male"&amp;"Non-Maori"&amp;19,agesextable,6,FALSE)</f>
        <v>314</v>
      </c>
    </row>
    <row r="67" spans="2:44">
      <c r="B67" s="79"/>
      <c r="C67" s="79"/>
      <c r="D67" s="79"/>
      <c r="E67" s="79"/>
      <c r="F67" s="79"/>
      <c r="G67" s="79"/>
      <c r="H67" s="79"/>
      <c r="I67" s="82"/>
      <c r="J67" s="83"/>
      <c r="K67" s="70"/>
      <c r="L67" s="70"/>
      <c r="M67" s="70"/>
      <c r="N67" s="238"/>
      <c r="O67" s="238"/>
      <c r="P67" s="70"/>
      <c r="R67" s="44"/>
      <c r="T67" s="25"/>
      <c r="U67" s="25"/>
      <c r="V67" s="25"/>
      <c r="W67" s="25" t="s">
        <v>22</v>
      </c>
      <c r="X67" s="27">
        <f t="shared" ref="X67:AQ67" si="29">VLOOKUP(X51&amp;"Male"&amp;"Non-Maori"&amp;19,agesextable,7,FALSE)</f>
        <v>21.479905755824099</v>
      </c>
      <c r="Y67" s="27">
        <f t="shared" si="29"/>
        <v>21.882813084323601</v>
      </c>
      <c r="Z67" s="27">
        <f t="shared" si="29"/>
        <v>21.517130626241698</v>
      </c>
      <c r="AA67" s="27">
        <f t="shared" si="29"/>
        <v>19.451634350980999</v>
      </c>
      <c r="AB67" s="27">
        <f t="shared" si="29"/>
        <v>18.542595685537702</v>
      </c>
      <c r="AC67" s="27">
        <f t="shared" si="29"/>
        <v>19.754574256070502</v>
      </c>
      <c r="AD67" s="27">
        <f t="shared" si="29"/>
        <v>17.053757227886599</v>
      </c>
      <c r="AE67" s="27">
        <f t="shared" si="29"/>
        <v>17.1757108224569</v>
      </c>
      <c r="AF67" s="27">
        <f t="shared" si="29"/>
        <v>16.521659709264298</v>
      </c>
      <c r="AG67" s="27">
        <f t="shared" si="29"/>
        <v>16.809710006140801</v>
      </c>
      <c r="AH67" s="27">
        <f t="shared" si="29"/>
        <v>16.923735957565398</v>
      </c>
      <c r="AI67" s="27">
        <f t="shared" si="29"/>
        <v>16.348296242666599</v>
      </c>
      <c r="AJ67" s="27">
        <f t="shared" si="29"/>
        <v>17.136851166956198</v>
      </c>
      <c r="AK67" s="27">
        <f t="shared" si="29"/>
        <v>17.704891753148601</v>
      </c>
      <c r="AL67" s="27">
        <f t="shared" si="29"/>
        <v>16.134328558354198</v>
      </c>
      <c r="AM67" s="27">
        <f t="shared" si="29"/>
        <v>15.374728749309</v>
      </c>
      <c r="AN67" s="27">
        <f t="shared" si="29"/>
        <v>16.829965457080299</v>
      </c>
      <c r="AO67" s="27">
        <f t="shared" si="29"/>
        <v>14.441701119553899</v>
      </c>
      <c r="AP67" s="27">
        <f t="shared" si="29"/>
        <v>15.1820100358589</v>
      </c>
      <c r="AQ67" s="27">
        <f t="shared" si="29"/>
        <v>14.713503479130599</v>
      </c>
      <c r="AR67" s="27">
        <f t="shared" ref="AR67" si="30">VLOOKUP(AR51&amp;"Male"&amp;"Non-Maori"&amp;19,agesextable,7,FALSE)</f>
        <v>14.3629391196318</v>
      </c>
    </row>
    <row r="68" spans="2:44">
      <c r="C68" s="290"/>
      <c r="D68" s="290"/>
      <c r="E68" s="290"/>
      <c r="F68" s="290"/>
      <c r="G68" s="290"/>
      <c r="H68" s="290"/>
      <c r="I68" s="290"/>
      <c r="J68" s="291"/>
      <c r="K68" s="292"/>
      <c r="L68" s="174"/>
      <c r="M68" s="174"/>
      <c r="N68" s="174"/>
      <c r="O68" s="248"/>
      <c r="P68" s="248"/>
      <c r="R68" s="44"/>
      <c r="T68" s="25"/>
      <c r="U68" s="25"/>
      <c r="V68" s="463"/>
      <c r="W68" s="160"/>
      <c r="X68" s="464"/>
      <c r="Y68" s="32"/>
      <c r="Z68" s="32"/>
      <c r="AA68" s="32"/>
      <c r="AB68" s="32"/>
      <c r="AC68" s="32"/>
      <c r="AD68" s="32"/>
      <c r="AE68" s="32"/>
      <c r="AF68" s="32"/>
      <c r="AG68" s="32"/>
      <c r="AH68" s="32"/>
      <c r="AI68" s="32"/>
      <c r="AJ68" s="32"/>
      <c r="AK68" s="32"/>
      <c r="AL68" s="32"/>
      <c r="AM68" s="32"/>
      <c r="AN68" s="32"/>
      <c r="AO68" s="32"/>
      <c r="AP68" s="30"/>
      <c r="AQ68" s="30"/>
      <c r="AR68" s="30"/>
    </row>
    <row r="69" spans="2:44">
      <c r="C69" s="290"/>
      <c r="D69" s="290"/>
      <c r="E69" s="290"/>
      <c r="F69" s="290"/>
      <c r="G69" s="290"/>
      <c r="H69" s="290"/>
      <c r="I69" s="290"/>
      <c r="J69" s="291"/>
      <c r="K69" s="292"/>
      <c r="L69" s="174"/>
      <c r="M69" s="174"/>
      <c r="N69" s="174"/>
      <c r="O69" s="248"/>
      <c r="P69" s="248"/>
      <c r="R69" s="44"/>
      <c r="T69" s="25" t="s">
        <v>8</v>
      </c>
      <c r="U69" s="25"/>
      <c r="V69" s="25" t="s">
        <v>9</v>
      </c>
      <c r="W69" s="31" t="s">
        <v>21</v>
      </c>
      <c r="X69" s="30">
        <f t="shared" ref="X69:AQ69" si="31">VLOOKUP(X51&amp;"Female"&amp;"Non-Maori"&amp;19,agesextable,6,FALSE)</f>
        <v>87</v>
      </c>
      <c r="Y69" s="30">
        <f t="shared" si="31"/>
        <v>95</v>
      </c>
      <c r="Z69" s="30">
        <f t="shared" si="31"/>
        <v>108</v>
      </c>
      <c r="AA69" s="30">
        <f t="shared" si="31"/>
        <v>112</v>
      </c>
      <c r="AB69" s="30">
        <f t="shared" si="31"/>
        <v>72</v>
      </c>
      <c r="AC69" s="30">
        <f t="shared" si="31"/>
        <v>97</v>
      </c>
      <c r="AD69" s="30">
        <f t="shared" si="31"/>
        <v>94</v>
      </c>
      <c r="AE69" s="30">
        <f t="shared" si="31"/>
        <v>122</v>
      </c>
      <c r="AF69" s="30">
        <f t="shared" si="31"/>
        <v>84</v>
      </c>
      <c r="AG69" s="30">
        <f t="shared" si="31"/>
        <v>105</v>
      </c>
      <c r="AH69" s="30">
        <f t="shared" si="31"/>
        <v>104</v>
      </c>
      <c r="AI69" s="30">
        <f t="shared" si="31"/>
        <v>97</v>
      </c>
      <c r="AJ69" s="30">
        <f t="shared" si="31"/>
        <v>108</v>
      </c>
      <c r="AK69" s="30">
        <f t="shared" si="31"/>
        <v>93</v>
      </c>
      <c r="AL69" s="30">
        <f t="shared" si="31"/>
        <v>117</v>
      </c>
      <c r="AM69" s="30">
        <f t="shared" si="31"/>
        <v>86</v>
      </c>
      <c r="AN69" s="30">
        <f t="shared" si="31"/>
        <v>108</v>
      </c>
      <c r="AO69" s="30">
        <f t="shared" si="31"/>
        <v>109</v>
      </c>
      <c r="AP69" s="30">
        <f t="shared" si="31"/>
        <v>104</v>
      </c>
      <c r="AQ69" s="30">
        <f t="shared" si="31"/>
        <v>104</v>
      </c>
      <c r="AR69" s="30">
        <f t="shared" ref="AR69" si="32">VLOOKUP(AR51&amp;"Female"&amp;"Non-Maori"&amp;19,agesextable,6,FALSE)</f>
        <v>105</v>
      </c>
    </row>
    <row r="70" spans="2:44">
      <c r="C70" s="290"/>
      <c r="D70" s="290"/>
      <c r="E70" s="290"/>
      <c r="F70" s="290"/>
      <c r="G70" s="290"/>
      <c r="H70" s="290"/>
      <c r="I70" s="290"/>
      <c r="J70" s="291"/>
      <c r="K70" s="292"/>
      <c r="L70" s="174"/>
      <c r="M70" s="174"/>
      <c r="N70" s="174"/>
      <c r="O70" s="248"/>
      <c r="P70" s="248"/>
      <c r="R70" s="44"/>
      <c r="T70" s="25"/>
      <c r="U70" s="25"/>
      <c r="V70" s="25"/>
      <c r="W70" s="31" t="s">
        <v>22</v>
      </c>
      <c r="X70" s="45">
        <f t="shared" ref="X70:AQ70" si="33">VLOOKUP(X51&amp;"Female"&amp;"Non-Maori"&amp;19,agesextable,7,FALSE)</f>
        <v>5.2986962640135697</v>
      </c>
      <c r="Y70" s="45">
        <f t="shared" si="33"/>
        <v>5.6892468332060497</v>
      </c>
      <c r="Z70" s="45">
        <f t="shared" si="33"/>
        <v>6.1878498162513402</v>
      </c>
      <c r="AA70" s="45">
        <f t="shared" si="33"/>
        <v>6.4624543900880198</v>
      </c>
      <c r="AB70" s="45">
        <f t="shared" si="33"/>
        <v>4.1381655103116204</v>
      </c>
      <c r="AC70" s="45">
        <f t="shared" si="33"/>
        <v>5.3611446727339196</v>
      </c>
      <c r="AD70" s="45">
        <f t="shared" si="33"/>
        <v>5.26343516708328</v>
      </c>
      <c r="AE70" s="45">
        <f t="shared" si="33"/>
        <v>6.4039999122093398</v>
      </c>
      <c r="AF70" s="45">
        <f t="shared" si="33"/>
        <v>4.5051607691466504</v>
      </c>
      <c r="AG70" s="45">
        <f t="shared" si="33"/>
        <v>5.2590011370533496</v>
      </c>
      <c r="AH70" s="45">
        <f t="shared" si="33"/>
        <v>5.2009651380039701</v>
      </c>
      <c r="AI70" s="45">
        <f t="shared" si="33"/>
        <v>4.6012421251756503</v>
      </c>
      <c r="AJ70" s="45">
        <f t="shared" si="33"/>
        <v>5.4589151940525902</v>
      </c>
      <c r="AK70" s="45">
        <f t="shared" si="33"/>
        <v>4.4437437379171101</v>
      </c>
      <c r="AL70" s="45">
        <f t="shared" si="33"/>
        <v>5.9134650848101904</v>
      </c>
      <c r="AM70" s="45">
        <f t="shared" si="33"/>
        <v>4.1499902954002099</v>
      </c>
      <c r="AN70" s="45">
        <f t="shared" si="33"/>
        <v>5.1528651892542001</v>
      </c>
      <c r="AO70" s="45">
        <f t="shared" si="33"/>
        <v>5.2765407142672398</v>
      </c>
      <c r="AP70" s="45">
        <f t="shared" si="33"/>
        <v>4.8294233213266304</v>
      </c>
      <c r="AQ70" s="45">
        <f t="shared" si="33"/>
        <v>4.7608957245198003</v>
      </c>
      <c r="AR70" s="45">
        <f t="shared" ref="AR70" si="34">VLOOKUP(AR51&amp;"Female"&amp;"Non-Maori"&amp;19,agesextable,7,FALSE)</f>
        <v>4.8570007876246901</v>
      </c>
    </row>
    <row r="71" spans="2:44">
      <c r="C71" s="290"/>
      <c r="D71" s="290"/>
      <c r="E71" s="290"/>
      <c r="F71" s="290"/>
      <c r="G71" s="290"/>
      <c r="H71" s="290"/>
      <c r="I71" s="290"/>
      <c r="J71" s="291"/>
      <c r="K71" s="292"/>
      <c r="L71" s="174"/>
      <c r="M71" s="174"/>
      <c r="N71" s="174"/>
      <c r="O71" s="248"/>
      <c r="P71" s="248"/>
      <c r="R71" s="44"/>
      <c r="T71" s="44"/>
      <c r="U71" s="44"/>
      <c r="W71" s="31"/>
      <c r="X71" s="119"/>
      <c r="Y71" s="119"/>
      <c r="Z71" s="119"/>
      <c r="AA71" s="119"/>
      <c r="AB71" s="119"/>
      <c r="AC71" s="119"/>
      <c r="AD71" s="119"/>
      <c r="AE71" s="119"/>
      <c r="AF71" s="119"/>
      <c r="AG71" s="119"/>
      <c r="AH71" s="119"/>
      <c r="AI71" s="119"/>
      <c r="AJ71" s="119"/>
      <c r="AK71" s="119"/>
      <c r="AL71" s="119"/>
      <c r="AM71" s="119"/>
      <c r="AN71" s="119"/>
      <c r="AO71" s="119"/>
      <c r="AP71" s="119"/>
      <c r="AQ71" s="33"/>
      <c r="AR71" s="33"/>
    </row>
    <row r="72" spans="2:44">
      <c r="B72" s="70"/>
      <c r="C72" s="75"/>
      <c r="D72" s="70"/>
      <c r="E72" s="75"/>
      <c r="F72" s="75"/>
      <c r="G72" s="75"/>
      <c r="H72" s="75"/>
      <c r="I72" s="75"/>
      <c r="J72" s="75"/>
      <c r="K72" s="75"/>
      <c r="L72" s="70"/>
      <c r="M72" s="70"/>
      <c r="N72" s="74"/>
      <c r="O72" s="75"/>
      <c r="P72" s="75"/>
      <c r="Q72" s="410"/>
      <c r="R72" s="44"/>
      <c r="S72" s="174"/>
      <c r="T72" s="193" t="s">
        <v>143</v>
      </c>
      <c r="U72" s="193"/>
      <c r="V72" s="193" t="s">
        <v>106</v>
      </c>
      <c r="W72" s="193"/>
      <c r="X72" s="50"/>
      <c r="Y72" s="12"/>
      <c r="AM72" s="24"/>
    </row>
    <row r="73" spans="2:44" ht="15">
      <c r="B73" s="70"/>
      <c r="C73" s="88" t="s">
        <v>496</v>
      </c>
      <c r="D73" s="70"/>
      <c r="E73" s="70"/>
      <c r="F73" s="70"/>
      <c r="G73" s="70"/>
      <c r="H73" s="70"/>
      <c r="I73" s="70"/>
      <c r="J73" s="70"/>
      <c r="K73" s="70"/>
      <c r="L73" s="70"/>
      <c r="M73" s="70"/>
      <c r="N73" s="70"/>
      <c r="O73" s="235"/>
      <c r="P73" s="235"/>
      <c r="Q73" s="411"/>
      <c r="R73" s="12"/>
      <c r="T73" s="193" t="s">
        <v>141</v>
      </c>
      <c r="U73" s="193"/>
      <c r="V73" s="193" t="s">
        <v>144</v>
      </c>
      <c r="W73" s="193"/>
      <c r="X73" s="50"/>
      <c r="Y73" s="12"/>
      <c r="AR73" s="230"/>
    </row>
    <row r="74" spans="2:44">
      <c r="B74" s="70"/>
      <c r="C74" s="70"/>
      <c r="D74" s="75"/>
      <c r="E74" s="70"/>
      <c r="F74" s="70"/>
      <c r="G74" s="70"/>
      <c r="H74" s="70"/>
      <c r="I74" s="70"/>
      <c r="J74" s="70"/>
      <c r="K74" s="70"/>
      <c r="L74" s="70"/>
      <c r="M74" s="70"/>
      <c r="N74" s="70"/>
      <c r="O74" s="235"/>
      <c r="P74" s="235"/>
      <c r="Q74" s="411"/>
      <c r="R74" s="12"/>
      <c r="T74" s="43"/>
      <c r="U74" s="43"/>
      <c r="V74" s="43"/>
      <c r="W74" s="43"/>
      <c r="X74" s="20"/>
      <c r="Y74" s="20"/>
      <c r="Z74" s="20"/>
      <c r="AA74" s="20"/>
      <c r="AB74" s="20"/>
      <c r="AC74" s="20"/>
      <c r="AD74" s="20"/>
      <c r="AE74" s="20"/>
      <c r="AF74" s="20"/>
      <c r="AG74" s="20"/>
      <c r="AH74" s="20"/>
      <c r="AI74" s="20"/>
      <c r="AJ74" s="20"/>
      <c r="AK74" s="20"/>
      <c r="AL74" s="20"/>
      <c r="AM74" s="20"/>
      <c r="AN74" s="20"/>
      <c r="AO74" s="20"/>
      <c r="AP74" s="20"/>
      <c r="AQ74" s="20"/>
      <c r="AR74" s="33"/>
    </row>
    <row r="75" spans="2:44">
      <c r="B75" s="70"/>
      <c r="C75" s="70"/>
      <c r="D75" s="75"/>
      <c r="E75" s="76" t="s">
        <v>0</v>
      </c>
      <c r="F75" s="70"/>
      <c r="G75" s="70"/>
      <c r="H75" s="70"/>
      <c r="I75" s="70"/>
      <c r="J75" s="70"/>
      <c r="K75" s="70"/>
      <c r="L75" s="70"/>
      <c r="M75" s="76" t="s">
        <v>3</v>
      </c>
      <c r="N75" s="70"/>
      <c r="O75" s="235"/>
      <c r="P75" s="235"/>
      <c r="Q75" s="411"/>
      <c r="R75" s="12"/>
      <c r="T75" s="44"/>
      <c r="U75" s="44"/>
      <c r="X75" s="12"/>
      <c r="Y75" s="12"/>
    </row>
    <row r="76" spans="2:44">
      <c r="B76" s="70"/>
      <c r="C76" s="70"/>
      <c r="D76" s="70"/>
      <c r="E76" s="75"/>
      <c r="F76" s="70"/>
      <c r="G76" s="70"/>
      <c r="H76" s="70"/>
      <c r="I76" s="70"/>
      <c r="J76" s="70"/>
      <c r="K76" s="70"/>
      <c r="L76" s="70"/>
      <c r="M76" s="70"/>
      <c r="N76" s="70"/>
      <c r="O76" s="235"/>
      <c r="P76" s="235"/>
      <c r="Q76" s="411"/>
      <c r="R76" s="12"/>
      <c r="T76" s="44"/>
      <c r="U76" s="44"/>
      <c r="X76" s="12"/>
      <c r="Y76" s="12"/>
    </row>
    <row r="77" spans="2:44" ht="15">
      <c r="B77" s="70"/>
      <c r="C77" s="75"/>
      <c r="D77" s="75"/>
      <c r="E77" s="75"/>
      <c r="F77" s="70"/>
      <c r="G77" s="70"/>
      <c r="H77" s="70"/>
      <c r="I77" s="70"/>
      <c r="J77" s="70"/>
      <c r="K77" s="70"/>
      <c r="L77" s="70"/>
      <c r="M77" s="70"/>
      <c r="N77" s="70"/>
      <c r="O77" s="235"/>
      <c r="P77" s="235"/>
      <c r="Q77" s="411"/>
      <c r="R77" s="12"/>
      <c r="T77" s="110" t="s">
        <v>496</v>
      </c>
      <c r="U77" s="110"/>
      <c r="X77" s="12"/>
      <c r="Y77" s="12"/>
    </row>
    <row r="78" spans="2:44">
      <c r="B78" s="70"/>
      <c r="C78" s="75"/>
      <c r="D78" s="75"/>
      <c r="E78" s="75"/>
      <c r="F78" s="70"/>
      <c r="G78" s="70"/>
      <c r="H78" s="70"/>
      <c r="I78" s="70"/>
      <c r="J78" s="70"/>
      <c r="K78" s="70"/>
      <c r="L78" s="70"/>
      <c r="M78" s="70"/>
      <c r="N78" s="70"/>
      <c r="O78" s="235"/>
      <c r="P78" s="235"/>
      <c r="Q78" s="411"/>
      <c r="R78" s="12"/>
      <c r="T78" s="44"/>
      <c r="U78" s="44"/>
      <c r="X78" s="12"/>
      <c r="Y78" s="12"/>
    </row>
    <row r="79" spans="2:44">
      <c r="B79" s="70"/>
      <c r="C79" s="75"/>
      <c r="D79" s="75"/>
      <c r="E79" s="75"/>
      <c r="F79" s="70"/>
      <c r="G79" s="70"/>
      <c r="H79" s="70"/>
      <c r="I79" s="70"/>
      <c r="J79" s="70"/>
      <c r="K79" s="70"/>
      <c r="L79" s="70"/>
      <c r="M79" s="70"/>
      <c r="N79" s="70"/>
      <c r="O79" s="235"/>
      <c r="P79" s="235"/>
      <c r="Q79" s="411"/>
      <c r="R79" s="12"/>
      <c r="T79" s="112" t="s">
        <v>1</v>
      </c>
      <c r="U79" s="112"/>
      <c r="V79" s="120" t="s">
        <v>398</v>
      </c>
      <c r="W79" s="120"/>
      <c r="X79" s="48" t="s">
        <v>117</v>
      </c>
      <c r="Y79" s="48" t="s">
        <v>118</v>
      </c>
      <c r="Z79" s="48" t="s">
        <v>119</v>
      </c>
      <c r="AA79" s="48" t="s">
        <v>120</v>
      </c>
      <c r="AB79" s="48" t="s">
        <v>121</v>
      </c>
      <c r="AC79" s="48" t="s">
        <v>123</v>
      </c>
      <c r="AD79" s="48" t="s">
        <v>124</v>
      </c>
      <c r="AE79" s="48" t="s">
        <v>125</v>
      </c>
      <c r="AF79" s="48" t="s">
        <v>126</v>
      </c>
      <c r="AG79" s="48" t="s">
        <v>127</v>
      </c>
      <c r="AH79" s="48" t="s">
        <v>128</v>
      </c>
      <c r="AI79" s="48" t="s">
        <v>129</v>
      </c>
      <c r="AJ79" s="48" t="s">
        <v>130</v>
      </c>
      <c r="AK79" s="48" t="s">
        <v>131</v>
      </c>
      <c r="AL79" s="48" t="s">
        <v>132</v>
      </c>
      <c r="AM79" s="48" t="s">
        <v>122</v>
      </c>
    </row>
    <row r="80" spans="2:44">
      <c r="B80" s="70"/>
      <c r="C80" s="75"/>
      <c r="D80" s="75"/>
      <c r="E80" s="75"/>
      <c r="F80" s="70"/>
      <c r="G80" s="70"/>
      <c r="H80" s="70"/>
      <c r="I80" s="70"/>
      <c r="J80" s="70"/>
      <c r="K80" s="70"/>
      <c r="L80" s="70"/>
      <c r="M80" s="70"/>
      <c r="N80" s="70"/>
      <c r="O80" s="235"/>
      <c r="P80" s="235"/>
      <c r="Q80" s="411"/>
      <c r="R80" s="12"/>
      <c r="T80" s="100"/>
      <c r="U80" s="100"/>
      <c r="V80" s="25"/>
      <c r="W80" s="25"/>
      <c r="X80" s="46"/>
      <c r="Y80" s="46"/>
      <c r="Z80" s="46"/>
      <c r="AA80" s="46"/>
      <c r="AB80" s="46"/>
      <c r="AC80" s="46"/>
      <c r="AD80" s="46"/>
      <c r="AE80" s="46"/>
      <c r="AF80" s="46"/>
      <c r="AG80" s="46"/>
      <c r="AH80" s="46"/>
      <c r="AI80" s="46"/>
      <c r="AJ80" s="46"/>
      <c r="AK80" s="46"/>
      <c r="AL80" s="46"/>
      <c r="AM80" s="46"/>
    </row>
    <row r="81" spans="2:78">
      <c r="B81" s="70"/>
      <c r="C81" s="75"/>
      <c r="D81" s="75"/>
      <c r="E81" s="75"/>
      <c r="F81" s="70"/>
      <c r="G81" s="70"/>
      <c r="H81" s="70"/>
      <c r="I81" s="70"/>
      <c r="J81" s="70"/>
      <c r="K81" s="70"/>
      <c r="L81" s="70"/>
      <c r="M81" s="70"/>
      <c r="N81" s="70"/>
      <c r="O81" s="235"/>
      <c r="P81" s="235"/>
      <c r="Q81" s="411"/>
      <c r="R81" s="12"/>
      <c r="T81" s="25" t="s">
        <v>0</v>
      </c>
      <c r="U81" s="25"/>
      <c r="V81" s="25">
        <v>2016</v>
      </c>
      <c r="W81" s="25" t="s">
        <v>51</v>
      </c>
      <c r="X81" s="36">
        <f>IFERROR(VLOOKUP($V$81&amp;"AllSex"&amp;"AllEth"&amp; ref!A$12,Percalldeaths,10,FALSE),"0.0")</f>
        <v>22.2</v>
      </c>
      <c r="Y81" s="36">
        <f>IFERROR(VLOOKUP($V$81&amp;"AllSex"&amp;"AllEth"&amp; ref!B$12,Percalldeaths,10,FALSE),"0.0")</f>
        <v>29.9</v>
      </c>
      <c r="Z81" s="36">
        <f>IFERROR(VLOOKUP($V$81&amp;"AllSex"&amp;"AllEth"&amp; ref!C$12,Percalldeaths,10,FALSE),"0.0")</f>
        <v>35.4</v>
      </c>
      <c r="AA81" s="36">
        <f>IFERROR(VLOOKUP($V$81&amp;"AllSex"&amp;"AllEth"&amp; ref!D$12,Percalldeaths,10,FALSE),"0.0")</f>
        <v>38.6</v>
      </c>
      <c r="AB81" s="36">
        <f>IFERROR(VLOOKUP($V$81&amp;"AllSex"&amp;"AllEth"&amp; ref!E$12,Percalldeaths,10,FALSE),"0.0")</f>
        <v>26.4</v>
      </c>
      <c r="AC81" s="36">
        <f>IFERROR(VLOOKUP($V$81&amp;"AllSex"&amp;"AllEth"&amp; ref!F$12,Percalldeaths,10,FALSE),"0.0")</f>
        <v>14.6</v>
      </c>
      <c r="AD81" s="36">
        <f>IFERROR(VLOOKUP($V$81&amp;"AllSex"&amp;"AllEth"&amp; ref!G$12,Percalldeaths,10,FALSE),"0.0")</f>
        <v>14.1</v>
      </c>
      <c r="AE81" s="36">
        <f>IFERROR(VLOOKUP($V$81&amp;"AllSex"&amp;"AllEth"&amp; ref!H$12,Percalldeaths,10,FALSE),"0.0")</f>
        <v>7.7</v>
      </c>
      <c r="AF81" s="36">
        <f>IFERROR(VLOOKUP($V$81&amp;"AllSex"&amp;"AllEth"&amp; ref!I$12,Percalldeaths,10,FALSE),"0.0")</f>
        <v>5.0999999999999996</v>
      </c>
      <c r="AG81" s="36">
        <f>IFERROR(VLOOKUP($V$81&amp;"AllSex"&amp;"AllEth"&amp; ref!J$12,Percalldeaths,10,FALSE),"0.0")</f>
        <v>3.8</v>
      </c>
      <c r="AH81" s="36">
        <f>IFERROR(VLOOKUP($V$81&amp;"AllSex"&amp;"AllEth"&amp; ref!K$12,Percalldeaths,10,FALSE),"0.0")</f>
        <v>1.6</v>
      </c>
      <c r="AI81" s="36">
        <f>IFERROR(VLOOKUP($V$81&amp;"AllSex"&amp;"AllEth"&amp; ref!L$12,Percalldeaths,10,FALSE),"0.0")</f>
        <v>0.9</v>
      </c>
      <c r="AJ81" s="36">
        <f>IFERROR(VLOOKUP($V$81&amp;"AllSex"&amp;"AllEth"&amp; ref!M$12,Percalldeaths,10,FALSE),"0.0")</f>
        <v>0.3</v>
      </c>
      <c r="AK81" s="36">
        <f>IFERROR(VLOOKUP($V$81&amp;"AllSex"&amp;"AllEth"&amp; ref!N$12,Percalldeaths,10,FALSE),"0.0")</f>
        <v>0.3</v>
      </c>
      <c r="AL81" s="36">
        <f>IFERROR(VLOOKUP($V$81&amp;"AllSex"&amp;"AllEth"&amp; ref!O$12,Percalldeaths,10,FALSE),"0.0")</f>
        <v>0.2</v>
      </c>
      <c r="AM81" s="36">
        <f>IFERROR(VLOOKUP($V$81&amp;"AllSex"&amp;"AllEth"&amp; ref!P$12,Percalldeaths,10,FALSE),"0.0")</f>
        <v>0.1</v>
      </c>
    </row>
    <row r="82" spans="2:78">
      <c r="B82" s="70"/>
      <c r="C82" s="75"/>
      <c r="D82" s="75"/>
      <c r="E82" s="75"/>
      <c r="F82" s="70"/>
      <c r="G82" s="70"/>
      <c r="H82" s="70"/>
      <c r="I82" s="70"/>
      <c r="J82" s="70"/>
      <c r="K82" s="70"/>
      <c r="L82" s="70"/>
      <c r="M82" s="70"/>
      <c r="N82" s="70"/>
      <c r="O82" s="235"/>
      <c r="P82" s="235"/>
      <c r="Q82" s="411"/>
      <c r="R82" s="12"/>
      <c r="T82" s="25" t="s">
        <v>20</v>
      </c>
      <c r="U82" s="25"/>
      <c r="V82" s="25"/>
      <c r="W82" s="25" t="s">
        <v>134</v>
      </c>
      <c r="X82" s="36">
        <f>IFERROR(VLOOKUP($V$81&amp;"Male"&amp;"AllEth"&amp; ref!A$12,Percalldeaths,10,FALSE),"0.0")</f>
        <v>22.7</v>
      </c>
      <c r="Y82" s="36">
        <f>IFERROR(VLOOKUP($V$81&amp;"Male"&amp;"AllEth"&amp; ref!B$12,Percalldeaths,10,FALSE),"0.0")</f>
        <v>34.299999999999997</v>
      </c>
      <c r="Z82" s="36">
        <f>IFERROR(VLOOKUP($V$81&amp;"Male"&amp;"AllEth"&amp; ref!C$12,Percalldeaths,10,FALSE),"0.0")</f>
        <v>37.700000000000003</v>
      </c>
      <c r="AA82" s="36">
        <f>IFERROR(VLOOKUP($V$81&amp;"Male"&amp;"AllEth"&amp; ref!D$12,Percalldeaths,10,FALSE),"0.0")</f>
        <v>40.700000000000003</v>
      </c>
      <c r="AB82" s="36">
        <f>IFERROR(VLOOKUP($V$81&amp;"Male"&amp;"AllEth"&amp; ref!E$12,Percalldeaths,10,FALSE),"0.0")</f>
        <v>32.700000000000003</v>
      </c>
      <c r="AC82" s="36">
        <f>IFERROR(VLOOKUP($V$81&amp;"Male"&amp;"AllEth"&amp; ref!F$12,Percalldeaths,10,FALSE),"0.0")</f>
        <v>16.899999999999999</v>
      </c>
      <c r="AD82" s="36">
        <f>IFERROR(VLOOKUP($V$81&amp;"Male"&amp;"AllEth"&amp; ref!G$12,Percalldeaths,10,FALSE),"0.0")</f>
        <v>16</v>
      </c>
      <c r="AE82" s="36">
        <f>IFERROR(VLOOKUP($V$81&amp;"Male"&amp;"AllEth"&amp; ref!H$12,Percalldeaths,10,FALSE),"0.0")</f>
        <v>9.1</v>
      </c>
      <c r="AF82" s="36">
        <f>IFERROR(VLOOKUP($V$81&amp;"Male"&amp;"AllEth"&amp; ref!I$12,Percalldeaths,10,FALSE),"0.0")</f>
        <v>7</v>
      </c>
      <c r="AG82" s="36">
        <f>IFERROR(VLOOKUP($V$81&amp;"Male"&amp;"AllEth"&amp; ref!J$12,Percalldeaths,10,FALSE),"0.0")</f>
        <v>4.9000000000000004</v>
      </c>
      <c r="AH82" s="36">
        <f>IFERROR(VLOOKUP($V$81&amp;"Male"&amp;"AllEth"&amp; ref!K$12,Percalldeaths,10,FALSE),"0.0")</f>
        <v>2.2999999999999998</v>
      </c>
      <c r="AI82" s="36">
        <f>IFERROR(VLOOKUP($V$81&amp;"Male"&amp;"AllEth"&amp; ref!L$12,Percalldeaths,10,FALSE),"0.0")</f>
        <v>1.2</v>
      </c>
      <c r="AJ82" s="36">
        <f>IFERROR(VLOOKUP($V$81&amp;"Male"&amp;"AllEth"&amp; ref!M$12,Percalldeaths,10,FALSE),"0.0")</f>
        <v>0.3</v>
      </c>
      <c r="AK82" s="36">
        <f>IFERROR(VLOOKUP($V$81&amp;"Male"&amp;"AllEth"&amp; ref!N$12,Percalldeaths,10,FALSE),"0.0")</f>
        <v>0.5</v>
      </c>
      <c r="AL82" s="36">
        <f>IFERROR(VLOOKUP($V$81&amp;"Male"&amp;"AllEth"&amp; ref!O$12,Percalldeaths,10,FALSE),"0.0")</f>
        <v>0.3</v>
      </c>
      <c r="AM82" s="36">
        <f>IFERROR(VLOOKUP($V$81&amp;"Male"&amp;"AllEth"&amp; ref!P$12,Percalldeaths,10,FALSE),"0.0")</f>
        <v>0.2</v>
      </c>
    </row>
    <row r="83" spans="2:78">
      <c r="B83" s="70"/>
      <c r="C83" s="75"/>
      <c r="D83" s="75"/>
      <c r="E83" s="75"/>
      <c r="F83" s="70"/>
      <c r="G83" s="70"/>
      <c r="H83" s="70"/>
      <c r="I83" s="70"/>
      <c r="J83" s="70"/>
      <c r="K83" s="70"/>
      <c r="L83" s="70"/>
      <c r="M83" s="70"/>
      <c r="N83" s="70"/>
      <c r="O83" s="235"/>
      <c r="P83" s="235"/>
      <c r="Q83" s="411"/>
      <c r="R83" s="12"/>
      <c r="T83" s="19" t="s">
        <v>8</v>
      </c>
      <c r="U83" s="19"/>
      <c r="V83" s="19"/>
      <c r="W83" s="19"/>
      <c r="X83" s="36">
        <f>IFERROR(VLOOKUP($V$81&amp;"Female"&amp;"AllEth"&amp; ref!A$12,Percalldeaths,10,FALSE),"0.0")</f>
        <v>21.4</v>
      </c>
      <c r="Y83" s="36">
        <f>IFERROR(VLOOKUP($V$81&amp;"Female"&amp;"AllEth"&amp; ref!B$12,Percalldeaths,10,FALSE),"0.0")</f>
        <v>20.8</v>
      </c>
      <c r="Z83" s="36">
        <f>IFERROR(VLOOKUP($V$81&amp;"Female"&amp;"AllEth"&amp; ref!C$12,Percalldeaths,10,FALSE),"0.0")</f>
        <v>29.6</v>
      </c>
      <c r="AA83" s="36">
        <f>IFERROR(VLOOKUP($V$81&amp;"Female"&amp;"AllEth"&amp; ref!D$12,Percalldeaths,10,FALSE),"0.0")</f>
        <v>34</v>
      </c>
      <c r="AB83" s="36">
        <f>IFERROR(VLOOKUP($V$81&amp;"Female"&amp;"AllEth"&amp; ref!E$12,Percalldeaths,10,FALSE),"0.0")</f>
        <v>15.9</v>
      </c>
      <c r="AC83" s="36">
        <f>IFERROR(VLOOKUP($V$81&amp;"Female"&amp;"AllEth"&amp; ref!F$12,Percalldeaths,10,FALSE),"0.0")</f>
        <v>11.2</v>
      </c>
      <c r="AD83" s="36">
        <f>IFERROR(VLOOKUP($V$81&amp;"Female"&amp;"AllEth"&amp; ref!G$12,Percalldeaths,10,FALSE),"0.0")</f>
        <v>11.5</v>
      </c>
      <c r="AE83" s="36">
        <f>IFERROR(VLOOKUP($V$81&amp;"Female"&amp;"AllEth"&amp; ref!H$12,Percalldeaths,10,FALSE),"0.0")</f>
        <v>6</v>
      </c>
      <c r="AF83" s="36">
        <f>IFERROR(VLOOKUP($V$81&amp;"Female"&amp;"AllEth"&amp; ref!I$12,Percalldeaths,10,FALSE),"0.0")</f>
        <v>2.6</v>
      </c>
      <c r="AG83" s="36">
        <f>IFERROR(VLOOKUP($V$81&amp;"Female"&amp;"AllEth"&amp; ref!J$12,Percalldeaths,10,FALSE),"0.0")</f>
        <v>2.2999999999999998</v>
      </c>
      <c r="AH83" s="36">
        <f>IFERROR(VLOOKUP($V$81&amp;"Female"&amp;"AllEth"&amp; ref!K$12,Percalldeaths,10,FALSE),"0.0")</f>
        <v>0.6</v>
      </c>
      <c r="AI83" s="36">
        <f>IFERROR(VLOOKUP($V$81&amp;"Female"&amp;"AllEth"&amp; ref!L$12,Percalldeaths,10,FALSE),"0.0")</f>
        <v>0.4</v>
      </c>
      <c r="AJ83" s="36">
        <f>IFERROR(VLOOKUP($V$81&amp;"Female"&amp;"AllEth"&amp; ref!M$12,Percalldeaths,10,FALSE),"0.0")</f>
        <v>0.2</v>
      </c>
      <c r="AK83" s="36">
        <f>IFERROR(VLOOKUP($V$81&amp;"Female"&amp;"AllEth"&amp; ref!N$12,Percalldeaths,10,FALSE),"0.0")</f>
        <v>0.1</v>
      </c>
      <c r="AL83" s="36">
        <f>IFERROR(VLOOKUP($V$81&amp;"Female"&amp;"AllEth"&amp; ref!O$12,Percalldeaths,10,FALSE),"0.0")</f>
        <v>0</v>
      </c>
      <c r="AM83" s="36">
        <f>IFERROR(VLOOKUP($V$81&amp;"Female"&amp;"AllEth"&amp; ref!P$12,Percalldeaths,10,FALSE),"0.0")</f>
        <v>0</v>
      </c>
    </row>
    <row r="84" spans="2:78">
      <c r="B84" s="70"/>
      <c r="C84" s="75"/>
      <c r="D84" s="75"/>
      <c r="E84" s="75"/>
      <c r="F84" s="70"/>
      <c r="G84" s="70"/>
      <c r="H84" s="70"/>
      <c r="I84" s="70"/>
      <c r="J84" s="70"/>
      <c r="K84" s="70"/>
      <c r="L84" s="70"/>
      <c r="M84" s="70"/>
      <c r="N84" s="70"/>
      <c r="O84" s="235"/>
      <c r="P84" s="235"/>
      <c r="Q84" s="411"/>
      <c r="R84" s="12"/>
      <c r="T84" s="28"/>
      <c r="U84" s="28"/>
      <c r="V84" s="28"/>
      <c r="W84" s="28"/>
      <c r="X84" s="29"/>
      <c r="Y84" s="29"/>
      <c r="Z84" s="29"/>
      <c r="AA84" s="29"/>
      <c r="AB84" s="29"/>
      <c r="AC84" s="29"/>
      <c r="AD84" s="29"/>
      <c r="AE84" s="29"/>
      <c r="AF84" s="29"/>
      <c r="AG84" s="29"/>
      <c r="AH84" s="29"/>
      <c r="AI84" s="29"/>
      <c r="AJ84" s="29"/>
      <c r="AK84" s="29"/>
      <c r="AL84" s="29"/>
      <c r="AM84" s="29"/>
    </row>
    <row r="85" spans="2:78">
      <c r="B85" s="70"/>
      <c r="C85" s="75"/>
      <c r="D85" s="75"/>
      <c r="E85" s="75"/>
      <c r="F85" s="70"/>
      <c r="G85" s="70"/>
      <c r="H85" s="70"/>
      <c r="I85" s="70"/>
      <c r="J85" s="70"/>
      <c r="K85" s="70"/>
      <c r="L85" s="70"/>
      <c r="M85" s="70"/>
      <c r="N85" s="70"/>
      <c r="O85" s="235"/>
      <c r="P85" s="235"/>
      <c r="Q85" s="411"/>
      <c r="R85" s="12"/>
      <c r="T85" s="25" t="s">
        <v>334</v>
      </c>
      <c r="U85" s="25"/>
      <c r="V85" s="25">
        <v>2016</v>
      </c>
      <c r="W85" s="25" t="s">
        <v>51</v>
      </c>
      <c r="X85" s="36">
        <f>IFERROR(VLOOKUP($V$81&amp;"AllSex"&amp;"Maori"&amp; ref!A$12,Percalldeaths,10,FALSE), "0.0")</f>
        <v>40</v>
      </c>
      <c r="Y85" s="36">
        <f>IFERROR(VLOOKUP($V$81&amp;"AllSex"&amp;"Maori"&amp; ref!B$12,Percalldeaths,10,FALSE), "0.0")</f>
        <v>42.6</v>
      </c>
      <c r="Z85" s="36">
        <f>IFERROR(VLOOKUP($V$81&amp;"AllSex"&amp;"Maori"&amp; ref!C$12,Percalldeaths,10,FALSE), "0.0")</f>
        <v>44</v>
      </c>
      <c r="AA85" s="36">
        <f>IFERROR(VLOOKUP($V$81&amp;"AllSex"&amp;"Maori"&amp; ref!D$12,Percalldeaths,10,FALSE), "0.0")</f>
        <v>45.5</v>
      </c>
      <c r="AB85" s="36">
        <f>IFERROR(VLOOKUP($V$81&amp;"AllSex"&amp;"Maori"&amp; ref!E$12,Percalldeaths,10,FALSE), "0.0")</f>
        <v>25</v>
      </c>
      <c r="AC85" s="36">
        <f>IFERROR(VLOOKUP($V$81&amp;"AllSex"&amp;"Maori"&amp; ref!F$12,Percalldeaths,10,FALSE), "0.0")</f>
        <v>22.8</v>
      </c>
      <c r="AD85" s="36">
        <f>IFERROR(VLOOKUP($V$81&amp;"AllSex"&amp;"Maori"&amp; ref!G$12,Percalldeaths,10,FALSE), "0.0")</f>
        <v>4.0999999999999996</v>
      </c>
      <c r="AE85" s="36">
        <f>IFERROR(VLOOKUP($V$81&amp;"AllSex"&amp;"Maori"&amp; ref!H$12,Percalldeaths,10,FALSE), "0.0")</f>
        <v>7.6</v>
      </c>
      <c r="AF85" s="36">
        <f>IFERROR(VLOOKUP($V$81&amp;"AllSex"&amp;"Maori"&amp; ref!I$12,Percalldeaths,10,FALSE), "0.0")</f>
        <v>2.6</v>
      </c>
      <c r="AG85" s="36">
        <f>IFERROR(VLOOKUP($V$81&amp;"AllSex"&amp;"Maori"&amp; ref!J$12,Percalldeaths,10,FALSE), "0.0")</f>
        <v>1.2</v>
      </c>
      <c r="AH85" s="36">
        <f>IFERROR(VLOOKUP($V$81&amp;"AllSex"&amp;"Maori"&amp; ref!K$12,Percalldeaths,10,FALSE), "0.0")</f>
        <v>0.6</v>
      </c>
      <c r="AI85" s="36">
        <f>IFERROR(VLOOKUP($V$81&amp;"AllSex"&amp;"Maori"&amp; ref!L$12,Percalldeaths,10,FALSE), "0.0")</f>
        <v>0.2</v>
      </c>
      <c r="AJ85" s="36" t="str">
        <f>IFERROR(VLOOKUP($V$81&amp;"AllSex"&amp;"Maori"&amp; ref!M$12,Percalldeaths,10,FALSE), "0.0")</f>
        <v>0.0</v>
      </c>
      <c r="AK85" s="36">
        <f>IFERROR(VLOOKUP($V$81&amp;"AllSex"&amp;"Maori"&amp; ref!N$12,Percalldeaths,10,FALSE), "0.0")</f>
        <v>0.2</v>
      </c>
      <c r="AL85" s="36" t="str">
        <f>IFERROR(VLOOKUP($V$81&amp;"AllSex"&amp;"Maori"&amp; ref!O$12,Percalldeaths,10,FALSE), "0.0")</f>
        <v>0.0</v>
      </c>
      <c r="AM85" s="36">
        <f>IFERROR(VLOOKUP($V$81&amp;"AllSex"&amp;"Maori"&amp; ref!P$12,Percalldeaths,10,FALSE), "0.0")</f>
        <v>0.3</v>
      </c>
    </row>
    <row r="86" spans="2:78">
      <c r="B86" s="70"/>
      <c r="C86" s="75"/>
      <c r="D86" s="75"/>
      <c r="E86" s="75"/>
      <c r="F86" s="70"/>
      <c r="G86" s="70"/>
      <c r="H86" s="70"/>
      <c r="I86" s="70"/>
      <c r="J86" s="70"/>
      <c r="K86" s="70"/>
      <c r="L86" s="70"/>
      <c r="M86" s="70"/>
      <c r="N86" s="70"/>
      <c r="O86" s="235"/>
      <c r="P86" s="235"/>
      <c r="Q86" s="411"/>
      <c r="R86" s="12"/>
      <c r="T86" s="25" t="s">
        <v>335</v>
      </c>
      <c r="U86" s="25"/>
      <c r="V86" s="25"/>
      <c r="W86" s="25" t="s">
        <v>134</v>
      </c>
      <c r="X86" s="36">
        <f>IFERROR(VLOOKUP($V$81&amp;"Male"&amp;"Maori"&amp; ref!A$12,Percalldeaths,10,FALSE), "0.0")</f>
        <v>40</v>
      </c>
      <c r="Y86" s="36">
        <f>IFERROR(VLOOKUP($V$81&amp;"Male"&amp;"Maori"&amp; ref!B$12,Percalldeaths,10,FALSE), "0.0")</f>
        <v>53.1</v>
      </c>
      <c r="Z86" s="36">
        <f>IFERROR(VLOOKUP($V$81&amp;"Male"&amp;"Maori"&amp; ref!C$12,Percalldeaths,10,FALSE), "0.0")</f>
        <v>53.1</v>
      </c>
      <c r="AA86" s="36">
        <f>IFERROR(VLOOKUP($V$81&amp;"Male"&amp;"Maori"&amp; ref!D$12,Percalldeaths,10,FALSE), "0.0")</f>
        <v>41.5</v>
      </c>
      <c r="AB86" s="36">
        <f>IFERROR(VLOOKUP($V$81&amp;"Male"&amp;"Maori"&amp; ref!E$12,Percalldeaths,10,FALSE), "0.0")</f>
        <v>29.5</v>
      </c>
      <c r="AC86" s="36">
        <f>IFERROR(VLOOKUP($V$81&amp;"Male"&amp;"Maori"&amp; ref!F$12,Percalldeaths,10,FALSE), "0.0")</f>
        <v>32.299999999999997</v>
      </c>
      <c r="AD86" s="36">
        <f>IFERROR(VLOOKUP($V$81&amp;"Male"&amp;"Maori"&amp; ref!G$12,Percalldeaths,10,FALSE), "0.0")</f>
        <v>6.8</v>
      </c>
      <c r="AE86" s="36">
        <f>IFERROR(VLOOKUP($V$81&amp;"Male"&amp;"Maori"&amp; ref!H$12,Percalldeaths,10,FALSE), "0.0")</f>
        <v>7.6</v>
      </c>
      <c r="AF86" s="36">
        <f>IFERROR(VLOOKUP($V$81&amp;"Male"&amp;"Maori"&amp; ref!I$12,Percalldeaths,10,FALSE), "0.0")</f>
        <v>3.6</v>
      </c>
      <c r="AG86" s="36">
        <f>IFERROR(VLOOKUP($V$81&amp;"Male"&amp;"Maori"&amp; ref!J$12,Percalldeaths,10,FALSE), "0.0")</f>
        <v>1.1000000000000001</v>
      </c>
      <c r="AH86" s="36">
        <f>IFERROR(VLOOKUP($V$81&amp;"Male"&amp;"Maori"&amp; ref!K$12,Percalldeaths,10,FALSE), "0.0")</f>
        <v>0.5</v>
      </c>
      <c r="AI86" s="36">
        <f>IFERROR(VLOOKUP($V$81&amp;"Male"&amp;"Maori"&amp; ref!L$12,Percalldeaths,10,FALSE), "0.0")</f>
        <v>0.5</v>
      </c>
      <c r="AJ86" s="36" t="str">
        <f>IFERROR(VLOOKUP($V$81&amp;"Male"&amp;"Maori"&amp; ref!M$12,Percalldeaths,10,FALSE), "0.0")</f>
        <v>0.0</v>
      </c>
      <c r="AK86" s="36">
        <f>IFERROR(VLOOKUP($V$81&amp;"Male"&amp;"Maori"&amp; ref!N$12,Percalldeaths,10,FALSE), "0.0")</f>
        <v>0.5</v>
      </c>
      <c r="AL86" s="36" t="str">
        <f>IFERROR(VLOOKUP($V$81&amp;"Male"&amp;"Maori"&amp; ref!O$12,Percalldeaths,10,FALSE), "0.0")</f>
        <v>0.0</v>
      </c>
      <c r="AM86" s="36">
        <f>IFERROR(VLOOKUP($V$81&amp;"Male"&amp;"Maori"&amp; ref!P$12,Percalldeaths,10,FALSE), "0.0")</f>
        <v>0.8</v>
      </c>
    </row>
    <row r="87" spans="2:78">
      <c r="B87" s="70"/>
      <c r="C87" s="75"/>
      <c r="D87" s="75"/>
      <c r="E87" s="75"/>
      <c r="F87" s="70"/>
      <c r="G87" s="70"/>
      <c r="H87" s="70"/>
      <c r="I87" s="70"/>
      <c r="J87" s="70"/>
      <c r="K87" s="70"/>
      <c r="L87" s="70"/>
      <c r="M87" s="70"/>
      <c r="N87" s="70"/>
      <c r="O87" s="235"/>
      <c r="P87" s="235"/>
      <c r="Q87" s="411"/>
      <c r="R87" s="12"/>
      <c r="T87" s="25" t="s">
        <v>336</v>
      </c>
      <c r="U87" s="25"/>
      <c r="V87" s="25"/>
      <c r="W87" s="25"/>
      <c r="X87" s="36">
        <f>IFERROR(VLOOKUP($V$81&amp;"Female"&amp;"Maori"&amp; ref!A$12,Percalldeaths,10,FALSE), "0.0")</f>
        <v>40</v>
      </c>
      <c r="Y87" s="36">
        <f>IFERROR(VLOOKUP($V$81&amp;"Female"&amp;"Maori"&amp; ref!B$12,Percalldeaths,10,FALSE), "0.0")</f>
        <v>27.3</v>
      </c>
      <c r="Z87" s="36">
        <f>IFERROR(VLOOKUP($V$81&amp;"Female"&amp;"Maori"&amp; ref!C$12,Percalldeaths,10,FALSE), "0.0")</f>
        <v>27.8</v>
      </c>
      <c r="AA87" s="36">
        <f>IFERROR(VLOOKUP($V$81&amp;"Female"&amp;"Maori"&amp; ref!D$12,Percalldeaths,10,FALSE), "0.0")</f>
        <v>57.1</v>
      </c>
      <c r="AB87" s="36">
        <f>IFERROR(VLOOKUP($V$81&amp;"Female"&amp;"Maori"&amp; ref!E$12,Percalldeaths,10,FALSE), "0.0")</f>
        <v>16.7</v>
      </c>
      <c r="AC87" s="36">
        <f>IFERROR(VLOOKUP($V$81&amp;"Female"&amp;"Maori"&amp; ref!F$12,Percalldeaths,10,FALSE), "0.0")</f>
        <v>11.5</v>
      </c>
      <c r="AD87" s="36" t="str">
        <f>IFERROR(VLOOKUP($V$81&amp;"Female"&amp;"Maori"&amp; ref!G$12,Percalldeaths,10,FALSE), "0.0")</f>
        <v>0.0</v>
      </c>
      <c r="AE87" s="36">
        <f>IFERROR(VLOOKUP($V$81&amp;"Female"&amp;"Maori"&amp; ref!H$12,Percalldeaths,10,FALSE), "0.0")</f>
        <v>7.7</v>
      </c>
      <c r="AF87" s="36">
        <f>IFERROR(VLOOKUP($V$81&amp;"Female"&amp;"Maori"&amp; ref!I$12,Percalldeaths,10,FALSE), "0.0")</f>
        <v>1.1000000000000001</v>
      </c>
      <c r="AG87" s="36">
        <f>IFERROR(VLOOKUP($V$81&amp;"Female"&amp;"Maori"&amp; ref!J$12,Percalldeaths,10,FALSE), "0.0")</f>
        <v>1.4</v>
      </c>
      <c r="AH87" s="36">
        <f>IFERROR(VLOOKUP($V$81&amp;"Female"&amp;"Maori"&amp; ref!K$12,Percalldeaths,10,FALSE), "0.0")</f>
        <v>0.7</v>
      </c>
      <c r="AI87" s="36" t="str">
        <f>IFERROR(VLOOKUP($V$81&amp;"Female"&amp;"Maori"&amp; ref!L$12,Percalldeaths,10,FALSE), "0.0")</f>
        <v>0.0</v>
      </c>
      <c r="AJ87" s="36" t="str">
        <f>IFERROR(VLOOKUP($V$81&amp;"Female"&amp;"Maori"&amp; ref!M$12,Percalldeaths,10,FALSE), "0.0")</f>
        <v>0.0</v>
      </c>
      <c r="AK87" s="36" t="str">
        <f>IFERROR(VLOOKUP($V$81&amp;"Female"&amp;"Maori"&amp; ref!N$12,Percalldeaths,10,FALSE), "0.0")</f>
        <v>0.0</v>
      </c>
      <c r="AL87" s="36" t="str">
        <f>IFERROR(VLOOKUP($V$81&amp;"Female"&amp;"Maori"&amp; ref!O$12,Percalldeaths,10,FALSE), "0.0")</f>
        <v>0.0</v>
      </c>
      <c r="AM87" s="36" t="str">
        <f>IFERROR(VLOOKUP($V$81&amp;"Female"&amp;"Maori"&amp; ref!P$12,Percalldeaths,10,FALSE), "0.0")</f>
        <v>0.0</v>
      </c>
    </row>
    <row r="88" spans="2:78">
      <c r="B88" s="70"/>
      <c r="C88" s="75"/>
      <c r="D88" s="75"/>
      <c r="E88" s="75"/>
      <c r="F88" s="70"/>
      <c r="G88" s="70"/>
      <c r="H88" s="70"/>
      <c r="I88" s="70"/>
      <c r="J88" s="70"/>
      <c r="K88" s="70"/>
      <c r="L88" s="70"/>
      <c r="M88" s="70"/>
      <c r="N88" s="70"/>
      <c r="O88" s="235"/>
      <c r="P88" s="235"/>
      <c r="Q88" s="411"/>
      <c r="R88" s="12"/>
      <c r="T88" s="44"/>
      <c r="U88" s="44"/>
      <c r="X88" s="12"/>
      <c r="Y88" s="12"/>
    </row>
    <row r="89" spans="2:78" ht="15.75" customHeight="1">
      <c r="B89" s="70"/>
      <c r="C89" s="75"/>
      <c r="D89" s="75"/>
      <c r="E89" s="75"/>
      <c r="F89" s="70"/>
      <c r="G89" s="70"/>
      <c r="H89" s="70"/>
      <c r="I89" s="70"/>
      <c r="J89" s="70"/>
      <c r="K89" s="70"/>
      <c r="L89" s="70"/>
      <c r="M89" s="70"/>
      <c r="N89" s="70"/>
      <c r="O89" s="235"/>
      <c r="P89" s="235"/>
      <c r="Q89" s="411"/>
      <c r="R89" s="12"/>
      <c r="T89" s="193" t="s">
        <v>314</v>
      </c>
      <c r="U89" s="193"/>
      <c r="V89" s="193" t="s">
        <v>317</v>
      </c>
      <c r="W89" s="193"/>
      <c r="X89" s="50"/>
      <c r="Y89" s="12"/>
    </row>
    <row r="90" spans="2:78" ht="13.5" customHeight="1">
      <c r="B90" s="70"/>
      <c r="C90" s="81" t="s">
        <v>143</v>
      </c>
      <c r="D90" s="81" t="s">
        <v>317</v>
      </c>
      <c r="E90" s="70"/>
      <c r="F90" s="70"/>
      <c r="G90" s="70"/>
      <c r="H90" s="70"/>
      <c r="I90" s="70"/>
      <c r="J90" s="70"/>
      <c r="K90" s="70"/>
      <c r="L90" s="70"/>
      <c r="M90" s="70"/>
      <c r="N90" s="70"/>
      <c r="O90" s="70"/>
      <c r="P90" s="392"/>
      <c r="R90" s="399"/>
      <c r="S90" s="195"/>
      <c r="V90" s="193" t="s">
        <v>661</v>
      </c>
    </row>
    <row r="91" spans="2:78">
      <c r="B91" s="70"/>
      <c r="C91" s="302" t="s">
        <v>141</v>
      </c>
      <c r="D91" s="81" t="s">
        <v>144</v>
      </c>
      <c r="E91" s="75"/>
      <c r="F91" s="75"/>
      <c r="G91" s="70"/>
      <c r="H91" s="70"/>
      <c r="I91" s="70"/>
      <c r="J91" s="70"/>
      <c r="K91" s="70"/>
      <c r="L91" s="70"/>
      <c r="M91" s="70"/>
      <c r="N91" s="70"/>
      <c r="O91" s="70"/>
      <c r="P91" s="235"/>
      <c r="Q91" s="413"/>
      <c r="R91" s="273"/>
      <c r="T91" s="188" t="s">
        <v>141</v>
      </c>
      <c r="U91" s="188"/>
      <c r="V91" s="269" t="s">
        <v>144</v>
      </c>
      <c r="W91" s="193"/>
      <c r="X91" s="50"/>
      <c r="Y91" s="12"/>
    </row>
    <row r="92" spans="2:78">
      <c r="B92" s="70"/>
      <c r="C92" s="636"/>
      <c r="D92" s="637"/>
      <c r="E92" s="637"/>
      <c r="F92" s="637"/>
      <c r="G92" s="637"/>
      <c r="H92" s="637"/>
      <c r="I92" s="637"/>
      <c r="J92" s="637"/>
      <c r="K92" s="637"/>
      <c r="L92" s="637"/>
      <c r="M92" s="637"/>
      <c r="N92" s="637"/>
      <c r="O92" s="637"/>
      <c r="P92" s="235"/>
      <c r="Q92" s="413"/>
      <c r="R92" s="273"/>
      <c r="T92" s="193"/>
      <c r="U92" s="193"/>
      <c r="V92" s="193"/>
      <c r="W92" s="193"/>
      <c r="X92" s="50"/>
      <c r="Y92" s="12"/>
    </row>
    <row r="93" spans="2:78" ht="21.75" customHeight="1">
      <c r="C93" s="187"/>
      <c r="D93" s="191"/>
      <c r="E93" s="187"/>
      <c r="F93" s="187"/>
      <c r="G93" s="174"/>
      <c r="H93" s="174"/>
      <c r="I93" s="174"/>
      <c r="J93" s="174"/>
      <c r="K93" s="174"/>
      <c r="L93" s="174"/>
      <c r="M93" s="174"/>
      <c r="N93" s="174"/>
      <c r="O93" s="174"/>
      <c r="P93" s="216"/>
      <c r="Q93" s="413"/>
      <c r="R93" s="273"/>
      <c r="T93" s="193"/>
      <c r="U93" s="193"/>
      <c r="V93" s="193"/>
      <c r="W93" s="193"/>
      <c r="X93" s="50"/>
      <c r="Y93" s="12"/>
    </row>
    <row r="94" spans="2:78" ht="13.5" customHeight="1">
      <c r="C94" s="187"/>
      <c r="D94" s="191"/>
      <c r="E94" s="187"/>
      <c r="F94" s="187"/>
      <c r="G94" s="174"/>
      <c r="H94" s="174"/>
      <c r="I94" s="174"/>
      <c r="J94" s="174"/>
      <c r="K94" s="174"/>
      <c r="L94" s="174"/>
      <c r="M94" s="174"/>
      <c r="N94" s="174"/>
      <c r="O94" s="174"/>
      <c r="P94" s="216"/>
      <c r="Q94" s="413"/>
      <c r="R94" s="273"/>
      <c r="T94" s="193"/>
      <c r="U94" s="193"/>
      <c r="V94" s="193"/>
      <c r="W94" s="193"/>
      <c r="X94" s="50"/>
      <c r="Y94" s="12"/>
    </row>
    <row r="95" spans="2:78">
      <c r="B95" s="70"/>
      <c r="C95" s="75"/>
      <c r="D95" s="70"/>
      <c r="E95" s="70"/>
      <c r="F95" s="70"/>
      <c r="G95" s="70"/>
      <c r="H95" s="70"/>
      <c r="I95" s="70"/>
      <c r="J95" s="70"/>
      <c r="K95" s="70"/>
      <c r="L95" s="70"/>
      <c r="M95" s="70"/>
      <c r="N95" s="70"/>
      <c r="O95" s="70"/>
      <c r="P95" s="70"/>
      <c r="Q95" s="411"/>
      <c r="R95" s="12"/>
      <c r="T95" s="44"/>
      <c r="U95" s="44"/>
      <c r="X95" s="12"/>
      <c r="Y95" s="12"/>
    </row>
    <row r="96" spans="2:78" ht="15">
      <c r="B96" s="70"/>
      <c r="C96" s="88" t="s">
        <v>497</v>
      </c>
      <c r="D96" s="70"/>
      <c r="E96" s="75"/>
      <c r="F96" s="75"/>
      <c r="G96" s="75"/>
      <c r="H96" s="75"/>
      <c r="I96" s="75"/>
      <c r="J96" s="75"/>
      <c r="K96" s="75"/>
      <c r="L96" s="70"/>
      <c r="M96" s="70"/>
      <c r="N96" s="70"/>
      <c r="O96" s="70"/>
      <c r="P96" s="70"/>
      <c r="Q96" s="411"/>
      <c r="R96" s="12"/>
      <c r="T96" s="44"/>
      <c r="U96" s="44"/>
      <c r="X96" s="12"/>
      <c r="Y96" s="12"/>
      <c r="BI96" s="456"/>
      <c r="BJ96" s="456"/>
      <c r="BK96" s="456"/>
      <c r="BL96" s="456"/>
      <c r="BM96" s="456"/>
      <c r="BN96" s="456"/>
      <c r="BO96" s="456"/>
      <c r="BP96" s="456"/>
      <c r="BQ96" s="456"/>
      <c r="BR96" s="456"/>
      <c r="BS96" s="456"/>
      <c r="BT96" s="456"/>
      <c r="BU96" s="456"/>
      <c r="BV96" s="456"/>
      <c r="BW96" s="456"/>
      <c r="BX96" s="456"/>
      <c r="BY96" s="456"/>
      <c r="BZ96" s="456"/>
    </row>
    <row r="97" spans="2:78" ht="15">
      <c r="B97" s="70"/>
      <c r="C97" s="75"/>
      <c r="D97" s="70"/>
      <c r="E97" s="75"/>
      <c r="F97" s="76"/>
      <c r="G97" s="75"/>
      <c r="H97" s="75"/>
      <c r="I97" s="75"/>
      <c r="J97" s="75"/>
      <c r="K97" s="75"/>
      <c r="L97" s="70"/>
      <c r="M97" s="70"/>
      <c r="N97" s="76"/>
      <c r="O97" s="70"/>
      <c r="P97" s="70"/>
      <c r="Q97" s="411"/>
      <c r="R97" s="12"/>
      <c r="T97" s="110" t="s">
        <v>499</v>
      </c>
      <c r="U97" s="110"/>
      <c r="X97" s="12"/>
      <c r="Y97" s="12"/>
      <c r="BI97" s="456"/>
      <c r="BJ97" s="457" t="s">
        <v>117</v>
      </c>
      <c r="BK97" s="457" t="s">
        <v>118</v>
      </c>
      <c r="BL97" s="457" t="s">
        <v>119</v>
      </c>
      <c r="BM97" s="457" t="s">
        <v>120</v>
      </c>
      <c r="BN97" s="457" t="s">
        <v>121</v>
      </c>
      <c r="BO97" s="457" t="s">
        <v>123</v>
      </c>
      <c r="BP97" s="457" t="s">
        <v>124</v>
      </c>
      <c r="BQ97" s="457" t="s">
        <v>125</v>
      </c>
      <c r="BR97" s="457" t="s">
        <v>126</v>
      </c>
      <c r="BS97" s="457" t="s">
        <v>127</v>
      </c>
      <c r="BT97" s="457" t="s">
        <v>128</v>
      </c>
      <c r="BU97" s="457" t="s">
        <v>129</v>
      </c>
      <c r="BV97" s="457" t="s">
        <v>130</v>
      </c>
      <c r="BW97" s="457" t="s">
        <v>131</v>
      </c>
      <c r="BX97" s="457" t="s">
        <v>132</v>
      </c>
      <c r="BY97" s="457" t="s">
        <v>122</v>
      </c>
      <c r="BZ97" s="456"/>
    </row>
    <row r="98" spans="2:78">
      <c r="B98" s="70"/>
      <c r="C98" s="75"/>
      <c r="D98" s="75"/>
      <c r="E98" s="75"/>
      <c r="F98" s="75"/>
      <c r="G98" s="75"/>
      <c r="H98" s="75"/>
      <c r="I98" s="75"/>
      <c r="J98" s="75"/>
      <c r="K98" s="75"/>
      <c r="L98" s="70"/>
      <c r="M98" s="70"/>
      <c r="N98" s="70"/>
      <c r="O98" s="70"/>
      <c r="P98" s="70"/>
      <c r="Q98" s="411"/>
      <c r="R98" s="12"/>
      <c r="T98" s="44"/>
      <c r="U98" s="44"/>
      <c r="X98" s="12"/>
      <c r="Y98" s="12"/>
      <c r="BI98" s="456"/>
      <c r="BJ98" s="456"/>
      <c r="BK98" s="456"/>
      <c r="BL98" s="456"/>
      <c r="BM98" s="456"/>
      <c r="BN98" s="456"/>
      <c r="BO98" s="456"/>
      <c r="BP98" s="456"/>
      <c r="BQ98" s="456"/>
      <c r="BR98" s="456"/>
      <c r="BS98" s="456"/>
      <c r="BT98" s="456"/>
      <c r="BU98" s="456"/>
      <c r="BV98" s="456"/>
      <c r="BW98" s="456"/>
      <c r="BX98" s="456"/>
      <c r="BY98" s="456"/>
      <c r="BZ98" s="456"/>
    </row>
    <row r="99" spans="2:78">
      <c r="B99" s="70"/>
      <c r="C99" s="75"/>
      <c r="D99" s="75"/>
      <c r="E99" s="75"/>
      <c r="F99" s="75"/>
      <c r="G99" s="75"/>
      <c r="H99" s="75"/>
      <c r="I99" s="75"/>
      <c r="J99" s="75"/>
      <c r="K99" s="75"/>
      <c r="L99" s="70"/>
      <c r="M99" s="70"/>
      <c r="N99" s="70"/>
      <c r="O99" s="70"/>
      <c r="P99" s="70"/>
      <c r="Q99" s="411"/>
      <c r="R99" s="12"/>
      <c r="T99" s="120" t="s">
        <v>1</v>
      </c>
      <c r="U99" s="120"/>
      <c r="V99" s="120" t="s">
        <v>398</v>
      </c>
      <c r="W99" s="120"/>
      <c r="X99" s="48" t="s">
        <v>117</v>
      </c>
      <c r="Y99" s="48" t="s">
        <v>118</v>
      </c>
      <c r="Z99" s="48" t="s">
        <v>119</v>
      </c>
      <c r="AA99" s="48" t="s">
        <v>120</v>
      </c>
      <c r="AB99" s="48" t="s">
        <v>121</v>
      </c>
      <c r="AC99" s="48" t="s">
        <v>123</v>
      </c>
      <c r="AD99" s="48" t="s">
        <v>124</v>
      </c>
      <c r="AE99" s="48" t="s">
        <v>125</v>
      </c>
      <c r="AF99" s="48" t="s">
        <v>126</v>
      </c>
      <c r="AG99" s="48" t="s">
        <v>127</v>
      </c>
      <c r="AH99" s="48" t="s">
        <v>128</v>
      </c>
      <c r="AI99" s="48" t="s">
        <v>129</v>
      </c>
      <c r="AJ99" s="48" t="s">
        <v>130</v>
      </c>
      <c r="AK99" s="48" t="s">
        <v>131</v>
      </c>
      <c r="AL99" s="48" t="s">
        <v>132</v>
      </c>
      <c r="AM99" s="48" t="s">
        <v>122</v>
      </c>
      <c r="AN99" s="24"/>
      <c r="BH99" s="53" t="s">
        <v>307</v>
      </c>
      <c r="BI99" s="456" t="s">
        <v>15</v>
      </c>
      <c r="BJ99" s="458">
        <f>IFERROR(VLOOKUP($V$81&amp;ref!$X$2&amp;"AllEth"&amp;ref!A12,Percalldeaths,7,FALSE),"")</f>
        <v>3.3200531208499302</v>
      </c>
      <c r="BK99" s="458">
        <f>IFERROR(VLOOKUP($V$81&amp;ref!$X$2&amp;"AllEth"&amp;ref!B12,Percalldeaths,7,FALSE),"")</f>
        <v>20.7544866316689</v>
      </c>
      <c r="BL99" s="458">
        <f>IFERROR(VLOOKUP($V$81&amp;ref!$X$2&amp;"AllEth"&amp;ref!C12,Percalldeaths,7,FALSE),"")</f>
        <v>28.505646310711501</v>
      </c>
      <c r="BM99" s="458">
        <f>IFERROR(VLOOKUP($V$81&amp;ref!$X$2&amp;"AllEth"&amp;ref!D12,Percalldeaths,7,FALSE),"")</f>
        <v>29.366850698931</v>
      </c>
      <c r="BN99" s="458">
        <f>IFERROR(VLOOKUP($V$81&amp;ref!$X$2&amp;"AllEth"&amp;ref!E12,Percalldeaths,7,FALSE),"")</f>
        <v>25.4891154588041</v>
      </c>
      <c r="BO99" s="458">
        <f>IFERROR(VLOOKUP($V$81&amp;ref!$X$2&amp;"AllEth"&amp;ref!F12,Percalldeaths,7,FALSE),"")</f>
        <v>16.428944813680801</v>
      </c>
      <c r="BP99" s="458">
        <f>IFERROR(VLOOKUP($V$81&amp;ref!$X$2&amp;"AllEth"&amp;ref!G12,Percalldeaths,7,FALSE),"")</f>
        <v>23.620953174934002</v>
      </c>
      <c r="BQ99" s="458">
        <f>IFERROR(VLOOKUP($V$81&amp;ref!$X$2&amp;"AllEth"&amp;ref!H12,Percalldeaths,7,FALSE),"")</f>
        <v>20.3920536771477</v>
      </c>
      <c r="BR99" s="458">
        <f>IFERROR(VLOOKUP($V$81&amp;ref!$X$2&amp;"AllEth"&amp;ref!I12,Percalldeaths,7,FALSE),"")</f>
        <v>24.140405819795099</v>
      </c>
      <c r="BS99" s="458">
        <f>IFERROR(VLOOKUP($V$81&amp;ref!$X$2&amp;"AllEth"&amp;ref!J12,Percalldeaths,7,FALSE),"")</f>
        <v>25.130890052356001</v>
      </c>
      <c r="BT99" s="458">
        <f>IFERROR(VLOOKUP($V$81&amp;ref!$X$2&amp;"AllEth"&amp;ref!K12,Percalldeaths,7,FALSE),"")</f>
        <v>18.433918409874199</v>
      </c>
      <c r="BU99" s="458">
        <f>IFERROR(VLOOKUP($V$81&amp;ref!$X$2&amp;"AllEth"&amp;ref!L12,Percalldeaths,7,FALSE),"")</f>
        <v>14.9424277050189</v>
      </c>
      <c r="BV99" s="458">
        <f>IFERROR(VLOOKUP($V$81&amp;ref!$X$2&amp;"AllEth"&amp;ref!M12,Percalldeaths,7,FALSE),"")</f>
        <v>7.2992700729926998</v>
      </c>
      <c r="BW99" s="458">
        <f>IFERROR(VLOOKUP($V$81&amp;ref!$X$2&amp;"AllEth"&amp;ref!N12,Percalldeaths,7,FALSE),"")</f>
        <v>16.694490818030101</v>
      </c>
      <c r="BX99" s="458">
        <f>IFERROR(VLOOKUP($V$81&amp;ref!$X$2&amp;"AllEth"&amp;ref!O12,Percalldeaths,7,FALSE),"")</f>
        <v>21.2145319543888</v>
      </c>
      <c r="BY99" s="458">
        <f>IFERROR(VLOOKUP($V$81&amp;ref!$X$2&amp;"AllEth"&amp;ref!P12,Percalldeaths,7,FALSE),"")</f>
        <v>31.948881789137399</v>
      </c>
      <c r="BZ99" s="456"/>
    </row>
    <row r="100" spans="2:78">
      <c r="B100" s="70"/>
      <c r="C100" s="75"/>
      <c r="D100" s="75"/>
      <c r="E100" s="75"/>
      <c r="F100" s="75"/>
      <c r="G100" s="75"/>
      <c r="H100" s="75"/>
      <c r="I100" s="75"/>
      <c r="J100" s="75"/>
      <c r="K100" s="75"/>
      <c r="L100" s="70"/>
      <c r="M100" s="70"/>
      <c r="N100" s="70"/>
      <c r="O100" s="70"/>
      <c r="P100" s="70"/>
      <c r="Q100" s="411"/>
      <c r="R100" s="12"/>
      <c r="T100" s="25"/>
      <c r="U100" s="25"/>
      <c r="V100" s="25"/>
      <c r="W100" s="25"/>
      <c r="X100" s="46"/>
      <c r="Y100" s="46"/>
      <c r="Z100" s="46"/>
      <c r="AA100" s="46"/>
      <c r="AB100" s="46"/>
      <c r="AC100" s="46"/>
      <c r="AD100" s="46"/>
      <c r="AE100" s="46"/>
      <c r="AF100" s="46"/>
      <c r="AG100" s="46"/>
      <c r="AH100" s="46"/>
      <c r="AI100" s="46"/>
      <c r="AJ100" s="46"/>
      <c r="AK100" s="46"/>
      <c r="AL100" s="46"/>
      <c r="AM100" s="46"/>
      <c r="AN100" s="24"/>
      <c r="BI100" s="456" t="s">
        <v>16</v>
      </c>
      <c r="BJ100" s="456">
        <f>IFERROR(VLOOKUP($V$81&amp;ref!X2&amp;"AllEth"&amp;ref!A12,Percalldeaths,8,FALSE),"")</f>
        <v>2.9</v>
      </c>
      <c r="BK100" s="456">
        <f>IFERROR(VLOOKUP($V$81&amp;"AllSex"&amp;"AllEth"&amp;ref!B12,Percalldeaths,8,FALSE),"")</f>
        <v>4.0999999999999996</v>
      </c>
      <c r="BL100" s="456">
        <f>IFERROR(VLOOKUP($V$81&amp;"AllSex"&amp;"AllEth"&amp;ref!C12,Percalldeaths,8,FALSE),"")</f>
        <v>4.5999999999999996</v>
      </c>
      <c r="BM100" s="456">
        <f>IFERROR(VLOOKUP($V$81&amp;"AllSex"&amp;"AllEth"&amp;ref!D12,Percalldeaths,8,FALSE),"")</f>
        <v>4.8</v>
      </c>
      <c r="BN100" s="456">
        <f>IFERROR(VLOOKUP($V$81&amp;"AllSex"&amp;"AllEth"&amp;ref!E12,Percalldeaths,8,FALSE),"")</f>
        <v>4.5</v>
      </c>
      <c r="BO100" s="456">
        <f>IFERROR(VLOOKUP($V$81&amp;"AllSex"&amp;"AllEth"&amp;ref!F12,Percalldeaths,8,FALSE),"")</f>
        <v>4</v>
      </c>
      <c r="BP100" s="456">
        <f>IFERROR(VLOOKUP($V$81&amp;"AllSex"&amp;"AllEth"&amp;ref!G12,Percalldeaths,8,FALSE),"")</f>
        <v>4.7</v>
      </c>
      <c r="BQ100" s="456">
        <f>IFERROR(VLOOKUP($V$81&amp;"AllSex"&amp;"AllEth"&amp;ref!H12,Percalldeaths,8,FALSE),"")</f>
        <v>4.3</v>
      </c>
      <c r="BR100" s="456">
        <f>IFERROR(VLOOKUP($V$81&amp;"AllSex"&amp;"AllEth"&amp;ref!I12,Percalldeaths,8,FALSE),"")</f>
        <v>4.3</v>
      </c>
      <c r="BS100" s="456">
        <f>IFERROR(VLOOKUP($V$81&amp;"AllSex"&amp;"AllEth"&amp;ref!J12,Percalldeaths,8,FALSE),"")</f>
        <v>4.5999999999999996</v>
      </c>
      <c r="BT100" s="456">
        <f>IFERROR(VLOOKUP($V$81&amp;"AllSex"&amp;"AllEth"&amp;ref!K12,Percalldeaths,8,FALSE),"")</f>
        <v>4</v>
      </c>
      <c r="BU100" s="456">
        <f>IFERROR(VLOOKUP($V$81&amp;"AllSex"&amp;"AllEth"&amp;ref!L12,Percalldeaths,8,FALSE),"")</f>
        <v>3.9</v>
      </c>
      <c r="BV100" s="456">
        <f>IFERROR(VLOOKUP($V$81&amp;"AllSex"&amp;"AllEth"&amp;ref!M12,Percalldeaths,8,FALSE),"")</f>
        <v>3.4</v>
      </c>
      <c r="BW100" s="456">
        <f>IFERROR(VLOOKUP($V$81&amp;"AllSex"&amp;"AllEth"&amp;ref!N12,Percalldeaths,8,FALSE),"")</f>
        <v>5.3</v>
      </c>
      <c r="BX100" s="456">
        <f>IFERROR(VLOOKUP($V$81&amp;"AllSex"&amp;"AllEth"&amp;ref!O12,Percalldeaths,8,FALSE),"")</f>
        <v>7</v>
      </c>
      <c r="BY100" s="456">
        <f>IFERROR(VLOOKUP($V$81&amp;"AllSex"&amp;"AllEth"&amp;ref!P12,Percalldeaths,8,FALSE),"")</f>
        <v>8.1999999999999993</v>
      </c>
      <c r="BZ100" s="456"/>
    </row>
    <row r="101" spans="2:78">
      <c r="B101" s="70"/>
      <c r="C101" s="75"/>
      <c r="D101" s="75"/>
      <c r="E101" s="75"/>
      <c r="F101" s="75"/>
      <c r="G101" s="75"/>
      <c r="H101" s="75"/>
      <c r="I101" s="75"/>
      <c r="J101" s="75"/>
      <c r="K101" s="75"/>
      <c r="L101" s="70"/>
      <c r="M101" s="70"/>
      <c r="N101" s="70"/>
      <c r="O101" s="70"/>
      <c r="P101" s="70"/>
      <c r="Q101" s="411"/>
      <c r="R101" s="12"/>
      <c r="T101" s="25" t="s">
        <v>0</v>
      </c>
      <c r="U101" s="25"/>
      <c r="V101" s="25">
        <v>2016</v>
      </c>
      <c r="W101" s="25" t="s">
        <v>21</v>
      </c>
      <c r="X101" s="124">
        <f>IFERROR(VLOOKUP($V$81&amp;"AllSex"&amp;"AllEth"&amp;ref!A$12,Percalldeaths,6,FALSE),"")</f>
        <v>8</v>
      </c>
      <c r="Y101" s="124">
        <f>IFERROR(VLOOKUP($V$81&amp;"AllSex"&amp;"AllEth"&amp;ref!B$12,Percalldeaths,6,FALSE),"")</f>
        <v>44</v>
      </c>
      <c r="Z101" s="124">
        <f>IFERROR(VLOOKUP($V$81&amp;"AllSex"&amp;"AllEth"&amp;ref!C$12,Percalldeaths,6,FALSE),"")</f>
        <v>68</v>
      </c>
      <c r="AA101" s="124">
        <f>IFERROR(VLOOKUP($V$81&amp;"AllSex"&amp;"AllEth"&amp;ref!D$12,Percalldeaths,6,FALSE),"")</f>
        <v>68</v>
      </c>
      <c r="AB101" s="124">
        <f>IFERROR(VLOOKUP($V$81&amp;"AllSex"&amp;"AllEth"&amp;ref!E$12,Percalldeaths,6,FALSE),"")</f>
        <v>48</v>
      </c>
      <c r="AC101" s="124">
        <f>IFERROR(VLOOKUP($V$81&amp;"AllSex"&amp;"AllEth"&amp;ref!F$12,Percalldeaths,6,FALSE),"")</f>
        <v>32</v>
      </c>
      <c r="AD101" s="124">
        <f>IFERROR(VLOOKUP($V$81&amp;"AllSex"&amp;"AllEth"&amp;ref!G$12,Percalldeaths,6,FALSE),"")</f>
        <v>52</v>
      </c>
      <c r="AE101" s="124">
        <f>IFERROR(VLOOKUP($V$81&amp;"AllSex"&amp;"AllEth"&amp;ref!H$12,Percalldeaths,6,FALSE),"")</f>
        <v>48</v>
      </c>
      <c r="AF101" s="124">
        <f>IFERROR(VLOOKUP($V$81&amp;"AllSex"&amp;"AllEth"&amp;ref!I$12,Percalldeaths,6,FALSE),"")</f>
        <v>48</v>
      </c>
      <c r="AG101" s="124">
        <f>IFERROR(VLOOKUP($V$81&amp;"AllSex"&amp;"AllEth"&amp;ref!J$12,Percalldeaths,6,FALSE),"")</f>
        <v>48</v>
      </c>
      <c r="AH101" s="124">
        <f>IFERROR(VLOOKUP($V$81&amp;"AllSex"&amp;"AllEth"&amp;ref!K$12,Percalldeaths,6,FALSE),"")</f>
        <v>27</v>
      </c>
      <c r="AI101" s="124">
        <f>IFERROR(VLOOKUP($V$81&amp;"AllSex"&amp;"AllEth"&amp;ref!L$12,Percalldeaths,6,FALSE),"")</f>
        <v>21</v>
      </c>
      <c r="AJ101" s="124">
        <f>IFERROR(VLOOKUP($V$81&amp;"AllSex"&amp;"AllEth"&amp;ref!M$12,Percalldeaths,6,FALSE),"")</f>
        <v>9</v>
      </c>
      <c r="AK101" s="124">
        <f>IFERROR(VLOOKUP($V$81&amp;"AllSex"&amp;"AllEth"&amp;ref!N$12,Percalldeaths,6,FALSE),"")</f>
        <v>12</v>
      </c>
      <c r="AL101" s="124">
        <f>IFERROR(VLOOKUP($V$81&amp;"AllSex"&amp;"AllEth"&amp;ref!O$12,Percalldeaths,6,FALSE),"")</f>
        <v>9</v>
      </c>
      <c r="AM101" s="124">
        <f>IFERROR(VLOOKUP($V$81&amp;"AllSex"&amp;"AllEth"&amp;ref!P$12,Percalldeaths,6,FALSE),"")</f>
        <v>12</v>
      </c>
      <c r="AN101" s="24"/>
      <c r="BH101" s="53" t="s">
        <v>308</v>
      </c>
      <c r="BI101" s="456" t="s">
        <v>15</v>
      </c>
      <c r="BJ101" s="458" t="str">
        <f>IFERROR(IF(X103&lt;5,"-",VLOOKUP($V$105&amp;ref!$X$3&amp;"AllEth"&amp;ref!A12,Percalldeaths,7,FALSE)),"")</f>
        <v>-</v>
      </c>
      <c r="BK101" s="458">
        <f>IFERROR(VLOOKUP($V$105&amp;ref!$X$3&amp;"AllEth"&amp;ref!B12,Percalldeaths,7,FALSE),"")</f>
        <v>6.4683053040103502</v>
      </c>
      <c r="BL101" s="458">
        <f>IFERROR(VLOOKUP($V$105&amp;ref!$X$3&amp;"AllEth"&amp;ref!C12,Percalldeaths,7,FALSE),"")</f>
        <v>9.5688056934393906</v>
      </c>
      <c r="BM101" s="458">
        <f>IFERROR(VLOOKUP($V$105&amp;ref!$X$3&amp;"AllEth"&amp;ref!D12,Percalldeaths,7,FALSE),"")</f>
        <v>10.6603494225644</v>
      </c>
      <c r="BN101" s="458">
        <f>IFERROR(VLOOKUP($V$105&amp;ref!$X$3&amp;"AllEth"&amp;ref!E12,Percalldeaths,7,FALSE),"")</f>
        <v>7.1243523316062198</v>
      </c>
      <c r="BO101" s="458">
        <f>IFERROR(VLOOKUP($V$105&amp;ref!$X$3&amp;"AllEth"&amp;ref!F12,Percalldeaths,7,FALSE),"")</f>
        <v>6.8808917635725599</v>
      </c>
      <c r="BP101" s="458">
        <f>IFERROR(VLOOKUP($V$105&amp;ref!$X$3&amp;"AllEth"&amp;ref!G12,Percalldeaths,7,FALSE),"")</f>
        <v>11.4176974310181</v>
      </c>
      <c r="BQ101" s="458">
        <f>IFERROR(VLOOKUP($V$105&amp;ref!$X$3&amp;"AllEth"&amp;ref!H12,Percalldeaths,7,FALSE),"")</f>
        <v>10.2261790182868</v>
      </c>
      <c r="BR101" s="458">
        <f>IFERROR(VLOOKUP($V$105&amp;ref!$X$3&amp;"AllEth"&amp;ref!I12,Percalldeaths,7,FALSE),"")</f>
        <v>6.7142769944454601</v>
      </c>
      <c r="BS101" s="458">
        <f>IFERROR(VLOOKUP($V$105&amp;ref!$X$3&amp;"AllEth"&amp;ref!J12,Percalldeaths,7,FALSE),"")</f>
        <v>7.8575170246202202</v>
      </c>
      <c r="BT101" s="458">
        <f>IFERROR(VLOOKUP($V$105&amp;ref!$X$3&amp;"AllEth"&amp;ref!K12,Percalldeaths,7,FALSE),"")</f>
        <v>3.02023557837511</v>
      </c>
      <c r="BU101" s="458">
        <f>IFERROR(VLOOKUP($V$105&amp;ref!$X$3&amp;"AllEth"&amp;ref!L12,Percalldeaths,7,FALSE),"")</f>
        <v>3.3557046979865799</v>
      </c>
      <c r="BV101" s="458">
        <f>IFERROR(VLOOKUP($V$105&amp;ref!$X$3&amp;"AllEth"&amp;ref!M12,Percalldeaths,7,FALSE),"")</f>
        <v>3.3955857385399</v>
      </c>
      <c r="BW101" s="458">
        <f>IFERROR(VLOOKUP($V$105&amp;ref!$X$3&amp;"AllEth"&amp;ref!N12,Percalldeaths,7,FALSE),"")</f>
        <v>2.93341155764154</v>
      </c>
      <c r="BX101" s="458">
        <f>IFERROR(VLOOKUP($V$105&amp;ref!$X$3&amp;"AllEth"&amp;ref!O12,Percalldeaths,7,FALSE),"")</f>
        <v>2.1561017680034502</v>
      </c>
      <c r="BY101" s="458">
        <f>IFERROR(VLOOKUP($V$105&amp;ref!$X$3&amp;"AllEth"&amp;ref!P12,Percalldeaths,7,FALSE),"")</f>
        <v>3.87596899224806</v>
      </c>
      <c r="BZ101" s="456"/>
    </row>
    <row r="102" spans="2:78">
      <c r="B102" s="70"/>
      <c r="C102" s="75"/>
      <c r="D102" s="75"/>
      <c r="E102" s="75"/>
      <c r="F102" s="75"/>
      <c r="G102" s="75"/>
      <c r="H102" s="75"/>
      <c r="I102" s="75"/>
      <c r="J102" s="75"/>
      <c r="K102" s="75"/>
      <c r="L102" s="70"/>
      <c r="M102" s="70"/>
      <c r="N102" s="70"/>
      <c r="O102" s="70"/>
      <c r="P102" s="70"/>
      <c r="Q102" s="411"/>
      <c r="R102" s="12"/>
      <c r="T102" s="25" t="s">
        <v>20</v>
      </c>
      <c r="U102" s="25"/>
      <c r="V102" s="25"/>
      <c r="W102" s="25"/>
      <c r="X102" s="331">
        <f>IFERROR(VLOOKUP($V$81&amp;"Male"&amp;"AllEth"&amp;ref!A$12,Percalldeaths,6,FALSE),"")</f>
        <v>5</v>
      </c>
      <c r="Y102" s="331">
        <f>IFERROR(VLOOKUP($V$81&amp;"Male"&amp;"AllEth"&amp;ref!B$12,Percalldeaths,6,FALSE),"")</f>
        <v>34</v>
      </c>
      <c r="Z102" s="331">
        <f>IFERROR(VLOOKUP($V$81&amp;"Male"&amp;"AllEth"&amp;ref!C$12,Percalldeaths,6,FALSE),"")</f>
        <v>52</v>
      </c>
      <c r="AA102" s="331">
        <f>IFERROR(VLOOKUP($V$81&amp;"Male"&amp;"AllEth"&amp;ref!D$12,Percalldeaths,6,FALSE),"")</f>
        <v>50</v>
      </c>
      <c r="AB102" s="331">
        <f>IFERROR(VLOOKUP($V$81&amp;"Male"&amp;"AllEth"&amp;ref!E$12,Percalldeaths,6,FALSE),"")</f>
        <v>37</v>
      </c>
      <c r="AC102" s="331">
        <f>IFERROR(VLOOKUP($V$81&amp;"Male"&amp;"AllEth"&amp;ref!F$12,Percalldeaths,6,FALSE),"")</f>
        <v>22</v>
      </c>
      <c r="AD102" s="331">
        <f>IFERROR(VLOOKUP($V$81&amp;"Male"&amp;"AllEth"&amp;ref!G$12,Percalldeaths,6,FALSE),"")</f>
        <v>34</v>
      </c>
      <c r="AE102" s="331">
        <f>IFERROR(VLOOKUP($V$81&amp;"Male"&amp;"AllEth"&amp;ref!H$12,Percalldeaths,6,FALSE),"")</f>
        <v>31</v>
      </c>
      <c r="AF102" s="331">
        <f>IFERROR(VLOOKUP($V$81&amp;"Male"&amp;"AllEth"&amp;ref!I$12,Percalldeaths,6,FALSE),"")</f>
        <v>37</v>
      </c>
      <c r="AG102" s="331">
        <f>IFERROR(VLOOKUP($V$81&amp;"Male"&amp;"AllEth"&amp;ref!J$12,Percalldeaths,6,FALSE),"")</f>
        <v>36</v>
      </c>
      <c r="AH102" s="331">
        <f>IFERROR(VLOOKUP($V$81&amp;"Male"&amp;"AllEth"&amp;ref!K$12,Percalldeaths,6,FALSE),"")</f>
        <v>23</v>
      </c>
      <c r="AI102" s="331">
        <f>IFERROR(VLOOKUP($V$81&amp;"Male"&amp;"AllEth"&amp;ref!L$12,Percalldeaths,6,FALSE),"")</f>
        <v>17</v>
      </c>
      <c r="AJ102" s="331">
        <f>IFERROR(VLOOKUP($V$81&amp;"Male"&amp;"AllEth"&amp;ref!M$12,Percalldeaths,6,FALSE),"")</f>
        <v>6</v>
      </c>
      <c r="AK102" s="331">
        <f>IFERROR(VLOOKUP($V$81&amp;"Male"&amp;"AllEth"&amp;ref!N$12,Percalldeaths,6,FALSE),"")</f>
        <v>10</v>
      </c>
      <c r="AL102" s="331">
        <f>IFERROR(VLOOKUP($V$81&amp;"Male"&amp;"AllEth"&amp;ref!O$12,Percalldeaths,6,FALSE),"")</f>
        <v>8</v>
      </c>
      <c r="AM102" s="331">
        <f>IFERROR(VLOOKUP($V$81&amp;"Male"&amp;"AllEth"&amp;ref!P$12,Percalldeaths,6,FALSE),"")</f>
        <v>10</v>
      </c>
      <c r="AN102" s="24"/>
      <c r="BI102" s="456" t="s">
        <v>16</v>
      </c>
      <c r="BJ102" s="458" t="str">
        <f>IFERROR(IF(X103&lt;5,"-",VLOOKUP($V$105&amp;ref!$X$3&amp;"AllEth"&amp;ref!A12,Percalldeaths,8,FALSE)),"")</f>
        <v>-</v>
      </c>
      <c r="BK102" s="458">
        <f>IFERROR(VLOOKUP($V$105&amp;ref!$X$3&amp;"AllEth"&amp;ref!B12,Percalldeaths,8,FALSE),"")</f>
        <v>4</v>
      </c>
      <c r="BL102" s="458">
        <f>IFERROR(VLOOKUP($V$105&amp;ref!$X$3&amp;"AllEth"&amp;ref!C12,Percalldeaths,8,FALSE),"")</f>
        <v>4.7</v>
      </c>
      <c r="BM102" s="458">
        <f>IFERROR(VLOOKUP($V$105&amp;ref!$X$3&amp;"AllEth"&amp;ref!D12,Percalldeaths,8,FALSE),"")</f>
        <v>4.9000000000000004</v>
      </c>
      <c r="BN102" s="458">
        <f>IFERROR(VLOOKUP($V$105&amp;ref!$X$3&amp;"AllEth"&amp;ref!E12,Percalldeaths,8,FALSE),"")</f>
        <v>4.2</v>
      </c>
      <c r="BO102" s="458">
        <f>IFERROR(VLOOKUP($V$105&amp;ref!$X$3&amp;"AllEth"&amp;ref!F12,Percalldeaths,8,FALSE),"")</f>
        <v>4.3</v>
      </c>
      <c r="BP102" s="458">
        <f>IFERROR(VLOOKUP($V$105&amp;ref!$X$3&amp;"AllEth"&amp;ref!G12,Percalldeaths,8,FALSE),"")</f>
        <v>5.3</v>
      </c>
      <c r="BQ102" s="458">
        <f>IFERROR(VLOOKUP($V$105&amp;ref!$X$3&amp;"AllEth"&amp;ref!H12,Percalldeaths,8,FALSE),"")</f>
        <v>4.9000000000000004</v>
      </c>
      <c r="BR102" s="458">
        <f>IFERROR(VLOOKUP($V$105&amp;ref!$X$3&amp;"AllEth"&amp;ref!I12,Percalldeaths,8,FALSE),"")</f>
        <v>4</v>
      </c>
      <c r="BS102" s="458">
        <f>IFERROR(VLOOKUP($V$105&amp;ref!$X$3&amp;"AllEth"&amp;ref!J12,Percalldeaths,8,FALSE),"")</f>
        <v>4.4000000000000004</v>
      </c>
      <c r="BT102" s="458">
        <f>IFERROR(VLOOKUP($V$105&amp;ref!$X$3&amp;"AllEth"&amp;ref!K12,Percalldeaths,8,FALSE),"")</f>
        <v>3</v>
      </c>
      <c r="BU102" s="458">
        <f>IFERROR(VLOOKUP($V$105&amp;ref!$X$3&amp;"AllEth"&amp;ref!L12,Percalldeaths,8,FALSE),"")</f>
        <v>3.3</v>
      </c>
      <c r="BV102" s="458">
        <f>IFERROR(VLOOKUP($V$105&amp;ref!$X$3&amp;"AllEth"&amp;ref!M12,Percalldeaths,8,FALSE),"")</f>
        <v>3.8</v>
      </c>
      <c r="BW102" s="458">
        <f>IFERROR(VLOOKUP($V$105&amp;ref!$X$3&amp;"AllEth"&amp;ref!N12,Percalldeaths,8,FALSE),"")</f>
        <v>4.0999999999999996</v>
      </c>
      <c r="BX102" s="458">
        <f>IFERROR(VLOOKUP($V$105&amp;ref!$X$3&amp;"AllEth"&amp;ref!O12,Percalldeaths,8,FALSE),"")</f>
        <v>4.2</v>
      </c>
      <c r="BY102" s="458">
        <f>IFERROR(VLOOKUP($V$105&amp;ref!$X$3&amp;"AllEth"&amp;ref!P12,Percalldeaths,8,FALSE),"")</f>
        <v>5.4</v>
      </c>
      <c r="BZ102" s="456"/>
    </row>
    <row r="103" spans="2:78">
      <c r="B103" s="70"/>
      <c r="C103" s="75"/>
      <c r="D103" s="75"/>
      <c r="E103" s="75"/>
      <c r="F103" s="75"/>
      <c r="G103" s="75"/>
      <c r="H103" s="75"/>
      <c r="I103" s="75"/>
      <c r="J103" s="75"/>
      <c r="K103" s="75"/>
      <c r="L103" s="70"/>
      <c r="M103" s="70"/>
      <c r="N103" s="70"/>
      <c r="O103" s="70"/>
      <c r="P103" s="70"/>
      <c r="Q103" s="411"/>
      <c r="R103" s="12"/>
      <c r="T103" s="25" t="s">
        <v>8</v>
      </c>
      <c r="U103" s="25"/>
      <c r="V103" s="25"/>
      <c r="W103" s="25"/>
      <c r="X103" s="331">
        <f>IFERROR(VLOOKUP($V$81&amp;"Female"&amp;"AllEth"&amp;ref!A$12,Percalldeaths,6,FALSE),"")</f>
        <v>3</v>
      </c>
      <c r="Y103" s="331">
        <f>IFERROR(VLOOKUP($V$81&amp;"Female"&amp;"AllEth"&amp;ref!B$12,Percalldeaths,6,FALSE),"")</f>
        <v>10</v>
      </c>
      <c r="Z103" s="331">
        <f>IFERROR(VLOOKUP($V$81&amp;"Female"&amp;"AllEth"&amp;ref!C$12,Percalldeaths,6,FALSE),"")</f>
        <v>16</v>
      </c>
      <c r="AA103" s="331">
        <f>IFERROR(VLOOKUP($V$81&amp;"Female"&amp;"AllEth"&amp;ref!D$12,Percalldeaths,6,FALSE),"")</f>
        <v>18</v>
      </c>
      <c r="AB103" s="331">
        <f>IFERROR(VLOOKUP($V$81&amp;"Female"&amp;"AllEth"&amp;ref!E$12,Percalldeaths,6,FALSE),"")</f>
        <v>11</v>
      </c>
      <c r="AC103" s="331">
        <f>IFERROR(VLOOKUP($V$81&amp;"Female"&amp;"AllEth"&amp;ref!F$12,Percalldeaths,6,FALSE),"")</f>
        <v>10</v>
      </c>
      <c r="AD103" s="331">
        <f>IFERROR(VLOOKUP($V$81&amp;"Female"&amp;"AllEth"&amp;ref!G$12,Percalldeaths,6,FALSE),"")</f>
        <v>18</v>
      </c>
      <c r="AE103" s="331">
        <f>IFERROR(VLOOKUP($V$81&amp;"Female"&amp;"AllEth"&amp;ref!H$12,Percalldeaths,6,FALSE),"")</f>
        <v>17</v>
      </c>
      <c r="AF103" s="331">
        <f>IFERROR(VLOOKUP($V$81&amp;"Female"&amp;"AllEth"&amp;ref!I$12,Percalldeaths,6,FALSE),"")</f>
        <v>11</v>
      </c>
      <c r="AG103" s="331">
        <f>IFERROR(VLOOKUP($V$81&amp;"Female"&amp;"AllEth"&amp;ref!J$12,Percalldeaths,6,FALSE),"")</f>
        <v>12</v>
      </c>
      <c r="AH103" s="331">
        <f>IFERROR(VLOOKUP($V$81&amp;"Female"&amp;"AllEth"&amp;ref!K$12,Percalldeaths,6,FALSE),"")</f>
        <v>4</v>
      </c>
      <c r="AI103" s="331">
        <f>IFERROR(VLOOKUP($V$81&amp;"Female"&amp;"AllEth"&amp;ref!L$12,Percalldeaths,6,FALSE),"")</f>
        <v>4</v>
      </c>
      <c r="AJ103" s="331">
        <f>IFERROR(VLOOKUP($V$81&amp;"Female"&amp;"AllEth"&amp;ref!M$12,Percalldeaths,6,FALSE),"")</f>
        <v>3</v>
      </c>
      <c r="AK103" s="331">
        <f>IFERROR(VLOOKUP($V$81&amp;"Female"&amp;"AllEth"&amp;ref!N$12,Percalldeaths,6,FALSE),"")</f>
        <v>2</v>
      </c>
      <c r="AL103" s="331">
        <f>IFERROR(VLOOKUP($V$81&amp;"Female"&amp;"AllEth"&amp;ref!O$12,Percalldeaths,6,FALSE),"")</f>
        <v>1</v>
      </c>
      <c r="AM103" s="331">
        <f>IFERROR(VLOOKUP($V$81&amp;"Female"&amp;"AllEth"&amp;ref!P$12,Percalldeaths,6,FALSE),"")</f>
        <v>2</v>
      </c>
      <c r="AN103" s="24"/>
      <c r="BI103" s="456" t="str">
        <f>IFERROR(VLOOKUP($V$81&amp;"AllSex"&amp;"AllEth"&amp;ref!A16,Percalldeaths,6,FALSE),"")</f>
        <v/>
      </c>
      <c r="BJ103" s="456"/>
      <c r="BK103" s="456"/>
      <c r="BL103" s="456"/>
      <c r="BM103" s="456"/>
      <c r="BN103" s="456"/>
      <c r="BO103" s="456"/>
      <c r="BP103" s="456"/>
      <c r="BQ103" s="456"/>
      <c r="BR103" s="456"/>
      <c r="BS103" s="456"/>
      <c r="BT103" s="456"/>
      <c r="BU103" s="456"/>
      <c r="BV103" s="456"/>
      <c r="BW103" s="456"/>
      <c r="BX103" s="456"/>
      <c r="BY103" s="456"/>
      <c r="BZ103" s="456"/>
    </row>
    <row r="104" spans="2:78">
      <c r="B104" s="70"/>
      <c r="C104" s="75"/>
      <c r="D104" s="75"/>
      <c r="E104" s="75"/>
      <c r="F104" s="75"/>
      <c r="G104" s="75"/>
      <c r="H104" s="75"/>
      <c r="I104" s="75"/>
      <c r="J104" s="75"/>
      <c r="K104" s="75"/>
      <c r="L104" s="70"/>
      <c r="M104" s="70"/>
      <c r="N104" s="70"/>
      <c r="O104" s="70"/>
      <c r="P104" s="70"/>
      <c r="Q104" s="411"/>
      <c r="R104" s="12"/>
      <c r="T104" s="28"/>
      <c r="U104" s="28"/>
      <c r="V104" s="28"/>
      <c r="W104" s="28"/>
      <c r="X104" s="123"/>
      <c r="Y104" s="123"/>
      <c r="Z104" s="123"/>
      <c r="AA104" s="123"/>
      <c r="AB104" s="123"/>
      <c r="AC104" s="123"/>
      <c r="AD104" s="123"/>
      <c r="AE104" s="123"/>
      <c r="AF104" s="123"/>
      <c r="AG104" s="123"/>
      <c r="AH104" s="123"/>
      <c r="AI104" s="123"/>
      <c r="AJ104" s="123"/>
      <c r="AK104" s="123"/>
      <c r="AL104" s="123"/>
      <c r="AM104" s="123"/>
      <c r="AN104" s="24"/>
      <c r="BI104" s="12" t="str">
        <f>IFERROR(VLOOKUP($V$81&amp;"AllSex"&amp;"AllEth"&amp;ref!A17,Percalldeaths,6,FALSE),"")</f>
        <v/>
      </c>
    </row>
    <row r="105" spans="2:78">
      <c r="B105" s="70"/>
      <c r="C105" s="75"/>
      <c r="D105" s="75"/>
      <c r="E105" s="75"/>
      <c r="F105" s="75"/>
      <c r="G105" s="75"/>
      <c r="H105" s="75"/>
      <c r="I105" s="75"/>
      <c r="J105" s="75"/>
      <c r="K105" s="75"/>
      <c r="L105" s="70"/>
      <c r="M105" s="70"/>
      <c r="N105" s="70"/>
      <c r="O105" s="70"/>
      <c r="P105" s="70"/>
      <c r="Q105" s="411"/>
      <c r="R105" s="12"/>
      <c r="T105" s="25" t="s">
        <v>0</v>
      </c>
      <c r="U105" s="25"/>
      <c r="V105" s="25">
        <v>2016</v>
      </c>
      <c r="W105" s="25" t="s">
        <v>22</v>
      </c>
      <c r="X105" s="36">
        <f>IFERROR(IF(X101&lt;5, "-",VLOOKUP($V$81&amp;"AllSex"&amp;"AllEth"&amp;ref!A12,Percalldeaths,7,FALSE)),"0.0")</f>
        <v>2.7175759222773301</v>
      </c>
      <c r="Y105" s="36">
        <f>IFERROR(IF(Y101&lt;5, "-",VLOOKUP($V$81&amp;"AllSex"&amp;"AllEth"&amp;ref!B12,Percalldeaths,7,FALSE)),"0.0")</f>
        <v>13.8182274982727</v>
      </c>
      <c r="Z105" s="36">
        <f>IFERROR(IF(Z101&lt;5, "-",VLOOKUP($V$81&amp;"AllSex"&amp;"AllEth"&amp;ref!C12,Percalldeaths,7,FALSE)),"0.0")</f>
        <v>19.4491319394789</v>
      </c>
      <c r="AA105" s="36">
        <f>IFERROR(IF(AA101&lt;5, "-",VLOOKUP($V$81&amp;"AllSex"&amp;"AllEth"&amp;ref!D12,Percalldeaths,7,FALSE)),"0.0")</f>
        <v>20.052490342366799</v>
      </c>
      <c r="AB105" s="36">
        <f>IFERROR(IF(AB101&lt;5, "-",VLOOKUP($V$81&amp;"AllSex"&amp;"AllEth"&amp;ref!E12,Percalldeaths,7,FALSE)),"0.0")</f>
        <v>16.023501134998</v>
      </c>
      <c r="AC105" s="36">
        <f>IFERROR(IF(AC101&lt;5, "-",VLOOKUP($V$81&amp;"AllSex"&amp;"AllEth"&amp;ref!F12,Percalldeaths,7,FALSE)),"0.0")</f>
        <v>11.4596762641455</v>
      </c>
      <c r="AD105" s="36">
        <f>IFERROR(IF(AD101&lt;5, "-",VLOOKUP($V$81&amp;"AllSex"&amp;"AllEth"&amp;ref!G12,Percalldeaths,7,FALSE)),"0.0")</f>
        <v>17.241379310344801</v>
      </c>
      <c r="AE105" s="36">
        <f>IFERROR(IF(AE101&lt;5, "-",VLOOKUP($V$81&amp;"AllSex"&amp;"AllEth"&amp;ref!H12,Percalldeaths,7,FALSE)),"0.0")</f>
        <v>15.082008420788</v>
      </c>
      <c r="AF105" s="36">
        <f>IFERROR(IF(AF101&lt;5, "-",VLOOKUP($V$81&amp;"AllSex"&amp;"AllEth"&amp;ref!I12,Percalldeaths,7,FALSE)),"0.0")</f>
        <v>15.1371807000946</v>
      </c>
      <c r="AG105" s="36">
        <f>IFERROR(IF(AG101&lt;5, "-",VLOOKUP($V$81&amp;"AllSex"&amp;"AllEth"&amp;ref!J12,Percalldeaths,7,FALSE)),"0.0")</f>
        <v>16.217859918235</v>
      </c>
      <c r="AH105" s="36">
        <f>IFERROR(IF(AH101&lt;5, "-",VLOOKUP($V$81&amp;"AllSex"&amp;"AllEth"&amp;ref!K12,Percalldeaths,7,FALSE)),"0.0")</f>
        <v>10.4972590490261</v>
      </c>
      <c r="AI105" s="36">
        <f>IFERROR(IF(AI101&lt;5, "-",VLOOKUP($V$81&amp;"AllSex"&amp;"AllEth"&amp;ref!L12,Percalldeaths,7,FALSE)),"0.0")</f>
        <v>9.0140361419925306</v>
      </c>
      <c r="AJ105" s="36">
        <f>IFERROR(IF(AJ101&lt;5, "-",VLOOKUP($V$81&amp;"AllSex"&amp;"AllEth"&amp;ref!M12,Percalldeaths,7,FALSE)),"0.0")</f>
        <v>5.2770448548812698</v>
      </c>
      <c r="AK105" s="36">
        <f>IFERROR(IF(AK101&lt;5, "-",VLOOKUP($V$81&amp;"AllSex"&amp;"AllEth"&amp;ref!N12,Percalldeaths,7,FALSE)),"0.0")</f>
        <v>9.3691442848219904</v>
      </c>
      <c r="AL105" s="36">
        <f>IFERROR(IF(AL101&lt;5, "-",VLOOKUP($V$81&amp;"AllSex"&amp;"AllEth"&amp;ref!O12,Percalldeaths,7,FALSE)),"0.0")</f>
        <v>10.702818408847699</v>
      </c>
      <c r="AM105" s="36">
        <f>IFERROR(IF(AM101&lt;5, "-",VLOOKUP($V$81&amp;"AllSex"&amp;"AllEth"&amp;ref!P12,Percalldeaths,7,FALSE)),"0.0")</f>
        <v>14.492753623188401</v>
      </c>
      <c r="AN105" s="24"/>
      <c r="BI105" s="12" t="str">
        <f>IFERROR(VLOOKUP($V$81&amp;"AllSex"&amp;"AllEth"&amp;ref!A18,Percalldeaths,6,FALSE),"")</f>
        <v/>
      </c>
    </row>
    <row r="106" spans="2:78">
      <c r="B106" s="70"/>
      <c r="C106" s="75"/>
      <c r="D106" s="75"/>
      <c r="E106" s="75"/>
      <c r="F106" s="75"/>
      <c r="G106" s="75"/>
      <c r="H106" s="75"/>
      <c r="I106" s="75"/>
      <c r="J106" s="75"/>
      <c r="K106" s="75"/>
      <c r="L106" s="70"/>
      <c r="M106" s="70"/>
      <c r="N106" s="70"/>
      <c r="O106" s="70"/>
      <c r="P106" s="70"/>
      <c r="Q106" s="411"/>
      <c r="R106" s="12"/>
      <c r="T106" s="25" t="s">
        <v>20</v>
      </c>
      <c r="U106" s="25"/>
      <c r="V106" s="25"/>
      <c r="W106" s="25"/>
      <c r="X106" s="36">
        <f>IFERROR(IF(X102&lt;5,"-",VLOOKUP($V$81&amp;"Male"&amp;"AllEth"&amp; ref!A12,Percalldeaths,7,FALSE)), "0.0")</f>
        <v>3.3200531208499302</v>
      </c>
      <c r="Y106" s="36">
        <f>IFERROR(IF(Y102&lt;5,"-",VLOOKUP($V$81&amp;"Male"&amp;"AllEth"&amp; ref!B12,Percalldeaths,7,FALSE)), "0.0")</f>
        <v>20.7544866316689</v>
      </c>
      <c r="Z106" s="36">
        <f>IFERROR(IF(Z102&lt;5,"-",VLOOKUP($V$81&amp;"Male"&amp;"AllEth"&amp; ref!C12,Percalldeaths,7,FALSE)), "0.0")</f>
        <v>28.505646310711501</v>
      </c>
      <c r="AA106" s="36">
        <f>IFERROR(IF(AA102&lt;5,"-",VLOOKUP($V$81&amp;"Male"&amp;"AllEth"&amp; ref!D12,Percalldeaths,7,FALSE)), "0.0")</f>
        <v>29.366850698931</v>
      </c>
      <c r="AB106" s="36">
        <f>IFERROR(IF(AB102&lt;5,"-",VLOOKUP($V$81&amp;"Male"&amp;"AllEth"&amp; ref!E12,Percalldeaths,7,FALSE)), "0.0")</f>
        <v>25.4891154588041</v>
      </c>
      <c r="AC106" s="36">
        <f>IFERROR(IF(AC102&lt;5,"-",VLOOKUP($V$81&amp;"Male"&amp;"AllEth"&amp; ref!F12,Percalldeaths,7,FALSE)), "0.0")</f>
        <v>16.428944813680801</v>
      </c>
      <c r="AD106" s="36">
        <f>IFERROR(IF(AD102&lt;5,"-",VLOOKUP($V$81&amp;"Male"&amp;"AllEth"&amp; ref!G12,Percalldeaths,7,FALSE)), "0.0")</f>
        <v>23.620953174934002</v>
      </c>
      <c r="AE106" s="36">
        <f>IFERROR(IF(AE102&lt;5,"-",VLOOKUP($V$81&amp;"Male"&amp;"AllEth"&amp; ref!H12,Percalldeaths,7,FALSE)), "0.0")</f>
        <v>20.3920536771477</v>
      </c>
      <c r="AF106" s="36">
        <f>IFERROR(IF(AF102&lt;5,"-",VLOOKUP($V$81&amp;"Male"&amp;"AllEth"&amp; ref!I12,Percalldeaths,7,FALSE)), "0.0")</f>
        <v>24.140405819795099</v>
      </c>
      <c r="AG106" s="36">
        <f>IFERROR(IF(AG102&lt;5,"-",VLOOKUP($V$81&amp;"Male"&amp;"AllEth"&amp; ref!J12,Percalldeaths,7,FALSE)), "0.0")</f>
        <v>25.130890052356001</v>
      </c>
      <c r="AH106" s="36">
        <f>IFERROR(IF(AH102&lt;5,"-",VLOOKUP($V$81&amp;"Male"&amp;"AllEth"&amp; ref!K12,Percalldeaths,7,FALSE)), "0.0")</f>
        <v>18.433918409874199</v>
      </c>
      <c r="AI106" s="36">
        <f>IFERROR(IF(AI102&lt;5,"-",VLOOKUP($V$81&amp;"Male"&amp;"AllEth"&amp; ref!L12,Percalldeaths,7,FALSE)), "0.0")</f>
        <v>14.9424277050189</v>
      </c>
      <c r="AJ106" s="36">
        <f>IFERROR(IF(AJ102&lt;5,"-",VLOOKUP($V$81&amp;"Male"&amp;"AllEth"&amp; ref!M12,Percalldeaths,7,FALSE)), "0.0")</f>
        <v>7.2992700729926998</v>
      </c>
      <c r="AK106" s="36">
        <f>IFERROR(IF(AK102&lt;5,"-",VLOOKUP($V$81&amp;"Male"&amp;"AllEth"&amp; ref!N12,Percalldeaths,7,FALSE)), "0.0")</f>
        <v>16.694490818030101</v>
      </c>
      <c r="AL106" s="36">
        <f>IFERROR(IF(AL102&lt;5,"-",VLOOKUP($V$81&amp;"Male"&amp;"AllEth"&amp; ref!O12,Percalldeaths,7,FALSE)), "0.0")</f>
        <v>21.2145319543888</v>
      </c>
      <c r="AM106" s="36">
        <f>IFERROR(IF(AM102&lt;5,"-",VLOOKUP($V$81&amp;"Male"&amp;"AllEth"&amp; ref!P12,Percalldeaths,7,FALSE)), "0.0")</f>
        <v>31.948881789137399</v>
      </c>
      <c r="AN106" s="24"/>
      <c r="BI106" s="12" t="str">
        <f>IFERROR(VLOOKUP($V$81&amp;"AllSex"&amp;"AllEth"&amp;ref!A19,Percalldeaths,6,FALSE),"")</f>
        <v/>
      </c>
    </row>
    <row r="107" spans="2:78">
      <c r="B107" s="70"/>
      <c r="C107" s="75"/>
      <c r="D107" s="75"/>
      <c r="E107" s="75"/>
      <c r="F107" s="75"/>
      <c r="G107" s="75"/>
      <c r="H107" s="75"/>
      <c r="I107" s="75"/>
      <c r="J107" s="75"/>
      <c r="K107" s="75"/>
      <c r="L107" s="70"/>
      <c r="M107" s="70"/>
      <c r="N107" s="70"/>
      <c r="O107" s="70"/>
      <c r="P107" s="70"/>
      <c r="Q107" s="411"/>
      <c r="R107" s="12"/>
      <c r="T107" s="25" t="s">
        <v>8</v>
      </c>
      <c r="U107" s="25"/>
      <c r="V107" s="25"/>
      <c r="W107" s="25"/>
      <c r="X107" s="36" t="str">
        <f>IFERROR(IF(X103&lt;5,"-",VLOOKUP($V$81&amp;"Female"&amp;"AllEth"&amp;ref!A12,Percalldeaths,7,FALSE)),"0.0")</f>
        <v>-</v>
      </c>
      <c r="Y107" s="36">
        <f>IFERROR(IF(Y103&lt;5,"-",VLOOKUP($V$81&amp;"Female"&amp;"AllEth"&amp;ref!B12,Percalldeaths,7,FALSE)),"0.0")</f>
        <v>6.4683053040103502</v>
      </c>
      <c r="Z107" s="36">
        <f>IFERROR(IF(Z103&lt;5,"-",VLOOKUP($V$81&amp;"Female"&amp;"AllEth"&amp;ref!C12,Percalldeaths,7,FALSE)),"0.0")</f>
        <v>9.5688056934393906</v>
      </c>
      <c r="AA107" s="36">
        <f>IFERROR(IF(AA103&lt;5,"-",VLOOKUP($V$81&amp;"Female"&amp;"AllEth"&amp;ref!D12,Percalldeaths,7,FALSE)),"0.0")</f>
        <v>10.6603494225644</v>
      </c>
      <c r="AB107" s="36">
        <f>IFERROR(IF(AB103&lt;5,"-",VLOOKUP($V$81&amp;"Female"&amp;"AllEth"&amp;ref!E12,Percalldeaths,7,FALSE)),"0.0")</f>
        <v>7.1243523316062198</v>
      </c>
      <c r="AC107" s="36">
        <f>IFERROR(IF(AC103&lt;5,"-",VLOOKUP($V$81&amp;"Female"&amp;"AllEth"&amp;ref!F12,Percalldeaths,7,FALSE)),"0.0")</f>
        <v>6.8808917635725599</v>
      </c>
      <c r="AD107" s="36">
        <f>IFERROR(IF(AD103&lt;5,"-",VLOOKUP($V$81&amp;"Female"&amp;"AllEth"&amp;ref!G12,Percalldeaths,7,FALSE)),"0.0")</f>
        <v>11.4176974310181</v>
      </c>
      <c r="AE107" s="36">
        <f>IFERROR(IF(AE103&lt;5,"-",VLOOKUP($V$81&amp;"Female"&amp;"AllEth"&amp;ref!H12,Percalldeaths,7,FALSE)),"0.0")</f>
        <v>10.2261790182868</v>
      </c>
      <c r="AF107" s="36">
        <f>IFERROR(IF(AF103&lt;5,"-",VLOOKUP($V$81&amp;"Female"&amp;"AllEth"&amp;ref!I12,Percalldeaths,7,FALSE)),"0.0")</f>
        <v>6.7142769944454601</v>
      </c>
      <c r="AG107" s="36">
        <f>IFERROR(IF(AG103&lt;5,"-",VLOOKUP($V$81&amp;"Female"&amp;"AllEth"&amp;ref!J12,Percalldeaths,7,FALSE)),"0.0")</f>
        <v>7.8575170246202202</v>
      </c>
      <c r="AH107" s="36" t="str">
        <f>IFERROR(IF(AH103&lt;5,"-",VLOOKUP($V$81&amp;"Female"&amp;"AllEth"&amp;ref!K12,Percalldeaths,7,FALSE)),"0.0")</f>
        <v>-</v>
      </c>
      <c r="AI107" s="36" t="str">
        <f>IFERROR(IF(AI103&lt;5,"-",VLOOKUP($V$81&amp;"Female"&amp;"AllEth"&amp;ref!L12,Percalldeaths,7,FALSE)),"0.0")</f>
        <v>-</v>
      </c>
      <c r="AJ107" s="36" t="str">
        <f>IFERROR(IF(AJ103&lt;5,"-",VLOOKUP($V$81&amp;"Female"&amp;"AllEth"&amp;ref!M12,Percalldeaths,7,FALSE)),"0.0")</f>
        <v>-</v>
      </c>
      <c r="AK107" s="36" t="str">
        <f>IFERROR(IF(AK103&lt;5,"-",VLOOKUP($V$81&amp;"Female"&amp;"AllEth"&amp;ref!N12,Percalldeaths,7,FALSE)),"0.0")</f>
        <v>-</v>
      </c>
      <c r="AL107" s="36" t="str">
        <f>IFERROR(IF(AL103&lt;5,"-",VLOOKUP($V$81&amp;"Female"&amp;"AllEth"&amp;ref!O12,Percalldeaths,7,FALSE)),"0.0")</f>
        <v>-</v>
      </c>
      <c r="AM107" s="36" t="str">
        <f>IFERROR(IF(AM103&lt;5,"-",VLOOKUP($V$81&amp;"Female"&amp;"AllEth"&amp;ref!P12,Percalldeaths,7,FALSE)),"0.0")</f>
        <v>-</v>
      </c>
      <c r="AN107" s="24"/>
      <c r="BI107" s="12" t="str">
        <f>IFERROR(VLOOKUP($V$81&amp;"AllSex"&amp;"AllEth"&amp;ref!A20,Percalldeaths,6,FALSE),"")</f>
        <v/>
      </c>
    </row>
    <row r="108" spans="2:78">
      <c r="B108" s="70"/>
      <c r="C108" s="75"/>
      <c r="D108" s="75"/>
      <c r="E108" s="75"/>
      <c r="F108" s="75"/>
      <c r="G108" s="75"/>
      <c r="H108" s="75"/>
      <c r="I108" s="75"/>
      <c r="J108" s="75"/>
      <c r="K108" s="75"/>
      <c r="L108" s="70"/>
      <c r="M108" s="70"/>
      <c r="N108" s="70"/>
      <c r="O108" s="70"/>
      <c r="P108" s="70"/>
      <c r="Q108" s="411"/>
      <c r="R108" s="12"/>
      <c r="T108" s="44"/>
      <c r="U108" s="44"/>
      <c r="X108" s="12"/>
      <c r="Y108" s="12"/>
      <c r="BI108" s="12" t="str">
        <f>IFERROR(VLOOKUP($V$81&amp;"AllSex"&amp;"AllEth"&amp;ref!A21,Percalldeaths,6,FALSE),"")</f>
        <v/>
      </c>
    </row>
    <row r="109" spans="2:78">
      <c r="B109" s="70"/>
      <c r="C109" s="75"/>
      <c r="D109" s="75"/>
      <c r="E109" s="75"/>
      <c r="F109" s="75"/>
      <c r="G109" s="75"/>
      <c r="H109" s="75"/>
      <c r="I109" s="75"/>
      <c r="J109" s="75"/>
      <c r="K109" s="75"/>
      <c r="L109" s="70"/>
      <c r="M109" s="70"/>
      <c r="N109" s="70"/>
      <c r="O109" s="70"/>
      <c r="P109" s="70"/>
      <c r="Q109" s="411"/>
      <c r="R109" s="12"/>
      <c r="T109" s="50" t="s">
        <v>99</v>
      </c>
      <c r="U109" s="50"/>
      <c r="X109" s="50"/>
      <c r="Y109" s="12"/>
    </row>
    <row r="110" spans="2:78">
      <c r="B110" s="70"/>
      <c r="C110" s="272"/>
      <c r="D110" s="70"/>
      <c r="E110" s="393"/>
      <c r="F110" s="398"/>
      <c r="G110" s="398"/>
      <c r="H110" s="398"/>
      <c r="I110" s="398"/>
      <c r="J110" s="398"/>
      <c r="K110" s="398"/>
      <c r="L110" s="398"/>
      <c r="M110" s="393"/>
      <c r="N110" s="393"/>
      <c r="O110" s="393"/>
      <c r="P110" s="70"/>
      <c r="Q110" s="411"/>
      <c r="R110" s="12"/>
      <c r="T110" s="50" t="s">
        <v>106</v>
      </c>
      <c r="U110" s="50"/>
      <c r="V110" s="193"/>
      <c r="W110" s="193"/>
      <c r="X110" s="12"/>
      <c r="Y110" s="12"/>
    </row>
    <row r="111" spans="2:78" ht="24" customHeight="1">
      <c r="B111" s="70"/>
      <c r="C111" s="397" t="s">
        <v>99</v>
      </c>
      <c r="D111" s="641" t="s">
        <v>660</v>
      </c>
      <c r="E111" s="642"/>
      <c r="F111" s="642"/>
      <c r="G111" s="642"/>
      <c r="H111" s="642"/>
      <c r="I111" s="642"/>
      <c r="J111" s="642"/>
      <c r="K111" s="642"/>
      <c r="L111" s="642"/>
      <c r="M111" s="642"/>
      <c r="N111" s="642"/>
      <c r="O111" s="642"/>
      <c r="P111" s="642"/>
      <c r="R111" s="12"/>
      <c r="T111" s="645" t="s">
        <v>662</v>
      </c>
      <c r="U111" s="645"/>
      <c r="V111" s="645"/>
      <c r="W111" s="645"/>
      <c r="X111" s="645"/>
      <c r="Y111" s="645"/>
      <c r="Z111" s="645"/>
      <c r="AA111" s="645"/>
      <c r="AB111" s="645"/>
      <c r="AC111" s="645"/>
      <c r="AD111" s="395"/>
      <c r="AE111" s="395"/>
      <c r="AF111" s="395"/>
      <c r="AG111" s="395"/>
    </row>
    <row r="112" spans="2:78">
      <c r="B112" s="70"/>
      <c r="C112" s="272"/>
      <c r="D112" s="398" t="s">
        <v>247</v>
      </c>
      <c r="E112" s="393"/>
      <c r="F112" s="393"/>
      <c r="G112" s="393"/>
      <c r="H112" s="393"/>
      <c r="I112" s="393"/>
      <c r="J112" s="393"/>
      <c r="K112" s="393"/>
      <c r="L112" s="393"/>
      <c r="M112" s="393"/>
      <c r="N112" s="393"/>
      <c r="O112" s="393"/>
      <c r="P112" s="393"/>
      <c r="R112" s="12"/>
      <c r="T112" s="51" t="s">
        <v>100</v>
      </c>
      <c r="U112" s="51"/>
      <c r="X112" s="12"/>
      <c r="Y112" s="12"/>
    </row>
    <row r="113" spans="2:39">
      <c r="B113" s="70"/>
      <c r="C113" s="255" t="s">
        <v>145</v>
      </c>
      <c r="D113" s="81" t="s">
        <v>144</v>
      </c>
      <c r="E113" s="393"/>
      <c r="F113" s="393"/>
      <c r="G113" s="393"/>
      <c r="H113" s="393"/>
      <c r="I113" s="393"/>
      <c r="J113" s="393"/>
      <c r="K113" s="393"/>
      <c r="L113" s="393"/>
      <c r="M113" s="393"/>
      <c r="N113" s="393"/>
      <c r="O113" s="393"/>
      <c r="P113" s="393"/>
      <c r="R113" s="12"/>
      <c r="T113" s="20"/>
      <c r="U113" s="20"/>
      <c r="V113" s="43"/>
      <c r="W113" s="43"/>
      <c r="X113" s="20"/>
      <c r="Y113" s="20"/>
      <c r="Z113" s="20"/>
      <c r="AA113" s="20"/>
      <c r="AB113" s="20"/>
      <c r="AC113" s="20"/>
      <c r="AD113" s="20"/>
      <c r="AE113" s="20"/>
      <c r="AF113" s="20"/>
      <c r="AG113" s="20"/>
      <c r="AH113" s="20"/>
      <c r="AI113" s="20"/>
      <c r="AJ113" s="20"/>
      <c r="AK113" s="20"/>
      <c r="AL113" s="20"/>
      <c r="AM113" s="20"/>
    </row>
    <row r="114" spans="2:39">
      <c r="B114" s="70"/>
      <c r="C114" s="70"/>
      <c r="D114" s="70"/>
      <c r="E114" s="393"/>
      <c r="F114" s="393"/>
      <c r="G114" s="393"/>
      <c r="H114" s="393"/>
      <c r="I114" s="393"/>
      <c r="J114" s="393"/>
      <c r="K114" s="393"/>
      <c r="L114" s="393"/>
      <c r="M114" s="393"/>
      <c r="N114" s="393"/>
      <c r="O114" s="393"/>
      <c r="P114" s="393"/>
      <c r="Q114" s="414"/>
      <c r="R114" s="12"/>
      <c r="V114" s="12"/>
      <c r="W114" s="12"/>
    </row>
    <row r="115" spans="2:39">
      <c r="B115" s="387"/>
      <c r="C115" s="387"/>
      <c r="D115" s="387"/>
      <c r="E115" s="387"/>
      <c r="F115" s="387"/>
      <c r="G115" s="387"/>
      <c r="H115" s="387"/>
      <c r="I115" s="387"/>
      <c r="J115" s="387"/>
      <c r="K115" s="387"/>
      <c r="L115" s="387"/>
      <c r="M115" s="387"/>
      <c r="N115" s="387"/>
      <c r="O115" s="387"/>
      <c r="P115" s="387"/>
      <c r="R115" s="12"/>
    </row>
    <row r="116" spans="2:39">
      <c r="C116" s="174"/>
      <c r="D116" s="174"/>
      <c r="E116" s="174"/>
      <c r="F116" s="174"/>
      <c r="G116" s="174"/>
      <c r="H116" s="174"/>
      <c r="I116" s="174"/>
      <c r="J116" s="174"/>
      <c r="K116" s="174"/>
      <c r="L116" s="174"/>
      <c r="M116" s="174"/>
      <c r="N116" s="174"/>
      <c r="O116" s="174"/>
      <c r="P116" s="174"/>
      <c r="R116" s="12"/>
    </row>
    <row r="117" spans="2:39" ht="34.5" customHeight="1">
      <c r="C117" s="643" t="s">
        <v>639</v>
      </c>
      <c r="D117" s="635"/>
      <c r="E117" s="635"/>
      <c r="F117" s="635"/>
      <c r="G117" s="635"/>
      <c r="H117" s="635"/>
      <c r="I117" s="635"/>
      <c r="J117" s="635"/>
      <c r="K117" s="635"/>
      <c r="L117" s="635"/>
      <c r="M117" s="635"/>
      <c r="N117" s="635"/>
      <c r="O117" s="635"/>
      <c r="P117" s="635"/>
      <c r="Q117" s="635"/>
      <c r="R117" s="126"/>
      <c r="V117" s="12"/>
    </row>
    <row r="118" spans="2:39" ht="11.25" customHeight="1">
      <c r="B118" s="70"/>
      <c r="C118" s="172"/>
      <c r="D118" s="189"/>
      <c r="E118" s="189"/>
      <c r="F118" s="189"/>
      <c r="G118" s="189"/>
      <c r="H118" s="189"/>
      <c r="I118" s="189"/>
      <c r="J118" s="189"/>
      <c r="K118" s="189"/>
      <c r="L118" s="272"/>
      <c r="M118" s="189"/>
      <c r="N118" s="189"/>
      <c r="O118" s="189"/>
      <c r="P118" s="70"/>
      <c r="V118" s="225"/>
      <c r="W118" s="121"/>
      <c r="X118" s="121"/>
      <c r="Y118" s="121"/>
      <c r="Z118" s="33"/>
      <c r="AA118" s="33"/>
    </row>
    <row r="119" spans="2:39" ht="18.75" customHeight="1">
      <c r="B119" s="70"/>
      <c r="C119" s="306" t="s">
        <v>498</v>
      </c>
      <c r="D119" s="70"/>
      <c r="E119" s="90"/>
      <c r="F119" s="70"/>
      <c r="G119" s="70"/>
      <c r="H119" s="70"/>
      <c r="I119" s="70"/>
      <c r="J119" s="70"/>
      <c r="K119" s="70"/>
      <c r="L119" s="272"/>
      <c r="M119" s="70"/>
      <c r="N119" s="70"/>
      <c r="O119" s="70"/>
      <c r="P119" s="70"/>
      <c r="R119" s="12"/>
      <c r="T119" s="231" t="s">
        <v>498</v>
      </c>
      <c r="U119" s="231"/>
      <c r="X119" s="12"/>
      <c r="Y119" s="12"/>
    </row>
    <row r="120" spans="2:39" ht="15" customHeight="1">
      <c r="B120" s="70"/>
      <c r="C120" s="70"/>
      <c r="D120" s="70"/>
      <c r="E120" s="70"/>
      <c r="F120" s="70"/>
      <c r="G120" s="70"/>
      <c r="H120" s="70"/>
      <c r="I120" s="70"/>
      <c r="J120" s="70"/>
      <c r="K120" s="70"/>
      <c r="L120" s="272"/>
      <c r="M120" s="70"/>
      <c r="N120" s="70"/>
      <c r="O120" s="70"/>
      <c r="P120" s="70"/>
      <c r="R120" s="12"/>
      <c r="W120" s="12"/>
    </row>
    <row r="121" spans="2:39" ht="15.75" customHeight="1">
      <c r="B121" s="70"/>
      <c r="C121" s="70"/>
      <c r="D121" s="75"/>
      <c r="E121" s="75"/>
      <c r="F121" s="75"/>
      <c r="G121" s="75"/>
      <c r="H121" s="75"/>
      <c r="I121" s="75"/>
      <c r="J121" s="75"/>
      <c r="K121" s="75"/>
      <c r="L121" s="272"/>
      <c r="M121" s="70"/>
      <c r="N121" s="70"/>
      <c r="O121" s="70"/>
      <c r="P121" s="70"/>
      <c r="R121" s="12"/>
      <c r="T121" s="161" t="s">
        <v>80</v>
      </c>
      <c r="U121" s="161"/>
      <c r="V121" s="161"/>
      <c r="W121" s="31"/>
      <c r="X121" s="163" t="s">
        <v>0</v>
      </c>
      <c r="Y121" s="163" t="s">
        <v>20</v>
      </c>
      <c r="Z121" s="48" t="s">
        <v>8</v>
      </c>
    </row>
    <row r="122" spans="2:39" ht="11.25" customHeight="1">
      <c r="B122" s="70"/>
      <c r="C122" s="70"/>
      <c r="D122" s="75"/>
      <c r="E122" s="75"/>
      <c r="F122" s="75"/>
      <c r="G122" s="75"/>
      <c r="H122" s="75"/>
      <c r="I122" s="75"/>
      <c r="J122" s="75"/>
      <c r="K122" s="75"/>
      <c r="L122" s="272"/>
      <c r="M122" s="70"/>
      <c r="N122" s="70"/>
      <c r="O122" s="70"/>
      <c r="P122" s="70"/>
      <c r="R122" s="12"/>
      <c r="T122" s="161"/>
      <c r="U122" s="161"/>
      <c r="V122" s="31"/>
      <c r="W122" s="31"/>
      <c r="X122" s="163"/>
      <c r="Y122" s="163"/>
      <c r="Z122" s="133"/>
    </row>
    <row r="123" spans="2:39">
      <c r="B123" s="70"/>
      <c r="C123" s="70"/>
      <c r="D123" s="75"/>
      <c r="E123" s="75"/>
      <c r="F123" s="75"/>
      <c r="G123" s="75"/>
      <c r="H123" s="75"/>
      <c r="I123" s="75"/>
      <c r="J123" s="75"/>
      <c r="K123" s="75"/>
      <c r="L123" s="272"/>
      <c r="M123" s="70"/>
      <c r="N123" s="70"/>
      <c r="O123" s="70"/>
      <c r="P123" s="70"/>
      <c r="R123" s="12"/>
      <c r="T123" s="31" t="s">
        <v>3</v>
      </c>
      <c r="U123" s="31"/>
      <c r="V123" s="31" t="s">
        <v>9</v>
      </c>
      <c r="W123" s="31" t="s">
        <v>21</v>
      </c>
      <c r="X123" s="226">
        <f>VLOOKUP(ref!$X$1&amp;ref!W1&amp;19,MPAO5yr,5,FALSE)</f>
        <v>568</v>
      </c>
      <c r="Y123" s="119">
        <f>VLOOKUP(ref!$X$2&amp;ref!W1&amp;19,MPAO5yr,5,FALSE)</f>
        <v>388</v>
      </c>
      <c r="Z123" s="24">
        <f>VLOOKUP(ref!$X$3&amp;ref!W1&amp;19,MPAO5yr,5,FALSE)</f>
        <v>180</v>
      </c>
    </row>
    <row r="124" spans="2:39">
      <c r="B124" s="70"/>
      <c r="C124" s="75"/>
      <c r="D124" s="75"/>
      <c r="E124" s="75"/>
      <c r="F124" s="75"/>
      <c r="G124" s="75"/>
      <c r="H124" s="75"/>
      <c r="I124" s="75"/>
      <c r="J124" s="75"/>
      <c r="K124" s="75"/>
      <c r="L124" s="272"/>
      <c r="M124" s="70"/>
      <c r="N124" s="70"/>
      <c r="O124" s="70"/>
      <c r="P124" s="70"/>
      <c r="R124" s="12"/>
      <c r="T124" s="31" t="s">
        <v>79</v>
      </c>
      <c r="U124" s="31"/>
      <c r="V124" s="31"/>
      <c r="W124" s="31" t="s">
        <v>21</v>
      </c>
      <c r="X124" s="226">
        <f>VLOOKUP(ref!$X$1&amp;ref!W2&amp;19,MPAO5yr,5,FALSE)</f>
        <v>119</v>
      </c>
      <c r="Y124" s="119">
        <f>VLOOKUP(ref!$X$2&amp;ref!W2&amp;19,MPAO5yr,5,FALSE)</f>
        <v>91</v>
      </c>
      <c r="Z124" s="24">
        <f>VLOOKUP(ref!$X$3&amp;ref!W2&amp;19,MPAO5yr,5,FALSE)</f>
        <v>28</v>
      </c>
    </row>
    <row r="125" spans="2:39">
      <c r="B125" s="70"/>
      <c r="C125" s="75"/>
      <c r="D125" s="75"/>
      <c r="E125" s="75"/>
      <c r="F125" s="75"/>
      <c r="G125" s="75"/>
      <c r="H125" s="75"/>
      <c r="I125" s="75"/>
      <c r="J125" s="75"/>
      <c r="K125" s="75"/>
      <c r="L125" s="272"/>
      <c r="M125" s="70"/>
      <c r="N125" s="70"/>
      <c r="O125" s="70"/>
      <c r="P125" s="70"/>
      <c r="R125" s="12"/>
      <c r="T125" s="31" t="s">
        <v>78</v>
      </c>
      <c r="U125" s="31"/>
      <c r="V125" s="31"/>
      <c r="W125" s="31" t="s">
        <v>21</v>
      </c>
      <c r="X125" s="226">
        <f>VLOOKUP(ref!$X$1&amp;ref!W3&amp;19,MPAO5yr,5,FALSE)</f>
        <v>128</v>
      </c>
      <c r="Y125" s="119">
        <f>VLOOKUP(ref!$X$2&amp;ref!W3&amp;19,MPAO5yr,5,FALSE)</f>
        <v>87</v>
      </c>
      <c r="Z125" s="24">
        <f>VLOOKUP(ref!$X$3&amp;ref!W3&amp;19,MPAO5yr,5,FALSE)</f>
        <v>41</v>
      </c>
    </row>
    <row r="126" spans="2:39">
      <c r="B126" s="70"/>
      <c r="C126" s="75"/>
      <c r="D126" s="75"/>
      <c r="E126" s="75"/>
      <c r="F126" s="75"/>
      <c r="G126" s="75"/>
      <c r="H126" s="75"/>
      <c r="I126" s="75"/>
      <c r="J126" s="75"/>
      <c r="K126" s="75"/>
      <c r="L126" s="272"/>
      <c r="M126" s="70"/>
      <c r="N126" s="70"/>
      <c r="O126" s="70"/>
      <c r="P126" s="70"/>
      <c r="R126" s="12"/>
      <c r="T126" s="31" t="s">
        <v>45</v>
      </c>
      <c r="U126" s="31"/>
      <c r="V126" s="31"/>
      <c r="W126" s="31" t="s">
        <v>21</v>
      </c>
      <c r="X126" s="226">
        <f>VLOOKUP(ref!$X$1&amp;ref!W4&amp;19,MPAO5yr,5,FALSE)</f>
        <v>1841</v>
      </c>
      <c r="Y126" s="119">
        <f>VLOOKUP(ref!$X$2&amp;ref!W4&amp;19,MPAO5yr,5,FALSE)</f>
        <v>1380</v>
      </c>
      <c r="Z126" s="24">
        <f>VLOOKUP(ref!$X$3&amp;ref!W4&amp;19,MPAO5yr,5,FALSE)</f>
        <v>461</v>
      </c>
    </row>
    <row r="127" spans="2:39">
      <c r="B127" s="70"/>
      <c r="C127" s="75"/>
      <c r="D127" s="75"/>
      <c r="E127" s="75"/>
      <c r="F127" s="75"/>
      <c r="G127" s="75"/>
      <c r="H127" s="75"/>
      <c r="I127" s="75"/>
      <c r="J127" s="75"/>
      <c r="K127" s="75"/>
      <c r="L127" s="272"/>
      <c r="M127" s="70"/>
      <c r="N127" s="70"/>
      <c r="O127" s="70"/>
      <c r="P127" s="70"/>
      <c r="R127" s="12"/>
      <c r="T127" s="20"/>
      <c r="U127" s="20"/>
      <c r="V127" s="20"/>
      <c r="W127" s="28"/>
      <c r="X127" s="28"/>
      <c r="Y127" s="28"/>
      <c r="Z127" s="123"/>
      <c r="AA127" s="119"/>
    </row>
    <row r="128" spans="2:39">
      <c r="B128" s="70"/>
      <c r="C128" s="75"/>
      <c r="D128" s="75"/>
      <c r="E128" s="75"/>
      <c r="F128" s="75"/>
      <c r="G128" s="75"/>
      <c r="H128" s="75"/>
      <c r="I128" s="75"/>
      <c r="J128" s="75"/>
      <c r="K128" s="75"/>
      <c r="L128" s="272"/>
      <c r="M128" s="70"/>
      <c r="N128" s="70"/>
      <c r="O128" s="70"/>
      <c r="P128" s="70"/>
      <c r="R128" s="12"/>
      <c r="T128" s="31" t="s">
        <v>3</v>
      </c>
      <c r="U128" s="31"/>
      <c r="V128" s="31" t="s">
        <v>9</v>
      </c>
      <c r="W128" s="31" t="s">
        <v>22</v>
      </c>
      <c r="X128" s="45">
        <f>VLOOKUP(ref!$X$1&amp;ref!W1&amp;19,MPAO5yr,6,FALSE)</f>
        <v>17.1163264219492</v>
      </c>
      <c r="Y128" s="45">
        <f>VLOOKUP(ref!$X$2&amp;ref!W1&amp;19,MPAO5yr,6,FALSE)</f>
        <v>25.009592906631699</v>
      </c>
      <c r="Z128" s="27">
        <f>VLOOKUP(ref!$X$3&amp;ref!W1&amp;19,MPAO5yr,6,FALSE)</f>
        <v>10.1818538229683</v>
      </c>
    </row>
    <row r="129" spans="2:63">
      <c r="B129" s="70"/>
      <c r="C129" s="75"/>
      <c r="D129" s="75"/>
      <c r="E129" s="75"/>
      <c r="F129" s="75"/>
      <c r="G129" s="75"/>
      <c r="H129" s="75"/>
      <c r="I129" s="75"/>
      <c r="J129" s="75"/>
      <c r="K129" s="75"/>
      <c r="L129" s="272"/>
      <c r="M129" s="70"/>
      <c r="N129" s="70"/>
      <c r="O129" s="70"/>
      <c r="P129" s="70"/>
      <c r="R129" s="12"/>
      <c r="T129" s="31" t="s">
        <v>79</v>
      </c>
      <c r="U129" s="31"/>
      <c r="V129" s="31"/>
      <c r="W129" s="31" t="s">
        <v>22</v>
      </c>
      <c r="X129" s="45">
        <f>VLOOKUP(ref!$X$1&amp;ref!W2&amp;19,MPAO5yr,6,FALSE)</f>
        <v>8.0575490376604098</v>
      </c>
      <c r="Y129" s="45">
        <f>VLOOKUP(ref!$X$2&amp;ref!W2&amp;19,MPAO5yr,6,FALSE)</f>
        <v>12.7453600779049</v>
      </c>
      <c r="Z129" s="27">
        <f>VLOOKUP(ref!$X$3&amp;ref!W2&amp;19,MPAO5yr,6,FALSE)</f>
        <v>3.5995728387145101</v>
      </c>
    </row>
    <row r="130" spans="2:63">
      <c r="B130" s="70"/>
      <c r="C130" s="75"/>
      <c r="D130" s="75"/>
      <c r="E130" s="75"/>
      <c r="F130" s="75"/>
      <c r="G130" s="75"/>
      <c r="H130" s="75"/>
      <c r="I130" s="75"/>
      <c r="J130" s="75"/>
      <c r="K130" s="75"/>
      <c r="L130" s="272"/>
      <c r="M130" s="70"/>
      <c r="N130" s="70"/>
      <c r="O130" s="70"/>
      <c r="P130" s="70"/>
      <c r="R130" s="12"/>
      <c r="T130" s="31" t="s">
        <v>78</v>
      </c>
      <c r="U130" s="31"/>
      <c r="V130" s="31"/>
      <c r="W130" s="31" t="s">
        <v>22</v>
      </c>
      <c r="X130" s="45">
        <f>VLOOKUP(ref!$X$1&amp;ref!W3&amp;19,MPAO5yr,6,FALSE)</f>
        <v>4.2471211665853597</v>
      </c>
      <c r="Y130" s="45">
        <f>VLOOKUP(ref!$X$2&amp;ref!W3&amp;19,MPAO5yr,6,FALSE)</f>
        <v>5.9055924486463098</v>
      </c>
      <c r="Z130" s="27">
        <f>VLOOKUP(ref!$X$3&amp;ref!W3&amp;19,MPAO5yr,6,FALSE)</f>
        <v>2.6328691951566099</v>
      </c>
    </row>
    <row r="131" spans="2:63">
      <c r="B131" s="70"/>
      <c r="C131" s="75"/>
      <c r="D131" s="75"/>
      <c r="E131" s="75"/>
      <c r="F131" s="75"/>
      <c r="G131" s="75"/>
      <c r="H131" s="75"/>
      <c r="I131" s="75"/>
      <c r="J131" s="75"/>
      <c r="K131" s="75"/>
      <c r="L131" s="272"/>
      <c r="M131" s="70"/>
      <c r="N131" s="70"/>
      <c r="O131" s="70"/>
      <c r="P131" s="70"/>
      <c r="R131" s="12"/>
      <c r="T131" s="31" t="s">
        <v>45</v>
      </c>
      <c r="U131" s="31"/>
      <c r="V131" s="31"/>
      <c r="W131" s="31" t="s">
        <v>22</v>
      </c>
      <c r="X131" s="45">
        <f>VLOOKUP(ref!$X$1&amp;ref!W4&amp;19,MPAO5yr,6,FALSE)</f>
        <v>11.299548397764401</v>
      </c>
      <c r="Y131" s="45">
        <f>VLOOKUP(ref!$X$2&amp;ref!W4&amp;19,MPAO5yr,6,FALSE)</f>
        <v>17.187829947754299</v>
      </c>
      <c r="Z131" s="27">
        <f>VLOOKUP(ref!$X$3&amp;ref!W4&amp;19,MPAO5yr,6,FALSE)</f>
        <v>5.6087024914769001</v>
      </c>
    </row>
    <row r="132" spans="2:63" ht="4.5" customHeight="1">
      <c r="B132" s="70"/>
      <c r="C132" s="75"/>
      <c r="D132" s="75"/>
      <c r="E132" s="75"/>
      <c r="F132" s="75"/>
      <c r="G132" s="75"/>
      <c r="H132" s="75"/>
      <c r="I132" s="75"/>
      <c r="J132" s="75"/>
      <c r="K132" s="75"/>
      <c r="L132" s="272"/>
      <c r="M132" s="70"/>
      <c r="N132" s="70"/>
      <c r="O132" s="70"/>
      <c r="P132" s="70"/>
      <c r="R132" s="12"/>
      <c r="T132" s="44"/>
      <c r="U132" s="44"/>
      <c r="V132" s="210"/>
      <c r="W132" s="210"/>
      <c r="X132" s="45"/>
      <c r="Y132" s="119"/>
    </row>
    <row r="133" spans="2:63" ht="33.75" customHeight="1">
      <c r="B133" s="70"/>
      <c r="C133" s="81" t="s">
        <v>314</v>
      </c>
      <c r="D133" s="81" t="s">
        <v>399</v>
      </c>
      <c r="E133" s="81"/>
      <c r="F133" s="81"/>
      <c r="G133" s="81"/>
      <c r="H133" s="70"/>
      <c r="I133" s="70"/>
      <c r="J133" s="70"/>
      <c r="K133" s="70"/>
      <c r="L133" s="70"/>
      <c r="M133" s="70"/>
      <c r="N133" s="70"/>
      <c r="O133" s="70"/>
      <c r="P133" s="70"/>
      <c r="R133" s="12"/>
      <c r="T133" s="647" t="s">
        <v>143</v>
      </c>
      <c r="U133" s="648"/>
      <c r="V133" s="646" t="s">
        <v>397</v>
      </c>
      <c r="W133" s="646"/>
      <c r="X133" s="646"/>
      <c r="Y133" s="646"/>
      <c r="Z133" s="646"/>
      <c r="BH133" s="456"/>
      <c r="BI133" s="456" t="s">
        <v>653</v>
      </c>
      <c r="BJ133" s="456"/>
      <c r="BK133" s="456"/>
    </row>
    <row r="134" spans="2:63" ht="15" customHeight="1">
      <c r="B134" s="70"/>
      <c r="C134" s="255" t="s">
        <v>145</v>
      </c>
      <c r="D134" s="81" t="s">
        <v>144</v>
      </c>
      <c r="E134" s="81"/>
      <c r="F134" s="81"/>
      <c r="G134" s="81"/>
      <c r="H134" s="70"/>
      <c r="I134" s="70"/>
      <c r="J134" s="70"/>
      <c r="K134" s="70"/>
      <c r="L134" s="70"/>
      <c r="M134" s="70"/>
      <c r="N134" s="70"/>
      <c r="O134" s="70"/>
      <c r="P134" s="393"/>
      <c r="Q134" s="415"/>
      <c r="R134" s="12"/>
      <c r="T134" s="227" t="s">
        <v>145</v>
      </c>
      <c r="U134" s="227"/>
      <c r="V134" s="227" t="s">
        <v>144</v>
      </c>
      <c r="W134" s="230"/>
      <c r="X134" s="408"/>
      <c r="Y134" s="55"/>
      <c r="Z134" s="228"/>
      <c r="BH134" s="456"/>
      <c r="BI134" s="578" t="s">
        <v>0</v>
      </c>
      <c r="BJ134" s="578" t="s">
        <v>20</v>
      </c>
      <c r="BK134" s="579" t="s">
        <v>8</v>
      </c>
    </row>
    <row r="135" spans="2:63" ht="14.25" customHeight="1">
      <c r="B135" s="70"/>
      <c r="C135" s="419"/>
      <c r="D135" s="81"/>
      <c r="E135" s="398"/>
      <c r="F135" s="398"/>
      <c r="G135" s="398"/>
      <c r="H135" s="211"/>
      <c r="I135" s="211"/>
      <c r="J135" s="211"/>
      <c r="K135" s="211"/>
      <c r="L135" s="272"/>
      <c r="M135" s="243"/>
      <c r="N135" s="243"/>
      <c r="O135" s="243"/>
      <c r="P135" s="243"/>
      <c r="Q135" s="415"/>
      <c r="R135" s="12"/>
      <c r="V135" s="12"/>
      <c r="W135" s="12"/>
      <c r="AC135" s="33"/>
      <c r="AD135" s="33"/>
      <c r="AE135" s="33"/>
      <c r="AF135" s="33"/>
      <c r="BH135" s="580" t="s">
        <v>3</v>
      </c>
      <c r="BI135" s="581">
        <f>VLOOKUP(ref!$X$1&amp;ref!W1&amp;19,MPAO5yr,7,FALSE)</f>
        <v>1.4</v>
      </c>
      <c r="BJ135" s="581">
        <f>VLOOKUP(ref!$X$2&amp;ref!W1&amp;19,MPAO5yr,7,FALSE)</f>
        <v>2.5</v>
      </c>
      <c r="BK135" s="581">
        <f>VLOOKUP(ref!$X$3&amp;ref!W1&amp;19,MPAO5yr,7,FALSE)</f>
        <v>1.5</v>
      </c>
    </row>
    <row r="136" spans="2:63" ht="13.5" customHeight="1">
      <c r="C136" s="195"/>
      <c r="D136" s="195"/>
      <c r="E136" s="195"/>
      <c r="F136" s="195"/>
      <c r="G136" s="195"/>
      <c r="H136" s="195"/>
      <c r="I136" s="195"/>
      <c r="J136" s="195"/>
      <c r="K136" s="195"/>
      <c r="L136" s="273"/>
      <c r="M136" s="195"/>
      <c r="N136" s="195"/>
      <c r="O136" s="239"/>
      <c r="P136" s="218"/>
      <c r="Q136" s="416"/>
      <c r="R136" s="12"/>
      <c r="V136" s="12"/>
      <c r="W136" s="12"/>
      <c r="Y136" s="210"/>
      <c r="Z136" s="30"/>
      <c r="AA136" s="30"/>
      <c r="BH136" s="580" t="s">
        <v>79</v>
      </c>
      <c r="BI136" s="581">
        <f>VLOOKUP(ref!$X$1&amp;ref!W2&amp;19,MPAO5yr,7,FALSE)</f>
        <v>1.4</v>
      </c>
      <c r="BJ136" s="581">
        <f>VLOOKUP(ref!$X$2&amp;ref!W2&amp;19,MPAO5yr,7,FALSE)</f>
        <v>2.6</v>
      </c>
      <c r="BK136" s="581">
        <f>VLOOKUP(ref!$X$3&amp;ref!W2&amp;19,MPAO5yr,7,FALSE)</f>
        <v>1.3</v>
      </c>
    </row>
    <row r="137" spans="2:63" ht="14.25" customHeight="1">
      <c r="R137" s="12"/>
      <c r="V137" s="12"/>
      <c r="W137" s="12"/>
      <c r="Y137" s="220"/>
      <c r="Z137" s="218"/>
      <c r="AA137" s="218"/>
      <c r="BH137" s="580" t="s">
        <v>78</v>
      </c>
      <c r="BI137" s="581">
        <f>VLOOKUP(ref!$X$1&amp;ref!W3&amp;19,MPAO5yr,7,FALSE)</f>
        <v>0.7</v>
      </c>
      <c r="BJ137" s="581">
        <f>VLOOKUP(ref!$X$2&amp;ref!W3&amp;19,MPAO5yr,7,FALSE)</f>
        <v>1.2</v>
      </c>
      <c r="BK137" s="581">
        <f>VLOOKUP(ref!$X$3&amp;ref!W3&amp;19,MPAO5yr,7,FALSE)</f>
        <v>0.8</v>
      </c>
    </row>
    <row r="138" spans="2:63" ht="14.25" customHeight="1">
      <c r="C138" s="174"/>
      <c r="D138" s="174"/>
      <c r="E138" s="174"/>
      <c r="F138" s="174"/>
      <c r="G138" s="174"/>
      <c r="H138" s="174"/>
      <c r="I138" s="174"/>
      <c r="J138" s="174"/>
      <c r="K138" s="174"/>
      <c r="L138" s="273"/>
      <c r="M138" s="174"/>
      <c r="N138" s="174"/>
      <c r="O138" s="174"/>
      <c r="P138" s="174"/>
      <c r="R138" s="12"/>
      <c r="V138" s="12"/>
      <c r="W138" s="218"/>
      <c r="X138" s="220"/>
      <c r="Y138" s="220"/>
      <c r="Z138" s="218"/>
      <c r="AA138" s="218"/>
      <c r="BH138" s="580" t="s">
        <v>45</v>
      </c>
      <c r="BI138" s="581">
        <f>VLOOKUP(ref!$X$1&amp;ref!W4&amp;19,MPAO5yr,7,FALSE)</f>
        <v>0.5</v>
      </c>
      <c r="BJ138" s="581">
        <f>VLOOKUP(ref!$X$2&amp;ref!W4&amp;19,MPAO5yr,7,FALSE)</f>
        <v>0.9</v>
      </c>
      <c r="BK138" s="581">
        <f>VLOOKUP(ref!$X$3&amp;ref!W4&amp;19,MPAO5yr,7,FALSE)</f>
        <v>0.5</v>
      </c>
    </row>
    <row r="139" spans="2:63" ht="21.75" customHeight="1">
      <c r="C139" s="638"/>
      <c r="D139" s="639"/>
      <c r="E139" s="639"/>
      <c r="F139" s="639"/>
      <c r="G139" s="639"/>
      <c r="H139" s="639"/>
      <c r="I139" s="639"/>
      <c r="J139" s="639"/>
      <c r="K139" s="639"/>
      <c r="L139" s="639"/>
      <c r="M139" s="639"/>
      <c r="N139" s="639"/>
      <c r="O139" s="639"/>
      <c r="P139" s="387"/>
      <c r="R139" s="273"/>
      <c r="S139" s="174"/>
      <c r="T139" s="174"/>
      <c r="U139" s="174"/>
      <c r="V139" s="239"/>
      <c r="W139" s="12"/>
      <c r="Y139" s="31"/>
      <c r="Z139" s="30"/>
      <c r="AA139" s="30"/>
    </row>
    <row r="140" spans="2:63">
      <c r="C140" s="387"/>
      <c r="D140" s="387"/>
      <c r="E140" s="387"/>
      <c r="F140" s="387"/>
      <c r="G140" s="387"/>
      <c r="H140" s="387"/>
      <c r="I140" s="387"/>
      <c r="J140" s="387"/>
      <c r="K140" s="387"/>
      <c r="L140" s="411"/>
      <c r="M140" s="387"/>
      <c r="N140" s="387"/>
      <c r="O140" s="387"/>
      <c r="P140" s="387"/>
      <c r="R140" s="12"/>
      <c r="V140" s="12"/>
      <c r="W140" s="12"/>
      <c r="Y140" s="121"/>
      <c r="AA140" s="33"/>
      <c r="AB140" s="134"/>
    </row>
    <row r="141" spans="2:63">
      <c r="C141" s="174"/>
      <c r="D141" s="174"/>
      <c r="E141" s="174"/>
      <c r="F141" s="174"/>
      <c r="G141" s="174"/>
      <c r="H141" s="174"/>
      <c r="I141" s="174"/>
      <c r="J141" s="174"/>
      <c r="K141" s="174"/>
      <c r="L141" s="273"/>
      <c r="M141" s="174"/>
      <c r="N141" s="174"/>
      <c r="O141" s="174"/>
      <c r="P141" s="174"/>
      <c r="R141" s="12"/>
      <c r="V141" s="12"/>
      <c r="W141" s="12"/>
      <c r="AC141" s="44"/>
      <c r="AD141" s="44"/>
    </row>
    <row r="142" spans="2:63" ht="15.75" customHeight="1">
      <c r="C142" s="174"/>
      <c r="D142" s="174"/>
      <c r="E142" s="174"/>
      <c r="F142" s="174"/>
      <c r="G142" s="174"/>
      <c r="H142" s="174"/>
      <c r="I142" s="174"/>
      <c r="J142" s="174"/>
      <c r="K142" s="174"/>
      <c r="L142" s="273"/>
      <c r="M142" s="174"/>
      <c r="N142" s="174"/>
      <c r="O142" s="174"/>
      <c r="P142" s="174"/>
      <c r="R142" s="12"/>
      <c r="V142" s="12"/>
      <c r="W142" s="12"/>
      <c r="AB142" s="44"/>
    </row>
    <row r="143" spans="2:63">
      <c r="C143" s="174"/>
      <c r="D143" s="174"/>
      <c r="E143" s="174"/>
      <c r="F143" s="174"/>
      <c r="G143" s="174"/>
      <c r="H143" s="174"/>
      <c r="I143" s="174"/>
      <c r="J143" s="174"/>
      <c r="K143" s="174"/>
      <c r="L143" s="273"/>
      <c r="M143" s="174"/>
      <c r="N143" s="174"/>
      <c r="O143" s="174"/>
      <c r="P143" s="174"/>
      <c r="R143" s="12"/>
      <c r="V143" s="12"/>
      <c r="W143" s="12"/>
      <c r="AB143" s="25"/>
      <c r="AC143" s="120"/>
      <c r="AD143" s="122"/>
      <c r="AE143" s="122"/>
      <c r="AF143" s="37"/>
    </row>
    <row r="144" spans="2:63" ht="24.75" customHeight="1">
      <c r="C144" s="174"/>
      <c r="D144" s="174"/>
      <c r="E144" s="174"/>
      <c r="F144" s="174"/>
      <c r="G144" s="174"/>
      <c r="H144" s="174"/>
      <c r="I144" s="174"/>
      <c r="J144" s="174"/>
      <c r="K144" s="174"/>
      <c r="L144" s="273"/>
      <c r="M144" s="174"/>
      <c r="N144" s="174"/>
      <c r="O144" s="174"/>
      <c r="P144" s="174"/>
      <c r="R144" s="12"/>
      <c r="V144" s="12"/>
      <c r="W144" s="12"/>
      <c r="AB144" s="120"/>
      <c r="AC144" s="25"/>
      <c r="AD144" s="46"/>
      <c r="AE144" s="48"/>
      <c r="AF144" s="37"/>
    </row>
    <row r="145" spans="3:32" ht="14.25" customHeight="1">
      <c r="C145" s="174"/>
      <c r="D145" s="174"/>
      <c r="E145" s="174"/>
      <c r="F145" s="174"/>
      <c r="G145" s="174"/>
      <c r="H145" s="174"/>
      <c r="I145" s="174"/>
      <c r="J145" s="174"/>
      <c r="K145" s="174"/>
      <c r="L145" s="273"/>
      <c r="M145" s="174"/>
      <c r="N145" s="174"/>
      <c r="O145" s="174"/>
      <c r="P145" s="174"/>
      <c r="R145" s="12"/>
      <c r="V145" s="12"/>
      <c r="W145" s="12"/>
      <c r="AB145" s="44"/>
      <c r="AC145" s="44"/>
      <c r="AD145" s="71"/>
      <c r="AE145" s="41"/>
      <c r="AF145" s="37"/>
    </row>
    <row r="146" spans="3:32">
      <c r="C146" s="174"/>
      <c r="D146" s="274"/>
      <c r="E146" s="274"/>
      <c r="F146" s="274"/>
      <c r="G146" s="274"/>
      <c r="H146" s="274"/>
      <c r="I146" s="274"/>
      <c r="J146" s="274"/>
      <c r="K146" s="274"/>
      <c r="L146" s="275"/>
      <c r="M146" s="274"/>
      <c r="N146" s="274"/>
      <c r="O146" s="274"/>
      <c r="P146" s="274"/>
      <c r="R146" s="12"/>
      <c r="V146" s="12"/>
      <c r="W146" s="12"/>
      <c r="AB146" s="44"/>
      <c r="AC146" s="44"/>
      <c r="AD146" s="71"/>
      <c r="AE146" s="41"/>
      <c r="AF146" s="48"/>
    </row>
    <row r="147" spans="3:32">
      <c r="C147" s="274"/>
      <c r="D147" s="174"/>
      <c r="E147" s="174"/>
      <c r="F147" s="174"/>
      <c r="G147" s="174"/>
      <c r="H147" s="174"/>
      <c r="I147" s="174"/>
      <c r="J147" s="174"/>
      <c r="K147" s="174"/>
      <c r="L147" s="273"/>
      <c r="M147" s="174"/>
      <c r="N147" s="174"/>
      <c r="O147" s="174"/>
      <c r="P147" s="174"/>
      <c r="R147" s="12"/>
      <c r="V147" s="12"/>
      <c r="W147" s="12"/>
      <c r="AB147" s="44"/>
      <c r="AC147" s="44"/>
      <c r="AD147" s="71"/>
      <c r="AE147" s="41"/>
      <c r="AF147" s="37"/>
    </row>
    <row r="148" spans="3:32">
      <c r="C148" s="174"/>
      <c r="D148" s="174"/>
      <c r="E148" s="174"/>
      <c r="F148" s="174"/>
      <c r="G148" s="174"/>
      <c r="H148" s="174"/>
      <c r="I148" s="174"/>
      <c r="J148" s="174"/>
      <c r="K148" s="174"/>
      <c r="L148" s="273"/>
      <c r="M148" s="174"/>
      <c r="N148" s="174"/>
      <c r="O148" s="174"/>
      <c r="P148" s="174"/>
      <c r="R148" s="12"/>
      <c r="V148" s="12"/>
      <c r="W148" s="12"/>
      <c r="AB148" s="44"/>
      <c r="AC148" s="44"/>
      <c r="AD148" s="71"/>
      <c r="AE148" s="41"/>
      <c r="AF148" s="37"/>
    </row>
    <row r="149" spans="3:32" ht="15" customHeight="1">
      <c r="C149" s="174"/>
      <c r="D149" s="174"/>
      <c r="E149" s="174"/>
      <c r="F149" s="174"/>
      <c r="G149" s="174"/>
      <c r="H149" s="174"/>
      <c r="I149" s="174"/>
      <c r="J149" s="174"/>
      <c r="K149" s="174"/>
      <c r="L149" s="273"/>
      <c r="M149" s="174"/>
      <c r="N149" s="174"/>
      <c r="O149" s="174"/>
      <c r="P149" s="174"/>
      <c r="R149" s="12"/>
      <c r="V149" s="12"/>
      <c r="W149" s="12"/>
      <c r="AB149" s="44"/>
      <c r="AC149" s="44"/>
      <c r="AD149" s="71"/>
      <c r="AE149" s="41"/>
      <c r="AF149" s="37"/>
    </row>
    <row r="150" spans="3:32" ht="15" customHeight="1">
      <c r="C150" s="174"/>
      <c r="D150" s="174"/>
      <c r="E150" s="174"/>
      <c r="F150" s="174"/>
      <c r="G150" s="174"/>
      <c r="H150" s="174"/>
      <c r="I150" s="174"/>
      <c r="J150" s="174"/>
      <c r="K150" s="174"/>
      <c r="L150" s="273"/>
      <c r="M150" s="174"/>
      <c r="N150" s="174"/>
      <c r="O150" s="174"/>
      <c r="P150" s="174"/>
      <c r="R150" s="12"/>
      <c r="V150" s="12"/>
      <c r="W150" s="12"/>
      <c r="AB150" s="44"/>
      <c r="AC150" s="44"/>
      <c r="AD150" s="71"/>
      <c r="AE150" s="41"/>
      <c r="AF150" s="37"/>
    </row>
    <row r="151" spans="3:32">
      <c r="C151" s="174"/>
      <c r="D151" s="174"/>
      <c r="E151" s="174"/>
      <c r="F151" s="174"/>
      <c r="G151" s="174"/>
      <c r="H151" s="174"/>
      <c r="I151" s="174"/>
      <c r="J151" s="174"/>
      <c r="K151" s="174"/>
      <c r="L151" s="273"/>
      <c r="M151" s="174"/>
      <c r="N151" s="174"/>
      <c r="O151" s="174"/>
      <c r="P151" s="174"/>
      <c r="R151" s="12"/>
      <c r="V151" s="12"/>
      <c r="W151" s="12"/>
      <c r="AB151" s="44"/>
      <c r="AC151" s="44"/>
      <c r="AD151" s="71"/>
      <c r="AE151" s="41"/>
      <c r="AF151" s="37"/>
    </row>
    <row r="152" spans="3:32">
      <c r="C152" s="174"/>
      <c r="D152" s="174"/>
      <c r="E152" s="174"/>
      <c r="F152" s="174"/>
      <c r="G152" s="174"/>
      <c r="H152" s="174"/>
      <c r="I152" s="174"/>
      <c r="J152" s="174"/>
      <c r="K152" s="174"/>
      <c r="L152" s="273"/>
      <c r="M152" s="174"/>
      <c r="N152" s="174"/>
      <c r="O152" s="174"/>
      <c r="P152" s="174"/>
      <c r="R152" s="12"/>
      <c r="V152" s="12"/>
      <c r="W152" s="12"/>
      <c r="AB152" s="44"/>
      <c r="AC152" s="44"/>
      <c r="AD152" s="71"/>
      <c r="AE152" s="41"/>
      <c r="AF152" s="37"/>
    </row>
    <row r="153" spans="3:32">
      <c r="C153" s="174"/>
      <c r="D153" s="174"/>
      <c r="E153" s="174"/>
      <c r="F153" s="174"/>
      <c r="G153" s="174"/>
      <c r="H153" s="174"/>
      <c r="I153" s="174"/>
      <c r="J153" s="174"/>
      <c r="K153" s="174"/>
      <c r="L153" s="273"/>
      <c r="M153" s="174"/>
      <c r="N153" s="174"/>
      <c r="O153" s="174"/>
      <c r="P153" s="174"/>
      <c r="R153" s="12"/>
      <c r="V153" s="12"/>
      <c r="W153" s="12"/>
      <c r="AB153" s="44"/>
      <c r="AC153" s="44"/>
      <c r="AD153" s="71"/>
      <c r="AE153" s="41"/>
      <c r="AF153" s="37"/>
    </row>
    <row r="154" spans="3:32">
      <c r="C154" s="174"/>
      <c r="D154" s="174"/>
      <c r="E154" s="174"/>
      <c r="F154" s="174"/>
      <c r="G154" s="174"/>
      <c r="H154" s="174"/>
      <c r="I154" s="174"/>
      <c r="J154" s="174"/>
      <c r="K154" s="174"/>
      <c r="L154" s="273"/>
      <c r="M154" s="174"/>
      <c r="N154" s="174"/>
      <c r="O154" s="174"/>
      <c r="P154" s="174"/>
      <c r="R154" s="12"/>
      <c r="V154" s="12"/>
      <c r="W154" s="12"/>
      <c r="AB154" s="44"/>
      <c r="AC154" s="44"/>
      <c r="AD154" s="71"/>
      <c r="AE154" s="41"/>
      <c r="AF154" s="37"/>
    </row>
    <row r="155" spans="3:32">
      <c r="C155" s="174"/>
      <c r="D155" s="174"/>
      <c r="E155" s="174"/>
      <c r="F155" s="174"/>
      <c r="G155" s="174"/>
      <c r="H155" s="174"/>
      <c r="I155" s="174"/>
      <c r="J155" s="174"/>
      <c r="K155" s="174"/>
      <c r="L155" s="273"/>
      <c r="M155" s="174"/>
      <c r="N155" s="174"/>
      <c r="O155" s="174"/>
      <c r="P155" s="174"/>
      <c r="R155" s="12"/>
      <c r="V155" s="12"/>
      <c r="W155" s="12"/>
      <c r="AB155" s="44"/>
      <c r="AC155" s="44"/>
      <c r="AD155" s="71"/>
      <c r="AE155" s="41"/>
      <c r="AF155" s="37"/>
    </row>
    <row r="156" spans="3:32">
      <c r="C156" s="174"/>
      <c r="D156" s="174"/>
      <c r="E156" s="174"/>
      <c r="F156" s="174"/>
      <c r="G156" s="174"/>
      <c r="H156" s="174"/>
      <c r="I156" s="174"/>
      <c r="J156" s="174"/>
      <c r="K156" s="174"/>
      <c r="L156" s="273"/>
      <c r="M156" s="174"/>
      <c r="N156" s="174"/>
      <c r="O156" s="174"/>
      <c r="P156" s="174"/>
      <c r="R156" s="12"/>
      <c r="V156" s="12"/>
      <c r="W156" s="12"/>
      <c r="AB156" s="44"/>
      <c r="AC156" s="44"/>
      <c r="AD156" s="71"/>
      <c r="AE156" s="41"/>
      <c r="AF156" s="37"/>
    </row>
    <row r="157" spans="3:32">
      <c r="C157" s="174"/>
      <c r="D157" s="174"/>
      <c r="E157" s="174"/>
      <c r="F157" s="174"/>
      <c r="G157" s="174"/>
      <c r="H157" s="174"/>
      <c r="I157" s="174"/>
      <c r="J157" s="174"/>
      <c r="K157" s="174"/>
      <c r="L157" s="273"/>
      <c r="M157" s="174"/>
      <c r="N157" s="174"/>
      <c r="O157" s="174"/>
      <c r="P157" s="174"/>
      <c r="R157" s="12"/>
      <c r="V157" s="12"/>
      <c r="W157" s="12"/>
      <c r="AB157" s="44"/>
      <c r="AC157" s="44"/>
      <c r="AD157" s="71"/>
      <c r="AE157" s="41"/>
      <c r="AF157" s="37"/>
    </row>
    <row r="158" spans="3:32">
      <c r="C158" s="174"/>
      <c r="D158" s="174"/>
      <c r="E158" s="174"/>
      <c r="F158" s="174"/>
      <c r="G158" s="174"/>
      <c r="H158" s="174"/>
      <c r="I158" s="174"/>
      <c r="J158" s="174"/>
      <c r="K158" s="174"/>
      <c r="L158" s="273"/>
      <c r="M158" s="174"/>
      <c r="N158" s="174"/>
      <c r="O158" s="174"/>
      <c r="P158" s="174"/>
      <c r="R158" s="12"/>
      <c r="V158" s="12"/>
      <c r="W158" s="12"/>
      <c r="AB158" s="44"/>
      <c r="AC158" s="44"/>
      <c r="AD158" s="71"/>
      <c r="AE158" s="41"/>
      <c r="AF158" s="37"/>
    </row>
    <row r="159" spans="3:32">
      <c r="C159" s="174"/>
      <c r="D159" s="174"/>
      <c r="E159" s="174"/>
      <c r="F159" s="174"/>
      <c r="G159" s="174"/>
      <c r="H159" s="174"/>
      <c r="I159" s="174"/>
      <c r="J159" s="174"/>
      <c r="K159" s="174"/>
      <c r="L159" s="273"/>
      <c r="M159" s="174"/>
      <c r="N159" s="174"/>
      <c r="O159" s="174"/>
      <c r="P159" s="174"/>
      <c r="R159" s="12"/>
      <c r="V159" s="12"/>
      <c r="W159" s="12"/>
      <c r="AB159" s="44"/>
      <c r="AC159" s="44"/>
      <c r="AD159" s="71"/>
      <c r="AE159" s="41"/>
      <c r="AF159" s="37"/>
    </row>
    <row r="160" spans="3:32">
      <c r="C160" s="174"/>
      <c r="D160" s="174"/>
      <c r="E160" s="174"/>
      <c r="F160" s="174"/>
      <c r="G160" s="174"/>
      <c r="H160" s="174"/>
      <c r="I160" s="174"/>
      <c r="J160" s="174"/>
      <c r="K160" s="174"/>
      <c r="L160" s="273"/>
      <c r="M160" s="174"/>
      <c r="N160" s="174"/>
      <c r="O160" s="174"/>
      <c r="P160" s="174"/>
      <c r="R160" s="12"/>
      <c r="V160" s="12"/>
      <c r="W160" s="12"/>
      <c r="AB160" s="44"/>
      <c r="AC160" s="44"/>
      <c r="AD160" s="71"/>
      <c r="AE160" s="41"/>
      <c r="AF160" s="37"/>
    </row>
    <row r="161" spans="3:44">
      <c r="C161" s="174"/>
      <c r="D161" s="174"/>
      <c r="E161" s="174"/>
      <c r="F161" s="174"/>
      <c r="G161" s="174"/>
      <c r="H161" s="174"/>
      <c r="I161" s="174"/>
      <c r="J161" s="174"/>
      <c r="K161" s="174"/>
      <c r="L161" s="273"/>
      <c r="M161" s="174"/>
      <c r="N161" s="174"/>
      <c r="O161" s="174"/>
      <c r="P161" s="174"/>
      <c r="R161" s="12"/>
      <c r="V161" s="12"/>
      <c r="W161" s="12"/>
      <c r="AB161" s="44"/>
      <c r="AC161" s="44"/>
      <c r="AD161" s="71"/>
      <c r="AE161" s="41"/>
      <c r="AF161" s="37"/>
    </row>
    <row r="162" spans="3:44">
      <c r="C162" s="190"/>
      <c r="D162" s="190"/>
      <c r="E162" s="190"/>
      <c r="F162" s="190"/>
      <c r="G162" s="190"/>
      <c r="H162" s="190"/>
      <c r="I162" s="190"/>
      <c r="J162" s="190"/>
      <c r="K162" s="190"/>
      <c r="L162" s="276"/>
      <c r="M162" s="190"/>
      <c r="N162" s="190"/>
      <c r="O162" s="190"/>
      <c r="P162" s="190"/>
      <c r="Q162" s="417"/>
      <c r="R162" s="12"/>
      <c r="V162" s="12"/>
      <c r="W162" s="12"/>
      <c r="AB162" s="44"/>
      <c r="AC162" s="44"/>
      <c r="AD162" s="71"/>
      <c r="AE162" s="41"/>
      <c r="AF162" s="37"/>
    </row>
    <row r="163" spans="3:44">
      <c r="C163" s="190"/>
      <c r="D163" s="190"/>
      <c r="E163" s="190"/>
      <c r="F163" s="190"/>
      <c r="G163" s="190"/>
      <c r="H163" s="190"/>
      <c r="I163" s="190"/>
      <c r="J163" s="190"/>
      <c r="K163" s="190"/>
      <c r="L163" s="276"/>
      <c r="M163" s="190"/>
      <c r="N163" s="190"/>
      <c r="O163" s="190"/>
      <c r="P163" s="190"/>
      <c r="Q163" s="417"/>
      <c r="R163" s="12"/>
      <c r="V163" s="12"/>
      <c r="W163" s="12"/>
      <c r="AB163" s="44"/>
      <c r="AC163" s="44"/>
      <c r="AD163" s="71"/>
      <c r="AE163" s="41"/>
      <c r="AF163" s="37"/>
    </row>
    <row r="164" spans="3:44">
      <c r="C164" s="190"/>
      <c r="D164" s="190"/>
      <c r="E164" s="190"/>
      <c r="F164" s="190"/>
      <c r="G164" s="190"/>
      <c r="H164" s="190"/>
      <c r="I164" s="190"/>
      <c r="J164" s="190"/>
      <c r="K164" s="190"/>
      <c r="L164" s="276"/>
      <c r="M164" s="190"/>
      <c r="N164" s="190"/>
      <c r="O164" s="190"/>
      <c r="P164" s="190"/>
      <c r="Q164" s="417"/>
      <c r="R164" s="12"/>
      <c r="V164" s="12"/>
      <c r="W164" s="12"/>
      <c r="AB164" s="44"/>
      <c r="AC164" s="44"/>
      <c r="AD164" s="71"/>
      <c r="AE164" s="41"/>
      <c r="AF164" s="37"/>
    </row>
    <row r="165" spans="3:44">
      <c r="C165" s="190"/>
      <c r="D165" s="190"/>
      <c r="E165" s="190"/>
      <c r="F165" s="190"/>
      <c r="G165" s="190"/>
      <c r="H165" s="190"/>
      <c r="I165" s="190"/>
      <c r="J165" s="190"/>
      <c r="K165" s="190"/>
      <c r="L165" s="276"/>
      <c r="M165" s="190"/>
      <c r="N165" s="190"/>
      <c r="O165" s="190"/>
      <c r="P165" s="190"/>
      <c r="Q165" s="417"/>
      <c r="R165" s="12"/>
      <c r="V165" s="12"/>
      <c r="W165" s="12"/>
      <c r="AB165" s="44"/>
      <c r="AC165" s="44"/>
      <c r="AD165" s="73"/>
      <c r="AE165" s="184"/>
      <c r="AF165" s="37"/>
    </row>
    <row r="166" spans="3:44">
      <c r="C166" s="190"/>
      <c r="D166" s="190"/>
      <c r="E166" s="190"/>
      <c r="F166" s="190"/>
      <c r="G166" s="190"/>
      <c r="H166" s="190"/>
      <c r="I166" s="190"/>
      <c r="J166" s="190"/>
      <c r="K166" s="190"/>
      <c r="L166" s="276"/>
      <c r="M166" s="190"/>
      <c r="N166" s="190"/>
      <c r="O166" s="190"/>
      <c r="P166" s="190"/>
      <c r="Q166" s="417"/>
      <c r="R166" s="12"/>
      <c r="V166" s="12"/>
      <c r="W166" s="12"/>
      <c r="AB166" s="120"/>
      <c r="AC166" s="135"/>
      <c r="AD166" s="136"/>
      <c r="AE166" s="137"/>
      <c r="AF166" s="37"/>
    </row>
    <row r="167" spans="3:44">
      <c r="C167" s="190"/>
      <c r="D167" s="190"/>
      <c r="E167" s="190"/>
      <c r="F167" s="190"/>
      <c r="G167" s="190"/>
      <c r="H167" s="190"/>
      <c r="I167" s="190"/>
      <c r="J167" s="190"/>
      <c r="K167" s="190"/>
      <c r="L167" s="276"/>
      <c r="M167" s="190"/>
      <c r="N167" s="190"/>
      <c r="O167" s="190"/>
      <c r="P167" s="190"/>
      <c r="Q167" s="417"/>
      <c r="R167" s="12"/>
      <c r="V167" s="12"/>
      <c r="W167" s="12"/>
      <c r="AB167" s="135"/>
      <c r="AC167" s="31"/>
      <c r="AD167" s="119"/>
      <c r="AE167" s="119"/>
      <c r="AF167" s="37"/>
    </row>
    <row r="168" spans="3:44">
      <c r="R168" s="12"/>
      <c r="V168" s="12"/>
      <c r="W168" s="12"/>
      <c r="AB168" s="121"/>
      <c r="AC168" s="31"/>
      <c r="AD168" s="226"/>
      <c r="AE168" s="45"/>
      <c r="AF168" s="125"/>
      <c r="AG168" s="33"/>
      <c r="AH168" s="33"/>
      <c r="AI168" s="33"/>
      <c r="AJ168" s="33"/>
      <c r="AK168" s="33"/>
      <c r="AL168" s="278"/>
      <c r="AM168" s="33"/>
      <c r="AN168" s="278"/>
      <c r="AO168" s="33"/>
      <c r="AP168" s="33"/>
      <c r="AQ168" s="33"/>
      <c r="AR168" s="33"/>
    </row>
    <row r="169" spans="3:44" ht="14.25" customHeight="1">
      <c r="R169" s="12"/>
      <c r="V169" s="12"/>
      <c r="W169" s="12"/>
      <c r="AB169" s="31"/>
      <c r="AC169" s="31"/>
      <c r="AD169" s="226"/>
      <c r="AE169" s="45"/>
      <c r="AF169" s="119"/>
      <c r="AG169" s="33"/>
      <c r="AH169" s="33"/>
      <c r="AI169" s="135"/>
      <c r="AJ169" s="135"/>
      <c r="AK169" s="33"/>
      <c r="AL169" s="33"/>
      <c r="AM169" s="33"/>
      <c r="AN169" s="33"/>
      <c r="AO169" s="33"/>
      <c r="AP169" s="33"/>
      <c r="AQ169" s="33"/>
      <c r="AR169" s="33"/>
    </row>
    <row r="170" spans="3:44">
      <c r="P170" s="50"/>
      <c r="Q170" s="417"/>
      <c r="V170" s="12"/>
      <c r="W170" s="12"/>
      <c r="AB170" s="31"/>
      <c r="AC170" s="31"/>
      <c r="AD170" s="226"/>
      <c r="AE170" s="45"/>
      <c r="AF170" s="45"/>
      <c r="AG170" s="33"/>
      <c r="AH170" s="33"/>
      <c r="AI170" s="121"/>
      <c r="AJ170" s="121"/>
      <c r="AK170" s="33"/>
      <c r="AL170" s="33"/>
      <c r="AM170" s="33"/>
      <c r="AN170" s="32"/>
      <c r="AO170" s="33"/>
      <c r="AP170" s="33"/>
      <c r="AQ170" s="33"/>
      <c r="AR170" s="33"/>
    </row>
    <row r="171" spans="3:44">
      <c r="H171" s="174"/>
      <c r="I171" s="174"/>
      <c r="J171" s="174"/>
      <c r="K171" s="174"/>
      <c r="L171" s="174"/>
      <c r="M171" s="174"/>
      <c r="N171" s="174"/>
      <c r="O171" s="174"/>
      <c r="P171" s="174"/>
      <c r="V171" s="12"/>
      <c r="AB171" s="31"/>
      <c r="AC171" s="31"/>
      <c r="AD171" s="226"/>
      <c r="AE171" s="45"/>
      <c r="AF171" s="45"/>
      <c r="AG171" s="33"/>
      <c r="AH171" s="33"/>
      <c r="AI171" s="121"/>
      <c r="AJ171" s="121"/>
      <c r="AK171" s="33"/>
      <c r="AL171" s="33"/>
      <c r="AM171" s="33"/>
      <c r="AN171" s="32"/>
      <c r="AO171" s="33"/>
      <c r="AP171" s="33"/>
      <c r="AQ171" s="33"/>
      <c r="AR171" s="33"/>
    </row>
    <row r="172" spans="3:44">
      <c r="H172" s="174"/>
      <c r="I172" s="174"/>
      <c r="J172" s="174"/>
      <c r="K172" s="174"/>
      <c r="L172" s="174"/>
      <c r="M172" s="174"/>
      <c r="N172" s="174"/>
      <c r="O172" s="174"/>
      <c r="P172" s="174"/>
      <c r="W172" s="216"/>
      <c r="X172" s="216"/>
      <c r="Y172" s="216"/>
      <c r="AB172" s="31"/>
      <c r="AC172" s="31"/>
      <c r="AD172" s="226"/>
      <c r="AE172" s="45"/>
      <c r="AF172" s="125"/>
      <c r="AG172" s="33"/>
      <c r="AH172" s="33"/>
      <c r="AI172" s="121"/>
      <c r="AJ172" s="279"/>
      <c r="AK172" s="33"/>
      <c r="AL172" s="33"/>
      <c r="AM172" s="33"/>
      <c r="AN172" s="32"/>
      <c r="AO172" s="33"/>
      <c r="AP172" s="33"/>
      <c r="AQ172" s="33"/>
      <c r="AR172" s="33"/>
    </row>
    <row r="173" spans="3:44">
      <c r="H173" s="174"/>
      <c r="I173" s="174"/>
      <c r="J173" s="174"/>
      <c r="K173" s="174"/>
      <c r="L173" s="174"/>
      <c r="M173" s="174"/>
      <c r="N173" s="174"/>
      <c r="O173" s="174"/>
      <c r="P173" s="174"/>
      <c r="R173" s="273"/>
      <c r="S173" s="174"/>
      <c r="T173" s="174"/>
      <c r="U173" s="174"/>
      <c r="V173" s="216"/>
      <c r="W173" s="216"/>
      <c r="X173" s="216"/>
      <c r="Y173" s="216"/>
      <c r="AB173" s="31"/>
      <c r="AC173" s="31"/>
      <c r="AD173" s="226"/>
      <c r="AE173" s="45"/>
      <c r="AF173" s="125"/>
      <c r="AG173" s="33"/>
      <c r="AH173" s="33"/>
      <c r="AI173" s="121"/>
      <c r="AJ173" s="279"/>
      <c r="AK173" s="33"/>
      <c r="AL173" s="33"/>
      <c r="AM173" s="33"/>
      <c r="AN173" s="32"/>
      <c r="AO173" s="33"/>
      <c r="AP173" s="33"/>
      <c r="AQ173" s="33"/>
      <c r="AR173" s="33"/>
    </row>
    <row r="174" spans="3:44">
      <c r="H174" s="174"/>
      <c r="I174" s="174"/>
      <c r="J174" s="175"/>
      <c r="K174" s="174"/>
      <c r="L174" s="174"/>
      <c r="M174" s="174"/>
      <c r="N174" s="174"/>
      <c r="O174" s="174"/>
      <c r="P174" s="174"/>
      <c r="R174" s="273"/>
      <c r="S174" s="174"/>
      <c r="T174" s="174"/>
      <c r="U174" s="174"/>
      <c r="V174" s="216"/>
      <c r="W174" s="174"/>
      <c r="X174" s="216"/>
      <c r="Y174" s="216"/>
      <c r="AB174" s="31"/>
      <c r="AC174" s="31"/>
      <c r="AD174" s="226"/>
      <c r="AE174" s="45"/>
      <c r="AF174" s="125"/>
      <c r="AG174" s="33"/>
      <c r="AH174" s="33"/>
      <c r="AI174" s="121"/>
      <c r="AJ174" s="121"/>
      <c r="AK174" s="33"/>
      <c r="AL174" s="33"/>
      <c r="AM174" s="33"/>
      <c r="AN174" s="32"/>
      <c r="AO174" s="33"/>
      <c r="AP174" s="33"/>
      <c r="AQ174" s="33"/>
      <c r="AR174" s="33"/>
    </row>
    <row r="175" spans="3:44">
      <c r="H175" s="174"/>
      <c r="I175" s="174"/>
      <c r="J175" s="174"/>
      <c r="K175" s="174"/>
      <c r="L175" s="174"/>
      <c r="M175" s="174"/>
      <c r="N175" s="174"/>
      <c r="O175" s="174"/>
      <c r="P175" s="174"/>
      <c r="R175" s="273"/>
      <c r="S175" s="174"/>
      <c r="T175" s="174"/>
      <c r="U175" s="174"/>
      <c r="V175" s="174"/>
      <c r="W175" s="174"/>
      <c r="X175" s="216"/>
      <c r="Y175" s="216"/>
      <c r="AB175" s="31"/>
      <c r="AC175" s="31"/>
      <c r="AD175" s="226"/>
      <c r="AE175" s="280"/>
      <c r="AF175" s="125"/>
      <c r="AG175" s="33"/>
      <c r="AH175" s="33"/>
      <c r="AI175" s="33"/>
      <c r="AJ175" s="33"/>
      <c r="AK175" s="33"/>
      <c r="AL175" s="33"/>
      <c r="AM175" s="33"/>
      <c r="AN175" s="32"/>
      <c r="AO175" s="33"/>
      <c r="AP175" s="33"/>
      <c r="AQ175" s="33"/>
      <c r="AR175" s="33"/>
    </row>
    <row r="176" spans="3:44">
      <c r="H176" s="174"/>
      <c r="I176" s="174"/>
      <c r="J176" s="174"/>
      <c r="K176" s="174"/>
      <c r="L176" s="174"/>
      <c r="M176" s="174"/>
      <c r="N176" s="174"/>
      <c r="O176" s="174"/>
      <c r="P176" s="174"/>
      <c r="R176" s="273"/>
      <c r="S176" s="174"/>
      <c r="T176" s="174"/>
      <c r="U176" s="174"/>
      <c r="V176" s="174"/>
      <c r="W176" s="174"/>
      <c r="X176" s="216"/>
      <c r="Y176" s="216"/>
      <c r="AB176" s="31"/>
      <c r="AC176" s="31"/>
      <c r="AD176" s="226"/>
      <c r="AE176" s="45"/>
      <c r="AF176" s="125"/>
      <c r="AG176" s="33"/>
      <c r="AH176" s="33"/>
      <c r="AI176" s="135"/>
      <c r="AJ176" s="121"/>
      <c r="AK176" s="33"/>
      <c r="AL176" s="33"/>
      <c r="AM176" s="33"/>
      <c r="AN176" s="32"/>
      <c r="AO176" s="33"/>
      <c r="AP176" s="33"/>
      <c r="AQ176" s="33"/>
      <c r="AR176" s="33"/>
    </row>
    <row r="177" spans="8:44">
      <c r="H177" s="174"/>
      <c r="I177" s="174"/>
      <c r="J177" s="174"/>
      <c r="K177" s="174"/>
      <c r="L177" s="174"/>
      <c r="M177" s="174"/>
      <c r="N177" s="174"/>
      <c r="O177" s="174"/>
      <c r="P177" s="174"/>
      <c r="R177" s="273"/>
      <c r="S177" s="174"/>
      <c r="T177" s="174"/>
      <c r="U177" s="174"/>
      <c r="V177" s="174"/>
      <c r="W177" s="174"/>
      <c r="X177" s="216"/>
      <c r="Y177" s="216"/>
      <c r="AB177" s="31"/>
      <c r="AC177" s="31"/>
      <c r="AD177" s="226"/>
      <c r="AE177" s="280"/>
      <c r="AF177" s="125"/>
      <c r="AG177" s="33"/>
      <c r="AH177" s="33"/>
      <c r="AI177" s="121"/>
      <c r="AJ177" s="121"/>
      <c r="AK177" s="33"/>
      <c r="AL177" s="33"/>
      <c r="AM177" s="33"/>
      <c r="AN177" s="281"/>
      <c r="AO177" s="33"/>
      <c r="AP177" s="33"/>
      <c r="AQ177" s="33"/>
      <c r="AR177" s="33"/>
    </row>
    <row r="178" spans="8:44">
      <c r="H178" s="174"/>
      <c r="I178" s="174"/>
      <c r="J178" s="174"/>
      <c r="K178" s="174"/>
      <c r="L178" s="174"/>
      <c r="M178" s="174"/>
      <c r="N178" s="174"/>
      <c r="O178" s="174"/>
      <c r="P178" s="174"/>
      <c r="R178" s="273"/>
      <c r="S178" s="174"/>
      <c r="T178" s="174"/>
      <c r="U178" s="174"/>
      <c r="V178" s="174"/>
      <c r="W178" s="174"/>
      <c r="X178" s="216"/>
      <c r="Y178" s="216"/>
      <c r="AB178" s="31"/>
      <c r="AC178" s="31"/>
      <c r="AD178" s="226"/>
      <c r="AE178" s="45"/>
      <c r="AF178" s="125"/>
      <c r="AG178" s="33"/>
      <c r="AH178" s="33"/>
      <c r="AI178" s="121"/>
      <c r="AJ178" s="121"/>
      <c r="AK178" s="33"/>
      <c r="AL178" s="33"/>
      <c r="AM178" s="33"/>
      <c r="AN178" s="32"/>
      <c r="AO178" s="33"/>
      <c r="AP178" s="33"/>
      <c r="AQ178" s="33"/>
      <c r="AR178" s="33"/>
    </row>
    <row r="179" spans="8:44">
      <c r="H179" s="174"/>
      <c r="I179" s="174"/>
      <c r="J179" s="174"/>
      <c r="K179" s="174"/>
      <c r="L179" s="174"/>
      <c r="M179" s="174"/>
      <c r="N179" s="174"/>
      <c r="O179" s="174"/>
      <c r="P179" s="174"/>
      <c r="R179" s="273"/>
      <c r="S179" s="174"/>
      <c r="T179" s="174"/>
      <c r="U179" s="174"/>
      <c r="V179" s="174"/>
      <c r="W179" s="190"/>
      <c r="X179" s="216"/>
      <c r="Y179" s="216"/>
      <c r="AB179" s="31"/>
      <c r="AC179" s="31"/>
      <c r="AD179" s="226"/>
      <c r="AE179" s="280"/>
      <c r="AF179" s="125"/>
      <c r="AG179" s="33"/>
      <c r="AH179" s="33"/>
      <c r="AI179" s="121"/>
      <c r="AJ179" s="279"/>
      <c r="AK179" s="33"/>
      <c r="AL179" s="33"/>
      <c r="AM179" s="33"/>
      <c r="AN179" s="281"/>
      <c r="AO179" s="33"/>
      <c r="AP179" s="33"/>
      <c r="AQ179" s="33"/>
      <c r="AR179" s="33"/>
    </row>
    <row r="180" spans="8:44">
      <c r="H180" s="174"/>
      <c r="I180" s="174"/>
      <c r="J180" s="174"/>
      <c r="K180" s="174"/>
      <c r="L180" s="174"/>
      <c r="M180" s="174"/>
      <c r="N180" s="174"/>
      <c r="O180" s="174"/>
      <c r="P180" s="174"/>
      <c r="R180" s="273"/>
      <c r="S180" s="174"/>
      <c r="T180" s="174"/>
      <c r="U180" s="174"/>
      <c r="V180" s="174"/>
      <c r="W180" s="190"/>
      <c r="X180" s="216"/>
      <c r="Y180" s="216"/>
      <c r="AB180" s="31"/>
      <c r="AC180" s="31"/>
      <c r="AD180" s="226"/>
      <c r="AE180" s="45"/>
      <c r="AF180" s="125"/>
      <c r="AG180" s="33"/>
      <c r="AH180" s="33"/>
      <c r="AI180" s="121"/>
      <c r="AJ180" s="279"/>
      <c r="AK180" s="33"/>
      <c r="AL180" s="33"/>
      <c r="AM180" s="33"/>
      <c r="AN180" s="32"/>
      <c r="AO180" s="33"/>
      <c r="AP180" s="33"/>
      <c r="AQ180" s="33"/>
      <c r="AR180" s="33"/>
    </row>
    <row r="181" spans="8:44" ht="12.75" customHeight="1">
      <c r="H181" s="174"/>
      <c r="I181" s="174"/>
      <c r="J181" s="174"/>
      <c r="K181" s="174"/>
      <c r="L181" s="174"/>
      <c r="M181" s="174"/>
      <c r="N181" s="174"/>
      <c r="O181" s="174"/>
      <c r="P181" s="174"/>
      <c r="R181" s="273"/>
      <c r="S181" s="174"/>
      <c r="T181" s="174"/>
      <c r="U181" s="174"/>
      <c r="V181" s="174"/>
      <c r="W181" s="174"/>
      <c r="X181" s="216"/>
      <c r="Y181" s="216"/>
      <c r="AB181" s="31"/>
      <c r="AC181" s="31"/>
      <c r="AD181" s="226"/>
      <c r="AE181" s="45"/>
      <c r="AF181" s="125"/>
      <c r="AG181" s="33"/>
      <c r="AH181" s="33"/>
      <c r="AI181" s="33"/>
      <c r="AJ181" s="33"/>
      <c r="AK181" s="33"/>
      <c r="AL181" s="33"/>
      <c r="AM181" s="33"/>
      <c r="AN181" s="281"/>
      <c r="AO181" s="33"/>
      <c r="AP181" s="33"/>
      <c r="AQ181" s="33"/>
      <c r="AR181" s="33"/>
    </row>
    <row r="182" spans="8:44">
      <c r="H182" s="174"/>
      <c r="I182" s="174"/>
      <c r="J182" s="174"/>
      <c r="K182" s="174"/>
      <c r="L182" s="174"/>
      <c r="M182" s="174"/>
      <c r="N182" s="174"/>
      <c r="O182" s="174"/>
      <c r="P182" s="174"/>
      <c r="R182" s="273"/>
      <c r="S182" s="174"/>
      <c r="T182" s="174"/>
      <c r="U182" s="174"/>
      <c r="V182" s="174"/>
      <c r="W182" s="174"/>
      <c r="X182" s="216"/>
      <c r="Y182" s="216"/>
      <c r="AB182" s="31"/>
      <c r="AC182" s="31"/>
      <c r="AD182" s="226"/>
      <c r="AE182" s="280"/>
      <c r="AF182" s="125"/>
      <c r="AG182" s="33"/>
      <c r="AH182" s="33"/>
      <c r="AI182" s="33"/>
      <c r="AJ182" s="33"/>
      <c r="AK182" s="33"/>
      <c r="AL182" s="33"/>
      <c r="AM182" s="33"/>
      <c r="AN182" s="32"/>
      <c r="AO182" s="33"/>
      <c r="AP182" s="33"/>
      <c r="AQ182" s="33"/>
      <c r="AR182" s="33"/>
    </row>
    <row r="183" spans="8:44">
      <c r="H183" s="174"/>
      <c r="I183" s="174"/>
      <c r="J183" s="174"/>
      <c r="K183" s="174"/>
      <c r="L183" s="174"/>
      <c r="M183" s="174"/>
      <c r="N183" s="174"/>
      <c r="O183" s="174"/>
      <c r="P183" s="174"/>
      <c r="R183" s="273"/>
      <c r="S183" s="174"/>
      <c r="T183" s="174"/>
      <c r="U183" s="174"/>
      <c r="V183" s="174"/>
      <c r="W183" s="174"/>
      <c r="X183" s="216"/>
      <c r="Y183" s="216"/>
      <c r="AB183" s="31"/>
      <c r="AC183" s="31"/>
      <c r="AD183" s="226"/>
      <c r="AE183" s="280"/>
      <c r="AF183" s="125"/>
      <c r="AG183" s="33"/>
      <c r="AH183" s="33"/>
      <c r="AI183" s="33"/>
      <c r="AJ183" s="33"/>
      <c r="AK183" s="33"/>
      <c r="AL183" s="33"/>
      <c r="AM183" s="33"/>
      <c r="AN183" s="32"/>
      <c r="AO183" s="33"/>
      <c r="AP183" s="33"/>
      <c r="AQ183" s="33"/>
      <c r="AR183" s="33"/>
    </row>
    <row r="184" spans="8:44">
      <c r="H184" s="174"/>
      <c r="I184" s="174"/>
      <c r="J184" s="174"/>
      <c r="K184" s="174"/>
      <c r="L184" s="174"/>
      <c r="M184" s="174"/>
      <c r="N184" s="174"/>
      <c r="O184" s="174"/>
      <c r="P184" s="174"/>
      <c r="R184" s="273"/>
      <c r="S184" s="174"/>
      <c r="T184" s="174"/>
      <c r="U184" s="174"/>
      <c r="V184" s="174"/>
      <c r="W184" s="174"/>
      <c r="X184" s="216"/>
      <c r="Y184" s="216"/>
      <c r="AB184" s="31"/>
      <c r="AC184" s="31"/>
      <c r="AD184" s="226"/>
      <c r="AE184" s="280"/>
      <c r="AF184" s="125"/>
      <c r="AG184" s="34"/>
      <c r="AH184" s="33"/>
      <c r="AI184" s="33"/>
      <c r="AJ184" s="33"/>
      <c r="AK184" s="33"/>
      <c r="AL184" s="33"/>
      <c r="AM184" s="33"/>
      <c r="AN184" s="281"/>
      <c r="AO184" s="33"/>
      <c r="AP184" s="33"/>
      <c r="AQ184" s="33"/>
      <c r="AR184" s="33"/>
    </row>
    <row r="185" spans="8:44">
      <c r="H185" s="174"/>
      <c r="I185" s="174"/>
      <c r="J185" s="174"/>
      <c r="K185" s="174"/>
      <c r="L185" s="174"/>
      <c r="M185" s="174"/>
      <c r="N185" s="174"/>
      <c r="O185" s="174"/>
      <c r="P185" s="174"/>
      <c r="R185" s="273"/>
      <c r="S185" s="174"/>
      <c r="T185" s="174"/>
      <c r="U185" s="174"/>
      <c r="V185" s="174"/>
      <c r="W185" s="174"/>
      <c r="X185" s="216"/>
      <c r="Y185" s="216"/>
      <c r="AB185" s="31"/>
      <c r="AC185" s="31"/>
      <c r="AD185" s="226"/>
      <c r="AE185" s="45"/>
      <c r="AF185" s="125"/>
      <c r="AG185" s="34"/>
      <c r="AH185" s="33"/>
      <c r="AI185" s="33"/>
      <c r="AJ185" s="33"/>
      <c r="AK185" s="33"/>
      <c r="AL185" s="33"/>
      <c r="AM185" s="33"/>
      <c r="AN185" s="281"/>
      <c r="AO185" s="33"/>
      <c r="AP185" s="33"/>
      <c r="AQ185" s="33"/>
      <c r="AR185" s="33"/>
    </row>
    <row r="186" spans="8:44">
      <c r="H186" s="174"/>
      <c r="I186" s="174"/>
      <c r="J186" s="174"/>
      <c r="K186" s="174"/>
      <c r="L186" s="174"/>
      <c r="M186" s="174"/>
      <c r="N186" s="174"/>
      <c r="O186" s="174"/>
      <c r="P186" s="174"/>
      <c r="R186" s="273"/>
      <c r="S186" s="174"/>
      <c r="T186" s="174"/>
      <c r="U186" s="174"/>
      <c r="V186" s="174"/>
      <c r="W186" s="174"/>
      <c r="X186" s="216"/>
      <c r="Y186" s="216"/>
      <c r="AB186" s="31"/>
      <c r="AC186" s="31"/>
      <c r="AD186" s="226"/>
      <c r="AE186" s="280"/>
      <c r="AF186" s="125"/>
      <c r="AG186" s="33"/>
      <c r="AH186" s="33"/>
      <c r="AI186" s="33"/>
      <c r="AJ186" s="33"/>
      <c r="AK186" s="33"/>
      <c r="AL186" s="33"/>
      <c r="AM186" s="33"/>
      <c r="AN186" s="281"/>
      <c r="AO186" s="33"/>
      <c r="AP186" s="33"/>
      <c r="AQ186" s="33"/>
      <c r="AR186" s="33"/>
    </row>
    <row r="187" spans="8:44">
      <c r="H187" s="174"/>
      <c r="I187" s="174"/>
      <c r="J187" s="174"/>
      <c r="K187" s="174"/>
      <c r="L187" s="174"/>
      <c r="M187" s="174"/>
      <c r="N187" s="174"/>
      <c r="O187" s="174"/>
      <c r="P187" s="174"/>
      <c r="R187" s="273"/>
      <c r="S187" s="174"/>
      <c r="T187" s="174"/>
      <c r="U187" s="174"/>
      <c r="V187" s="174"/>
      <c r="W187" s="174"/>
      <c r="X187" s="216"/>
      <c r="Y187" s="216"/>
      <c r="AB187" s="31"/>
      <c r="AC187" s="31"/>
      <c r="AD187" s="226"/>
      <c r="AE187" s="45"/>
      <c r="AF187" s="125"/>
      <c r="AG187" s="30"/>
      <c r="AH187" s="33"/>
      <c r="AI187" s="33"/>
      <c r="AJ187" s="33"/>
      <c r="AK187" s="33"/>
      <c r="AL187" s="33"/>
      <c r="AM187" s="33"/>
      <c r="AN187" s="32"/>
      <c r="AO187" s="33"/>
      <c r="AP187" s="33"/>
      <c r="AQ187" s="33"/>
      <c r="AR187" s="33"/>
    </row>
    <row r="188" spans="8:44">
      <c r="H188" s="174"/>
      <c r="I188" s="174"/>
      <c r="J188" s="174"/>
      <c r="K188" s="174"/>
      <c r="L188" s="174"/>
      <c r="M188" s="174"/>
      <c r="N188" s="174"/>
      <c r="O188" s="174"/>
      <c r="P188" s="174"/>
      <c r="R188" s="273"/>
      <c r="S188" s="174"/>
      <c r="T188" s="174"/>
      <c r="U188" s="174"/>
      <c r="V188" s="174"/>
      <c r="W188" s="174"/>
      <c r="X188" s="216"/>
      <c r="Y188" s="216"/>
      <c r="AB188" s="31"/>
      <c r="AC188" s="31"/>
      <c r="AD188" s="282"/>
      <c r="AE188" s="280"/>
      <c r="AF188" s="125"/>
      <c r="AG188" s="30"/>
      <c r="AH188" s="33"/>
      <c r="AI188" s="33"/>
      <c r="AJ188" s="33"/>
      <c r="AK188" s="33"/>
      <c r="AL188" s="33"/>
      <c r="AM188" s="33"/>
      <c r="AN188" s="281"/>
      <c r="AO188" s="33"/>
      <c r="AP188" s="33"/>
      <c r="AQ188" s="33"/>
      <c r="AR188" s="33"/>
    </row>
    <row r="189" spans="8:44" ht="13.5" customHeight="1">
      <c r="H189" s="174"/>
      <c r="I189" s="174"/>
      <c r="J189" s="174"/>
      <c r="K189" s="174"/>
      <c r="L189" s="174"/>
      <c r="M189" s="174"/>
      <c r="N189" s="174"/>
      <c r="O189" s="174"/>
      <c r="P189" s="174"/>
      <c r="R189" s="273"/>
      <c r="S189" s="174"/>
      <c r="T189" s="174"/>
      <c r="U189" s="174"/>
      <c r="V189" s="190"/>
      <c r="W189" s="174"/>
      <c r="X189" s="216"/>
      <c r="Y189" s="216"/>
      <c r="AB189" s="121"/>
      <c r="AC189" s="161"/>
      <c r="AD189" s="283"/>
      <c r="AE189" s="284"/>
      <c r="AF189" s="125"/>
      <c r="AG189" s="30"/>
      <c r="AH189" s="33"/>
      <c r="AI189" s="33"/>
      <c r="AJ189" s="33"/>
      <c r="AK189" s="33"/>
      <c r="AL189" s="33"/>
      <c r="AM189" s="33"/>
      <c r="AN189" s="32"/>
      <c r="AO189" s="33"/>
      <c r="AP189" s="33"/>
      <c r="AQ189" s="33"/>
      <c r="AR189" s="33"/>
    </row>
    <row r="190" spans="8:44">
      <c r="H190" s="174"/>
      <c r="I190" s="174"/>
      <c r="J190" s="174"/>
      <c r="K190" s="174"/>
      <c r="L190" s="174"/>
      <c r="M190" s="174"/>
      <c r="N190" s="174"/>
      <c r="O190" s="174"/>
      <c r="P190" s="174"/>
      <c r="R190" s="273"/>
      <c r="S190" s="174"/>
      <c r="T190" s="174"/>
      <c r="U190" s="174"/>
      <c r="V190" s="190"/>
      <c r="W190" s="174"/>
      <c r="X190" s="216"/>
      <c r="Y190" s="216"/>
      <c r="AB190" s="121"/>
      <c r="AC190" s="121"/>
      <c r="AD190" s="125"/>
      <c r="AE190" s="125"/>
      <c r="AF190" s="125"/>
      <c r="AG190" s="30"/>
      <c r="AH190" s="33"/>
      <c r="AI190" s="33"/>
      <c r="AJ190" s="33"/>
      <c r="AK190" s="33"/>
      <c r="AL190" s="33"/>
      <c r="AM190" s="33"/>
      <c r="AN190" s="32"/>
      <c r="AO190" s="33"/>
      <c r="AP190" s="33"/>
      <c r="AQ190" s="33"/>
      <c r="AR190" s="33"/>
    </row>
    <row r="191" spans="8:44" ht="12.75" customHeight="1">
      <c r="H191" s="174"/>
      <c r="I191" s="174"/>
      <c r="J191" s="174"/>
      <c r="K191" s="174"/>
      <c r="L191" s="174"/>
      <c r="M191" s="174"/>
      <c r="N191" s="174"/>
      <c r="O191" s="174"/>
      <c r="P191" s="174"/>
      <c r="R191" s="273"/>
      <c r="S191" s="174"/>
      <c r="T191" s="174"/>
      <c r="U191" s="174"/>
      <c r="V191" s="174"/>
      <c r="W191" s="174"/>
      <c r="X191" s="216"/>
      <c r="Y191" s="216"/>
      <c r="AB191" s="121"/>
      <c r="AC191" s="132"/>
      <c r="AD191" s="33"/>
      <c r="AE191" s="33"/>
      <c r="AF191" s="132"/>
      <c r="AG191" s="132"/>
      <c r="AH191" s="33"/>
      <c r="AI191" s="33"/>
      <c r="AJ191" s="33"/>
      <c r="AK191" s="33"/>
      <c r="AL191" s="33"/>
      <c r="AM191" s="33"/>
      <c r="AN191" s="33"/>
      <c r="AO191" s="33"/>
      <c r="AP191" s="33"/>
      <c r="AQ191" s="33"/>
      <c r="AR191" s="33"/>
    </row>
    <row r="192" spans="8:44">
      <c r="H192" s="174"/>
      <c r="I192" s="174"/>
      <c r="J192" s="174"/>
      <c r="K192" s="174"/>
      <c r="L192" s="174"/>
      <c r="M192" s="174"/>
      <c r="N192" s="174"/>
      <c r="O192" s="174"/>
      <c r="P192" s="174"/>
      <c r="R192" s="273"/>
      <c r="S192" s="174"/>
      <c r="T192" s="174"/>
      <c r="U192" s="174"/>
      <c r="V192" s="174"/>
      <c r="W192" s="174"/>
      <c r="X192" s="216"/>
      <c r="Y192" s="216"/>
      <c r="AB192" s="121"/>
      <c r="AC192" s="132"/>
      <c r="AD192" s="132"/>
      <c r="AE192" s="132"/>
      <c r="AF192" s="33"/>
      <c r="AG192" s="33"/>
      <c r="AH192" s="33"/>
      <c r="AI192" s="33"/>
      <c r="AJ192" s="33"/>
      <c r="AK192" s="33"/>
      <c r="AL192" s="33"/>
      <c r="AM192" s="33"/>
      <c r="AN192" s="33"/>
      <c r="AO192" s="33"/>
      <c r="AP192" s="33"/>
      <c r="AQ192" s="33"/>
      <c r="AR192" s="33"/>
    </row>
    <row r="193" spans="3:44">
      <c r="H193" s="174"/>
      <c r="I193" s="174"/>
      <c r="J193" s="174"/>
      <c r="K193" s="174"/>
      <c r="L193" s="174"/>
      <c r="M193" s="174"/>
      <c r="N193" s="174"/>
      <c r="O193" s="174"/>
      <c r="P193" s="174"/>
      <c r="R193" s="273"/>
      <c r="S193" s="174"/>
      <c r="T193" s="174"/>
      <c r="U193" s="174"/>
      <c r="V193" s="174"/>
      <c r="W193" s="174"/>
      <c r="X193" s="216"/>
      <c r="Y193" s="216"/>
      <c r="AB193" s="121"/>
      <c r="AC193" s="640"/>
      <c r="AD193" s="633"/>
      <c r="AE193" s="633"/>
      <c r="AF193" s="633"/>
      <c r="AG193" s="633"/>
      <c r="AH193" s="33"/>
      <c r="AI193" s="33"/>
      <c r="AJ193" s="33"/>
      <c r="AK193" s="33"/>
      <c r="AL193" s="33"/>
      <c r="AM193" s="33"/>
      <c r="AN193" s="33"/>
      <c r="AO193" s="33"/>
      <c r="AP193" s="33"/>
      <c r="AQ193" s="33"/>
      <c r="AR193" s="33"/>
    </row>
    <row r="194" spans="3:44" ht="24" customHeight="1">
      <c r="H194" s="174"/>
      <c r="I194" s="174"/>
      <c r="J194" s="174"/>
      <c r="K194" s="174"/>
      <c r="L194" s="174"/>
      <c r="M194" s="174"/>
      <c r="N194" s="174"/>
      <c r="O194" s="174"/>
      <c r="P194" s="174"/>
      <c r="R194" s="273"/>
      <c r="S194" s="174"/>
      <c r="T194" s="174"/>
      <c r="U194" s="174"/>
      <c r="V194" s="174"/>
      <c r="W194" s="174"/>
      <c r="X194" s="216"/>
      <c r="Y194" s="220"/>
      <c r="Z194" s="33"/>
      <c r="AA194" s="33"/>
      <c r="AB194" s="33"/>
      <c r="AC194" s="132"/>
      <c r="AD194" s="33"/>
      <c r="AE194" s="33"/>
      <c r="AF194" s="33"/>
      <c r="AG194" s="33"/>
      <c r="AH194" s="33"/>
      <c r="AI194" s="33"/>
      <c r="AJ194" s="33"/>
      <c r="AK194" s="33"/>
      <c r="AL194" s="33"/>
      <c r="AM194" s="33"/>
      <c r="AN194" s="33"/>
      <c r="AO194" s="33"/>
      <c r="AP194" s="33"/>
      <c r="AQ194" s="33"/>
      <c r="AR194" s="33"/>
    </row>
    <row r="195" spans="3:44">
      <c r="H195" s="174"/>
      <c r="I195" s="174"/>
      <c r="J195" s="174"/>
      <c r="K195" s="174"/>
      <c r="L195" s="174"/>
      <c r="M195" s="174"/>
      <c r="N195" s="174"/>
      <c r="O195" s="174"/>
      <c r="P195" s="174"/>
      <c r="R195" s="273"/>
      <c r="S195" s="174"/>
      <c r="T195" s="174"/>
      <c r="U195" s="174"/>
      <c r="V195" s="174"/>
      <c r="W195" s="174"/>
      <c r="X195" s="216"/>
      <c r="Y195" s="220"/>
      <c r="Z195" s="33"/>
      <c r="AA195" s="33"/>
      <c r="AB195" s="33"/>
      <c r="AC195" s="33"/>
      <c r="AD195" s="33"/>
      <c r="AE195" s="33"/>
      <c r="AF195" s="33"/>
      <c r="AG195" s="33"/>
      <c r="AH195" s="33"/>
      <c r="AI195" s="33"/>
      <c r="AJ195" s="33"/>
      <c r="AK195" s="33"/>
      <c r="AL195" s="33"/>
      <c r="AM195" s="33"/>
      <c r="AN195" s="33"/>
      <c r="AO195" s="33"/>
      <c r="AP195" s="33"/>
      <c r="AQ195" s="33"/>
      <c r="AR195" s="33"/>
    </row>
    <row r="196" spans="3:44">
      <c r="H196" s="174"/>
      <c r="I196" s="174"/>
      <c r="J196" s="174"/>
      <c r="K196" s="174"/>
      <c r="L196" s="174"/>
      <c r="M196" s="174"/>
      <c r="N196" s="174"/>
      <c r="O196" s="174"/>
      <c r="P196" s="174"/>
      <c r="R196" s="273"/>
      <c r="S196" s="174"/>
      <c r="T196" s="174"/>
      <c r="U196" s="174"/>
      <c r="V196" s="174"/>
      <c r="W196" s="174"/>
      <c r="X196" s="216"/>
      <c r="Y196" s="216"/>
      <c r="AB196" s="33"/>
      <c r="AC196" s="33"/>
      <c r="AD196" s="33"/>
      <c r="AE196" s="33"/>
      <c r="AF196" s="33"/>
      <c r="AG196" s="33"/>
      <c r="AH196" s="33"/>
      <c r="AI196" s="33"/>
      <c r="AJ196" s="33"/>
      <c r="AK196" s="33"/>
      <c r="AL196" s="33"/>
      <c r="AM196" s="33"/>
      <c r="AN196" s="33"/>
      <c r="AO196" s="33"/>
      <c r="AP196" s="33"/>
      <c r="AQ196" s="33"/>
      <c r="AR196" s="33"/>
    </row>
    <row r="197" spans="3:44" ht="12.75" customHeight="1">
      <c r="H197" s="174"/>
      <c r="I197" s="174"/>
      <c r="J197" s="174"/>
      <c r="K197" s="174"/>
      <c r="L197" s="174"/>
      <c r="M197" s="174"/>
      <c r="N197" s="174"/>
      <c r="O197" s="174"/>
      <c r="P197" s="174"/>
      <c r="R197" s="273"/>
      <c r="S197" s="174"/>
      <c r="T197" s="174"/>
      <c r="U197" s="174"/>
      <c r="V197" s="174"/>
      <c r="W197" s="174"/>
      <c r="X197" s="216"/>
      <c r="Y197" s="216"/>
      <c r="AB197" s="33"/>
      <c r="AC197" s="33"/>
      <c r="AD197" s="33"/>
      <c r="AE197" s="33"/>
      <c r="AF197" s="33"/>
      <c r="AG197" s="33"/>
      <c r="AH197" s="33"/>
      <c r="AI197" s="33"/>
      <c r="AJ197" s="33"/>
      <c r="AK197" s="33"/>
      <c r="AL197" s="33"/>
      <c r="AM197" s="33"/>
      <c r="AN197" s="33"/>
      <c r="AO197" s="33"/>
      <c r="AP197" s="33"/>
      <c r="AQ197" s="33"/>
      <c r="AR197" s="33"/>
    </row>
    <row r="198" spans="3:44">
      <c r="C198" s="174"/>
      <c r="D198" s="174"/>
      <c r="E198" s="174"/>
      <c r="F198" s="174"/>
      <c r="G198" s="174"/>
      <c r="H198" s="174"/>
      <c r="I198" s="174"/>
      <c r="J198" s="190"/>
      <c r="K198" s="174"/>
      <c r="L198" s="174"/>
      <c r="M198" s="190"/>
      <c r="N198" s="190"/>
      <c r="O198" s="174"/>
      <c r="P198" s="174"/>
      <c r="R198" s="273"/>
      <c r="S198" s="174"/>
      <c r="T198" s="174"/>
      <c r="U198" s="174"/>
      <c r="V198" s="174"/>
      <c r="W198" s="174"/>
      <c r="X198" s="216"/>
      <c r="Y198" s="216"/>
      <c r="AA198" s="24"/>
      <c r="AB198" s="33"/>
      <c r="AC198" s="33"/>
      <c r="AD198" s="33"/>
      <c r="AE198" s="33"/>
      <c r="AF198" s="33"/>
      <c r="AG198" s="33"/>
      <c r="AH198" s="33"/>
      <c r="AI198" s="33"/>
      <c r="AJ198" s="33"/>
      <c r="AK198" s="33"/>
      <c r="AL198" s="33"/>
      <c r="AM198" s="33"/>
      <c r="AN198" s="33"/>
      <c r="AO198" s="33"/>
      <c r="AP198" s="33"/>
      <c r="AQ198" s="33"/>
      <c r="AR198" s="33"/>
    </row>
    <row r="199" spans="3:44">
      <c r="C199" s="174"/>
      <c r="D199" s="174"/>
      <c r="E199" s="174"/>
      <c r="F199" s="174"/>
      <c r="G199" s="174"/>
      <c r="H199" s="174"/>
      <c r="I199" s="301"/>
      <c r="J199" s="301"/>
      <c r="K199" s="301"/>
      <c r="L199" s="301"/>
      <c r="M199" s="301"/>
      <c r="N199" s="301"/>
      <c r="O199" s="301"/>
      <c r="P199" s="301"/>
      <c r="Q199" s="418"/>
      <c r="R199" s="273"/>
      <c r="S199" s="174"/>
      <c r="T199" s="174"/>
      <c r="U199" s="174"/>
      <c r="V199" s="174"/>
      <c r="W199" s="174"/>
      <c r="X199" s="216"/>
      <c r="Y199" s="216"/>
      <c r="AA199" s="24"/>
      <c r="AB199" s="33"/>
      <c r="AC199" s="33"/>
      <c r="AD199" s="33"/>
      <c r="AE199" s="33"/>
      <c r="AF199" s="33"/>
      <c r="AG199" s="33"/>
      <c r="AH199" s="33"/>
      <c r="AI199" s="33"/>
      <c r="AJ199" s="33"/>
      <c r="AK199" s="33"/>
      <c r="AL199" s="33"/>
      <c r="AM199" s="33"/>
      <c r="AN199" s="33"/>
      <c r="AO199" s="33"/>
      <c r="AP199" s="33"/>
      <c r="AQ199" s="33"/>
      <c r="AR199" s="33"/>
    </row>
    <row r="200" spans="3:44">
      <c r="C200" s="174"/>
      <c r="D200" s="174"/>
      <c r="E200" s="174"/>
      <c r="F200" s="174"/>
      <c r="G200" s="174"/>
      <c r="H200" s="174"/>
      <c r="I200" s="301"/>
      <c r="J200" s="301"/>
      <c r="K200" s="301"/>
      <c r="L200" s="301"/>
      <c r="M200" s="301"/>
      <c r="N200" s="301"/>
      <c r="O200" s="301"/>
      <c r="P200" s="301"/>
      <c r="Q200" s="418"/>
      <c r="R200" s="273"/>
      <c r="S200" s="174"/>
      <c r="T200" s="174"/>
      <c r="U200" s="174"/>
      <c r="V200" s="174"/>
      <c r="W200" s="216"/>
      <c r="X200" s="216"/>
      <c r="Y200" s="216"/>
      <c r="AA200" s="24"/>
      <c r="AC200" s="33"/>
      <c r="AD200" s="33"/>
      <c r="AE200" s="33"/>
      <c r="AF200" s="33"/>
      <c r="AG200" s="33"/>
      <c r="AH200" s="33"/>
      <c r="AI200" s="33"/>
      <c r="AJ200" s="33"/>
      <c r="AK200" s="33"/>
      <c r="AL200" s="33"/>
      <c r="AM200" s="33"/>
      <c r="AN200" s="33"/>
      <c r="AO200" s="33"/>
      <c r="AP200" s="33"/>
      <c r="AQ200" s="33"/>
      <c r="AR200" s="33"/>
    </row>
    <row r="201" spans="3:44" ht="22.5" customHeight="1">
      <c r="C201" s="174"/>
      <c r="D201" s="174"/>
      <c r="E201" s="174"/>
      <c r="F201" s="174"/>
      <c r="G201" s="174"/>
      <c r="H201" s="174"/>
      <c r="I201" s="190"/>
      <c r="J201" s="174"/>
      <c r="K201" s="174"/>
      <c r="L201" s="174"/>
      <c r="M201" s="174"/>
      <c r="N201" s="174"/>
      <c r="O201" s="174"/>
      <c r="P201" s="174"/>
      <c r="R201" s="394"/>
      <c r="S201" s="301"/>
      <c r="T201" s="301"/>
      <c r="U201" s="394"/>
      <c r="V201" s="216"/>
      <c r="W201" s="216"/>
      <c r="X201" s="216"/>
      <c r="Y201" s="216"/>
      <c r="AA201" s="24"/>
    </row>
    <row r="202" spans="3:44">
      <c r="C202" s="174"/>
      <c r="H202" s="174"/>
      <c r="I202" s="190"/>
      <c r="J202" s="174"/>
      <c r="K202" s="174"/>
      <c r="L202" s="174"/>
      <c r="M202" s="174"/>
      <c r="N202" s="174"/>
      <c r="O202" s="174"/>
      <c r="P202" s="174"/>
      <c r="R202" s="394"/>
      <c r="S202" s="301"/>
      <c r="T202" s="174"/>
      <c r="U202" s="174"/>
      <c r="V202" s="216"/>
      <c r="W202" s="216"/>
      <c r="X202" s="216"/>
      <c r="Y202" s="216"/>
      <c r="AA202" s="24"/>
    </row>
    <row r="203" spans="3:44" ht="0.75" customHeight="1">
      <c r="C203" s="174"/>
      <c r="H203" s="174"/>
      <c r="I203" s="190"/>
      <c r="J203" s="174"/>
      <c r="K203" s="174"/>
      <c r="L203" s="174"/>
      <c r="M203" s="174"/>
      <c r="N203" s="174"/>
      <c r="O203" s="174"/>
      <c r="P203" s="174"/>
      <c r="R203" s="273"/>
      <c r="S203" s="174"/>
      <c r="T203" s="174"/>
      <c r="U203" s="174"/>
      <c r="V203" s="216"/>
      <c r="W203" s="216"/>
      <c r="X203" s="216"/>
      <c r="Y203" s="216"/>
      <c r="AA203" s="24"/>
    </row>
    <row r="204" spans="3:44" ht="21.75" customHeight="1">
      <c r="C204" s="174"/>
      <c r="H204" s="174"/>
      <c r="I204" s="190"/>
      <c r="J204" s="174"/>
      <c r="K204" s="174"/>
      <c r="L204" s="174"/>
      <c r="M204" s="174"/>
      <c r="N204" s="174"/>
      <c r="O204" s="174"/>
      <c r="P204" s="174"/>
      <c r="R204" s="273"/>
      <c r="S204" s="174"/>
      <c r="T204" s="174"/>
      <c r="U204" s="174"/>
      <c r="V204" s="216"/>
      <c r="W204" s="216"/>
      <c r="X204" s="216"/>
      <c r="Y204" s="216"/>
      <c r="AA204" s="24"/>
    </row>
    <row r="205" spans="3:44" ht="12.75" customHeight="1">
      <c r="C205" s="174"/>
      <c r="P205" s="174"/>
      <c r="R205" s="273"/>
      <c r="S205" s="174"/>
      <c r="T205" s="174"/>
      <c r="U205" s="174"/>
      <c r="V205" s="216"/>
      <c r="W205" s="216"/>
      <c r="X205" s="216"/>
      <c r="Y205" s="216"/>
      <c r="AA205" s="24"/>
    </row>
    <row r="206" spans="3:44">
      <c r="C206" s="174"/>
      <c r="P206" s="174"/>
      <c r="R206" s="273"/>
      <c r="S206" s="174"/>
      <c r="T206" s="174"/>
      <c r="U206" s="174"/>
      <c r="V206" s="216"/>
      <c r="Z206" s="33"/>
      <c r="AA206" s="30"/>
    </row>
    <row r="207" spans="3:44">
      <c r="C207" s="174"/>
      <c r="P207" s="174"/>
      <c r="R207" s="273"/>
      <c r="AA207" s="30"/>
    </row>
    <row r="208" spans="3:44">
      <c r="R208" s="273"/>
      <c r="AA208" s="32"/>
    </row>
    <row r="209" spans="18:27">
      <c r="R209" s="273"/>
      <c r="AA209" s="27"/>
    </row>
    <row r="210" spans="18:27">
      <c r="AA210" s="27"/>
    </row>
    <row r="211" spans="18:27">
      <c r="AA211" s="27"/>
    </row>
    <row r="212" spans="18:27">
      <c r="AA212" s="27"/>
    </row>
    <row r="213" spans="18:27">
      <c r="W213" s="12"/>
      <c r="AA213" s="27"/>
    </row>
    <row r="214" spans="18:27">
      <c r="V214" s="12"/>
      <c r="W214" s="12"/>
      <c r="AA214" s="27"/>
    </row>
    <row r="215" spans="18:27">
      <c r="V215" s="12"/>
      <c r="W215" s="12"/>
      <c r="AA215" s="27"/>
    </row>
    <row r="216" spans="18:27">
      <c r="V216" s="12"/>
      <c r="W216" s="12"/>
      <c r="AA216" s="27"/>
    </row>
    <row r="217" spans="18:27">
      <c r="V217" s="12"/>
      <c r="W217" s="12"/>
      <c r="AA217" s="27"/>
    </row>
    <row r="218" spans="18:27">
      <c r="V218" s="12"/>
      <c r="W218" s="12"/>
      <c r="AA218" s="27"/>
    </row>
    <row r="219" spans="18:27">
      <c r="V219" s="12"/>
      <c r="W219" s="12"/>
      <c r="AA219" s="27"/>
    </row>
    <row r="220" spans="18:27">
      <c r="V220" s="12"/>
      <c r="W220" s="12"/>
      <c r="AA220" s="27"/>
    </row>
    <row r="221" spans="18:27">
      <c r="V221" s="12"/>
      <c r="W221" s="12"/>
      <c r="AA221" s="27"/>
    </row>
    <row r="222" spans="18:27">
      <c r="V222" s="12"/>
      <c r="W222" s="12"/>
      <c r="AA222" s="27"/>
    </row>
    <row r="223" spans="18:27">
      <c r="V223" s="12"/>
      <c r="W223" s="12"/>
      <c r="AA223" s="27"/>
    </row>
    <row r="224" spans="18:27">
      <c r="V224" s="12"/>
      <c r="W224" s="12"/>
      <c r="AA224" s="27"/>
    </row>
    <row r="225" spans="22:27">
      <c r="V225" s="12"/>
      <c r="W225" s="12"/>
      <c r="AA225" s="27"/>
    </row>
    <row r="226" spans="22:27">
      <c r="V226" s="12"/>
      <c r="W226" s="12"/>
      <c r="AA226" s="27"/>
    </row>
    <row r="227" spans="22:27">
      <c r="V227" s="12"/>
      <c r="W227" s="12"/>
      <c r="AA227" s="27"/>
    </row>
    <row r="228" spans="22:27">
      <c r="V228" s="12"/>
      <c r="W228" s="12"/>
      <c r="AA228" s="27"/>
    </row>
    <row r="229" spans="22:27">
      <c r="V229" s="12"/>
    </row>
    <row r="254" spans="13:23">
      <c r="M254" s="50"/>
      <c r="N254" s="50"/>
      <c r="O254" s="50"/>
    </row>
    <row r="255" spans="13:23">
      <c r="W255" s="12"/>
    </row>
    <row r="256" spans="13:23">
      <c r="V256" s="12"/>
    </row>
    <row r="279" spans="19:23">
      <c r="W279" s="12"/>
    </row>
    <row r="280" spans="19:23">
      <c r="S280" s="33"/>
      <c r="T280" s="33"/>
      <c r="U280" s="33"/>
      <c r="V280" s="12"/>
      <c r="W280" s="12"/>
    </row>
    <row r="281" spans="19:23">
      <c r="S281" s="33"/>
      <c r="T281" s="33"/>
      <c r="U281" s="33"/>
      <c r="V281" s="12"/>
    </row>
  </sheetData>
  <mergeCells count="13">
    <mergeCell ref="V18:AF18"/>
    <mergeCell ref="J51:P51"/>
    <mergeCell ref="C92:O92"/>
    <mergeCell ref="C139:O139"/>
    <mergeCell ref="AC193:AG193"/>
    <mergeCell ref="D111:P111"/>
    <mergeCell ref="C117:Q117"/>
    <mergeCell ref="V24:AE24"/>
    <mergeCell ref="T111:AC111"/>
    <mergeCell ref="V133:Z133"/>
    <mergeCell ref="T133:U133"/>
    <mergeCell ref="D18:O18"/>
    <mergeCell ref="V23:AF23"/>
  </mergeCells>
  <hyperlinks>
    <hyperlink ref="S1" location="'Key findings'!A1" display="Back to Key Findings" xr:uid="{00000000-0004-0000-0200-000000000000}"/>
  </hyperlinks>
  <pageMargins left="0.70866141732283472" right="0.70866141732283472" top="0.74803149606299213" bottom="0.74803149606299213" header="0.31496062992125984" footer="0.31496062992125984"/>
  <pageSetup paperSize="9" scale="35" fitToHeight="0" orientation="landscape" r:id="rId1"/>
  <rowBreaks count="2" manualBreakCount="2">
    <brk id="93" max="44" man="1"/>
    <brk id="140" max="4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Q75"/>
  <sheetViews>
    <sheetView showGridLines="0" zoomScaleNormal="100" workbookViewId="0">
      <pane ySplit="2" topLeftCell="A3" activePane="bottomLeft" state="frozen"/>
      <selection pane="bottomLeft" activeCell="D26" sqref="D26"/>
    </sheetView>
  </sheetViews>
  <sheetFormatPr defaultRowHeight="14.25"/>
  <cols>
    <col min="1" max="1" width="4.7109375" style="328" customWidth="1"/>
    <col min="2" max="2" width="2.140625" style="328" customWidth="1"/>
    <col min="3" max="3" width="23.5703125" style="342" customWidth="1"/>
    <col min="4" max="4" width="142.7109375" style="330" customWidth="1"/>
    <col min="5" max="5" width="2.42578125" style="328" customWidth="1"/>
    <col min="6" max="6" width="7.28515625" style="328" customWidth="1"/>
    <col min="7" max="7" width="9.140625" style="328"/>
    <col min="8" max="9" width="9.140625" style="192"/>
    <col min="10" max="10" width="55.5703125" style="509" customWidth="1"/>
    <col min="11" max="11" width="9.140625" style="509"/>
    <col min="12" max="12" width="9.5703125" style="509" bestFit="1" customWidth="1"/>
    <col min="13" max="13" width="9.28515625" style="509" bestFit="1" customWidth="1"/>
    <col min="14" max="14" width="9.5703125" style="509" bestFit="1" customWidth="1"/>
    <col min="15" max="15" width="9.28515625" style="509" bestFit="1" customWidth="1"/>
    <col min="16" max="17" width="9.140625" style="509"/>
    <col min="18" max="16384" width="9.140625" style="328"/>
  </cols>
  <sheetData>
    <row r="1" spans="2:17">
      <c r="G1" s="329" t="s">
        <v>355</v>
      </c>
    </row>
    <row r="2" spans="2:17" ht="29.25" customHeight="1">
      <c r="B2" s="650" t="s">
        <v>248</v>
      </c>
      <c r="C2" s="635"/>
      <c r="D2" s="635"/>
    </row>
    <row r="3" spans="2:17" ht="14.25" customHeight="1">
      <c r="D3" s="316"/>
    </row>
    <row r="4" spans="2:17">
      <c r="B4" s="90"/>
      <c r="C4" s="343"/>
      <c r="D4" s="129"/>
      <c r="E4" s="90"/>
    </row>
    <row r="5" spans="2:17" ht="33" customHeight="1">
      <c r="B5" s="90"/>
      <c r="C5" s="651" t="s">
        <v>507</v>
      </c>
      <c r="D5" s="652"/>
      <c r="E5" s="90"/>
      <c r="L5" s="510"/>
      <c r="M5" s="510"/>
      <c r="N5" s="510"/>
      <c r="O5" s="510"/>
      <c r="P5" s="511"/>
      <c r="Q5" s="511"/>
    </row>
    <row r="6" spans="2:17" ht="35.1" customHeight="1">
      <c r="B6" s="90"/>
      <c r="C6" s="343"/>
      <c r="D6" s="480" t="s">
        <v>632</v>
      </c>
      <c r="E6" s="90"/>
      <c r="L6" s="510"/>
      <c r="M6" s="510"/>
      <c r="N6" s="510"/>
      <c r="O6" s="510"/>
      <c r="P6" s="511"/>
      <c r="Q6" s="511"/>
    </row>
    <row r="7" spans="2:17" ht="24.95" customHeight="1">
      <c r="B7" s="90"/>
      <c r="C7" s="322" t="s">
        <v>1</v>
      </c>
      <c r="D7" s="478"/>
      <c r="E7" s="90"/>
      <c r="G7" s="333" t="s">
        <v>366</v>
      </c>
      <c r="L7" s="510"/>
      <c r="M7" s="510"/>
      <c r="N7" s="510"/>
      <c r="O7" s="510"/>
      <c r="P7" s="511"/>
      <c r="Q7" s="511"/>
    </row>
    <row r="8" spans="2:17" ht="35.1" customHeight="1">
      <c r="B8" s="90"/>
      <c r="C8" s="344"/>
      <c r="D8" s="484" t="s">
        <v>633</v>
      </c>
      <c r="E8" s="90"/>
      <c r="L8" s="510"/>
      <c r="M8" s="510"/>
      <c r="N8" s="510"/>
      <c r="O8" s="510"/>
      <c r="P8" s="511"/>
      <c r="Q8" s="511"/>
    </row>
    <row r="9" spans="2:17" ht="24.95" customHeight="1">
      <c r="B9" s="90"/>
      <c r="C9" s="322" t="s">
        <v>98</v>
      </c>
      <c r="D9" s="478"/>
      <c r="E9" s="90"/>
      <c r="G9" s="333" t="s">
        <v>367</v>
      </c>
      <c r="L9" s="510"/>
      <c r="M9" s="510"/>
      <c r="N9" s="510"/>
      <c r="O9" s="510"/>
      <c r="P9" s="511"/>
      <c r="Q9" s="511"/>
    </row>
    <row r="10" spans="2:17" ht="27" customHeight="1">
      <c r="B10" s="90"/>
      <c r="C10" s="345"/>
      <c r="D10" s="484" t="s">
        <v>643</v>
      </c>
      <c r="E10" s="90"/>
      <c r="G10" s="559"/>
      <c r="L10" s="510"/>
      <c r="M10" s="510"/>
      <c r="N10" s="510"/>
      <c r="O10" s="510"/>
      <c r="P10" s="511"/>
      <c r="Q10" s="511"/>
    </row>
    <row r="11" spans="2:17" ht="12" customHeight="1">
      <c r="B11" s="90"/>
      <c r="C11" s="345"/>
      <c r="D11" s="479"/>
      <c r="E11" s="90"/>
      <c r="L11" s="510"/>
      <c r="M11" s="510"/>
      <c r="N11" s="510"/>
      <c r="O11" s="510"/>
      <c r="P11" s="511"/>
      <c r="Q11" s="511"/>
    </row>
    <row r="12" spans="2:17" ht="51" customHeight="1">
      <c r="B12" s="90"/>
      <c r="C12" s="345" t="s">
        <v>365</v>
      </c>
      <c r="D12" s="484" t="s">
        <v>602</v>
      </c>
      <c r="E12" s="90"/>
      <c r="H12" s="488"/>
      <c r="L12" s="510"/>
      <c r="M12" s="510"/>
      <c r="N12" s="510"/>
      <c r="O12" s="510"/>
      <c r="P12" s="511"/>
      <c r="Q12" s="511"/>
    </row>
    <row r="13" spans="2:17" ht="12" customHeight="1">
      <c r="B13" s="90"/>
      <c r="C13" s="345"/>
      <c r="D13" s="479"/>
      <c r="E13" s="90"/>
      <c r="G13" s="329"/>
      <c r="L13" s="510"/>
      <c r="M13" s="510"/>
      <c r="N13" s="510"/>
      <c r="O13" s="510"/>
      <c r="P13" s="511"/>
      <c r="Q13" s="511"/>
    </row>
    <row r="14" spans="2:17" ht="53.25" customHeight="1">
      <c r="B14" s="90"/>
      <c r="C14" s="345" t="s">
        <v>103</v>
      </c>
      <c r="D14" s="484" t="s">
        <v>601</v>
      </c>
      <c r="E14" s="90"/>
      <c r="L14" s="510"/>
      <c r="M14" s="510"/>
      <c r="N14" s="510"/>
      <c r="O14" s="510"/>
      <c r="P14" s="511"/>
      <c r="Q14" s="511"/>
    </row>
    <row r="15" spans="2:17" ht="12" customHeight="1">
      <c r="B15" s="90"/>
      <c r="C15" s="345"/>
      <c r="D15" s="479"/>
      <c r="E15" s="90"/>
      <c r="L15" s="510"/>
      <c r="M15" s="510"/>
      <c r="N15" s="510"/>
      <c r="O15" s="510"/>
      <c r="P15" s="511"/>
      <c r="Q15" s="511"/>
    </row>
    <row r="16" spans="2:17" ht="39.950000000000003" customHeight="1">
      <c r="B16" s="90"/>
      <c r="C16" s="345" t="s">
        <v>104</v>
      </c>
      <c r="D16" s="484" t="s">
        <v>603</v>
      </c>
      <c r="E16" s="90"/>
      <c r="L16" s="510"/>
      <c r="M16" s="510"/>
      <c r="N16" s="510"/>
      <c r="O16" s="510"/>
      <c r="P16" s="511"/>
      <c r="Q16" s="511"/>
    </row>
    <row r="17" spans="2:17" ht="12" customHeight="1">
      <c r="B17" s="90"/>
      <c r="C17" s="345"/>
      <c r="D17" s="479"/>
      <c r="E17" s="90"/>
      <c r="L17" s="510"/>
      <c r="M17" s="510"/>
      <c r="N17" s="510"/>
      <c r="O17" s="510"/>
      <c r="P17" s="511"/>
      <c r="Q17" s="511"/>
    </row>
    <row r="18" spans="2:17" ht="49.5" customHeight="1">
      <c r="B18" s="90"/>
      <c r="C18" s="345" t="s">
        <v>105</v>
      </c>
      <c r="D18" s="484" t="s">
        <v>640</v>
      </c>
      <c r="E18" s="90"/>
      <c r="L18" s="510"/>
      <c r="M18" s="510"/>
      <c r="N18" s="510"/>
      <c r="O18" s="510"/>
      <c r="P18" s="511"/>
      <c r="Q18" s="511"/>
    </row>
    <row r="19" spans="2:17" ht="24.95" customHeight="1">
      <c r="B19" s="90"/>
      <c r="C19" s="322" t="s">
        <v>5</v>
      </c>
      <c r="D19" s="478"/>
      <c r="E19" s="90"/>
      <c r="G19" s="333" t="s">
        <v>361</v>
      </c>
      <c r="L19" s="510"/>
      <c r="M19" s="510"/>
      <c r="N19" s="510"/>
      <c r="O19" s="510"/>
      <c r="P19" s="511"/>
      <c r="Q19" s="511"/>
    </row>
    <row r="20" spans="2:17" ht="46.5" customHeight="1">
      <c r="B20" s="90"/>
      <c r="C20" s="344"/>
      <c r="D20" s="484" t="s">
        <v>604</v>
      </c>
      <c r="E20" s="90"/>
      <c r="L20" s="510"/>
      <c r="M20" s="510"/>
      <c r="N20" s="510"/>
      <c r="O20" s="510"/>
      <c r="P20" s="511"/>
      <c r="Q20" s="511"/>
    </row>
    <row r="21" spans="2:17" ht="36.75" customHeight="1">
      <c r="B21" s="90"/>
      <c r="C21" s="343"/>
      <c r="D21" s="484" t="s">
        <v>610</v>
      </c>
      <c r="E21" s="90"/>
    </row>
    <row r="22" spans="2:17" ht="34.5" customHeight="1">
      <c r="B22" s="90"/>
      <c r="C22" s="343"/>
      <c r="D22" s="484" t="s">
        <v>641</v>
      </c>
      <c r="E22" s="90"/>
    </row>
    <row r="23" spans="2:17" ht="45.75" customHeight="1">
      <c r="B23" s="90"/>
      <c r="C23" s="343"/>
      <c r="D23" s="484" t="s">
        <v>642</v>
      </c>
      <c r="E23" s="90"/>
    </row>
    <row r="24" spans="2:17" ht="50.25" customHeight="1">
      <c r="B24" s="90"/>
      <c r="C24" s="343"/>
      <c r="D24" s="484" t="s">
        <v>605</v>
      </c>
      <c r="E24" s="90"/>
    </row>
    <row r="25" spans="2:17" ht="24.95" customHeight="1">
      <c r="B25" s="90"/>
      <c r="C25" s="322" t="s">
        <v>6</v>
      </c>
      <c r="D25" s="478"/>
      <c r="E25" s="90"/>
      <c r="G25" s="333" t="s">
        <v>332</v>
      </c>
    </row>
    <row r="26" spans="2:17" ht="50.1" customHeight="1">
      <c r="B26" s="90"/>
      <c r="C26" s="344"/>
      <c r="D26" s="484" t="s">
        <v>609</v>
      </c>
      <c r="E26" s="90"/>
    </row>
    <row r="27" spans="2:17" ht="34.5" customHeight="1">
      <c r="B27" s="90"/>
      <c r="C27" s="343"/>
      <c r="D27" s="484" t="s">
        <v>608</v>
      </c>
      <c r="E27" s="90"/>
    </row>
    <row r="28" spans="2:17" ht="50.1" customHeight="1">
      <c r="B28" s="90"/>
      <c r="C28" s="343"/>
      <c r="D28" s="484" t="s">
        <v>611</v>
      </c>
      <c r="E28" s="90"/>
    </row>
    <row r="29" spans="2:17" ht="24.95" customHeight="1">
      <c r="B29" s="90"/>
      <c r="C29" s="323" t="s">
        <v>437</v>
      </c>
      <c r="D29" s="478"/>
      <c r="E29" s="90"/>
      <c r="G29" s="333" t="s">
        <v>330</v>
      </c>
    </row>
    <row r="30" spans="2:17" ht="35.1" customHeight="1">
      <c r="B30" s="90"/>
      <c r="C30" s="344"/>
      <c r="D30" s="484" t="s">
        <v>668</v>
      </c>
      <c r="E30" s="90"/>
    </row>
    <row r="31" spans="2:17" ht="22.5" customHeight="1">
      <c r="B31" s="90"/>
      <c r="C31" s="343"/>
      <c r="D31" s="484" t="s">
        <v>612</v>
      </c>
      <c r="E31" s="90"/>
    </row>
    <row r="32" spans="2:17" ht="24.95" customHeight="1">
      <c r="B32" s="90"/>
      <c r="C32" s="322" t="s">
        <v>375</v>
      </c>
      <c r="D32" s="478"/>
      <c r="E32" s="90"/>
      <c r="G32" s="333" t="s">
        <v>249</v>
      </c>
    </row>
    <row r="33" spans="2:17" ht="21" customHeight="1">
      <c r="B33" s="90"/>
      <c r="C33" s="344"/>
      <c r="D33" s="484" t="s">
        <v>670</v>
      </c>
      <c r="E33" s="90"/>
      <c r="L33" s="510"/>
      <c r="M33" s="510"/>
      <c r="N33" s="510"/>
      <c r="O33" s="510"/>
      <c r="P33" s="511"/>
      <c r="Q33" s="511"/>
    </row>
    <row r="34" spans="2:17" ht="35.1" customHeight="1">
      <c r="B34" s="90"/>
      <c r="C34" s="343"/>
      <c r="D34" s="484" t="s">
        <v>617</v>
      </c>
      <c r="E34" s="90"/>
      <c r="L34" s="510"/>
      <c r="M34" s="510"/>
      <c r="N34" s="510"/>
      <c r="O34" s="510"/>
      <c r="P34" s="511"/>
      <c r="Q34" s="511"/>
    </row>
    <row r="35" spans="2:17" ht="31.5" customHeight="1">
      <c r="B35" s="90"/>
      <c r="C35" s="343"/>
      <c r="D35" s="484" t="s">
        <v>629</v>
      </c>
      <c r="E35" s="90"/>
      <c r="L35" s="510"/>
      <c r="M35" s="510"/>
      <c r="N35" s="510"/>
      <c r="O35" s="510"/>
      <c r="P35" s="511"/>
      <c r="Q35" s="511"/>
    </row>
    <row r="36" spans="2:17" ht="24.95" customHeight="1">
      <c r="B36" s="90"/>
      <c r="C36" s="322" t="s">
        <v>291</v>
      </c>
      <c r="D36" s="478"/>
      <c r="E36" s="90"/>
      <c r="G36" s="333" t="s">
        <v>370</v>
      </c>
      <c r="L36" s="510"/>
      <c r="M36" s="510"/>
      <c r="N36" s="510"/>
      <c r="O36" s="510"/>
      <c r="P36" s="511"/>
      <c r="Q36" s="511"/>
    </row>
    <row r="37" spans="2:17" ht="20.100000000000001" customHeight="1">
      <c r="B37" s="90"/>
      <c r="C37" s="343"/>
      <c r="D37" s="491" t="s">
        <v>620</v>
      </c>
      <c r="E37" s="90"/>
      <c r="L37" s="510"/>
      <c r="M37" s="510"/>
      <c r="N37" s="510"/>
      <c r="O37" s="510"/>
      <c r="P37" s="511"/>
      <c r="Q37" s="511"/>
    </row>
    <row r="38" spans="2:17" ht="35.1" customHeight="1">
      <c r="B38" s="90"/>
      <c r="C38" s="343"/>
      <c r="D38" s="484" t="s">
        <v>621</v>
      </c>
      <c r="E38" s="90"/>
      <c r="L38" s="510"/>
      <c r="M38" s="510"/>
      <c r="N38" s="510"/>
      <c r="O38" s="510"/>
      <c r="P38" s="511"/>
      <c r="Q38" s="511"/>
    </row>
    <row r="39" spans="2:17" ht="20.100000000000001" customHeight="1">
      <c r="B39" s="90"/>
      <c r="C39" s="343"/>
      <c r="D39" s="550" t="s">
        <v>630</v>
      </c>
      <c r="E39" s="90"/>
      <c r="F39" s="449"/>
      <c r="G39" s="547"/>
      <c r="H39" s="449"/>
      <c r="I39" s="449"/>
      <c r="J39" s="548"/>
      <c r="K39" s="548"/>
      <c r="L39" s="548"/>
      <c r="M39" s="548"/>
      <c r="N39" s="548"/>
      <c r="O39" s="548"/>
      <c r="P39" s="549"/>
      <c r="Q39" s="549"/>
    </row>
    <row r="40" spans="2:17" ht="20.100000000000001" customHeight="1">
      <c r="B40" s="90"/>
      <c r="C40" s="343"/>
      <c r="D40" s="484" t="s">
        <v>622</v>
      </c>
      <c r="E40" s="90"/>
      <c r="G40" s="329"/>
    </row>
    <row r="41" spans="2:17" ht="24.95" customHeight="1">
      <c r="B41" s="90"/>
      <c r="C41" s="322" t="s">
        <v>360</v>
      </c>
      <c r="D41" s="478"/>
      <c r="E41" s="90"/>
      <c r="G41" s="333" t="s">
        <v>250</v>
      </c>
    </row>
    <row r="42" spans="2:17" ht="39.950000000000003" customHeight="1">
      <c r="B42" s="90"/>
      <c r="C42" s="344"/>
      <c r="D42" s="484" t="s">
        <v>634</v>
      </c>
      <c r="E42" s="90"/>
      <c r="O42" s="511"/>
      <c r="P42" s="510"/>
      <c r="Q42" s="512"/>
    </row>
    <row r="43" spans="2:17" ht="37.5" customHeight="1">
      <c r="B43" s="90"/>
      <c r="C43" s="345" t="s">
        <v>1</v>
      </c>
      <c r="D43" s="484" t="s">
        <v>635</v>
      </c>
      <c r="E43" s="90"/>
      <c r="O43" s="511"/>
      <c r="P43" s="510"/>
      <c r="Q43" s="512"/>
    </row>
    <row r="44" spans="2:17" ht="36" customHeight="1">
      <c r="B44" s="90"/>
      <c r="C44" s="345" t="s">
        <v>295</v>
      </c>
      <c r="D44" s="484" t="s">
        <v>628</v>
      </c>
      <c r="E44" s="90"/>
      <c r="O44" s="511"/>
      <c r="P44" s="510"/>
      <c r="Q44" s="512"/>
    </row>
    <row r="45" spans="2:17" ht="35.1" customHeight="1">
      <c r="B45" s="90"/>
      <c r="C45" s="345"/>
      <c r="D45" s="484" t="s">
        <v>647</v>
      </c>
      <c r="E45" s="90"/>
      <c r="G45" s="559"/>
      <c r="O45" s="511"/>
      <c r="P45" s="510"/>
      <c r="Q45" s="512"/>
    </row>
    <row r="46" spans="2:17" ht="33.75" customHeight="1">
      <c r="B46" s="90"/>
      <c r="C46" s="345" t="s">
        <v>5</v>
      </c>
      <c r="D46" s="484" t="s">
        <v>627</v>
      </c>
      <c r="E46" s="90"/>
      <c r="G46" s="333" t="s">
        <v>154</v>
      </c>
      <c r="O46" s="511"/>
      <c r="P46" s="510"/>
      <c r="Q46" s="512"/>
    </row>
    <row r="47" spans="2:17" ht="33.75" customHeight="1">
      <c r="B47" s="90"/>
      <c r="C47" s="345"/>
      <c r="D47" s="484" t="s">
        <v>636</v>
      </c>
      <c r="E47" s="90"/>
      <c r="O47" s="511"/>
      <c r="P47" s="510"/>
      <c r="Q47" s="512"/>
    </row>
    <row r="48" spans="2:17" ht="35.1" customHeight="1">
      <c r="B48" s="90"/>
      <c r="C48" s="345" t="s">
        <v>6</v>
      </c>
      <c r="D48" s="484" t="s">
        <v>625</v>
      </c>
      <c r="E48" s="90"/>
      <c r="G48" s="333" t="s">
        <v>368</v>
      </c>
      <c r="O48" s="511"/>
      <c r="P48" s="510"/>
      <c r="Q48" s="512"/>
    </row>
    <row r="49" spans="2:17" ht="24.95" customHeight="1">
      <c r="B49" s="90"/>
      <c r="C49" s="322" t="s">
        <v>302</v>
      </c>
      <c r="D49" s="478"/>
      <c r="E49" s="90"/>
      <c r="G49" s="333" t="s">
        <v>369</v>
      </c>
      <c r="O49" s="511"/>
      <c r="P49" s="510"/>
      <c r="Q49" s="512"/>
    </row>
    <row r="50" spans="2:17" ht="24.95" customHeight="1">
      <c r="B50" s="90"/>
      <c r="C50" s="351"/>
      <c r="D50" s="489" t="s">
        <v>619</v>
      </c>
      <c r="E50" s="90"/>
      <c r="G50" s="333"/>
      <c r="O50" s="511"/>
      <c r="P50" s="510"/>
      <c r="Q50" s="512"/>
    </row>
    <row r="51" spans="2:17" ht="20.100000000000001" customHeight="1">
      <c r="B51" s="90"/>
      <c r="C51" s="344"/>
      <c r="D51" s="484" t="s">
        <v>618</v>
      </c>
      <c r="E51" s="90"/>
      <c r="H51" s="486"/>
      <c r="I51" s="486"/>
      <c r="J51" s="513"/>
      <c r="K51" s="514"/>
      <c r="O51" s="511"/>
      <c r="P51" s="510"/>
      <c r="Q51" s="512"/>
    </row>
    <row r="52" spans="2:17" ht="15" customHeight="1">
      <c r="B52" s="90"/>
      <c r="C52" s="343"/>
      <c r="D52" s="490" t="s">
        <v>613</v>
      </c>
      <c r="E52" s="90"/>
      <c r="F52" s="449"/>
      <c r="G52" s="449"/>
      <c r="H52" s="551"/>
      <c r="I52" s="552"/>
      <c r="J52" s="553"/>
      <c r="K52" s="554"/>
      <c r="L52" s="548"/>
      <c r="M52" s="494"/>
      <c r="O52" s="511"/>
      <c r="P52" s="510"/>
      <c r="Q52" s="512"/>
    </row>
    <row r="53" spans="2:17" ht="15" customHeight="1">
      <c r="B53" s="90"/>
      <c r="C53" s="343"/>
      <c r="D53" s="490" t="s">
        <v>614</v>
      </c>
      <c r="E53" s="90"/>
      <c r="F53" s="53"/>
      <c r="G53" s="53"/>
      <c r="H53" s="492"/>
      <c r="I53" s="493"/>
      <c r="J53" s="515"/>
      <c r="K53" s="516"/>
      <c r="L53" s="494"/>
      <c r="O53" s="511"/>
      <c r="P53" s="510"/>
      <c r="Q53" s="512"/>
    </row>
    <row r="54" spans="2:17" ht="15" customHeight="1">
      <c r="B54" s="90"/>
      <c r="C54" s="343"/>
      <c r="D54" s="490" t="s">
        <v>615</v>
      </c>
      <c r="E54" s="90"/>
      <c r="H54" s="486"/>
      <c r="I54" s="487"/>
      <c r="J54" s="513"/>
      <c r="K54" s="514"/>
      <c r="O54" s="511"/>
      <c r="P54" s="510"/>
      <c r="Q54" s="510"/>
    </row>
    <row r="55" spans="2:17" ht="25.5" customHeight="1">
      <c r="B55" s="90"/>
      <c r="C55" s="345"/>
      <c r="D55" s="490" t="s">
        <v>616</v>
      </c>
      <c r="E55" s="90"/>
      <c r="O55" s="511"/>
      <c r="P55" s="510"/>
      <c r="Q55" s="510"/>
    </row>
    <row r="56" spans="2:17" ht="68.25" customHeight="1">
      <c r="B56" s="90"/>
      <c r="C56" s="345" t="s">
        <v>3</v>
      </c>
      <c r="D56" s="484" t="s">
        <v>658</v>
      </c>
      <c r="E56" s="90"/>
      <c r="O56" s="511"/>
      <c r="P56" s="510"/>
      <c r="Q56" s="510"/>
    </row>
    <row r="57" spans="2:17" ht="12.75" customHeight="1">
      <c r="B57" s="90"/>
      <c r="C57" s="345"/>
      <c r="D57" s="484"/>
      <c r="E57" s="90"/>
      <c r="O57" s="511"/>
      <c r="P57" s="510"/>
      <c r="Q57" s="510"/>
    </row>
    <row r="58" spans="2:17" ht="28.5" customHeight="1">
      <c r="B58" s="90"/>
      <c r="C58" s="345" t="s">
        <v>79</v>
      </c>
      <c r="D58" s="484" t="s">
        <v>656</v>
      </c>
      <c r="E58" s="90"/>
      <c r="O58" s="511"/>
      <c r="P58" s="510"/>
      <c r="Q58" s="510"/>
    </row>
    <row r="59" spans="2:17" ht="26.25" customHeight="1">
      <c r="B59" s="90"/>
      <c r="C59" s="343"/>
      <c r="D59" s="484" t="s">
        <v>623</v>
      </c>
      <c r="E59" s="90"/>
      <c r="O59" s="511"/>
      <c r="P59" s="510"/>
      <c r="Q59" s="510"/>
    </row>
    <row r="60" spans="2:17" ht="35.1" customHeight="1">
      <c r="B60" s="90"/>
      <c r="C60" s="345" t="s">
        <v>78</v>
      </c>
      <c r="D60" s="484" t="s">
        <v>427</v>
      </c>
      <c r="E60" s="90"/>
      <c r="O60" s="511"/>
      <c r="P60" s="510"/>
      <c r="Q60" s="510"/>
    </row>
    <row r="61" spans="2:17" ht="20.100000000000001" customHeight="1">
      <c r="B61" s="90"/>
      <c r="C61" s="345"/>
      <c r="D61" s="484" t="s">
        <v>422</v>
      </c>
      <c r="E61" s="90"/>
      <c r="O61" s="511"/>
      <c r="P61" s="510"/>
      <c r="Q61" s="510"/>
    </row>
    <row r="62" spans="2:17" ht="27" customHeight="1">
      <c r="B62" s="90"/>
      <c r="C62" s="345"/>
      <c r="D62" s="484" t="s">
        <v>631</v>
      </c>
      <c r="E62" s="90"/>
      <c r="O62" s="511"/>
      <c r="P62" s="510"/>
      <c r="Q62" s="510"/>
    </row>
    <row r="63" spans="2:17" ht="33" customHeight="1">
      <c r="B63" s="90"/>
      <c r="C63" s="345" t="s">
        <v>45</v>
      </c>
      <c r="D63" s="484" t="s">
        <v>637</v>
      </c>
      <c r="E63" s="90"/>
      <c r="O63" s="511"/>
      <c r="P63" s="510"/>
      <c r="Q63" s="510"/>
    </row>
    <row r="64" spans="2:17" ht="20.100000000000001" customHeight="1">
      <c r="B64" s="90"/>
      <c r="C64" s="343"/>
      <c r="D64" s="484" t="s">
        <v>331</v>
      </c>
      <c r="E64" s="90"/>
      <c r="O64" s="511"/>
      <c r="P64" s="510"/>
      <c r="Q64" s="510"/>
    </row>
    <row r="65" spans="2:17" ht="35.1" customHeight="1">
      <c r="B65" s="90"/>
      <c r="C65" s="343"/>
      <c r="D65" s="484" t="s">
        <v>624</v>
      </c>
      <c r="E65" s="90"/>
      <c r="O65" s="511"/>
      <c r="P65" s="510"/>
      <c r="Q65" s="510"/>
    </row>
    <row r="66" spans="2:17">
      <c r="B66" s="90"/>
      <c r="C66" s="343"/>
      <c r="D66" s="332"/>
      <c r="E66" s="90"/>
      <c r="O66" s="511"/>
      <c r="P66" s="510"/>
      <c r="Q66" s="510"/>
    </row>
    <row r="67" spans="2:17">
      <c r="O67" s="511"/>
      <c r="P67" s="510"/>
      <c r="Q67" s="510"/>
    </row>
    <row r="68" spans="2:17">
      <c r="O68" s="511"/>
      <c r="P68" s="510"/>
      <c r="Q68" s="510"/>
    </row>
    <row r="69" spans="2:17">
      <c r="O69" s="511"/>
      <c r="P69" s="510"/>
      <c r="Q69" s="510"/>
    </row>
    <row r="70" spans="2:17">
      <c r="D70" s="555"/>
      <c r="O70" s="511"/>
      <c r="P70" s="510"/>
      <c r="Q70" s="510"/>
    </row>
    <row r="71" spans="2:17">
      <c r="O71" s="511"/>
      <c r="P71" s="510"/>
      <c r="Q71" s="510"/>
    </row>
    <row r="72" spans="2:17">
      <c r="O72" s="511"/>
      <c r="P72" s="510"/>
      <c r="Q72" s="510"/>
    </row>
    <row r="73" spans="2:17">
      <c r="O73" s="511"/>
      <c r="P73" s="510"/>
      <c r="Q73" s="510"/>
    </row>
    <row r="74" spans="2:17">
      <c r="O74" s="511"/>
      <c r="P74" s="510"/>
      <c r="Q74" s="510"/>
    </row>
    <row r="75" spans="2:17">
      <c r="O75" s="511"/>
      <c r="P75" s="510"/>
      <c r="Q75" s="510"/>
    </row>
  </sheetData>
  <sortState xmlns:xlrd2="http://schemas.microsoft.com/office/spreadsheetml/2017/richdata2" ref="O42:Q76">
    <sortCondition descending="1" ref="Q42:Q76"/>
  </sortState>
  <mergeCells count="2">
    <mergeCell ref="B2:D2"/>
    <mergeCell ref="C5:D5"/>
  </mergeCells>
  <conditionalFormatting sqref="P5:Q20 P33:Q39">
    <cfRule type="cellIs" dxfId="1" priority="3" operator="equal">
      <formula>"Yes"</formula>
    </cfRule>
    <cfRule type="cellIs" dxfId="0" priority="4" operator="equal">
      <formula>"""Yes"""</formula>
    </cfRule>
  </conditionalFormatting>
  <hyperlinks>
    <hyperlink ref="G9" location="'AGE SEX'!A41" display="Life stage graph and tables" xr:uid="{00000000-0004-0000-0300-000000000000}"/>
    <hyperlink ref="G25" location="Methods!A1" display="Methods used graphs and tables" xr:uid="{00000000-0004-0000-0300-000001000000}"/>
    <hyperlink ref="G29" location="'DHB region'!A1" display="DHB graphs and tables (time trend)" xr:uid="{00000000-0004-0000-0300-000002000000}"/>
    <hyperlink ref="G32" location="'URBAN RURAL'!A1" display="Urban/rural graphs and tables" xr:uid="{00000000-0004-0000-0300-000003000000}"/>
    <hyperlink ref="G41" location="'MĀORI NON-MĀORI'!A1" display="Māori and non-Māori age and sex graphs and tables" xr:uid="{00000000-0004-0000-0300-000004000000}"/>
    <hyperlink ref="G48" location="'Māori Non-Māori'!A208" display="Māori and non-Māori methods used graphs and tables" xr:uid="{00000000-0004-0000-0300-000005000000}"/>
    <hyperlink ref="G46" location="'MĀORI NON-MĀORI'!A140" display="Māori and non-Māori deprivation graphs and tables" xr:uid="{00000000-0004-0000-0300-000006000000}"/>
    <hyperlink ref="G36" location="INTERNATIONAL!A1" display="International" xr:uid="{00000000-0004-0000-0300-000007000000}"/>
    <hyperlink ref="G49" location="'Ethnic group'!A1" display="Ethnic groups" xr:uid="{00000000-0004-0000-0300-000008000000}"/>
    <hyperlink ref="G19" location="Deprivation!A1" display="Deprivation graphs and tables" xr:uid="{00000000-0004-0000-0300-000009000000}"/>
    <hyperlink ref="G7" location="'AGE SEX'!A1" display="Age sex graph and tables" xr:uid="{00000000-0004-0000-0300-00000A000000}"/>
    <hyperlink ref="G1" location="Contents!A1" display="Back to Contents" xr:uid="{00000000-0004-0000-0300-00000B000000}"/>
  </hyperlinks>
  <pageMargins left="0.70866141732283472" right="0.70866141732283472" top="0.74803149606299213" bottom="0.74803149606299213" header="0.31496062992125984" footer="0.31496062992125984"/>
  <pageSetup paperSize="9" scale="48" fitToHeight="0" orientation="portrait" r:id="rId1"/>
  <rowBreaks count="1" manualBreakCount="1">
    <brk id="48"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H256"/>
  <sheetViews>
    <sheetView showGridLines="0" zoomScaleNormal="100" workbookViewId="0">
      <selection activeCell="BT23" sqref="BT23"/>
    </sheetView>
  </sheetViews>
  <sheetFormatPr defaultRowHeight="12.75"/>
  <cols>
    <col min="1" max="1" width="4.7109375" style="12" customWidth="1"/>
    <col min="2" max="2" width="1.7109375" style="12" customWidth="1"/>
    <col min="3" max="3" width="6.5703125" style="12" customWidth="1"/>
    <col min="4" max="11" width="9.140625" style="12"/>
    <col min="12" max="12" width="7.5703125" style="12" customWidth="1"/>
    <col min="13" max="13" width="5.85546875" style="12" customWidth="1"/>
    <col min="14" max="14" width="14.7109375" style="12" customWidth="1"/>
    <col min="15" max="15" width="26.140625" style="24" customWidth="1"/>
    <col min="16" max="16" width="11.85546875" style="24" customWidth="1"/>
    <col min="17" max="17" width="11.140625" style="25" customWidth="1"/>
    <col min="18" max="18" width="12" style="31" customWidth="1"/>
    <col min="19" max="19" width="6.28515625" style="119" customWidth="1"/>
    <col min="20" max="28" width="6.7109375" style="119" customWidth="1"/>
    <col min="29" max="37" width="6.7109375" style="46" customWidth="1"/>
    <col min="38" max="38" width="6.7109375" style="37" customWidth="1"/>
    <col min="39" max="40" width="6.7109375" style="12" customWidth="1"/>
    <col min="41" max="59" width="9.140625" style="494"/>
    <col min="60" max="84" width="9.140625" style="583"/>
    <col min="85" max="85" width="9.140625" style="456"/>
    <col min="86" max="86" width="9.140625" style="64"/>
    <col min="87" max="16384" width="9.140625" style="12"/>
  </cols>
  <sheetData>
    <row r="1" spans="1:84">
      <c r="O1" s="126" t="s">
        <v>371</v>
      </c>
    </row>
    <row r="2" spans="1:84" ht="23.25">
      <c r="C2" s="115" t="s">
        <v>344</v>
      </c>
      <c r="O2" s="126" t="s">
        <v>372</v>
      </c>
    </row>
    <row r="3" spans="1:84">
      <c r="O3" s="126" t="s">
        <v>373</v>
      </c>
    </row>
    <row r="4" spans="1:84" ht="78" customHeight="1">
      <c r="C4" s="654" t="s">
        <v>433</v>
      </c>
      <c r="D4" s="655"/>
      <c r="E4" s="655"/>
      <c r="F4" s="655"/>
      <c r="G4" s="655"/>
      <c r="H4" s="655"/>
      <c r="I4" s="655"/>
      <c r="J4" s="655"/>
      <c r="K4" s="655"/>
      <c r="L4" s="655"/>
      <c r="M4" s="655"/>
      <c r="N4" s="655"/>
    </row>
    <row r="6" spans="1:84">
      <c r="B6" s="70"/>
      <c r="C6" s="70"/>
      <c r="D6" s="70"/>
      <c r="E6" s="70"/>
      <c r="F6" s="70"/>
      <c r="G6" s="70"/>
      <c r="H6" s="70"/>
      <c r="I6" s="70"/>
      <c r="J6" s="70"/>
      <c r="K6" s="70"/>
      <c r="L6" s="70"/>
      <c r="M6" s="70"/>
    </row>
    <row r="7" spans="1:84" ht="15">
      <c r="B7" s="70"/>
      <c r="C7" s="91" t="s">
        <v>508</v>
      </c>
      <c r="D7" s="70"/>
      <c r="E7" s="70"/>
      <c r="F7" s="70"/>
      <c r="G7" s="70"/>
      <c r="H7" s="70"/>
      <c r="I7" s="70"/>
      <c r="J7" s="70"/>
      <c r="K7" s="70"/>
      <c r="L7" s="70"/>
      <c r="M7" s="70"/>
      <c r="O7" s="127" t="s">
        <v>513</v>
      </c>
      <c r="BI7" s="583" t="s">
        <v>3</v>
      </c>
      <c r="BJ7" s="583" t="s">
        <v>37</v>
      </c>
    </row>
    <row r="8" spans="1:84" ht="15">
      <c r="B8" s="70"/>
      <c r="C8" s="70"/>
      <c r="D8" s="70"/>
      <c r="E8" s="70"/>
      <c r="F8" s="70"/>
      <c r="G8" s="70"/>
      <c r="H8" s="70"/>
      <c r="I8" s="70"/>
      <c r="J8" s="70"/>
      <c r="K8" s="70"/>
      <c r="L8" s="70"/>
      <c r="M8" s="70"/>
      <c r="P8" s="127"/>
      <c r="Q8" s="286"/>
      <c r="R8" s="208"/>
      <c r="S8" s="162"/>
      <c r="BL8" s="583">
        <v>1996</v>
      </c>
      <c r="BM8" s="583">
        <v>1997</v>
      </c>
      <c r="BN8" s="583">
        <v>1998</v>
      </c>
      <c r="BO8" s="583">
        <v>1999</v>
      </c>
      <c r="BP8" s="583">
        <v>2000</v>
      </c>
      <c r="BQ8" s="583">
        <v>2001</v>
      </c>
      <c r="BR8" s="583">
        <v>2002</v>
      </c>
      <c r="BS8" s="583">
        <v>2003</v>
      </c>
      <c r="BT8" s="583">
        <v>2004</v>
      </c>
      <c r="BU8" s="583">
        <v>2005</v>
      </c>
      <c r="BV8" s="583">
        <v>2006</v>
      </c>
      <c r="BW8" s="583">
        <v>2007</v>
      </c>
      <c r="BX8" s="583">
        <v>2008</v>
      </c>
      <c r="BY8" s="583">
        <v>2009</v>
      </c>
      <c r="BZ8" s="583">
        <v>2010</v>
      </c>
      <c r="CA8" s="583">
        <v>2011</v>
      </c>
      <c r="CB8" s="583">
        <v>2012</v>
      </c>
      <c r="CC8" s="583">
        <v>2013</v>
      </c>
      <c r="CD8" s="583">
        <v>2014</v>
      </c>
      <c r="CE8" s="583">
        <v>2015</v>
      </c>
      <c r="CF8" s="583">
        <v>2016</v>
      </c>
    </row>
    <row r="9" spans="1:84">
      <c r="B9" s="70"/>
      <c r="C9" s="70"/>
      <c r="D9" s="70"/>
      <c r="E9" s="70"/>
      <c r="F9" s="70"/>
      <c r="G9" s="70"/>
      <c r="H9" s="70"/>
      <c r="I9" s="70"/>
      <c r="J9" s="70"/>
      <c r="K9" s="70"/>
      <c r="L9" s="70"/>
      <c r="M9" s="70"/>
      <c r="O9" s="120" t="s">
        <v>3</v>
      </c>
      <c r="P9" s="158" t="s">
        <v>37</v>
      </c>
      <c r="BI9" s="583" t="s">
        <v>0</v>
      </c>
      <c r="BJ9" s="583" t="s">
        <v>9</v>
      </c>
      <c r="BK9" s="583" t="s">
        <v>22</v>
      </c>
      <c r="BL9" s="583">
        <f>VLOOKUP(BL8&amp;"AllSex"&amp;"Maori"&amp;19,agesextable,7,FALSE)</f>
        <v>18.424036081023001</v>
      </c>
      <c r="BM9" s="583">
        <f t="shared" ref="BM9:CF9" si="0">VLOOKUP(BM$8&amp;"AllSex"&amp;"Maori"&amp;19,agesextable,7,FALSE)</f>
        <v>19.8982046762785</v>
      </c>
      <c r="BN9" s="583">
        <f t="shared" si="0"/>
        <v>20.911450065459601</v>
      </c>
      <c r="BO9" s="583">
        <f t="shared" si="0"/>
        <v>13.680080488400799</v>
      </c>
      <c r="BP9" s="583">
        <f t="shared" si="0"/>
        <v>15.0216247954586</v>
      </c>
      <c r="BQ9" s="583">
        <f t="shared" si="0"/>
        <v>14.087317407503001</v>
      </c>
      <c r="BR9" s="583">
        <f t="shared" si="0"/>
        <v>13.892088049665601</v>
      </c>
      <c r="BS9" s="583">
        <f t="shared" si="0"/>
        <v>14.459643080013199</v>
      </c>
      <c r="BT9" s="583">
        <f t="shared" si="0"/>
        <v>18.923065742235899</v>
      </c>
      <c r="BU9" s="583">
        <f t="shared" si="0"/>
        <v>17.852603495775298</v>
      </c>
      <c r="BV9" s="583">
        <f t="shared" si="0"/>
        <v>17.9531609994688</v>
      </c>
      <c r="BW9" s="583">
        <f t="shared" si="0"/>
        <v>16.111509144203101</v>
      </c>
      <c r="BX9" s="583">
        <f t="shared" si="0"/>
        <v>14.0105109663824</v>
      </c>
      <c r="BY9" s="583">
        <f t="shared" si="0"/>
        <v>13.081017831193</v>
      </c>
      <c r="BZ9" s="583">
        <f t="shared" si="0"/>
        <v>15.806302990390501</v>
      </c>
      <c r="CA9" s="583">
        <f t="shared" si="0"/>
        <v>17.366835060391999</v>
      </c>
      <c r="CB9" s="583">
        <f t="shared" si="0"/>
        <v>17.511079499725199</v>
      </c>
      <c r="CC9" s="583">
        <f t="shared" si="0"/>
        <v>15.8165730495112</v>
      </c>
      <c r="CD9" s="583">
        <f t="shared" si="0"/>
        <v>14.573975403997499</v>
      </c>
      <c r="CE9" s="583">
        <f t="shared" si="0"/>
        <v>17.835459808531901</v>
      </c>
      <c r="CF9" s="583">
        <f t="shared" si="0"/>
        <v>20.237649160748301</v>
      </c>
    </row>
    <row r="10" spans="1:84">
      <c r="B10" s="70"/>
      <c r="C10" s="70"/>
      <c r="D10" s="70"/>
      <c r="E10" s="70"/>
      <c r="F10" s="70"/>
      <c r="G10" s="70"/>
      <c r="H10" s="70"/>
      <c r="I10" s="70"/>
      <c r="J10" s="70"/>
      <c r="K10" s="70"/>
      <c r="L10" s="70"/>
      <c r="M10" s="70"/>
      <c r="O10" s="25"/>
      <c r="P10" s="25"/>
      <c r="S10" s="163">
        <v>1996</v>
      </c>
      <c r="T10" s="163">
        <v>1997</v>
      </c>
      <c r="U10" s="163">
        <v>1998</v>
      </c>
      <c r="V10" s="163">
        <v>1999</v>
      </c>
      <c r="W10" s="163">
        <v>2000</v>
      </c>
      <c r="X10" s="163">
        <v>2001</v>
      </c>
      <c r="Y10" s="163">
        <v>2002</v>
      </c>
      <c r="Z10" s="163">
        <v>2003</v>
      </c>
      <c r="AA10" s="163">
        <v>2004</v>
      </c>
      <c r="AB10" s="163">
        <v>2005</v>
      </c>
      <c r="AC10" s="163">
        <v>2006</v>
      </c>
      <c r="AD10" s="48">
        <v>2007</v>
      </c>
      <c r="AE10" s="48">
        <v>2008</v>
      </c>
      <c r="AF10" s="48">
        <v>2009</v>
      </c>
      <c r="AG10" s="48">
        <v>2010</v>
      </c>
      <c r="AH10" s="48">
        <v>2011</v>
      </c>
      <c r="AI10" s="48">
        <v>2012</v>
      </c>
      <c r="AJ10" s="48">
        <v>2013</v>
      </c>
      <c r="AK10" s="48">
        <v>2014</v>
      </c>
      <c r="AL10" s="48">
        <v>2015</v>
      </c>
      <c r="AM10" s="48">
        <v>2016</v>
      </c>
      <c r="BK10" s="583" t="s">
        <v>16</v>
      </c>
      <c r="BL10" s="583">
        <f t="shared" ref="BL10:CE10" si="1">VLOOKUP(BL8&amp;"AllSex"&amp;"Maori"&amp;19,agesextable,8,FALSE)</f>
        <v>3.7</v>
      </c>
      <c r="BM10" s="583">
        <f t="shared" si="1"/>
        <v>3.8</v>
      </c>
      <c r="BN10" s="583">
        <f t="shared" si="1"/>
        <v>3.9</v>
      </c>
      <c r="BO10" s="583">
        <f t="shared" si="1"/>
        <v>3</v>
      </c>
      <c r="BP10" s="583">
        <f t="shared" si="1"/>
        <v>3.3</v>
      </c>
      <c r="BQ10" s="583">
        <f t="shared" si="1"/>
        <v>3.1</v>
      </c>
      <c r="BR10" s="583">
        <f t="shared" si="1"/>
        <v>3</v>
      </c>
      <c r="BS10" s="583">
        <f t="shared" si="1"/>
        <v>3</v>
      </c>
      <c r="BT10" s="583">
        <f t="shared" si="1"/>
        <v>3.5</v>
      </c>
      <c r="BU10" s="583">
        <f t="shared" si="1"/>
        <v>3.4</v>
      </c>
      <c r="BV10" s="583">
        <f t="shared" si="1"/>
        <v>3.4</v>
      </c>
      <c r="BW10" s="583">
        <f t="shared" si="1"/>
        <v>3.2</v>
      </c>
      <c r="BX10" s="583">
        <f t="shared" si="1"/>
        <v>2.9</v>
      </c>
      <c r="BY10" s="583">
        <f t="shared" si="1"/>
        <v>2.8</v>
      </c>
      <c r="BZ10" s="583">
        <f t="shared" si="1"/>
        <v>3.1</v>
      </c>
      <c r="CA10" s="583">
        <f t="shared" si="1"/>
        <v>3.2</v>
      </c>
      <c r="CB10" s="583">
        <f t="shared" si="1"/>
        <v>3.2</v>
      </c>
      <c r="CC10" s="583">
        <f t="shared" si="1"/>
        <v>3</v>
      </c>
      <c r="CD10" s="583">
        <f t="shared" si="1"/>
        <v>3</v>
      </c>
      <c r="CE10" s="583">
        <f t="shared" si="1"/>
        <v>3.2</v>
      </c>
      <c r="CF10" s="583">
        <f t="shared" ref="CF10" si="2">VLOOKUP(CF8&amp;"AllSex"&amp;"Maori"&amp;19,agesextable,8,FALSE)</f>
        <v>3.4</v>
      </c>
    </row>
    <row r="11" spans="1:84">
      <c r="B11" s="70"/>
      <c r="C11" s="70"/>
      <c r="D11" s="70"/>
      <c r="E11" s="70"/>
      <c r="F11" s="70"/>
      <c r="G11" s="70"/>
      <c r="H11" s="70"/>
      <c r="I11" s="70"/>
      <c r="J11" s="70"/>
      <c r="K11" s="70"/>
      <c r="L11" s="70"/>
      <c r="M11" s="70"/>
      <c r="O11" s="25" t="s">
        <v>0</v>
      </c>
      <c r="P11" s="25" t="s">
        <v>9</v>
      </c>
      <c r="Q11" s="25" t="s">
        <v>21</v>
      </c>
      <c r="S11" s="119">
        <f t="shared" ref="S11:AM11" si="3">VLOOKUP(S$10&amp;"AllSex"&amp;"Maori"&amp;19,agesextable,6,FALSE)</f>
        <v>97</v>
      </c>
      <c r="T11" s="119">
        <f t="shared" si="3"/>
        <v>106</v>
      </c>
      <c r="U11" s="119">
        <f t="shared" si="3"/>
        <v>112</v>
      </c>
      <c r="V11" s="119">
        <f t="shared" si="3"/>
        <v>79</v>
      </c>
      <c r="W11" s="119">
        <f t="shared" si="3"/>
        <v>80</v>
      </c>
      <c r="X11" s="119">
        <f t="shared" si="3"/>
        <v>79</v>
      </c>
      <c r="Y11" s="119">
        <f t="shared" si="3"/>
        <v>80</v>
      </c>
      <c r="Z11" s="119">
        <f t="shared" si="3"/>
        <v>87</v>
      </c>
      <c r="AA11" s="119">
        <f t="shared" si="3"/>
        <v>111</v>
      </c>
      <c r="AB11" s="119">
        <f t="shared" si="3"/>
        <v>105</v>
      </c>
      <c r="AC11" s="119">
        <f t="shared" si="3"/>
        <v>108</v>
      </c>
      <c r="AD11" s="119">
        <f t="shared" si="3"/>
        <v>97</v>
      </c>
      <c r="AE11" s="119">
        <f t="shared" si="3"/>
        <v>87</v>
      </c>
      <c r="AF11" s="119">
        <f t="shared" si="3"/>
        <v>83</v>
      </c>
      <c r="AG11" s="119">
        <f t="shared" si="3"/>
        <v>102</v>
      </c>
      <c r="AH11" s="119">
        <f t="shared" si="3"/>
        <v>113</v>
      </c>
      <c r="AI11" s="119">
        <f t="shared" si="3"/>
        <v>118</v>
      </c>
      <c r="AJ11" s="119">
        <f t="shared" si="3"/>
        <v>104</v>
      </c>
      <c r="AK11" s="119">
        <f t="shared" si="3"/>
        <v>93</v>
      </c>
      <c r="AL11" s="119">
        <f t="shared" si="3"/>
        <v>118</v>
      </c>
      <c r="AM11" s="119">
        <f t="shared" si="3"/>
        <v>135</v>
      </c>
      <c r="BK11" s="583" t="s">
        <v>409</v>
      </c>
      <c r="BL11" s="584">
        <f>BL10/BL9*100</f>
        <v>20.082461756634579</v>
      </c>
      <c r="BM11" s="584">
        <f t="shared" ref="BM11:CE11" si="4">BM10/BM9*100</f>
        <v>19.097200284255507</v>
      </c>
      <c r="BN11" s="584">
        <f t="shared" si="4"/>
        <v>18.650069640277163</v>
      </c>
      <c r="BO11" s="584">
        <f t="shared" si="4"/>
        <v>21.929695534640086</v>
      </c>
      <c r="BP11" s="584">
        <f t="shared" si="4"/>
        <v>21.968329291500275</v>
      </c>
      <c r="BQ11" s="584">
        <f t="shared" si="4"/>
        <v>22.005609090265253</v>
      </c>
      <c r="BR11" s="584">
        <f t="shared" si="4"/>
        <v>21.595025810912663</v>
      </c>
      <c r="BS11" s="584">
        <f t="shared" si="4"/>
        <v>20.747400080343208</v>
      </c>
      <c r="BT11" s="584">
        <f t="shared" si="4"/>
        <v>18.495945887817062</v>
      </c>
      <c r="BU11" s="584">
        <f t="shared" si="4"/>
        <v>19.044841279338264</v>
      </c>
      <c r="BV11" s="584">
        <f t="shared" si="4"/>
        <v>18.938169161968744</v>
      </c>
      <c r="BW11" s="584">
        <f t="shared" si="4"/>
        <v>19.861578275250245</v>
      </c>
      <c r="BX11" s="584">
        <f t="shared" si="4"/>
        <v>20.698745441607528</v>
      </c>
      <c r="BY11" s="584">
        <f t="shared" si="4"/>
        <v>21.40506217584322</v>
      </c>
      <c r="BZ11" s="584">
        <f t="shared" si="4"/>
        <v>19.612429306743369</v>
      </c>
      <c r="CA11" s="584">
        <f t="shared" si="4"/>
        <v>18.425924982141051</v>
      </c>
      <c r="CB11" s="584">
        <f t="shared" si="4"/>
        <v>18.274144663955287</v>
      </c>
      <c r="CC11" s="584">
        <f t="shared" si="4"/>
        <v>18.967446302109753</v>
      </c>
      <c r="CD11" s="584">
        <f t="shared" si="4"/>
        <v>20.584637457101302</v>
      </c>
      <c r="CE11" s="584">
        <f t="shared" si="4"/>
        <v>17.941785826397506</v>
      </c>
      <c r="CF11" s="584">
        <f t="shared" ref="CF11" si="5">CF10/CF9*100</f>
        <v>16.800370304839706</v>
      </c>
    </row>
    <row r="12" spans="1:84">
      <c r="B12" s="70"/>
      <c r="C12" s="70"/>
      <c r="D12" s="70"/>
      <c r="E12" s="70"/>
      <c r="F12" s="70"/>
      <c r="G12" s="70"/>
      <c r="H12" s="70"/>
      <c r="I12" s="70"/>
      <c r="J12" s="70"/>
      <c r="K12" s="70"/>
      <c r="L12" s="70"/>
      <c r="M12" s="70"/>
      <c r="O12" s="25"/>
      <c r="P12" s="25"/>
      <c r="Q12" s="25" t="s">
        <v>22</v>
      </c>
      <c r="S12" s="45">
        <f>VLOOKUP(S10&amp;"AllSex"&amp;"Maori"&amp;19,agesextable,7,FALSE)</f>
        <v>18.424036081023001</v>
      </c>
      <c r="T12" s="45">
        <f t="shared" ref="T12:AM12" si="6">VLOOKUP(T$10&amp;"AllSex"&amp;"Maori"&amp;19,agesextable,7,FALSE)</f>
        <v>19.8982046762785</v>
      </c>
      <c r="U12" s="45">
        <f t="shared" si="6"/>
        <v>20.911450065459601</v>
      </c>
      <c r="V12" s="45">
        <f t="shared" si="6"/>
        <v>13.680080488400799</v>
      </c>
      <c r="W12" s="45">
        <f t="shared" si="6"/>
        <v>15.0216247954586</v>
      </c>
      <c r="X12" s="45">
        <f t="shared" si="6"/>
        <v>14.087317407503001</v>
      </c>
      <c r="Y12" s="45">
        <f t="shared" si="6"/>
        <v>13.892088049665601</v>
      </c>
      <c r="Z12" s="45">
        <f t="shared" si="6"/>
        <v>14.459643080013199</v>
      </c>
      <c r="AA12" s="45">
        <f t="shared" si="6"/>
        <v>18.923065742235899</v>
      </c>
      <c r="AB12" s="45">
        <f t="shared" si="6"/>
        <v>17.852603495775298</v>
      </c>
      <c r="AC12" s="45">
        <f t="shared" si="6"/>
        <v>17.9531609994688</v>
      </c>
      <c r="AD12" s="45">
        <f t="shared" si="6"/>
        <v>16.111509144203101</v>
      </c>
      <c r="AE12" s="45">
        <f t="shared" si="6"/>
        <v>14.0105109663824</v>
      </c>
      <c r="AF12" s="45">
        <f t="shared" si="6"/>
        <v>13.081017831193</v>
      </c>
      <c r="AG12" s="45">
        <f t="shared" si="6"/>
        <v>15.806302990390501</v>
      </c>
      <c r="AH12" s="45">
        <f t="shared" si="6"/>
        <v>17.366835060391999</v>
      </c>
      <c r="AI12" s="45">
        <f t="shared" si="6"/>
        <v>17.511079499725199</v>
      </c>
      <c r="AJ12" s="45">
        <f t="shared" si="6"/>
        <v>15.8165730495112</v>
      </c>
      <c r="AK12" s="45">
        <f t="shared" si="6"/>
        <v>14.573975403997499</v>
      </c>
      <c r="AL12" s="45">
        <f t="shared" si="6"/>
        <v>17.835459808531901</v>
      </c>
      <c r="AM12" s="45">
        <f t="shared" si="6"/>
        <v>20.237649160748301</v>
      </c>
    </row>
    <row r="13" spans="1:84">
      <c r="B13" s="70"/>
      <c r="C13" s="70"/>
      <c r="D13" s="70"/>
      <c r="E13" s="70"/>
      <c r="F13" s="70"/>
      <c r="G13" s="70"/>
      <c r="H13" s="70"/>
      <c r="I13" s="70"/>
      <c r="J13" s="70"/>
      <c r="K13" s="75"/>
      <c r="L13" s="75"/>
      <c r="M13" s="75"/>
      <c r="N13" s="33"/>
      <c r="O13" s="25"/>
      <c r="P13" s="25"/>
      <c r="AC13" s="119"/>
      <c r="AL13" s="46"/>
      <c r="AM13" s="46"/>
    </row>
    <row r="14" spans="1:84" ht="18" customHeight="1">
      <c r="A14" s="33"/>
      <c r="B14" s="75"/>
      <c r="C14" s="75"/>
      <c r="D14" s="75"/>
      <c r="E14" s="75"/>
      <c r="F14" s="75"/>
      <c r="G14" s="75"/>
      <c r="H14" s="70"/>
      <c r="I14" s="70"/>
      <c r="J14" s="70"/>
      <c r="K14" s="75"/>
      <c r="L14" s="75"/>
      <c r="M14" s="75"/>
      <c r="N14" s="33"/>
      <c r="O14" s="25" t="s">
        <v>20</v>
      </c>
      <c r="P14" s="25" t="s">
        <v>9</v>
      </c>
      <c r="Q14" s="25" t="s">
        <v>21</v>
      </c>
      <c r="S14" s="119">
        <f t="shared" ref="S14:AL14" si="7">VLOOKUP(S10&amp;"Male"&amp;"Maori"&amp;19,agesextable,6,FALSE)</f>
        <v>73</v>
      </c>
      <c r="T14" s="119">
        <f t="shared" si="7"/>
        <v>80</v>
      </c>
      <c r="U14" s="119">
        <f t="shared" si="7"/>
        <v>87</v>
      </c>
      <c r="V14" s="119">
        <f t="shared" si="7"/>
        <v>59</v>
      </c>
      <c r="W14" s="119">
        <f t="shared" si="7"/>
        <v>69</v>
      </c>
      <c r="X14" s="119">
        <f t="shared" si="7"/>
        <v>58</v>
      </c>
      <c r="Y14" s="119">
        <f t="shared" si="7"/>
        <v>60</v>
      </c>
      <c r="Z14" s="119">
        <f t="shared" si="7"/>
        <v>67</v>
      </c>
      <c r="AA14" s="119">
        <f t="shared" si="7"/>
        <v>83</v>
      </c>
      <c r="AB14" s="119">
        <f t="shared" si="7"/>
        <v>78</v>
      </c>
      <c r="AC14" s="119">
        <f t="shared" si="7"/>
        <v>75</v>
      </c>
      <c r="AD14" s="119">
        <f t="shared" si="7"/>
        <v>74</v>
      </c>
      <c r="AE14" s="119">
        <f t="shared" si="7"/>
        <v>56</v>
      </c>
      <c r="AF14" s="119">
        <f t="shared" si="7"/>
        <v>58</v>
      </c>
      <c r="AG14" s="119">
        <f t="shared" si="7"/>
        <v>72</v>
      </c>
      <c r="AH14" s="119">
        <f t="shared" si="7"/>
        <v>81</v>
      </c>
      <c r="AI14" s="119">
        <f t="shared" si="7"/>
        <v>81</v>
      </c>
      <c r="AJ14" s="119">
        <f t="shared" si="7"/>
        <v>65</v>
      </c>
      <c r="AK14" s="119">
        <f t="shared" si="7"/>
        <v>66</v>
      </c>
      <c r="AL14" s="119">
        <f t="shared" si="7"/>
        <v>78</v>
      </c>
      <c r="AM14" s="119">
        <f t="shared" ref="AM14" si="8">VLOOKUP(AM10&amp;"Male"&amp;"Maori"&amp;19,agesextable,6,FALSE)</f>
        <v>98</v>
      </c>
      <c r="AO14" s="499"/>
      <c r="AP14" s="499"/>
      <c r="AQ14" s="499"/>
      <c r="AR14" s="499"/>
      <c r="AS14" s="499"/>
      <c r="BI14" s="583" t="s">
        <v>338</v>
      </c>
    </row>
    <row r="15" spans="1:84" ht="17.25" customHeight="1">
      <c r="A15" s="33"/>
      <c r="B15" s="75"/>
      <c r="C15" s="75"/>
      <c r="D15" s="75"/>
      <c r="E15" s="75"/>
      <c r="F15" s="75"/>
      <c r="G15" s="75"/>
      <c r="H15" s="104"/>
      <c r="I15" s="70"/>
      <c r="J15" s="70"/>
      <c r="K15" s="105"/>
      <c r="L15" s="75"/>
      <c r="M15" s="75"/>
      <c r="N15" s="33"/>
      <c r="O15" s="31"/>
      <c r="P15" s="31"/>
      <c r="Q15" s="31" t="s">
        <v>22</v>
      </c>
      <c r="S15" s="45">
        <f t="shared" ref="S15:AM15" si="9">VLOOKUP(S$10&amp;"Male"&amp;"Maori"&amp;19,agesextable,7,FALSE)</f>
        <v>28.6634614636843</v>
      </c>
      <c r="T15" s="45">
        <f t="shared" si="9"/>
        <v>30.622870852715899</v>
      </c>
      <c r="U15" s="45">
        <f t="shared" si="9"/>
        <v>34.348686121607798</v>
      </c>
      <c r="V15" s="45">
        <f t="shared" si="9"/>
        <v>21.453377474962299</v>
      </c>
      <c r="W15" s="45">
        <f t="shared" si="9"/>
        <v>27.198711801126699</v>
      </c>
      <c r="X15" s="45">
        <f t="shared" si="9"/>
        <v>22.0828947481947</v>
      </c>
      <c r="Y15" s="45">
        <f t="shared" si="9"/>
        <v>21.881613181334401</v>
      </c>
      <c r="Z15" s="45">
        <f t="shared" si="9"/>
        <v>23.229010507537701</v>
      </c>
      <c r="AA15" s="45">
        <f t="shared" si="9"/>
        <v>30.210797391523901</v>
      </c>
      <c r="AB15" s="45">
        <f t="shared" si="9"/>
        <v>27.973177382021099</v>
      </c>
      <c r="AC15" s="45">
        <f t="shared" si="9"/>
        <v>25.8876809253644</v>
      </c>
      <c r="AD15" s="45">
        <f t="shared" si="9"/>
        <v>25.915091779548401</v>
      </c>
      <c r="AE15" s="45">
        <f t="shared" si="9"/>
        <v>19.8732690696398</v>
      </c>
      <c r="AF15" s="45">
        <f t="shared" si="9"/>
        <v>19.4811396989931</v>
      </c>
      <c r="AG15" s="45">
        <f t="shared" si="9"/>
        <v>23.689392361421</v>
      </c>
      <c r="AH15" s="45">
        <f t="shared" si="9"/>
        <v>26.239623561034499</v>
      </c>
      <c r="AI15" s="45">
        <f t="shared" si="9"/>
        <v>25.431338448587201</v>
      </c>
      <c r="AJ15" s="45">
        <f t="shared" si="9"/>
        <v>21.1859227055823</v>
      </c>
      <c r="AK15" s="45">
        <f t="shared" si="9"/>
        <v>22.014569367455099</v>
      </c>
      <c r="AL15" s="45">
        <f t="shared" si="9"/>
        <v>25.5838413177833</v>
      </c>
      <c r="AM15" s="45">
        <f t="shared" si="9"/>
        <v>31.3123998180094</v>
      </c>
      <c r="AO15" s="495"/>
      <c r="AP15" s="495"/>
      <c r="AQ15" s="495"/>
      <c r="AR15" s="495"/>
      <c r="AS15" s="495"/>
    </row>
    <row r="16" spans="1:84">
      <c r="A16" s="33"/>
      <c r="B16" s="75"/>
      <c r="C16" s="75"/>
      <c r="D16" s="75"/>
      <c r="E16" s="75"/>
      <c r="F16" s="75"/>
      <c r="G16" s="75"/>
      <c r="H16" s="70"/>
      <c r="I16" s="70"/>
      <c r="J16" s="70"/>
      <c r="K16" s="75"/>
      <c r="L16" s="75"/>
      <c r="M16" s="75"/>
      <c r="N16" s="33"/>
      <c r="O16" s="31"/>
      <c r="P16" s="31"/>
      <c r="Q16" s="31"/>
      <c r="AC16" s="119"/>
      <c r="AL16" s="46"/>
      <c r="AM16" s="46"/>
      <c r="AO16" s="505"/>
      <c r="AP16" s="505"/>
      <c r="AQ16" s="505"/>
      <c r="AR16" s="505"/>
      <c r="AS16" s="505"/>
      <c r="BI16" s="583" t="s">
        <v>0</v>
      </c>
      <c r="BJ16" s="583" t="s">
        <v>9</v>
      </c>
      <c r="BK16" s="583" t="s">
        <v>22</v>
      </c>
      <c r="BL16" s="583">
        <f>VLOOKUP(BL$8&amp;"AllSex"&amp;"Non-Maori"&amp;19,agesextable,7,FALSE)</f>
        <v>13.202661641130099</v>
      </c>
      <c r="BM16" s="583">
        <f t="shared" ref="BM16:CF16" si="10">VLOOKUP(BM$8&amp;"AllSex"&amp;"Non-Maori"&amp;19,agesextable,7,FALSE)</f>
        <v>13.6356969902152</v>
      </c>
      <c r="BN16" s="583">
        <f t="shared" si="10"/>
        <v>13.719933399984299</v>
      </c>
      <c r="BO16" s="583">
        <f t="shared" si="10"/>
        <v>12.8048336121334</v>
      </c>
      <c r="BP16" s="583">
        <f t="shared" si="10"/>
        <v>11.1683814296716</v>
      </c>
      <c r="BQ16" s="583">
        <f t="shared" si="10"/>
        <v>12.3764768268776</v>
      </c>
      <c r="BR16" s="583">
        <f t="shared" si="10"/>
        <v>10.9882846931341</v>
      </c>
      <c r="BS16" s="583">
        <f t="shared" si="10"/>
        <v>11.6548370610064</v>
      </c>
      <c r="BT16" s="583">
        <f t="shared" si="10"/>
        <v>10.3253251579566</v>
      </c>
      <c r="BU16" s="583">
        <f t="shared" si="10"/>
        <v>10.916375074971301</v>
      </c>
      <c r="BV16" s="583">
        <f t="shared" si="10"/>
        <v>10.9315740531038</v>
      </c>
      <c r="BW16" s="583">
        <f t="shared" si="10"/>
        <v>10.318814507971201</v>
      </c>
      <c r="BX16" s="583">
        <f t="shared" si="10"/>
        <v>11.1639267014209</v>
      </c>
      <c r="BY16" s="583">
        <f t="shared" si="10"/>
        <v>10.9175102802797</v>
      </c>
      <c r="BZ16" s="583">
        <f t="shared" si="10"/>
        <v>10.8724229875909</v>
      </c>
      <c r="CA16" s="583">
        <f t="shared" si="10"/>
        <v>9.6392127320325294</v>
      </c>
      <c r="CB16" s="583">
        <f t="shared" si="10"/>
        <v>10.8700975052411</v>
      </c>
      <c r="CC16" s="583">
        <f t="shared" si="10"/>
        <v>9.7148957708980408</v>
      </c>
      <c r="CD16" s="583">
        <f t="shared" si="10"/>
        <v>9.8906686786863496</v>
      </c>
      <c r="CE16" s="583">
        <f t="shared" si="10"/>
        <v>9.6400921606719798</v>
      </c>
      <c r="CF16" s="583">
        <f t="shared" si="10"/>
        <v>9.5499137559285696</v>
      </c>
    </row>
    <row r="17" spans="1:84">
      <c r="A17" s="33"/>
      <c r="B17" s="75"/>
      <c r="C17" s="75"/>
      <c r="D17" s="75"/>
      <c r="E17" s="75"/>
      <c r="F17" s="75"/>
      <c r="G17" s="75"/>
      <c r="H17" s="70"/>
      <c r="I17" s="70"/>
      <c r="J17" s="70"/>
      <c r="K17" s="75"/>
      <c r="L17" s="75"/>
      <c r="M17" s="75"/>
      <c r="N17" s="33"/>
      <c r="O17" s="31" t="s">
        <v>8</v>
      </c>
      <c r="P17" s="31" t="s">
        <v>9</v>
      </c>
      <c r="Q17" s="31" t="s">
        <v>21</v>
      </c>
      <c r="S17" s="119">
        <f t="shared" ref="S17:AM17" si="11">VLOOKUP(S$10&amp;"Female"&amp;"Maori"&amp;19,agesextable,6,FALSE)</f>
        <v>24</v>
      </c>
      <c r="T17" s="119">
        <f t="shared" si="11"/>
        <v>26</v>
      </c>
      <c r="U17" s="119">
        <f t="shared" si="11"/>
        <v>25</v>
      </c>
      <c r="V17" s="119">
        <f t="shared" si="11"/>
        <v>20</v>
      </c>
      <c r="W17" s="119">
        <f t="shared" si="11"/>
        <v>11</v>
      </c>
      <c r="X17" s="119">
        <f t="shared" si="11"/>
        <v>21</v>
      </c>
      <c r="Y17" s="119">
        <f t="shared" si="11"/>
        <v>20</v>
      </c>
      <c r="Z17" s="119">
        <f t="shared" si="11"/>
        <v>20</v>
      </c>
      <c r="AA17" s="119">
        <f t="shared" si="11"/>
        <v>28</v>
      </c>
      <c r="AB17" s="119">
        <f t="shared" si="11"/>
        <v>27</v>
      </c>
      <c r="AC17" s="119">
        <f t="shared" si="11"/>
        <v>33</v>
      </c>
      <c r="AD17" s="119">
        <f t="shared" si="11"/>
        <v>23</v>
      </c>
      <c r="AE17" s="119">
        <f t="shared" si="11"/>
        <v>31</v>
      </c>
      <c r="AF17" s="119">
        <f t="shared" si="11"/>
        <v>25</v>
      </c>
      <c r="AG17" s="119">
        <f t="shared" si="11"/>
        <v>30</v>
      </c>
      <c r="AH17" s="119">
        <f t="shared" si="11"/>
        <v>32</v>
      </c>
      <c r="AI17" s="119">
        <f t="shared" si="11"/>
        <v>37</v>
      </c>
      <c r="AJ17" s="119">
        <f t="shared" si="11"/>
        <v>39</v>
      </c>
      <c r="AK17" s="119">
        <f t="shared" si="11"/>
        <v>27</v>
      </c>
      <c r="AL17" s="119">
        <f t="shared" si="11"/>
        <v>40</v>
      </c>
      <c r="AM17" s="119">
        <f t="shared" si="11"/>
        <v>37</v>
      </c>
      <c r="BK17" s="583" t="s">
        <v>16</v>
      </c>
      <c r="BL17" s="583">
        <f t="shared" ref="BL17:CF17" si="12">VLOOKUP(BL$8&amp;"AllSex"&amp;"Non-Maori"&amp;19,agesextable,8,FALSE)</f>
        <v>1.2</v>
      </c>
      <c r="BM17" s="583">
        <f t="shared" si="12"/>
        <v>1.3</v>
      </c>
      <c r="BN17" s="583">
        <f t="shared" si="12"/>
        <v>1.2</v>
      </c>
      <c r="BO17" s="583">
        <f t="shared" si="12"/>
        <v>1.2</v>
      </c>
      <c r="BP17" s="583">
        <f t="shared" si="12"/>
        <v>1.1000000000000001</v>
      </c>
      <c r="BQ17" s="583">
        <f t="shared" si="12"/>
        <v>1.2</v>
      </c>
      <c r="BR17" s="583">
        <f t="shared" si="12"/>
        <v>1.1000000000000001</v>
      </c>
      <c r="BS17" s="583">
        <f t="shared" si="12"/>
        <v>1.1000000000000001</v>
      </c>
      <c r="BT17" s="583">
        <f t="shared" si="12"/>
        <v>1</v>
      </c>
      <c r="BU17" s="583">
        <f t="shared" si="12"/>
        <v>1.1000000000000001</v>
      </c>
      <c r="BV17" s="583">
        <f t="shared" si="12"/>
        <v>1.1000000000000001</v>
      </c>
      <c r="BW17" s="583">
        <f t="shared" si="12"/>
        <v>1</v>
      </c>
      <c r="BX17" s="583">
        <f t="shared" si="12"/>
        <v>1.1000000000000001</v>
      </c>
      <c r="BY17" s="583">
        <f t="shared" si="12"/>
        <v>1</v>
      </c>
      <c r="BZ17" s="583">
        <f t="shared" si="12"/>
        <v>1</v>
      </c>
      <c r="CA17" s="583">
        <f t="shared" si="12"/>
        <v>1</v>
      </c>
      <c r="CB17" s="583">
        <f t="shared" si="12"/>
        <v>1</v>
      </c>
      <c r="CC17" s="583">
        <f t="shared" si="12"/>
        <v>0.9</v>
      </c>
      <c r="CD17" s="583">
        <f t="shared" si="12"/>
        <v>0.9</v>
      </c>
      <c r="CE17" s="583">
        <f t="shared" si="12"/>
        <v>0.9</v>
      </c>
      <c r="CF17" s="583">
        <f t="shared" si="12"/>
        <v>0.9</v>
      </c>
    </row>
    <row r="18" spans="1:84">
      <c r="A18" s="33"/>
      <c r="B18" s="75"/>
      <c r="C18" s="75"/>
      <c r="D18" s="75"/>
      <c r="E18" s="75"/>
      <c r="F18" s="75"/>
      <c r="G18" s="75"/>
      <c r="H18" s="70"/>
      <c r="I18" s="70"/>
      <c r="J18" s="70"/>
      <c r="K18" s="75"/>
      <c r="L18" s="75"/>
      <c r="M18" s="75"/>
      <c r="N18" s="33"/>
      <c r="O18" s="31"/>
      <c r="P18" s="31"/>
      <c r="Q18" s="31" t="s">
        <v>22</v>
      </c>
      <c r="S18" s="45">
        <f t="shared" ref="S18:AM18" si="13">VLOOKUP(S$10&amp;"Female"&amp;"Maori"&amp;19,agesextable,7,FALSE)</f>
        <v>9.0066061781584406</v>
      </c>
      <c r="T18" s="45">
        <f t="shared" si="13"/>
        <v>9.7792096693832598</v>
      </c>
      <c r="U18" s="45">
        <f t="shared" si="13"/>
        <v>8.5337610468083493</v>
      </c>
      <c r="V18" s="45">
        <f t="shared" si="13"/>
        <v>6.5325578987774104</v>
      </c>
      <c r="W18" s="45">
        <f t="shared" si="13"/>
        <v>3.9576666859530998</v>
      </c>
      <c r="X18" s="45">
        <f t="shared" si="13"/>
        <v>6.6998382352426704</v>
      </c>
      <c r="Y18" s="45">
        <f t="shared" si="13"/>
        <v>6.4896231886298903</v>
      </c>
      <c r="Z18" s="45">
        <f t="shared" si="13"/>
        <v>6.4102244752664204</v>
      </c>
      <c r="AA18" s="45">
        <f t="shared" si="13"/>
        <v>8.6787187808636208</v>
      </c>
      <c r="AB18" s="45">
        <f t="shared" si="13"/>
        <v>8.7267571514896503</v>
      </c>
      <c r="AC18" s="45">
        <f t="shared" si="13"/>
        <v>10.6723123955334</v>
      </c>
      <c r="AD18" s="45">
        <f t="shared" si="13"/>
        <v>7.2545885050603403</v>
      </c>
      <c r="AE18" s="45">
        <f t="shared" si="13"/>
        <v>8.8796426541518301</v>
      </c>
      <c r="AF18" s="45">
        <f t="shared" si="13"/>
        <v>7.3206868063360204</v>
      </c>
      <c r="AG18" s="45">
        <f t="shared" si="13"/>
        <v>8.74468389486562</v>
      </c>
      <c r="AH18" s="45">
        <f t="shared" si="13"/>
        <v>9.3323745071337907</v>
      </c>
      <c r="AI18" s="45">
        <f t="shared" si="13"/>
        <v>10.376266848783301</v>
      </c>
      <c r="AJ18" s="45">
        <f t="shared" si="13"/>
        <v>11.129535195000299</v>
      </c>
      <c r="AK18" s="45">
        <f t="shared" si="13"/>
        <v>8.0088287466587804</v>
      </c>
      <c r="AL18" s="45">
        <f t="shared" si="13"/>
        <v>11.215062247293901</v>
      </c>
      <c r="AM18" s="228">
        <f t="shared" si="13"/>
        <v>10.4255863001727</v>
      </c>
    </row>
    <row r="19" spans="1:84">
      <c r="A19" s="33"/>
      <c r="B19" s="75"/>
      <c r="C19" s="78" t="s">
        <v>99</v>
      </c>
      <c r="D19" s="78" t="s">
        <v>106</v>
      </c>
      <c r="E19" s="79"/>
      <c r="F19" s="79"/>
      <c r="G19" s="75"/>
      <c r="H19" s="70"/>
      <c r="I19" s="70"/>
      <c r="J19" s="70"/>
      <c r="K19" s="75"/>
      <c r="L19" s="75"/>
      <c r="M19" s="75"/>
      <c r="N19" s="33"/>
      <c r="O19" s="28"/>
      <c r="P19" s="28"/>
      <c r="Q19" s="28"/>
      <c r="R19" s="28"/>
      <c r="S19" s="123"/>
      <c r="T19" s="123"/>
      <c r="U19" s="123"/>
      <c r="V19" s="123"/>
      <c r="W19" s="123"/>
      <c r="X19" s="123"/>
      <c r="Y19" s="123"/>
      <c r="Z19" s="123"/>
      <c r="AA19" s="123"/>
      <c r="AB19" s="123"/>
      <c r="AC19" s="123"/>
      <c r="AD19" s="123"/>
      <c r="AE19" s="123"/>
      <c r="AF19" s="123"/>
      <c r="AG19" s="123"/>
      <c r="AH19" s="123"/>
      <c r="AI19" s="123"/>
      <c r="AJ19" s="123"/>
      <c r="AK19" s="123"/>
      <c r="AL19" s="123"/>
    </row>
    <row r="20" spans="1:84">
      <c r="A20" s="33"/>
      <c r="B20" s="75"/>
      <c r="C20" s="70"/>
      <c r="D20" s="81" t="s">
        <v>246</v>
      </c>
      <c r="E20" s="77"/>
      <c r="F20" s="77"/>
      <c r="G20" s="75"/>
      <c r="H20" s="70"/>
      <c r="I20" s="70"/>
      <c r="J20" s="70"/>
      <c r="K20" s="75"/>
      <c r="L20" s="75"/>
      <c r="M20" s="75"/>
      <c r="N20" s="33"/>
      <c r="O20" s="159" t="s">
        <v>4</v>
      </c>
      <c r="P20" s="160"/>
      <c r="Q20" s="160"/>
      <c r="S20" s="45"/>
      <c r="T20" s="45"/>
      <c r="U20" s="45"/>
      <c r="V20" s="45"/>
      <c r="W20" s="45"/>
      <c r="X20" s="45"/>
      <c r="Y20" s="45"/>
      <c r="Z20" s="45"/>
      <c r="AA20" s="45"/>
      <c r="AB20" s="45"/>
      <c r="AC20" s="45"/>
      <c r="AD20" s="45"/>
      <c r="AE20" s="45"/>
      <c r="AF20" s="45"/>
      <c r="AG20" s="45"/>
      <c r="AH20" s="45"/>
      <c r="AI20" s="45"/>
      <c r="AL20" s="46"/>
      <c r="BI20" s="585"/>
    </row>
    <row r="21" spans="1:84">
      <c r="A21" s="33"/>
      <c r="B21" s="70"/>
      <c r="C21" s="78" t="s">
        <v>141</v>
      </c>
      <c r="D21" s="78" t="s">
        <v>144</v>
      </c>
      <c r="E21" s="77"/>
      <c r="F21" s="77"/>
      <c r="G21" s="70"/>
      <c r="H21" s="70"/>
      <c r="I21" s="70"/>
      <c r="J21" s="70"/>
      <c r="K21" s="75"/>
      <c r="L21" s="75"/>
      <c r="M21" s="75"/>
      <c r="N21" s="33"/>
      <c r="O21" s="31"/>
      <c r="P21" s="31"/>
      <c r="Q21" s="31"/>
      <c r="AC21" s="119"/>
      <c r="AL21" s="46"/>
      <c r="AM21" s="46"/>
      <c r="BI21" s="586"/>
      <c r="BJ21" s="586"/>
      <c r="BK21" s="587"/>
      <c r="BL21" s="588"/>
      <c r="BM21" s="589"/>
      <c r="BN21" s="589"/>
      <c r="BO21" s="589"/>
      <c r="BP21" s="589"/>
      <c r="BQ21" s="589"/>
      <c r="BR21" s="589"/>
      <c r="BS21" s="589"/>
      <c r="BT21" s="589"/>
      <c r="BU21" s="589"/>
      <c r="BV21" s="589"/>
      <c r="BW21" s="590"/>
      <c r="BX21" s="590"/>
      <c r="BY21" s="590"/>
      <c r="BZ21" s="590"/>
      <c r="CA21" s="590"/>
      <c r="CB21" s="590"/>
      <c r="CC21" s="590"/>
      <c r="CD21" s="590"/>
      <c r="CE21" s="590"/>
      <c r="CF21" s="591"/>
    </row>
    <row r="22" spans="1:84">
      <c r="A22" s="33"/>
      <c r="B22" s="70"/>
      <c r="C22" s="79"/>
      <c r="D22" s="79"/>
      <c r="E22" s="79"/>
      <c r="F22" s="79"/>
      <c r="G22" s="70"/>
      <c r="H22" s="70"/>
      <c r="I22" s="70"/>
      <c r="J22" s="70"/>
      <c r="K22" s="75"/>
      <c r="L22" s="75"/>
      <c r="M22" s="75"/>
      <c r="N22" s="33"/>
      <c r="O22" s="31" t="s">
        <v>0</v>
      </c>
      <c r="P22" s="31" t="s">
        <v>9</v>
      </c>
      <c r="Q22" s="31" t="s">
        <v>21</v>
      </c>
      <c r="S22" s="119">
        <f t="shared" ref="S22:AM22" si="14">VLOOKUP(S$10&amp;"AllSex"&amp;"Non-Maori"&amp;19,agesextable,6,FALSE)</f>
        <v>443</v>
      </c>
      <c r="T22" s="119">
        <f t="shared" si="14"/>
        <v>456</v>
      </c>
      <c r="U22" s="119">
        <f t="shared" si="14"/>
        <v>466</v>
      </c>
      <c r="V22" s="119">
        <f t="shared" si="14"/>
        <v>437</v>
      </c>
      <c r="W22" s="119">
        <f t="shared" si="14"/>
        <v>379</v>
      </c>
      <c r="X22" s="119">
        <f t="shared" si="14"/>
        <v>429</v>
      </c>
      <c r="Y22" s="119">
        <f t="shared" si="14"/>
        <v>390</v>
      </c>
      <c r="Z22" s="119">
        <f t="shared" si="14"/>
        <v>435</v>
      </c>
      <c r="AA22" s="119">
        <f t="shared" si="14"/>
        <v>383</v>
      </c>
      <c r="AB22" s="119">
        <f t="shared" si="14"/>
        <v>410</v>
      </c>
      <c r="AC22" s="119">
        <f t="shared" si="14"/>
        <v>416</v>
      </c>
      <c r="AD22" s="46">
        <f t="shared" si="14"/>
        <v>404</v>
      </c>
      <c r="AE22" s="46">
        <f t="shared" si="14"/>
        <v>431</v>
      </c>
      <c r="AF22" s="46">
        <f t="shared" si="14"/>
        <v>429</v>
      </c>
      <c r="AG22" s="46">
        <f t="shared" si="14"/>
        <v>432</v>
      </c>
      <c r="AH22" s="46">
        <f t="shared" si="14"/>
        <v>382</v>
      </c>
      <c r="AI22" s="46">
        <f t="shared" si="14"/>
        <v>431</v>
      </c>
      <c r="AJ22" s="46">
        <f t="shared" si="14"/>
        <v>409</v>
      </c>
      <c r="AK22" s="46">
        <f t="shared" si="14"/>
        <v>417</v>
      </c>
      <c r="AL22" s="46">
        <f t="shared" si="14"/>
        <v>412</v>
      </c>
      <c r="AM22" s="46">
        <f t="shared" si="14"/>
        <v>419</v>
      </c>
      <c r="BI22" s="587"/>
      <c r="BJ22" s="587"/>
      <c r="BK22" s="587"/>
      <c r="BL22" s="588"/>
      <c r="BM22" s="592"/>
      <c r="BN22" s="592"/>
      <c r="BO22" s="592"/>
      <c r="BP22" s="592"/>
      <c r="BQ22" s="592"/>
      <c r="BR22" s="592"/>
      <c r="BS22" s="592"/>
      <c r="BT22" s="592"/>
      <c r="BU22" s="592"/>
      <c r="BV22" s="592"/>
      <c r="BW22" s="592"/>
      <c r="BX22" s="593"/>
      <c r="BY22" s="593"/>
      <c r="BZ22" s="593"/>
      <c r="CA22" s="593"/>
      <c r="CB22" s="593"/>
      <c r="CC22" s="593"/>
      <c r="CD22" s="593"/>
      <c r="CE22" s="593"/>
      <c r="CF22" s="593"/>
    </row>
    <row r="23" spans="1:84">
      <c r="A23" s="33"/>
      <c r="K23" s="33"/>
      <c r="L23" s="33"/>
      <c r="M23" s="33"/>
      <c r="N23" s="33"/>
      <c r="O23" s="31"/>
      <c r="P23" s="31"/>
      <c r="Q23" s="31" t="s">
        <v>22</v>
      </c>
      <c r="S23" s="45">
        <f t="shared" ref="S23:AM23" si="15">VLOOKUP(S$10&amp;"AllSex"&amp;"Non-Maori"&amp;19,agesextable,7,FALSE)</f>
        <v>13.202661641130099</v>
      </c>
      <c r="T23" s="45">
        <f t="shared" si="15"/>
        <v>13.6356969902152</v>
      </c>
      <c r="U23" s="45">
        <f t="shared" si="15"/>
        <v>13.719933399984299</v>
      </c>
      <c r="V23" s="45">
        <f t="shared" si="15"/>
        <v>12.8048336121334</v>
      </c>
      <c r="W23" s="45">
        <f t="shared" si="15"/>
        <v>11.1683814296716</v>
      </c>
      <c r="X23" s="45">
        <f t="shared" si="15"/>
        <v>12.3764768268776</v>
      </c>
      <c r="Y23" s="45">
        <f t="shared" si="15"/>
        <v>10.9882846931341</v>
      </c>
      <c r="Z23" s="45">
        <f t="shared" si="15"/>
        <v>11.6548370610064</v>
      </c>
      <c r="AA23" s="45">
        <f t="shared" si="15"/>
        <v>10.3253251579566</v>
      </c>
      <c r="AB23" s="45">
        <f t="shared" si="15"/>
        <v>10.916375074971301</v>
      </c>
      <c r="AC23" s="45">
        <f t="shared" si="15"/>
        <v>10.9315740531038</v>
      </c>
      <c r="AD23" s="45">
        <f t="shared" si="15"/>
        <v>10.318814507971201</v>
      </c>
      <c r="AE23" s="45">
        <f t="shared" si="15"/>
        <v>11.1639267014209</v>
      </c>
      <c r="AF23" s="45">
        <f t="shared" si="15"/>
        <v>10.9175102802797</v>
      </c>
      <c r="AG23" s="45">
        <f t="shared" si="15"/>
        <v>10.8724229875909</v>
      </c>
      <c r="AH23" s="45">
        <f t="shared" si="15"/>
        <v>9.6392127320325294</v>
      </c>
      <c r="AI23" s="45">
        <f t="shared" si="15"/>
        <v>10.8700975052411</v>
      </c>
      <c r="AJ23" s="45">
        <f t="shared" si="15"/>
        <v>9.7148957708980408</v>
      </c>
      <c r="AK23" s="45">
        <f t="shared" si="15"/>
        <v>9.8906686786863496</v>
      </c>
      <c r="AL23" s="45">
        <f t="shared" si="15"/>
        <v>9.6400921606719798</v>
      </c>
      <c r="AM23" s="45">
        <f t="shared" si="15"/>
        <v>9.5499137559285696</v>
      </c>
      <c r="BI23" s="585"/>
      <c r="BJ23" s="585"/>
      <c r="BK23" s="585"/>
      <c r="BL23" s="585"/>
      <c r="BM23" s="585"/>
      <c r="BN23" s="585"/>
      <c r="BO23" s="585"/>
      <c r="BP23" s="585"/>
      <c r="BQ23" s="585"/>
      <c r="BR23" s="585"/>
      <c r="BS23" s="585"/>
      <c r="BT23" s="585"/>
      <c r="BU23" s="585"/>
      <c r="BV23" s="585"/>
      <c r="BW23" s="585"/>
      <c r="BX23" s="585"/>
      <c r="BY23" s="585"/>
      <c r="BZ23" s="585"/>
      <c r="CA23" s="585"/>
      <c r="CB23" s="585"/>
      <c r="CC23" s="585"/>
      <c r="CD23" s="585"/>
      <c r="CE23" s="585"/>
      <c r="CF23" s="585"/>
    </row>
    <row r="24" spans="1:84">
      <c r="N24" s="33"/>
      <c r="O24" s="31"/>
      <c r="P24" s="31"/>
      <c r="Q24" s="31"/>
      <c r="AC24" s="119"/>
      <c r="AL24" s="46"/>
      <c r="AM24" s="46"/>
      <c r="BI24" s="585"/>
      <c r="BK24" s="585"/>
      <c r="BL24" s="585"/>
      <c r="BM24" s="594"/>
      <c r="BN24" s="594"/>
      <c r="BO24" s="584"/>
      <c r="BP24" s="584"/>
      <c r="BQ24" s="584"/>
      <c r="BR24" s="584"/>
      <c r="BS24" s="584"/>
      <c r="BT24" s="584"/>
      <c r="BU24" s="584"/>
      <c r="BV24" s="584"/>
      <c r="BW24" s="584"/>
      <c r="BX24" s="584"/>
      <c r="BY24" s="584"/>
      <c r="BZ24" s="584"/>
      <c r="CA24" s="584"/>
      <c r="CB24" s="584"/>
      <c r="CC24" s="584"/>
      <c r="CD24" s="584"/>
      <c r="CE24" s="584"/>
      <c r="CF24" s="584"/>
    </row>
    <row r="25" spans="1:84">
      <c r="B25" s="70"/>
      <c r="C25" s="70"/>
      <c r="D25" s="70"/>
      <c r="E25" s="70"/>
      <c r="F25" s="70"/>
      <c r="G25" s="70"/>
      <c r="H25" s="70"/>
      <c r="I25" s="70"/>
      <c r="J25" s="70"/>
      <c r="K25" s="70"/>
      <c r="L25" s="70"/>
      <c r="M25" s="70"/>
      <c r="O25" s="31" t="s">
        <v>20</v>
      </c>
      <c r="P25" s="31" t="s">
        <v>9</v>
      </c>
      <c r="Q25" s="31" t="s">
        <v>21</v>
      </c>
      <c r="S25" s="119">
        <f t="shared" ref="S25:AL25" si="16">VLOOKUP(S10&amp;"Male"&amp;"Non-Maori"&amp;19,agesextable,6,FALSE)</f>
        <v>356</v>
      </c>
      <c r="T25" s="119">
        <f t="shared" si="16"/>
        <v>361</v>
      </c>
      <c r="U25" s="119">
        <f t="shared" si="16"/>
        <v>358</v>
      </c>
      <c r="V25" s="119">
        <f t="shared" si="16"/>
        <v>325</v>
      </c>
      <c r="W25" s="119">
        <f t="shared" si="16"/>
        <v>307</v>
      </c>
      <c r="X25" s="119">
        <f t="shared" si="16"/>
        <v>332</v>
      </c>
      <c r="Y25" s="119">
        <f t="shared" si="16"/>
        <v>296</v>
      </c>
      <c r="Z25" s="119">
        <f t="shared" si="16"/>
        <v>313</v>
      </c>
      <c r="AA25" s="119">
        <f t="shared" si="16"/>
        <v>299</v>
      </c>
      <c r="AB25" s="119">
        <f t="shared" si="16"/>
        <v>305</v>
      </c>
      <c r="AC25" s="119">
        <f t="shared" si="16"/>
        <v>312</v>
      </c>
      <c r="AD25" s="119">
        <f t="shared" si="16"/>
        <v>307</v>
      </c>
      <c r="AE25" s="119">
        <f t="shared" si="16"/>
        <v>323</v>
      </c>
      <c r="AF25" s="119">
        <f t="shared" si="16"/>
        <v>336</v>
      </c>
      <c r="AG25" s="119">
        <f t="shared" si="16"/>
        <v>315</v>
      </c>
      <c r="AH25" s="119">
        <f t="shared" si="16"/>
        <v>296</v>
      </c>
      <c r="AI25" s="119">
        <f t="shared" si="16"/>
        <v>323</v>
      </c>
      <c r="AJ25" s="119">
        <f t="shared" si="16"/>
        <v>300</v>
      </c>
      <c r="AK25" s="119">
        <f t="shared" si="16"/>
        <v>313</v>
      </c>
      <c r="AL25" s="119">
        <f t="shared" si="16"/>
        <v>308</v>
      </c>
      <c r="AM25" s="119">
        <f t="shared" ref="AM25" si="17">VLOOKUP(AM10&amp;"Male"&amp;"Non-Maori"&amp;19,agesextable,6,FALSE)</f>
        <v>314</v>
      </c>
      <c r="BI25" s="585"/>
      <c r="BM25" s="594"/>
      <c r="BN25" s="594"/>
      <c r="BO25" s="584"/>
      <c r="BP25" s="584"/>
      <c r="BQ25" s="584"/>
      <c r="BR25" s="584"/>
      <c r="BS25" s="584"/>
      <c r="BT25" s="584"/>
      <c r="BU25" s="584"/>
      <c r="BV25" s="584"/>
      <c r="BW25" s="584"/>
      <c r="BX25" s="584"/>
      <c r="BY25" s="584"/>
      <c r="BZ25" s="584"/>
      <c r="CA25" s="584"/>
      <c r="CB25" s="584"/>
      <c r="CC25" s="584"/>
      <c r="CD25" s="584"/>
      <c r="CE25" s="584"/>
      <c r="CF25" s="584"/>
    </row>
    <row r="26" spans="1:84" ht="15">
      <c r="A26" s="33"/>
      <c r="B26" s="70"/>
      <c r="C26" s="91" t="s">
        <v>509</v>
      </c>
      <c r="D26" s="70"/>
      <c r="E26" s="70"/>
      <c r="F26" s="70"/>
      <c r="G26" s="70"/>
      <c r="H26" s="70"/>
      <c r="I26" s="70"/>
      <c r="J26" s="70"/>
      <c r="K26" s="70"/>
      <c r="L26" s="70"/>
      <c r="M26" s="70"/>
      <c r="O26" s="31"/>
      <c r="P26" s="31"/>
      <c r="Q26" s="31" t="s">
        <v>22</v>
      </c>
      <c r="S26" s="45">
        <f t="shared" ref="S26:AM26" si="18">VLOOKUP(S$10&amp;"Male"&amp;"Non-Maori"&amp;19,agesextable,7,FALSE)</f>
        <v>21.479905755824099</v>
      </c>
      <c r="T26" s="45">
        <f t="shared" si="18"/>
        <v>21.882813084323601</v>
      </c>
      <c r="U26" s="45">
        <f t="shared" si="18"/>
        <v>21.517130626241698</v>
      </c>
      <c r="V26" s="45">
        <f t="shared" si="18"/>
        <v>19.451634350980999</v>
      </c>
      <c r="W26" s="45">
        <f t="shared" si="18"/>
        <v>18.542595685537702</v>
      </c>
      <c r="X26" s="45">
        <f t="shared" si="18"/>
        <v>19.754574256070502</v>
      </c>
      <c r="Y26" s="45">
        <f t="shared" si="18"/>
        <v>17.053757227886599</v>
      </c>
      <c r="Z26" s="45">
        <f t="shared" si="18"/>
        <v>17.1757108224569</v>
      </c>
      <c r="AA26" s="45">
        <f t="shared" si="18"/>
        <v>16.521659709264298</v>
      </c>
      <c r="AB26" s="45">
        <f t="shared" si="18"/>
        <v>16.809710006140801</v>
      </c>
      <c r="AC26" s="45">
        <f t="shared" si="18"/>
        <v>16.923735957565398</v>
      </c>
      <c r="AD26" s="45">
        <f t="shared" si="18"/>
        <v>16.348296242666599</v>
      </c>
      <c r="AE26" s="45">
        <f t="shared" si="18"/>
        <v>17.136851166956198</v>
      </c>
      <c r="AF26" s="45">
        <f t="shared" si="18"/>
        <v>17.704891753148601</v>
      </c>
      <c r="AG26" s="45">
        <f t="shared" si="18"/>
        <v>16.134328558354198</v>
      </c>
      <c r="AH26" s="45">
        <f t="shared" si="18"/>
        <v>15.374728749309</v>
      </c>
      <c r="AI26" s="45">
        <f t="shared" si="18"/>
        <v>16.829965457080299</v>
      </c>
      <c r="AJ26" s="45">
        <f t="shared" si="18"/>
        <v>14.441701119553899</v>
      </c>
      <c r="AK26" s="45">
        <f t="shared" si="18"/>
        <v>15.1820100358589</v>
      </c>
      <c r="AL26" s="45">
        <f t="shared" si="18"/>
        <v>14.713503479130599</v>
      </c>
      <c r="AM26" s="45">
        <f t="shared" si="18"/>
        <v>14.3629391196318</v>
      </c>
      <c r="AO26" s="495"/>
      <c r="AP26" s="495"/>
      <c r="AQ26" s="495"/>
      <c r="AR26" s="495"/>
      <c r="AS26" s="495"/>
      <c r="BM26" s="594"/>
      <c r="BN26" s="594"/>
    </row>
    <row r="27" spans="1:84">
      <c r="A27" s="33"/>
      <c r="B27" s="70"/>
      <c r="C27" s="70"/>
      <c r="D27" s="70"/>
      <c r="E27" s="70"/>
      <c r="F27" s="70"/>
      <c r="G27" s="70"/>
      <c r="H27" s="70"/>
      <c r="I27" s="70"/>
      <c r="J27" s="70"/>
      <c r="K27" s="70"/>
      <c r="L27" s="70"/>
      <c r="M27" s="70"/>
      <c r="N27" s="33"/>
      <c r="O27" s="25"/>
      <c r="P27" s="25"/>
      <c r="AC27" s="119"/>
      <c r="AL27" s="46"/>
      <c r="AM27" s="46"/>
      <c r="BI27" s="585"/>
      <c r="BM27" s="594"/>
      <c r="BN27" s="594"/>
    </row>
    <row r="28" spans="1:84">
      <c r="A28" s="33"/>
      <c r="B28" s="70"/>
      <c r="C28" s="70"/>
      <c r="D28" s="70"/>
      <c r="E28" s="108" t="s">
        <v>388</v>
      </c>
      <c r="F28" s="70"/>
      <c r="G28" s="70"/>
      <c r="H28" s="70"/>
      <c r="I28" s="70"/>
      <c r="J28" s="108" t="s">
        <v>389</v>
      </c>
      <c r="K28" s="70"/>
      <c r="L28" s="70"/>
      <c r="M28" s="70"/>
      <c r="N28" s="33"/>
      <c r="O28" s="25" t="s">
        <v>8</v>
      </c>
      <c r="P28" s="25" t="s">
        <v>9</v>
      </c>
      <c r="Q28" s="25" t="s">
        <v>21</v>
      </c>
      <c r="S28" s="119">
        <f t="shared" ref="S28:AM28" si="19">VLOOKUP(S$10&amp;"Female"&amp;"Non-Maori"&amp;19,agesextable,6,FALSE)</f>
        <v>87</v>
      </c>
      <c r="T28" s="119">
        <f t="shared" si="19"/>
        <v>95</v>
      </c>
      <c r="U28" s="119">
        <f t="shared" si="19"/>
        <v>108</v>
      </c>
      <c r="V28" s="119">
        <f t="shared" si="19"/>
        <v>112</v>
      </c>
      <c r="W28" s="119">
        <f t="shared" si="19"/>
        <v>72</v>
      </c>
      <c r="X28" s="119">
        <f t="shared" si="19"/>
        <v>97</v>
      </c>
      <c r="Y28" s="119">
        <f t="shared" si="19"/>
        <v>94</v>
      </c>
      <c r="Z28" s="119">
        <f t="shared" si="19"/>
        <v>122</v>
      </c>
      <c r="AA28" s="119">
        <f t="shared" si="19"/>
        <v>84</v>
      </c>
      <c r="AB28" s="119">
        <f t="shared" si="19"/>
        <v>105</v>
      </c>
      <c r="AC28" s="119">
        <f t="shared" si="19"/>
        <v>104</v>
      </c>
      <c r="AD28" s="46">
        <f t="shared" si="19"/>
        <v>97</v>
      </c>
      <c r="AE28" s="46">
        <f t="shared" si="19"/>
        <v>108</v>
      </c>
      <c r="AF28" s="46">
        <f t="shared" si="19"/>
        <v>93</v>
      </c>
      <c r="AG28" s="46">
        <f t="shared" si="19"/>
        <v>117</v>
      </c>
      <c r="AH28" s="46">
        <f t="shared" si="19"/>
        <v>86</v>
      </c>
      <c r="AI28" s="46">
        <f t="shared" si="19"/>
        <v>108</v>
      </c>
      <c r="AJ28" s="46">
        <f t="shared" si="19"/>
        <v>109</v>
      </c>
      <c r="AK28" s="46">
        <f t="shared" si="19"/>
        <v>104</v>
      </c>
      <c r="AL28" s="46">
        <f t="shared" si="19"/>
        <v>104</v>
      </c>
      <c r="AM28" s="46">
        <f t="shared" si="19"/>
        <v>105</v>
      </c>
      <c r="BI28" s="585"/>
      <c r="BM28" s="594"/>
      <c r="BN28" s="594"/>
      <c r="BO28" s="584"/>
      <c r="BP28" s="584"/>
      <c r="BQ28" s="584"/>
      <c r="BR28" s="584"/>
      <c r="BS28" s="584"/>
      <c r="BT28" s="584"/>
      <c r="BU28" s="584"/>
      <c r="BV28" s="584"/>
      <c r="BW28" s="584"/>
      <c r="BX28" s="584"/>
      <c r="BY28" s="584"/>
      <c r="BZ28" s="584"/>
      <c r="CA28" s="584"/>
      <c r="CB28" s="584"/>
      <c r="CC28" s="584"/>
      <c r="CD28" s="584"/>
      <c r="CE28" s="584"/>
      <c r="CF28" s="584"/>
    </row>
    <row r="29" spans="1:84">
      <c r="A29" s="33"/>
      <c r="B29" s="70"/>
      <c r="C29" s="70"/>
      <c r="D29" s="70"/>
      <c r="E29" s="70"/>
      <c r="F29" s="70"/>
      <c r="G29" s="70"/>
      <c r="H29" s="70"/>
      <c r="I29" s="70"/>
      <c r="J29" s="70"/>
      <c r="K29" s="75"/>
      <c r="L29" s="75"/>
      <c r="M29" s="75"/>
      <c r="N29" s="33"/>
      <c r="O29" s="31"/>
      <c r="P29" s="25"/>
      <c r="Q29" s="25" t="s">
        <v>22</v>
      </c>
      <c r="S29" s="45">
        <f t="shared" ref="S29:AM29" si="20">VLOOKUP(S$10&amp;"Female"&amp;"Non-Maori"&amp;19,agesextable,7,FALSE)</f>
        <v>5.2986962640135697</v>
      </c>
      <c r="T29" s="45">
        <f t="shared" si="20"/>
        <v>5.6892468332060497</v>
      </c>
      <c r="U29" s="45">
        <f t="shared" si="20"/>
        <v>6.1878498162513402</v>
      </c>
      <c r="V29" s="45">
        <f t="shared" si="20"/>
        <v>6.4624543900880198</v>
      </c>
      <c r="W29" s="45">
        <f t="shared" si="20"/>
        <v>4.1381655103116204</v>
      </c>
      <c r="X29" s="45">
        <f t="shared" si="20"/>
        <v>5.3611446727339196</v>
      </c>
      <c r="Y29" s="45">
        <f t="shared" si="20"/>
        <v>5.26343516708328</v>
      </c>
      <c r="Z29" s="45">
        <f t="shared" si="20"/>
        <v>6.4039999122093398</v>
      </c>
      <c r="AA29" s="45">
        <f t="shared" si="20"/>
        <v>4.5051607691466504</v>
      </c>
      <c r="AB29" s="45">
        <f t="shared" si="20"/>
        <v>5.2590011370533496</v>
      </c>
      <c r="AC29" s="45">
        <f t="shared" si="20"/>
        <v>5.2009651380039701</v>
      </c>
      <c r="AD29" s="45">
        <f t="shared" si="20"/>
        <v>4.6012421251756503</v>
      </c>
      <c r="AE29" s="45">
        <f t="shared" si="20"/>
        <v>5.4589151940525902</v>
      </c>
      <c r="AF29" s="45">
        <f t="shared" si="20"/>
        <v>4.4437437379171101</v>
      </c>
      <c r="AG29" s="45">
        <f t="shared" si="20"/>
        <v>5.9134650848101904</v>
      </c>
      <c r="AH29" s="45">
        <f t="shared" si="20"/>
        <v>4.1499902954002099</v>
      </c>
      <c r="AI29" s="45">
        <f t="shared" si="20"/>
        <v>5.1528651892542001</v>
      </c>
      <c r="AJ29" s="45">
        <f t="shared" si="20"/>
        <v>5.2765407142672398</v>
      </c>
      <c r="AK29" s="45">
        <f t="shared" si="20"/>
        <v>4.8294233213266304</v>
      </c>
      <c r="AL29" s="45">
        <f t="shared" si="20"/>
        <v>4.7608957245198003</v>
      </c>
      <c r="AM29" s="228">
        <f t="shared" si="20"/>
        <v>4.8570007876246901</v>
      </c>
      <c r="BI29" s="585"/>
      <c r="BM29" s="594"/>
      <c r="BN29" s="594"/>
      <c r="BO29" s="584"/>
      <c r="BP29" s="584"/>
      <c r="BQ29" s="584"/>
      <c r="BR29" s="584"/>
      <c r="BS29" s="584"/>
      <c r="BT29" s="584"/>
      <c r="BU29" s="584"/>
      <c r="BV29" s="584"/>
      <c r="BW29" s="584"/>
      <c r="BX29" s="584"/>
      <c r="BY29" s="584"/>
      <c r="BZ29" s="584"/>
      <c r="CA29" s="584"/>
      <c r="CB29" s="584"/>
      <c r="CC29" s="584"/>
      <c r="CD29" s="584"/>
      <c r="CE29" s="584"/>
      <c r="CF29" s="584"/>
    </row>
    <row r="30" spans="1:84">
      <c r="A30" s="33"/>
      <c r="B30" s="75"/>
      <c r="C30" s="75"/>
      <c r="D30" s="75"/>
      <c r="E30" s="75"/>
      <c r="F30" s="75"/>
      <c r="G30" s="75"/>
      <c r="H30" s="75"/>
      <c r="I30" s="75"/>
      <c r="J30" s="75"/>
      <c r="K30" s="75"/>
      <c r="L30" s="75"/>
      <c r="M30" s="75"/>
      <c r="N30" s="33"/>
      <c r="O30" s="28"/>
      <c r="P30" s="28"/>
      <c r="Q30" s="28"/>
      <c r="R30" s="28"/>
      <c r="S30" s="123"/>
      <c r="T30" s="123"/>
      <c r="U30" s="123"/>
      <c r="V30" s="123"/>
      <c r="W30" s="123"/>
      <c r="X30" s="123"/>
      <c r="Y30" s="123"/>
      <c r="Z30" s="123"/>
      <c r="AA30" s="123"/>
      <c r="AB30" s="123"/>
      <c r="AC30" s="123"/>
      <c r="AD30" s="123"/>
      <c r="AE30" s="123"/>
      <c r="AF30" s="123"/>
      <c r="AG30" s="123"/>
      <c r="AH30" s="123"/>
      <c r="AI30" s="123"/>
      <c r="AJ30" s="123"/>
      <c r="AK30" s="123"/>
      <c r="AL30" s="123"/>
    </row>
    <row r="31" spans="1:84">
      <c r="A31" s="33"/>
      <c r="B31" s="75"/>
      <c r="C31" s="75"/>
      <c r="D31" s="75"/>
      <c r="E31" s="75"/>
      <c r="F31" s="75"/>
      <c r="G31" s="75"/>
      <c r="H31" s="75"/>
      <c r="I31" s="75"/>
      <c r="J31" s="75"/>
      <c r="K31" s="75"/>
      <c r="L31" s="75"/>
      <c r="M31" s="75"/>
      <c r="N31" s="33"/>
      <c r="O31" s="18" t="s">
        <v>136</v>
      </c>
      <c r="P31" s="84" t="s">
        <v>9</v>
      </c>
      <c r="Q31" s="18" t="s">
        <v>110</v>
      </c>
      <c r="S31" s="45">
        <f t="shared" ref="S31:AL31" si="21">S12/S23</f>
        <v>1.3954789255241393</v>
      </c>
      <c r="T31" s="45">
        <f t="shared" si="21"/>
        <v>1.4592730163010512</v>
      </c>
      <c r="U31" s="45">
        <f t="shared" si="21"/>
        <v>1.5241655666844223</v>
      </c>
      <c r="V31" s="45">
        <f t="shared" si="21"/>
        <v>1.0683528503984656</v>
      </c>
      <c r="W31" s="45">
        <f t="shared" si="21"/>
        <v>1.3450135894848554</v>
      </c>
      <c r="X31" s="45">
        <f t="shared" si="21"/>
        <v>1.1382332471960053</v>
      </c>
      <c r="Y31" s="45">
        <f t="shared" si="21"/>
        <v>1.2642635713967174</v>
      </c>
      <c r="Z31" s="45">
        <f t="shared" si="21"/>
        <v>1.2406559614969515</v>
      </c>
      <c r="AA31" s="45">
        <f t="shared" si="21"/>
        <v>1.8326847293185686</v>
      </c>
      <c r="AB31" s="45">
        <f t="shared" si="21"/>
        <v>1.6353966745524482</v>
      </c>
      <c r="AC31" s="45">
        <f t="shared" si="21"/>
        <v>1.6423216741024922</v>
      </c>
      <c r="AD31" s="45">
        <f t="shared" si="21"/>
        <v>1.5613721064330686</v>
      </c>
      <c r="AE31" s="45">
        <f t="shared" si="21"/>
        <v>1.254980558462391</v>
      </c>
      <c r="AF31" s="45">
        <f t="shared" si="21"/>
        <v>1.1981685838044269</v>
      </c>
      <c r="AG31" s="45">
        <f t="shared" si="21"/>
        <v>1.4537976501126586</v>
      </c>
      <c r="AH31" s="45">
        <f t="shared" si="21"/>
        <v>1.8016860446164278</v>
      </c>
      <c r="AI31" s="45">
        <f t="shared" si="21"/>
        <v>1.610940425445319</v>
      </c>
      <c r="AJ31" s="45">
        <f t="shared" si="21"/>
        <v>1.6280743944666247</v>
      </c>
      <c r="AK31" s="45">
        <f t="shared" si="21"/>
        <v>1.4735075936173381</v>
      </c>
      <c r="AL31" s="45">
        <f t="shared" si="21"/>
        <v>1.850133744705678</v>
      </c>
      <c r="AM31" s="45">
        <f t="shared" ref="AM31" si="22">AM12/AM23</f>
        <v>2.1191447041272813</v>
      </c>
    </row>
    <row r="32" spans="1:84">
      <c r="A32" s="33"/>
      <c r="B32" s="75"/>
      <c r="C32" s="75"/>
      <c r="D32" s="75"/>
      <c r="E32" s="75"/>
      <c r="F32" s="75"/>
      <c r="G32" s="75"/>
      <c r="H32" s="75"/>
      <c r="I32" s="75"/>
      <c r="J32" s="75"/>
      <c r="K32" s="75"/>
      <c r="L32" s="75"/>
      <c r="M32" s="75"/>
      <c r="N32" s="33"/>
      <c r="O32" s="18" t="s">
        <v>339</v>
      </c>
      <c r="P32" s="67"/>
      <c r="Q32" s="18" t="s">
        <v>110</v>
      </c>
      <c r="S32" s="118">
        <f t="shared" ref="S32:AL32" si="23">S15/S18</f>
        <v>3.1824930386314558</v>
      </c>
      <c r="T32" s="118">
        <f t="shared" si="23"/>
        <v>3.1314259421791468</v>
      </c>
      <c r="U32" s="118">
        <f t="shared" si="23"/>
        <v>4.0250349093679283</v>
      </c>
      <c r="V32" s="118">
        <f t="shared" si="23"/>
        <v>3.2840700086221002</v>
      </c>
      <c r="W32" s="118">
        <f t="shared" si="23"/>
        <v>6.8724109328516141</v>
      </c>
      <c r="X32" s="118">
        <f t="shared" si="23"/>
        <v>3.2960340194534341</v>
      </c>
      <c r="Y32" s="118">
        <f t="shared" si="23"/>
        <v>3.3717848548852523</v>
      </c>
      <c r="Z32" s="118">
        <f t="shared" si="23"/>
        <v>3.623743692153973</v>
      </c>
      <c r="AA32" s="118">
        <f t="shared" si="23"/>
        <v>3.4810204310500334</v>
      </c>
      <c r="AB32" s="118">
        <f t="shared" si="23"/>
        <v>3.2054492747338683</v>
      </c>
      <c r="AC32" s="118">
        <f t="shared" si="23"/>
        <v>2.4256862023828099</v>
      </c>
      <c r="AD32" s="118">
        <f t="shared" si="23"/>
        <v>3.5722345604401515</v>
      </c>
      <c r="AE32" s="118">
        <f t="shared" si="23"/>
        <v>2.2380708147470001</v>
      </c>
      <c r="AF32" s="118">
        <f t="shared" si="23"/>
        <v>2.6611082012321936</v>
      </c>
      <c r="AG32" s="118">
        <f t="shared" si="23"/>
        <v>2.7090049962046154</v>
      </c>
      <c r="AH32" s="118">
        <f t="shared" si="23"/>
        <v>2.8116770861452873</v>
      </c>
      <c r="AI32" s="118">
        <f t="shared" si="23"/>
        <v>2.4509140733566648</v>
      </c>
      <c r="AJ32" s="118">
        <f t="shared" si="23"/>
        <v>1.9035765945643097</v>
      </c>
      <c r="AK32" s="118">
        <f t="shared" si="23"/>
        <v>2.748787627234432</v>
      </c>
      <c r="AL32" s="118">
        <f t="shared" si="23"/>
        <v>2.2812036842645669</v>
      </c>
      <c r="AM32" s="118">
        <f>AM15/AM18</f>
        <v>3.00341860078322</v>
      </c>
    </row>
    <row r="33" spans="1:39">
      <c r="A33" s="33"/>
      <c r="B33" s="75"/>
      <c r="C33" s="75"/>
      <c r="D33" s="75"/>
      <c r="E33" s="75"/>
      <c r="F33" s="75"/>
      <c r="G33" s="75"/>
      <c r="H33" s="75"/>
      <c r="I33" s="75"/>
      <c r="J33" s="75"/>
      <c r="K33" s="75"/>
      <c r="L33" s="75"/>
      <c r="M33" s="75"/>
      <c r="N33" s="33"/>
      <c r="O33" s="18" t="s">
        <v>340</v>
      </c>
      <c r="P33" s="67"/>
      <c r="Q33" s="18" t="s">
        <v>110</v>
      </c>
      <c r="S33" s="118">
        <f t="shared" ref="S33:AL33" si="24">S15/S26</f>
        <v>1.3344314351059217</v>
      </c>
      <c r="T33" s="118">
        <f t="shared" si="24"/>
        <v>1.3994028434421668</v>
      </c>
      <c r="U33" s="118">
        <f t="shared" si="24"/>
        <v>1.5963413857662363</v>
      </c>
      <c r="V33" s="118">
        <f t="shared" si="24"/>
        <v>1.1029087370172752</v>
      </c>
      <c r="W33" s="118">
        <f t="shared" si="24"/>
        <v>1.4668233219548834</v>
      </c>
      <c r="X33" s="118">
        <f t="shared" si="24"/>
        <v>1.1178623473198221</v>
      </c>
      <c r="Y33" s="118">
        <f t="shared" si="24"/>
        <v>1.283096322349025</v>
      </c>
      <c r="Z33" s="118">
        <f t="shared" si="24"/>
        <v>1.3524337215299547</v>
      </c>
      <c r="AA33" s="118">
        <f t="shared" si="24"/>
        <v>1.8285570531744824</v>
      </c>
      <c r="AB33" s="118">
        <f t="shared" si="24"/>
        <v>1.6641082666983631</v>
      </c>
      <c r="AC33" s="118">
        <f t="shared" si="24"/>
        <v>1.529667030393006</v>
      </c>
      <c r="AD33" s="118">
        <f t="shared" si="24"/>
        <v>1.5851860888056275</v>
      </c>
      <c r="AE33" s="118">
        <f t="shared" si="24"/>
        <v>1.1596803214326823</v>
      </c>
      <c r="AF33" s="118">
        <f t="shared" si="24"/>
        <v>1.1003252643738199</v>
      </c>
      <c r="AG33" s="118">
        <f t="shared" si="24"/>
        <v>1.4682601929012324</v>
      </c>
      <c r="AH33" s="118">
        <f t="shared" si="24"/>
        <v>1.7066722924925626</v>
      </c>
      <c r="AI33" s="118">
        <f t="shared" si="24"/>
        <v>1.5110749046658525</v>
      </c>
      <c r="AJ33" s="118">
        <f t="shared" si="24"/>
        <v>1.4669963413726101</v>
      </c>
      <c r="AK33" s="118">
        <f t="shared" si="24"/>
        <v>1.4500431310121749</v>
      </c>
      <c r="AL33" s="118">
        <f t="shared" si="24"/>
        <v>1.7388000997907138</v>
      </c>
      <c r="AM33" s="118">
        <f>AM15/AM26</f>
        <v>2.1800830287730206</v>
      </c>
    </row>
    <row r="34" spans="1:39">
      <c r="A34" s="33"/>
      <c r="B34" s="75"/>
      <c r="C34" s="75"/>
      <c r="D34" s="75"/>
      <c r="E34" s="75"/>
      <c r="F34" s="75"/>
      <c r="G34" s="75"/>
      <c r="H34" s="75"/>
      <c r="I34" s="75"/>
      <c r="J34" s="75"/>
      <c r="K34" s="75"/>
      <c r="L34" s="75"/>
      <c r="M34" s="75"/>
      <c r="N34" s="33"/>
      <c r="O34" s="18" t="s">
        <v>341</v>
      </c>
      <c r="P34" s="67"/>
      <c r="Q34" s="18" t="s">
        <v>110</v>
      </c>
      <c r="S34" s="118">
        <f t="shared" ref="S34:AL34" si="25">S18/S29</f>
        <v>1.6997777810604799</v>
      </c>
      <c r="T34" s="118">
        <f t="shared" si="25"/>
        <v>1.7188935470870406</v>
      </c>
      <c r="U34" s="118">
        <f t="shared" si="25"/>
        <v>1.3791157349029173</v>
      </c>
      <c r="V34" s="118">
        <f t="shared" si="25"/>
        <v>1.0108478148483204</v>
      </c>
      <c r="W34" s="118">
        <f t="shared" si="25"/>
        <v>0.95638192239804143</v>
      </c>
      <c r="X34" s="118">
        <f t="shared" si="25"/>
        <v>1.2497029355162099</v>
      </c>
      <c r="Y34" s="118">
        <f t="shared" si="25"/>
        <v>1.2329634511725351</v>
      </c>
      <c r="Z34" s="118">
        <f t="shared" si="25"/>
        <v>1.0009719805031874</v>
      </c>
      <c r="AA34" s="118">
        <f t="shared" si="25"/>
        <v>1.9263949114312093</v>
      </c>
      <c r="AB34" s="118">
        <f t="shared" si="25"/>
        <v>1.6593944218805219</v>
      </c>
      <c r="AC34" s="118">
        <f t="shared" si="25"/>
        <v>2.05198691249625</v>
      </c>
      <c r="AD34" s="118">
        <f t="shared" si="25"/>
        <v>1.5766587168640684</v>
      </c>
      <c r="AE34" s="118">
        <f t="shared" si="25"/>
        <v>1.6266313614518271</v>
      </c>
      <c r="AF34" s="118">
        <f t="shared" si="25"/>
        <v>1.6474142610589428</v>
      </c>
      <c r="AG34" s="118">
        <f t="shared" si="25"/>
        <v>1.4787749262827188</v>
      </c>
      <c r="AH34" s="118">
        <f t="shared" si="25"/>
        <v>2.2487702001321934</v>
      </c>
      <c r="AI34" s="118">
        <f t="shared" si="25"/>
        <v>2.0136887862740904</v>
      </c>
      <c r="AJ34" s="118">
        <f t="shared" si="25"/>
        <v>2.1092484257549926</v>
      </c>
      <c r="AK34" s="118">
        <f t="shared" si="25"/>
        <v>1.6583405955100194</v>
      </c>
      <c r="AL34" s="118">
        <f t="shared" si="25"/>
        <v>2.3556622316959248</v>
      </c>
      <c r="AM34" s="118">
        <f t="shared" ref="AM34" si="26">AM18/AM29</f>
        <v>2.1465070227570044</v>
      </c>
    </row>
    <row r="35" spans="1:39">
      <c r="A35" s="33"/>
      <c r="B35" s="75"/>
      <c r="C35" s="75"/>
      <c r="D35" s="75"/>
      <c r="E35" s="75"/>
      <c r="F35" s="75"/>
      <c r="G35" s="75"/>
      <c r="H35" s="75"/>
      <c r="I35" s="75"/>
      <c r="J35" s="75"/>
      <c r="K35" s="75"/>
      <c r="L35" s="75"/>
      <c r="M35" s="75"/>
      <c r="N35" s="33"/>
      <c r="S35" s="46"/>
      <c r="T35" s="46"/>
      <c r="U35" s="46"/>
      <c r="V35" s="46"/>
      <c r="W35" s="46"/>
      <c r="X35" s="46"/>
      <c r="Y35" s="46"/>
      <c r="Z35" s="46"/>
      <c r="AC35" s="119"/>
      <c r="AD35" s="119"/>
      <c r="AE35" s="119"/>
      <c r="AF35" s="119"/>
      <c r="AG35" s="119"/>
      <c r="AH35" s="119"/>
      <c r="AI35" s="119"/>
      <c r="AJ35" s="119"/>
      <c r="AK35" s="119"/>
      <c r="AL35" s="119"/>
    </row>
    <row r="36" spans="1:39">
      <c r="B36" s="75"/>
      <c r="C36" s="75"/>
      <c r="D36" s="75"/>
      <c r="E36" s="75"/>
      <c r="F36" s="75"/>
      <c r="G36" s="75"/>
      <c r="H36" s="75"/>
      <c r="I36" s="75"/>
      <c r="J36" s="75"/>
      <c r="K36" s="75"/>
      <c r="L36" s="75"/>
      <c r="M36" s="75"/>
      <c r="N36" s="33"/>
      <c r="O36" s="50" t="s">
        <v>342</v>
      </c>
      <c r="P36" s="50"/>
      <c r="Q36" s="193"/>
      <c r="R36" s="193"/>
      <c r="S36" s="164"/>
      <c r="T36" s="164"/>
      <c r="U36" s="164"/>
      <c r="V36" s="164"/>
      <c r="W36" s="164"/>
      <c r="X36" s="164"/>
      <c r="Y36" s="46"/>
      <c r="Z36" s="165"/>
      <c r="AA36" s="165"/>
      <c r="AB36" s="165"/>
      <c r="AC36" s="166"/>
      <c r="AD36" s="166"/>
      <c r="AE36" s="166"/>
      <c r="AF36" s="166"/>
      <c r="AG36" s="166"/>
    </row>
    <row r="37" spans="1:39">
      <c r="B37" s="75"/>
      <c r="C37" s="75"/>
      <c r="D37" s="75"/>
      <c r="E37" s="75"/>
      <c r="F37" s="75"/>
      <c r="G37" s="75"/>
      <c r="H37" s="75"/>
      <c r="I37" s="75"/>
      <c r="J37" s="75"/>
      <c r="K37" s="70"/>
      <c r="L37" s="75"/>
      <c r="M37" s="75"/>
      <c r="N37" s="33"/>
      <c r="O37" s="666" t="s">
        <v>100</v>
      </c>
      <c r="P37" s="667"/>
      <c r="Q37" s="227"/>
      <c r="R37" s="227"/>
      <c r="S37" s="368"/>
      <c r="T37" s="368"/>
      <c r="U37" s="368"/>
      <c r="V37" s="368"/>
      <c r="W37" s="368"/>
      <c r="X37" s="368"/>
      <c r="Y37" s="229"/>
      <c r="Z37" s="229"/>
      <c r="AA37" s="229"/>
      <c r="AB37" s="229"/>
      <c r="AC37" s="229"/>
      <c r="AD37" s="229"/>
      <c r="AE37" s="229"/>
      <c r="AF37" s="229"/>
      <c r="AG37" s="229"/>
      <c r="AH37" s="229"/>
      <c r="AI37" s="229"/>
      <c r="AJ37" s="229"/>
      <c r="AK37" s="229"/>
      <c r="AL37" s="369"/>
      <c r="AM37" s="230"/>
    </row>
    <row r="38" spans="1:39">
      <c r="B38" s="75"/>
      <c r="C38" s="75"/>
      <c r="D38" s="75"/>
      <c r="E38" s="75"/>
      <c r="F38" s="75"/>
      <c r="G38" s="75"/>
      <c r="H38" s="75"/>
      <c r="I38" s="75"/>
      <c r="J38" s="75"/>
      <c r="K38" s="70"/>
      <c r="L38" s="75"/>
      <c r="M38" s="75"/>
      <c r="N38" s="33"/>
      <c r="O38" s="30"/>
      <c r="P38" s="30"/>
      <c r="Q38" s="31"/>
      <c r="AC38" s="119"/>
      <c r="AD38" s="119"/>
      <c r="AE38" s="119"/>
      <c r="AF38" s="119"/>
      <c r="AG38" s="119"/>
      <c r="AH38" s="119"/>
      <c r="AI38" s="119"/>
      <c r="AJ38" s="119"/>
      <c r="AK38" s="119"/>
      <c r="AL38" s="125"/>
    </row>
    <row r="39" spans="1:39" ht="30.75" customHeight="1">
      <c r="B39" s="70"/>
      <c r="C39" s="70"/>
      <c r="D39" s="70"/>
      <c r="E39" s="70"/>
      <c r="F39" s="70"/>
      <c r="G39" s="75"/>
      <c r="H39" s="70"/>
      <c r="I39" s="70"/>
      <c r="J39" s="70"/>
      <c r="K39" s="70"/>
      <c r="L39" s="75"/>
      <c r="M39" s="75"/>
      <c r="N39" s="33"/>
      <c r="S39" s="45"/>
    </row>
    <row r="40" spans="1:39">
      <c r="B40" s="70"/>
      <c r="C40" s="70"/>
      <c r="D40" s="70"/>
      <c r="E40" s="70"/>
      <c r="F40" s="70"/>
      <c r="G40" s="75"/>
      <c r="H40" s="70"/>
      <c r="I40" s="70"/>
      <c r="J40" s="70"/>
      <c r="K40" s="70"/>
      <c r="L40" s="75"/>
      <c r="M40" s="75"/>
      <c r="N40" s="33"/>
    </row>
    <row r="41" spans="1:39">
      <c r="B41" s="70"/>
      <c r="C41" s="78" t="s">
        <v>140</v>
      </c>
      <c r="D41" s="81" t="s">
        <v>106</v>
      </c>
      <c r="E41" s="79"/>
      <c r="F41" s="79"/>
      <c r="G41" s="70"/>
      <c r="H41" s="70"/>
      <c r="I41" s="70"/>
      <c r="J41" s="70"/>
      <c r="K41" s="70"/>
      <c r="L41" s="70"/>
      <c r="M41" s="70"/>
    </row>
    <row r="42" spans="1:39">
      <c r="B42" s="70"/>
      <c r="C42" s="70"/>
      <c r="D42" s="81" t="s">
        <v>432</v>
      </c>
      <c r="E42" s="70"/>
      <c r="F42" s="70"/>
      <c r="G42" s="70"/>
      <c r="H42" s="70"/>
      <c r="I42" s="70"/>
      <c r="J42" s="70"/>
      <c r="K42" s="70"/>
      <c r="L42" s="70"/>
      <c r="M42" s="70"/>
    </row>
    <row r="43" spans="1:39">
      <c r="B43" s="70"/>
      <c r="C43" s="78" t="s">
        <v>141</v>
      </c>
      <c r="D43" s="78" t="s">
        <v>144</v>
      </c>
      <c r="E43" s="77"/>
      <c r="F43" s="77"/>
      <c r="G43" s="70"/>
      <c r="H43" s="70"/>
      <c r="I43" s="70"/>
      <c r="J43" s="70"/>
      <c r="K43" s="70"/>
      <c r="L43" s="70"/>
      <c r="M43" s="70"/>
    </row>
    <row r="44" spans="1:39" ht="18" customHeight="1">
      <c r="B44" s="70"/>
      <c r="C44" s="70"/>
      <c r="D44" s="70"/>
      <c r="E44" s="70"/>
      <c r="F44" s="70"/>
      <c r="G44" s="70"/>
      <c r="H44" s="70"/>
      <c r="I44" s="70"/>
      <c r="J44" s="70"/>
      <c r="K44" s="70"/>
      <c r="L44" s="70"/>
      <c r="M44" s="70"/>
      <c r="O44" s="653" t="s">
        <v>514</v>
      </c>
      <c r="P44" s="635"/>
      <c r="Q44" s="635"/>
      <c r="R44" s="635"/>
      <c r="S44" s="635"/>
      <c r="T44" s="635"/>
      <c r="U44" s="635"/>
      <c r="V44" s="635"/>
      <c r="W44" s="635"/>
      <c r="X44" s="635"/>
      <c r="Y44" s="635"/>
      <c r="Z44" s="635"/>
      <c r="AA44" s="635"/>
      <c r="AB44" s="635"/>
      <c r="AC44" s="635"/>
      <c r="AD44" s="635"/>
    </row>
    <row r="45" spans="1:39">
      <c r="O45" s="12"/>
      <c r="P45" s="12"/>
      <c r="Q45" s="44"/>
      <c r="R45" s="44"/>
      <c r="S45" s="37"/>
      <c r="T45" s="37"/>
      <c r="U45" s="37"/>
      <c r="V45" s="37"/>
      <c r="W45" s="37"/>
      <c r="X45" s="37"/>
    </row>
    <row r="46" spans="1:39">
      <c r="O46" s="34" t="s">
        <v>3</v>
      </c>
    </row>
    <row r="47" spans="1:39" ht="16.5" customHeight="1">
      <c r="O47" s="161" t="s">
        <v>1</v>
      </c>
      <c r="P47" s="120" t="s">
        <v>37</v>
      </c>
      <c r="Q47" s="120"/>
      <c r="S47" s="163">
        <v>1996</v>
      </c>
      <c r="T47" s="163">
        <v>1997</v>
      </c>
      <c r="U47" s="163">
        <v>1998</v>
      </c>
      <c r="V47" s="163">
        <v>1999</v>
      </c>
      <c r="W47" s="163">
        <v>2000</v>
      </c>
      <c r="X47" s="163">
        <v>2001</v>
      </c>
      <c r="Y47" s="163">
        <v>2002</v>
      </c>
      <c r="Z47" s="163">
        <v>2003</v>
      </c>
      <c r="AA47" s="163">
        <v>2004</v>
      </c>
      <c r="AB47" s="163">
        <v>2005</v>
      </c>
      <c r="AC47" s="163">
        <v>2006</v>
      </c>
      <c r="AD47" s="48">
        <v>2007</v>
      </c>
      <c r="AE47" s="48">
        <v>2008</v>
      </c>
      <c r="AF47" s="48">
        <v>2009</v>
      </c>
      <c r="AG47" s="48">
        <v>2010</v>
      </c>
      <c r="AH47" s="48">
        <v>2011</v>
      </c>
      <c r="AI47" s="48">
        <v>2012</v>
      </c>
      <c r="AJ47" s="48">
        <v>2013</v>
      </c>
      <c r="AK47" s="48">
        <v>2014</v>
      </c>
      <c r="AL47" s="48">
        <v>2015</v>
      </c>
      <c r="AM47" s="48">
        <v>2016</v>
      </c>
    </row>
    <row r="48" spans="1:39" ht="9.75" customHeight="1">
      <c r="O48" s="31"/>
      <c r="P48" s="25"/>
      <c r="AC48" s="119"/>
      <c r="AL48" s="46"/>
      <c r="AM48" s="46"/>
    </row>
    <row r="49" spans="1:86">
      <c r="O49" s="31" t="s">
        <v>0</v>
      </c>
      <c r="P49" s="25" t="s">
        <v>150</v>
      </c>
      <c r="Q49" s="25" t="s">
        <v>21</v>
      </c>
      <c r="R49" s="388"/>
      <c r="S49" s="119">
        <f t="shared" ref="S49:AM49" si="27">VLOOKUP(S$47&amp;"AllSex"&amp;"Maori"&amp;22,agesextable,6,FALSE)</f>
        <v>39</v>
      </c>
      <c r="T49" s="119">
        <f t="shared" si="27"/>
        <v>38</v>
      </c>
      <c r="U49" s="119">
        <f t="shared" si="27"/>
        <v>42</v>
      </c>
      <c r="V49" s="119">
        <f t="shared" si="27"/>
        <v>33</v>
      </c>
      <c r="W49" s="119">
        <f t="shared" si="27"/>
        <v>28</v>
      </c>
      <c r="X49" s="119">
        <f>VLOOKUP(X$47&amp;"AllSex"&amp;"Maori"&amp;22,agesextable,6,FALSE)</f>
        <v>29</v>
      </c>
      <c r="Y49" s="119">
        <f t="shared" si="27"/>
        <v>33</v>
      </c>
      <c r="Z49" s="119">
        <f t="shared" si="27"/>
        <v>31</v>
      </c>
      <c r="AA49" s="119">
        <f t="shared" si="27"/>
        <v>42</v>
      </c>
      <c r="AB49" s="119">
        <f t="shared" si="27"/>
        <v>40</v>
      </c>
      <c r="AC49" s="119">
        <f t="shared" si="27"/>
        <v>37</v>
      </c>
      <c r="AD49" s="119">
        <f t="shared" si="27"/>
        <v>33</v>
      </c>
      <c r="AE49" s="119">
        <f t="shared" si="27"/>
        <v>35</v>
      </c>
      <c r="AF49" s="119">
        <f t="shared" si="27"/>
        <v>35</v>
      </c>
      <c r="AG49" s="119">
        <f t="shared" si="27"/>
        <v>42</v>
      </c>
      <c r="AH49" s="119">
        <f t="shared" si="27"/>
        <v>49</v>
      </c>
      <c r="AI49" s="119">
        <f t="shared" si="27"/>
        <v>61</v>
      </c>
      <c r="AJ49" s="119">
        <f t="shared" si="27"/>
        <v>49</v>
      </c>
      <c r="AK49" s="119">
        <f t="shared" si="27"/>
        <v>28</v>
      </c>
      <c r="AL49" s="119">
        <f t="shared" si="27"/>
        <v>42</v>
      </c>
      <c r="AM49" s="119">
        <f t="shared" si="27"/>
        <v>45</v>
      </c>
    </row>
    <row r="50" spans="1:86">
      <c r="O50" s="31"/>
      <c r="P50" s="25" t="s">
        <v>35</v>
      </c>
      <c r="R50" s="388"/>
      <c r="S50" s="119">
        <f t="shared" ref="S50:AM50" si="28">VLOOKUP(S$47&amp;"AllSex"&amp;"Maori"&amp;23,agesextable,6,FALSE)</f>
        <v>45</v>
      </c>
      <c r="T50" s="119">
        <f t="shared" si="28"/>
        <v>56</v>
      </c>
      <c r="U50" s="119">
        <f t="shared" si="28"/>
        <v>47</v>
      </c>
      <c r="V50" s="119">
        <f t="shared" si="28"/>
        <v>41</v>
      </c>
      <c r="W50" s="119">
        <f t="shared" si="28"/>
        <v>40</v>
      </c>
      <c r="X50" s="119">
        <f t="shared" si="28"/>
        <v>42</v>
      </c>
      <c r="Y50" s="119">
        <f t="shared" si="28"/>
        <v>40</v>
      </c>
      <c r="Z50" s="119">
        <f t="shared" si="28"/>
        <v>46</v>
      </c>
      <c r="AA50" s="119">
        <f t="shared" si="28"/>
        <v>55</v>
      </c>
      <c r="AB50" s="119">
        <f t="shared" si="28"/>
        <v>54</v>
      </c>
      <c r="AC50" s="119">
        <f t="shared" si="28"/>
        <v>54</v>
      </c>
      <c r="AD50" s="119">
        <f t="shared" si="28"/>
        <v>50</v>
      </c>
      <c r="AE50" s="119">
        <f t="shared" si="28"/>
        <v>37</v>
      </c>
      <c r="AF50" s="119">
        <f t="shared" si="28"/>
        <v>31</v>
      </c>
      <c r="AG50" s="119">
        <f t="shared" si="28"/>
        <v>41</v>
      </c>
      <c r="AH50" s="119">
        <f t="shared" si="28"/>
        <v>44</v>
      </c>
      <c r="AI50" s="119">
        <f t="shared" si="28"/>
        <v>39</v>
      </c>
      <c r="AJ50" s="119">
        <f t="shared" si="28"/>
        <v>44</v>
      </c>
      <c r="AK50" s="119">
        <f t="shared" si="28"/>
        <v>51</v>
      </c>
      <c r="AL50" s="119">
        <f t="shared" si="28"/>
        <v>54</v>
      </c>
      <c r="AM50" s="119">
        <f t="shared" si="28"/>
        <v>59</v>
      </c>
    </row>
    <row r="51" spans="1:86">
      <c r="B51" s="70"/>
      <c r="C51" s="70"/>
      <c r="D51" s="70"/>
      <c r="E51" s="70"/>
      <c r="F51" s="70"/>
      <c r="G51" s="70"/>
      <c r="H51" s="70"/>
      <c r="I51" s="70"/>
      <c r="J51" s="70"/>
      <c r="K51" s="70"/>
      <c r="L51" s="70"/>
      <c r="M51" s="70"/>
      <c r="O51" s="31"/>
      <c r="P51" s="25" t="s">
        <v>36</v>
      </c>
      <c r="R51" s="388"/>
      <c r="S51" s="119">
        <f t="shared" ref="S51:AM51" si="29">VLOOKUP(S$47&amp;"AllSex"&amp;"Maori"&amp;24,agesextable,6,FALSE)</f>
        <v>8</v>
      </c>
      <c r="T51" s="119">
        <f t="shared" si="29"/>
        <v>7</v>
      </c>
      <c r="U51" s="119">
        <f t="shared" si="29"/>
        <v>12</v>
      </c>
      <c r="V51" s="119">
        <f t="shared" si="29"/>
        <v>1</v>
      </c>
      <c r="W51" s="119">
        <f t="shared" si="29"/>
        <v>10</v>
      </c>
      <c r="X51" s="119">
        <f t="shared" si="29"/>
        <v>5</v>
      </c>
      <c r="Y51" s="119">
        <f t="shared" si="29"/>
        <v>7</v>
      </c>
      <c r="Z51" s="119">
        <f t="shared" si="29"/>
        <v>5</v>
      </c>
      <c r="AA51" s="119">
        <f t="shared" si="29"/>
        <v>9</v>
      </c>
      <c r="AB51" s="119">
        <f t="shared" si="29"/>
        <v>7</v>
      </c>
      <c r="AC51" s="119">
        <f t="shared" si="29"/>
        <v>12</v>
      </c>
      <c r="AD51" s="119">
        <f t="shared" si="29"/>
        <v>12</v>
      </c>
      <c r="AE51" s="119">
        <f t="shared" si="29"/>
        <v>10</v>
      </c>
      <c r="AF51" s="119">
        <f t="shared" si="29"/>
        <v>11</v>
      </c>
      <c r="AG51" s="119">
        <f t="shared" si="29"/>
        <v>15</v>
      </c>
      <c r="AH51" s="119">
        <f t="shared" si="29"/>
        <v>16</v>
      </c>
      <c r="AI51" s="119">
        <f t="shared" si="29"/>
        <v>10</v>
      </c>
      <c r="AJ51" s="119">
        <f t="shared" si="29"/>
        <v>10</v>
      </c>
      <c r="AK51" s="119">
        <f t="shared" si="29"/>
        <v>11</v>
      </c>
      <c r="AL51" s="119">
        <f t="shared" si="29"/>
        <v>18</v>
      </c>
      <c r="AM51" s="119">
        <f t="shared" si="29"/>
        <v>24</v>
      </c>
    </row>
    <row r="52" spans="1:86" ht="16.5" customHeight="1">
      <c r="A52" s="33"/>
      <c r="B52" s="70"/>
      <c r="C52" s="660" t="s">
        <v>414</v>
      </c>
      <c r="D52" s="635"/>
      <c r="E52" s="635"/>
      <c r="F52" s="635"/>
      <c r="G52" s="635"/>
      <c r="H52" s="635"/>
      <c r="I52" s="635"/>
      <c r="J52" s="635"/>
      <c r="K52" s="635"/>
      <c r="L52" s="635"/>
      <c r="M52" s="99"/>
      <c r="O52" s="31"/>
      <c r="P52" s="25" t="s">
        <v>26</v>
      </c>
      <c r="R52" s="388"/>
      <c r="S52" s="119">
        <f t="shared" ref="S52:AM52" si="30">VLOOKUP(S$47&amp;"AllSex"&amp;"Maori"&amp;25,agesextable,6,FALSE)</f>
        <v>1</v>
      </c>
      <c r="T52" s="119">
        <f t="shared" si="30"/>
        <v>1</v>
      </c>
      <c r="U52" s="119">
        <f t="shared" si="30"/>
        <v>2</v>
      </c>
      <c r="V52" s="119">
        <f t="shared" si="30"/>
        <v>0</v>
      </c>
      <c r="W52" s="119">
        <f t="shared" si="30"/>
        <v>1</v>
      </c>
      <c r="X52" s="119">
        <f t="shared" si="30"/>
        <v>2</v>
      </c>
      <c r="Y52" s="119">
        <f t="shared" si="30"/>
        <v>0</v>
      </c>
      <c r="Z52" s="119">
        <f t="shared" si="30"/>
        <v>0</v>
      </c>
      <c r="AA52" s="119">
        <f t="shared" si="30"/>
        <v>2</v>
      </c>
      <c r="AB52" s="119">
        <f t="shared" si="30"/>
        <v>2</v>
      </c>
      <c r="AC52" s="119">
        <f t="shared" si="30"/>
        <v>1</v>
      </c>
      <c r="AD52" s="119">
        <f t="shared" si="30"/>
        <v>1</v>
      </c>
      <c r="AE52" s="119">
        <f t="shared" si="30"/>
        <v>1</v>
      </c>
      <c r="AF52" s="119">
        <f t="shared" si="30"/>
        <v>1</v>
      </c>
      <c r="AG52" s="119">
        <f t="shared" si="30"/>
        <v>0</v>
      </c>
      <c r="AH52" s="119">
        <f t="shared" si="30"/>
        <v>0</v>
      </c>
      <c r="AI52" s="119">
        <f t="shared" si="30"/>
        <v>1</v>
      </c>
      <c r="AJ52" s="119">
        <f t="shared" si="30"/>
        <v>0</v>
      </c>
      <c r="AK52" s="119">
        <f t="shared" si="30"/>
        <v>0</v>
      </c>
      <c r="AL52" s="119">
        <f t="shared" si="30"/>
        <v>0</v>
      </c>
      <c r="AM52" s="119">
        <f t="shared" si="30"/>
        <v>3</v>
      </c>
    </row>
    <row r="53" spans="1:86" ht="16.5" customHeight="1">
      <c r="A53" s="33"/>
      <c r="B53" s="70"/>
      <c r="C53" s="660" t="s">
        <v>510</v>
      </c>
      <c r="D53" s="635"/>
      <c r="E53" s="635"/>
      <c r="F53" s="635"/>
      <c r="G53" s="635"/>
      <c r="H53" s="635"/>
      <c r="I53" s="635"/>
      <c r="J53" s="635"/>
      <c r="K53" s="635"/>
      <c r="L53" s="635"/>
      <c r="M53" s="70"/>
      <c r="O53" s="28"/>
      <c r="P53" s="28"/>
      <c r="Q53" s="28"/>
      <c r="R53" s="389"/>
      <c r="S53" s="123"/>
      <c r="T53" s="123"/>
      <c r="U53" s="123"/>
      <c r="V53" s="123"/>
      <c r="W53" s="123"/>
      <c r="X53" s="123"/>
      <c r="Y53" s="123"/>
      <c r="Z53" s="123"/>
      <c r="AA53" s="123"/>
      <c r="AB53" s="123"/>
      <c r="AC53" s="123"/>
      <c r="AD53" s="123"/>
      <c r="AE53" s="123"/>
      <c r="AF53" s="123"/>
      <c r="AG53" s="123"/>
      <c r="AH53" s="123"/>
      <c r="AI53" s="123"/>
      <c r="AJ53" s="123"/>
      <c r="AK53" s="123"/>
      <c r="AL53" s="123"/>
      <c r="AM53" s="123"/>
    </row>
    <row r="54" spans="1:86" ht="18" customHeight="1">
      <c r="A54" s="33"/>
      <c r="B54" s="70"/>
      <c r="C54" s="70"/>
      <c r="D54" s="70"/>
      <c r="E54" s="108" t="s">
        <v>386</v>
      </c>
      <c r="F54" s="70"/>
      <c r="G54" s="70"/>
      <c r="H54" s="70"/>
      <c r="I54" s="70"/>
      <c r="J54" s="108" t="s">
        <v>387</v>
      </c>
      <c r="K54" s="70"/>
      <c r="L54" s="70"/>
      <c r="M54" s="70"/>
      <c r="O54" s="25" t="s">
        <v>20</v>
      </c>
      <c r="P54" s="25" t="s">
        <v>150</v>
      </c>
      <c r="Q54" s="25" t="s">
        <v>21</v>
      </c>
      <c r="R54" s="388"/>
      <c r="S54" s="119">
        <f t="shared" ref="S54:AM54" si="31">VLOOKUP(S$47&amp;"Male"&amp;"Maori"&amp;22,agesextable,6,FALSE)</f>
        <v>30</v>
      </c>
      <c r="T54" s="119">
        <f t="shared" si="31"/>
        <v>29</v>
      </c>
      <c r="U54" s="119">
        <f t="shared" si="31"/>
        <v>29</v>
      </c>
      <c r="V54" s="119">
        <f t="shared" si="31"/>
        <v>23</v>
      </c>
      <c r="W54" s="119">
        <f t="shared" si="31"/>
        <v>24</v>
      </c>
      <c r="X54" s="119">
        <f t="shared" si="31"/>
        <v>20</v>
      </c>
      <c r="Y54" s="119">
        <f t="shared" si="31"/>
        <v>23</v>
      </c>
      <c r="Z54" s="119">
        <f t="shared" si="31"/>
        <v>20</v>
      </c>
      <c r="AA54" s="119">
        <f t="shared" si="31"/>
        <v>28</v>
      </c>
      <c r="AB54" s="119">
        <f t="shared" si="31"/>
        <v>29</v>
      </c>
      <c r="AC54" s="119">
        <f t="shared" si="31"/>
        <v>29</v>
      </c>
      <c r="AD54" s="119">
        <f t="shared" si="31"/>
        <v>23</v>
      </c>
      <c r="AE54" s="119">
        <f t="shared" si="31"/>
        <v>17</v>
      </c>
      <c r="AF54" s="119">
        <f t="shared" si="31"/>
        <v>24</v>
      </c>
      <c r="AG54" s="119">
        <f t="shared" si="31"/>
        <v>27</v>
      </c>
      <c r="AH54" s="119">
        <f t="shared" si="31"/>
        <v>33</v>
      </c>
      <c r="AI54" s="119">
        <f t="shared" si="31"/>
        <v>37</v>
      </c>
      <c r="AJ54" s="119">
        <f t="shared" si="31"/>
        <v>29</v>
      </c>
      <c r="AK54" s="119">
        <f t="shared" si="31"/>
        <v>20</v>
      </c>
      <c r="AL54" s="119">
        <f t="shared" si="31"/>
        <v>20</v>
      </c>
      <c r="AM54" s="119">
        <f t="shared" si="31"/>
        <v>34</v>
      </c>
    </row>
    <row r="55" spans="1:86">
      <c r="A55" s="33"/>
      <c r="B55" s="70"/>
      <c r="C55" s="70"/>
      <c r="D55" s="70"/>
      <c r="E55" s="70"/>
      <c r="F55" s="70"/>
      <c r="G55" s="70"/>
      <c r="H55" s="70"/>
      <c r="I55" s="70"/>
      <c r="J55" s="70"/>
      <c r="K55" s="70"/>
      <c r="L55" s="70"/>
      <c r="M55" s="70"/>
      <c r="O55" s="25"/>
      <c r="P55" s="25" t="s">
        <v>35</v>
      </c>
      <c r="R55" s="388"/>
      <c r="S55" s="119">
        <f t="shared" ref="S55:AM55" si="32">VLOOKUP(S$47&amp;"Male"&amp;"Maori"&amp;23,agesextable,6,FALSE)</f>
        <v>36</v>
      </c>
      <c r="T55" s="119">
        <f t="shared" si="32"/>
        <v>41</v>
      </c>
      <c r="U55" s="119">
        <f t="shared" si="32"/>
        <v>40</v>
      </c>
      <c r="V55" s="119">
        <f t="shared" si="32"/>
        <v>34</v>
      </c>
      <c r="W55" s="119">
        <f t="shared" si="32"/>
        <v>35</v>
      </c>
      <c r="X55" s="119">
        <f t="shared" si="32"/>
        <v>31</v>
      </c>
      <c r="Y55" s="119">
        <f t="shared" si="32"/>
        <v>31</v>
      </c>
      <c r="Z55" s="119">
        <f t="shared" si="32"/>
        <v>39</v>
      </c>
      <c r="AA55" s="119">
        <f t="shared" si="32"/>
        <v>44</v>
      </c>
      <c r="AB55" s="119">
        <f t="shared" si="32"/>
        <v>42</v>
      </c>
      <c r="AC55" s="119">
        <f t="shared" si="32"/>
        <v>36</v>
      </c>
      <c r="AD55" s="119">
        <f t="shared" si="32"/>
        <v>39</v>
      </c>
      <c r="AE55" s="119">
        <f t="shared" si="32"/>
        <v>28</v>
      </c>
      <c r="AF55" s="119">
        <f t="shared" si="32"/>
        <v>23</v>
      </c>
      <c r="AG55" s="119">
        <f t="shared" si="32"/>
        <v>32</v>
      </c>
      <c r="AH55" s="119">
        <f t="shared" si="32"/>
        <v>33</v>
      </c>
      <c r="AI55" s="119">
        <f t="shared" si="32"/>
        <v>30</v>
      </c>
      <c r="AJ55" s="119">
        <f t="shared" si="32"/>
        <v>31</v>
      </c>
      <c r="AK55" s="119">
        <f t="shared" si="32"/>
        <v>36</v>
      </c>
      <c r="AL55" s="119">
        <f t="shared" si="32"/>
        <v>40</v>
      </c>
      <c r="AM55" s="119">
        <f t="shared" si="32"/>
        <v>44</v>
      </c>
    </row>
    <row r="56" spans="1:86">
      <c r="A56" s="33"/>
      <c r="B56" s="70"/>
      <c r="C56" s="70"/>
      <c r="D56" s="70"/>
      <c r="E56" s="70"/>
      <c r="F56" s="70"/>
      <c r="G56" s="70"/>
      <c r="H56" s="70"/>
      <c r="I56" s="70"/>
      <c r="J56" s="70"/>
      <c r="K56" s="70"/>
      <c r="L56" s="70"/>
      <c r="M56" s="70"/>
      <c r="O56" s="25"/>
      <c r="P56" s="25" t="s">
        <v>36</v>
      </c>
      <c r="R56" s="388"/>
      <c r="S56" s="119">
        <f t="shared" ref="S56:AM56" si="33">VLOOKUP(S$47&amp;"Male"&amp;"Maori"&amp;24,agesextable,6,FALSE)</f>
        <v>5</v>
      </c>
      <c r="T56" s="119">
        <f t="shared" si="33"/>
        <v>7</v>
      </c>
      <c r="U56" s="119">
        <f t="shared" si="33"/>
        <v>10</v>
      </c>
      <c r="V56" s="119">
        <f t="shared" si="33"/>
        <v>1</v>
      </c>
      <c r="W56" s="119">
        <f t="shared" si="33"/>
        <v>8</v>
      </c>
      <c r="X56" s="119">
        <f t="shared" si="33"/>
        <v>5</v>
      </c>
      <c r="Y56" s="119">
        <f t="shared" si="33"/>
        <v>6</v>
      </c>
      <c r="Z56" s="119">
        <f t="shared" si="33"/>
        <v>4</v>
      </c>
      <c r="AA56" s="119">
        <f t="shared" si="33"/>
        <v>7</v>
      </c>
      <c r="AB56" s="119">
        <f t="shared" si="33"/>
        <v>5</v>
      </c>
      <c r="AC56" s="119">
        <f t="shared" si="33"/>
        <v>10</v>
      </c>
      <c r="AD56" s="119">
        <f t="shared" si="33"/>
        <v>11</v>
      </c>
      <c r="AE56" s="119">
        <f t="shared" si="33"/>
        <v>8</v>
      </c>
      <c r="AF56" s="119">
        <f t="shared" si="33"/>
        <v>7</v>
      </c>
      <c r="AG56" s="119">
        <f t="shared" si="33"/>
        <v>11</v>
      </c>
      <c r="AH56" s="119">
        <f t="shared" si="33"/>
        <v>13</v>
      </c>
      <c r="AI56" s="119">
        <f t="shared" si="33"/>
        <v>9</v>
      </c>
      <c r="AJ56" s="119">
        <f t="shared" si="33"/>
        <v>5</v>
      </c>
      <c r="AK56" s="119">
        <f t="shared" si="33"/>
        <v>9</v>
      </c>
      <c r="AL56" s="119">
        <f t="shared" si="33"/>
        <v>15</v>
      </c>
      <c r="AM56" s="119">
        <f t="shared" si="33"/>
        <v>15</v>
      </c>
    </row>
    <row r="57" spans="1:86">
      <c r="A57" s="33"/>
      <c r="B57" s="70"/>
      <c r="C57" s="70"/>
      <c r="D57" s="70"/>
      <c r="E57" s="70"/>
      <c r="F57" s="70"/>
      <c r="G57" s="70"/>
      <c r="H57" s="70"/>
      <c r="I57" s="70"/>
      <c r="J57" s="70"/>
      <c r="K57" s="70"/>
      <c r="L57" s="70"/>
      <c r="M57" s="70"/>
      <c r="O57" s="25"/>
      <c r="P57" s="25" t="s">
        <v>26</v>
      </c>
      <c r="R57" s="388"/>
      <c r="S57" s="119">
        <f t="shared" ref="S57:AM57" si="34">VLOOKUP(S$47&amp;"Male"&amp;"Maori"&amp;25,agesextable,6,FALSE)</f>
        <v>1</v>
      </c>
      <c r="T57" s="119">
        <f t="shared" si="34"/>
        <v>0</v>
      </c>
      <c r="U57" s="119">
        <f t="shared" si="34"/>
        <v>2</v>
      </c>
      <c r="V57" s="119">
        <f t="shared" si="34"/>
        <v>0</v>
      </c>
      <c r="W57" s="119">
        <f t="shared" si="34"/>
        <v>1</v>
      </c>
      <c r="X57" s="119">
        <f t="shared" si="34"/>
        <v>2</v>
      </c>
      <c r="Y57" s="119">
        <f t="shared" si="34"/>
        <v>0</v>
      </c>
      <c r="Z57" s="119">
        <f t="shared" si="34"/>
        <v>0</v>
      </c>
      <c r="AA57" s="119">
        <f t="shared" si="34"/>
        <v>2</v>
      </c>
      <c r="AB57" s="119">
        <f t="shared" si="34"/>
        <v>2</v>
      </c>
      <c r="AC57" s="119">
        <f t="shared" si="34"/>
        <v>0</v>
      </c>
      <c r="AD57" s="119">
        <f t="shared" si="34"/>
        <v>1</v>
      </c>
      <c r="AE57" s="119">
        <f t="shared" si="34"/>
        <v>1</v>
      </c>
      <c r="AF57" s="119">
        <f t="shared" si="34"/>
        <v>1</v>
      </c>
      <c r="AG57" s="119">
        <f t="shared" si="34"/>
        <v>0</v>
      </c>
      <c r="AH57" s="119">
        <f t="shared" si="34"/>
        <v>0</v>
      </c>
      <c r="AI57" s="119">
        <f t="shared" si="34"/>
        <v>1</v>
      </c>
      <c r="AJ57" s="119">
        <f t="shared" si="34"/>
        <v>0</v>
      </c>
      <c r="AK57" s="119">
        <f t="shared" si="34"/>
        <v>0</v>
      </c>
      <c r="AL57" s="119">
        <f t="shared" si="34"/>
        <v>0</v>
      </c>
      <c r="AM57" s="119">
        <f t="shared" si="34"/>
        <v>3</v>
      </c>
    </row>
    <row r="58" spans="1:86">
      <c r="B58" s="70"/>
      <c r="C58" s="70"/>
      <c r="D58" s="70"/>
      <c r="E58" s="70"/>
      <c r="F58" s="70"/>
      <c r="G58" s="70"/>
      <c r="H58" s="70"/>
      <c r="I58" s="70"/>
      <c r="J58" s="70"/>
      <c r="K58" s="70"/>
      <c r="L58" s="70"/>
      <c r="M58" s="70"/>
      <c r="O58" s="28"/>
      <c r="P58" s="28"/>
      <c r="Q58" s="28"/>
      <c r="R58" s="389"/>
      <c r="S58" s="123"/>
      <c r="T58" s="123"/>
      <c r="U58" s="123"/>
      <c r="V58" s="123"/>
      <c r="W58" s="123"/>
      <c r="X58" s="123"/>
      <c r="Y58" s="123"/>
      <c r="Z58" s="123"/>
      <c r="AA58" s="123"/>
      <c r="AB58" s="123"/>
      <c r="AC58" s="123"/>
      <c r="AD58" s="123"/>
      <c r="AE58" s="123"/>
      <c r="AF58" s="123"/>
      <c r="AG58" s="123"/>
      <c r="AH58" s="123"/>
      <c r="AI58" s="123"/>
      <c r="AJ58" s="123"/>
      <c r="AK58" s="123"/>
      <c r="AL58" s="123"/>
      <c r="AM58" s="123"/>
    </row>
    <row r="59" spans="1:86">
      <c r="B59" s="70"/>
      <c r="C59" s="70"/>
      <c r="D59" s="70"/>
      <c r="E59" s="70"/>
      <c r="F59" s="70"/>
      <c r="G59" s="70"/>
      <c r="H59" s="70"/>
      <c r="I59" s="70"/>
      <c r="J59" s="70"/>
      <c r="K59" s="70"/>
      <c r="L59" s="70"/>
      <c r="M59" s="70"/>
      <c r="O59" s="25" t="s">
        <v>8</v>
      </c>
      <c r="P59" s="25" t="s">
        <v>150</v>
      </c>
      <c r="Q59" s="25" t="s">
        <v>21</v>
      </c>
      <c r="R59" s="388"/>
      <c r="S59" s="119">
        <f t="shared" ref="S59:AM59" si="35">VLOOKUP(S$47&amp;"Female"&amp;"Maori"&amp;22,agesextable,6,FALSE)</f>
        <v>9</v>
      </c>
      <c r="T59" s="119">
        <f t="shared" si="35"/>
        <v>9</v>
      </c>
      <c r="U59" s="119">
        <f t="shared" si="35"/>
        <v>13</v>
      </c>
      <c r="V59" s="119">
        <f t="shared" si="35"/>
        <v>10</v>
      </c>
      <c r="W59" s="119">
        <f t="shared" si="35"/>
        <v>4</v>
      </c>
      <c r="X59" s="119">
        <f t="shared" si="35"/>
        <v>9</v>
      </c>
      <c r="Y59" s="119">
        <f t="shared" si="35"/>
        <v>10</v>
      </c>
      <c r="Z59" s="119">
        <f t="shared" si="35"/>
        <v>11</v>
      </c>
      <c r="AA59" s="119">
        <f t="shared" si="35"/>
        <v>14</v>
      </c>
      <c r="AB59" s="119">
        <f t="shared" si="35"/>
        <v>11</v>
      </c>
      <c r="AC59" s="119">
        <f t="shared" si="35"/>
        <v>8</v>
      </c>
      <c r="AD59" s="119">
        <f t="shared" si="35"/>
        <v>10</v>
      </c>
      <c r="AE59" s="119">
        <f t="shared" si="35"/>
        <v>18</v>
      </c>
      <c r="AF59" s="119">
        <f t="shared" si="35"/>
        <v>11</v>
      </c>
      <c r="AG59" s="119">
        <f t="shared" si="35"/>
        <v>15</v>
      </c>
      <c r="AH59" s="119">
        <f t="shared" si="35"/>
        <v>16</v>
      </c>
      <c r="AI59" s="119">
        <f t="shared" si="35"/>
        <v>24</v>
      </c>
      <c r="AJ59" s="119">
        <f t="shared" si="35"/>
        <v>20</v>
      </c>
      <c r="AK59" s="119">
        <f t="shared" si="35"/>
        <v>8</v>
      </c>
      <c r="AL59" s="119">
        <f t="shared" si="35"/>
        <v>22</v>
      </c>
      <c r="AM59" s="119">
        <f t="shared" si="35"/>
        <v>11</v>
      </c>
    </row>
    <row r="60" spans="1:86">
      <c r="B60" s="70"/>
      <c r="C60" s="70"/>
      <c r="D60" s="70"/>
      <c r="E60" s="70"/>
      <c r="F60" s="70"/>
      <c r="G60" s="70"/>
      <c r="H60" s="70"/>
      <c r="I60" s="70"/>
      <c r="J60" s="70"/>
      <c r="K60" s="70"/>
      <c r="L60" s="70"/>
      <c r="M60" s="70"/>
      <c r="O60" s="25"/>
      <c r="P60" s="25" t="s">
        <v>35</v>
      </c>
      <c r="R60" s="388"/>
      <c r="S60" s="119">
        <f t="shared" ref="S60:AM60" si="36">VLOOKUP(S$47&amp;"Female"&amp;"Maori"&amp;23,agesextable,6,FALSE)</f>
        <v>9</v>
      </c>
      <c r="T60" s="119">
        <f t="shared" si="36"/>
        <v>15</v>
      </c>
      <c r="U60" s="119">
        <f t="shared" si="36"/>
        <v>7</v>
      </c>
      <c r="V60" s="119">
        <f t="shared" si="36"/>
        <v>7</v>
      </c>
      <c r="W60" s="119">
        <f t="shared" si="36"/>
        <v>5</v>
      </c>
      <c r="X60" s="119">
        <f t="shared" si="36"/>
        <v>11</v>
      </c>
      <c r="Y60" s="119">
        <f t="shared" si="36"/>
        <v>9</v>
      </c>
      <c r="Z60" s="119">
        <f t="shared" si="36"/>
        <v>7</v>
      </c>
      <c r="AA60" s="119">
        <f t="shared" si="36"/>
        <v>11</v>
      </c>
      <c r="AB60" s="119">
        <f t="shared" si="36"/>
        <v>12</v>
      </c>
      <c r="AC60" s="119">
        <f t="shared" si="36"/>
        <v>18</v>
      </c>
      <c r="AD60" s="119">
        <f t="shared" si="36"/>
        <v>11</v>
      </c>
      <c r="AE60" s="119">
        <f t="shared" si="36"/>
        <v>9</v>
      </c>
      <c r="AF60" s="119">
        <f t="shared" si="36"/>
        <v>8</v>
      </c>
      <c r="AG60" s="119">
        <f t="shared" si="36"/>
        <v>9</v>
      </c>
      <c r="AH60" s="119">
        <f t="shared" si="36"/>
        <v>11</v>
      </c>
      <c r="AI60" s="119">
        <f t="shared" si="36"/>
        <v>9</v>
      </c>
      <c r="AJ60" s="119">
        <f t="shared" si="36"/>
        <v>13</v>
      </c>
      <c r="AK60" s="119">
        <f t="shared" si="36"/>
        <v>15</v>
      </c>
      <c r="AL60" s="119">
        <f t="shared" si="36"/>
        <v>14</v>
      </c>
      <c r="AM60" s="119">
        <f t="shared" si="36"/>
        <v>15</v>
      </c>
    </row>
    <row r="61" spans="1:86">
      <c r="B61" s="70"/>
      <c r="C61" s="70"/>
      <c r="D61" s="70"/>
      <c r="E61" s="70"/>
      <c r="F61" s="70"/>
      <c r="G61" s="70"/>
      <c r="H61" s="70"/>
      <c r="I61" s="70"/>
      <c r="J61" s="70"/>
      <c r="K61" s="70"/>
      <c r="L61" s="70"/>
      <c r="M61" s="70"/>
      <c r="O61" s="25"/>
      <c r="P61" s="25" t="s">
        <v>36</v>
      </c>
      <c r="R61" s="388"/>
      <c r="S61" s="119">
        <f t="shared" ref="S61:AM61" si="37">VLOOKUP(S$47&amp;"Female"&amp;"Maori"&amp;24,agesextable,6,FALSE)</f>
        <v>3</v>
      </c>
      <c r="T61" s="119">
        <f t="shared" si="37"/>
        <v>0</v>
      </c>
      <c r="U61" s="119">
        <f t="shared" si="37"/>
        <v>2</v>
      </c>
      <c r="V61" s="119">
        <f t="shared" si="37"/>
        <v>0</v>
      </c>
      <c r="W61" s="119">
        <f t="shared" si="37"/>
        <v>2</v>
      </c>
      <c r="X61" s="119">
        <f t="shared" si="37"/>
        <v>0</v>
      </c>
      <c r="Y61" s="119">
        <f t="shared" si="37"/>
        <v>1</v>
      </c>
      <c r="Z61" s="119">
        <f t="shared" si="37"/>
        <v>1</v>
      </c>
      <c r="AA61" s="119">
        <f t="shared" si="37"/>
        <v>2</v>
      </c>
      <c r="AB61" s="119">
        <f t="shared" si="37"/>
        <v>2</v>
      </c>
      <c r="AC61" s="119">
        <f t="shared" si="37"/>
        <v>2</v>
      </c>
      <c r="AD61" s="119">
        <f t="shared" si="37"/>
        <v>1</v>
      </c>
      <c r="AE61" s="119">
        <f t="shared" si="37"/>
        <v>2</v>
      </c>
      <c r="AF61" s="119">
        <f t="shared" si="37"/>
        <v>4</v>
      </c>
      <c r="AG61" s="119">
        <f t="shared" si="37"/>
        <v>4</v>
      </c>
      <c r="AH61" s="119">
        <f t="shared" si="37"/>
        <v>3</v>
      </c>
      <c r="AI61" s="119">
        <f t="shared" si="37"/>
        <v>1</v>
      </c>
      <c r="AJ61" s="119">
        <f t="shared" si="37"/>
        <v>5</v>
      </c>
      <c r="AK61" s="119">
        <f t="shared" si="37"/>
        <v>2</v>
      </c>
      <c r="AL61" s="119">
        <f t="shared" si="37"/>
        <v>3</v>
      </c>
      <c r="AM61" s="119">
        <f t="shared" si="37"/>
        <v>9</v>
      </c>
      <c r="AO61" s="507"/>
      <c r="AP61" s="507"/>
      <c r="AQ61" s="507"/>
      <c r="AR61" s="507"/>
      <c r="AS61" s="507"/>
      <c r="AT61" s="507"/>
      <c r="AU61" s="507"/>
      <c r="AV61" s="507"/>
      <c r="AW61" s="507"/>
      <c r="AX61" s="507"/>
      <c r="AY61" s="507"/>
      <c r="AZ61" s="507"/>
      <c r="BA61" s="507"/>
      <c r="BB61" s="507"/>
    </row>
    <row r="62" spans="1:86">
      <c r="B62" s="70"/>
      <c r="C62" s="70"/>
      <c r="D62" s="70"/>
      <c r="E62" s="70"/>
      <c r="F62" s="70"/>
      <c r="G62" s="70"/>
      <c r="H62" s="70"/>
      <c r="I62" s="70"/>
      <c r="J62" s="70"/>
      <c r="K62" s="70"/>
      <c r="L62" s="70"/>
      <c r="M62" s="70"/>
      <c r="O62" s="25"/>
      <c r="P62" s="25" t="s">
        <v>26</v>
      </c>
      <c r="R62" s="388"/>
      <c r="S62" s="119">
        <f t="shared" ref="S62:AM62" si="38">VLOOKUP(S$47&amp;"Female"&amp;"Maori"&amp;25,agesextable,6,FALSE)</f>
        <v>0</v>
      </c>
      <c r="T62" s="119">
        <f t="shared" si="38"/>
        <v>1</v>
      </c>
      <c r="U62" s="119">
        <f t="shared" si="38"/>
        <v>0</v>
      </c>
      <c r="V62" s="119">
        <f t="shared" si="38"/>
        <v>0</v>
      </c>
      <c r="W62" s="119">
        <f t="shared" si="38"/>
        <v>0</v>
      </c>
      <c r="X62" s="119">
        <f t="shared" si="38"/>
        <v>0</v>
      </c>
      <c r="Y62" s="119">
        <f t="shared" si="38"/>
        <v>0</v>
      </c>
      <c r="Z62" s="119">
        <f t="shared" si="38"/>
        <v>0</v>
      </c>
      <c r="AA62" s="119">
        <f t="shared" si="38"/>
        <v>0</v>
      </c>
      <c r="AB62" s="119">
        <f t="shared" si="38"/>
        <v>0</v>
      </c>
      <c r="AC62" s="119">
        <f t="shared" si="38"/>
        <v>1</v>
      </c>
      <c r="AD62" s="119">
        <f t="shared" si="38"/>
        <v>0</v>
      </c>
      <c r="AE62" s="119">
        <f t="shared" si="38"/>
        <v>0</v>
      </c>
      <c r="AF62" s="119">
        <f t="shared" si="38"/>
        <v>0</v>
      </c>
      <c r="AG62" s="119">
        <f t="shared" si="38"/>
        <v>0</v>
      </c>
      <c r="AH62" s="119">
        <f t="shared" si="38"/>
        <v>0</v>
      </c>
      <c r="AI62" s="119">
        <f t="shared" si="38"/>
        <v>0</v>
      </c>
      <c r="AJ62" s="119">
        <f t="shared" si="38"/>
        <v>0</v>
      </c>
      <c r="AK62" s="119">
        <f t="shared" si="38"/>
        <v>0</v>
      </c>
      <c r="AL62" s="119">
        <f t="shared" si="38"/>
        <v>0</v>
      </c>
      <c r="AM62" s="119">
        <f t="shared" si="38"/>
        <v>0</v>
      </c>
      <c r="AO62" s="507"/>
      <c r="AP62" s="507"/>
      <c r="AQ62" s="507"/>
      <c r="AR62" s="507"/>
      <c r="AS62" s="507"/>
      <c r="AT62" s="507"/>
      <c r="AU62" s="507"/>
      <c r="AV62" s="507"/>
      <c r="AW62" s="507"/>
      <c r="AX62" s="507"/>
      <c r="AY62" s="507"/>
      <c r="AZ62" s="507"/>
      <c r="BA62" s="507"/>
      <c r="BB62" s="507"/>
    </row>
    <row r="63" spans="1:86">
      <c r="B63" s="70"/>
      <c r="C63" s="70"/>
      <c r="D63" s="70"/>
      <c r="E63" s="70"/>
      <c r="F63" s="70"/>
      <c r="G63" s="70"/>
      <c r="H63" s="70"/>
      <c r="I63" s="70"/>
      <c r="J63" s="70"/>
      <c r="K63" s="75"/>
      <c r="L63" s="70"/>
      <c r="M63" s="70"/>
      <c r="O63" s="28"/>
      <c r="P63" s="28"/>
      <c r="Q63" s="28"/>
      <c r="R63" s="389"/>
      <c r="S63" s="123"/>
      <c r="T63" s="123"/>
      <c r="U63" s="123"/>
      <c r="V63" s="123"/>
      <c r="W63" s="123"/>
      <c r="X63" s="123"/>
      <c r="Y63" s="123"/>
      <c r="Z63" s="123"/>
      <c r="AA63" s="123"/>
      <c r="AB63" s="123"/>
      <c r="AC63" s="123"/>
      <c r="AD63" s="123"/>
      <c r="AE63" s="123"/>
      <c r="AF63" s="123"/>
      <c r="AG63" s="123"/>
      <c r="AH63" s="123"/>
      <c r="AI63" s="123"/>
      <c r="AJ63" s="123"/>
      <c r="AK63" s="123"/>
      <c r="AL63" s="123"/>
      <c r="AM63" s="123"/>
      <c r="AO63" s="507"/>
      <c r="AP63" s="507"/>
      <c r="AQ63" s="507"/>
      <c r="AR63" s="507"/>
      <c r="AS63" s="498"/>
      <c r="AT63" s="498"/>
      <c r="AU63" s="498"/>
      <c r="AV63" s="498"/>
      <c r="AW63" s="498"/>
      <c r="AX63" s="498"/>
      <c r="AY63" s="498"/>
      <c r="AZ63" s="507"/>
      <c r="BA63" s="507"/>
      <c r="BB63" s="507"/>
      <c r="BC63" s="64"/>
      <c r="BD63" s="64"/>
      <c r="BE63" s="64"/>
      <c r="BF63" s="64"/>
      <c r="BG63" s="64"/>
      <c r="CH63" s="12"/>
    </row>
    <row r="64" spans="1:86">
      <c r="B64" s="70"/>
      <c r="C64" s="70"/>
      <c r="D64" s="70"/>
      <c r="E64" s="70"/>
      <c r="F64" s="70"/>
      <c r="G64" s="70"/>
      <c r="H64" s="70"/>
      <c r="I64" s="70"/>
      <c r="J64" s="70"/>
      <c r="K64" s="75"/>
      <c r="L64" s="70"/>
      <c r="M64" s="70"/>
      <c r="O64" s="25" t="s">
        <v>0</v>
      </c>
      <c r="P64" s="25" t="s">
        <v>150</v>
      </c>
      <c r="Q64" s="25" t="s">
        <v>22</v>
      </c>
      <c r="R64" s="388"/>
      <c r="S64" s="45">
        <f t="shared" ref="S64:AL64" si="39">IF(S49&lt;5,"-",VLOOKUP(S$47&amp;"AllSex"&amp;"Maori"&amp;22,agesextable,7,FALSE))</f>
        <v>37.445991358617398</v>
      </c>
      <c r="T64" s="45">
        <f t="shared" si="39"/>
        <v>36.496350364963497</v>
      </c>
      <c r="U64" s="45">
        <f t="shared" si="39"/>
        <v>40.520984081042002</v>
      </c>
      <c r="V64" s="45">
        <f t="shared" si="39"/>
        <v>32.110538094774697</v>
      </c>
      <c r="W64" s="45">
        <f t="shared" si="39"/>
        <v>27.378507871320998</v>
      </c>
      <c r="X64" s="45">
        <f t="shared" si="39"/>
        <v>28.016616752004602</v>
      </c>
      <c r="Y64" s="45">
        <f t="shared" si="39"/>
        <v>31.252959560564399</v>
      </c>
      <c r="Z64" s="45">
        <f t="shared" si="39"/>
        <v>28.6162651158497</v>
      </c>
      <c r="AA64" s="45">
        <f t="shared" si="39"/>
        <v>37.732458898571601</v>
      </c>
      <c r="AB64" s="45">
        <f t="shared" si="39"/>
        <v>35.010940919037203</v>
      </c>
      <c r="AC64" s="45">
        <f t="shared" si="39"/>
        <v>31.8498751829216</v>
      </c>
      <c r="AD64" s="45">
        <f t="shared" si="39"/>
        <v>27.961362480935399</v>
      </c>
      <c r="AE64" s="45">
        <f t="shared" si="39"/>
        <v>29.247096181164899</v>
      </c>
      <c r="AF64" s="45">
        <f t="shared" si="39"/>
        <v>28.863598878443</v>
      </c>
      <c r="AG64" s="45">
        <f t="shared" si="39"/>
        <v>34.126919639229698</v>
      </c>
      <c r="AH64" s="45">
        <f t="shared" si="39"/>
        <v>39.319531375381203</v>
      </c>
      <c r="AI64" s="45">
        <f t="shared" si="39"/>
        <v>48.389655719498698</v>
      </c>
      <c r="AJ64" s="45">
        <f t="shared" si="39"/>
        <v>38.3531621790858</v>
      </c>
      <c r="AK64" s="45">
        <f t="shared" si="39"/>
        <v>21.611608521148501</v>
      </c>
      <c r="AL64" s="45">
        <f t="shared" si="39"/>
        <v>31.7989097516657</v>
      </c>
      <c r="AM64" s="45">
        <f t="shared" ref="AM64" si="40">IF(AM49&lt;5,"-",VLOOKUP(AM$47&amp;"AllSex"&amp;"Maori"&amp;22,agesextable,7,FALSE))</f>
        <v>33.554544776675897</v>
      </c>
      <c r="AO64" s="506"/>
      <c r="AP64" s="506"/>
      <c r="AQ64" s="507"/>
      <c r="AR64" s="501"/>
      <c r="AS64" s="502"/>
      <c r="AT64" s="502"/>
      <c r="AU64" s="502"/>
      <c r="AV64" s="502"/>
      <c r="AW64" s="502"/>
      <c r="AX64" s="502"/>
      <c r="AY64" s="502"/>
      <c r="AZ64" s="507"/>
      <c r="BA64" s="507"/>
      <c r="BB64" s="507"/>
      <c r="BC64" s="64"/>
      <c r="BD64" s="64"/>
      <c r="BE64" s="64"/>
      <c r="BF64" s="64"/>
      <c r="BG64" s="64"/>
      <c r="CH64" s="12"/>
    </row>
    <row r="65" spans="2:86">
      <c r="B65" s="70"/>
      <c r="C65" s="78"/>
      <c r="D65" s="70"/>
      <c r="E65" s="79"/>
      <c r="F65" s="79"/>
      <c r="G65" s="75"/>
      <c r="H65" s="70"/>
      <c r="I65" s="70"/>
      <c r="J65" s="70"/>
      <c r="K65" s="75"/>
      <c r="L65" s="70"/>
      <c r="M65" s="70"/>
      <c r="O65" s="25"/>
      <c r="P65" s="25" t="s">
        <v>35</v>
      </c>
      <c r="R65" s="388"/>
      <c r="S65" s="45">
        <f t="shared" ref="S65:AL65" si="41">IF(S50&lt;5,"-",VLOOKUP(S$47&amp;"AllSex"&amp;"Maori"&amp;23,agesextable,7,FALSE))</f>
        <v>30.213508795488099</v>
      </c>
      <c r="T65" s="45">
        <f t="shared" si="41"/>
        <v>36.558297427862598</v>
      </c>
      <c r="U65" s="45">
        <f t="shared" si="41"/>
        <v>29.862125929220401</v>
      </c>
      <c r="V65" s="45">
        <f t="shared" si="41"/>
        <v>25.360301849446401</v>
      </c>
      <c r="W65" s="45">
        <f t="shared" si="41"/>
        <v>24.150214333152199</v>
      </c>
      <c r="X65" s="45">
        <f t="shared" si="41"/>
        <v>24.9346948468297</v>
      </c>
      <c r="Y65" s="45">
        <f t="shared" si="41"/>
        <v>23.602997580692701</v>
      </c>
      <c r="Z65" s="45">
        <f t="shared" si="41"/>
        <v>27.093886205677901</v>
      </c>
      <c r="AA65" s="45">
        <f t="shared" si="41"/>
        <v>32.433069937492597</v>
      </c>
      <c r="AB65" s="45">
        <f t="shared" si="41"/>
        <v>31.865927062433599</v>
      </c>
      <c r="AC65" s="45">
        <f t="shared" si="41"/>
        <v>31.802120141342801</v>
      </c>
      <c r="AD65" s="45">
        <f t="shared" si="41"/>
        <v>29.570051451889501</v>
      </c>
      <c r="AE65" s="45">
        <f t="shared" si="41"/>
        <v>22.0277430493541</v>
      </c>
      <c r="AF65" s="45">
        <f t="shared" si="41"/>
        <v>18.520731270163701</v>
      </c>
      <c r="AG65" s="45">
        <f t="shared" si="41"/>
        <v>24.4863831820354</v>
      </c>
      <c r="AH65" s="45">
        <f t="shared" si="41"/>
        <v>26.256116481680401</v>
      </c>
      <c r="AI65" s="45">
        <f t="shared" si="41"/>
        <v>23.2641374373658</v>
      </c>
      <c r="AJ65" s="45">
        <f t="shared" si="41"/>
        <v>26.227944682880299</v>
      </c>
      <c r="AK65" s="45">
        <f t="shared" si="41"/>
        <v>30.236556589790698</v>
      </c>
      <c r="AL65" s="45">
        <f t="shared" si="41"/>
        <v>31.665982525068902</v>
      </c>
      <c r="AM65" s="45">
        <f t="shared" ref="AM65" si="42">IF(AM50&lt;5,"-",VLOOKUP(AM$47&amp;"AllSex"&amp;"Maori"&amp;23,agesextable,7,FALSE))</f>
        <v>34.173182739646698</v>
      </c>
      <c r="AO65" s="506"/>
      <c r="AP65" s="506"/>
      <c r="AQ65" s="497"/>
      <c r="AR65" s="501"/>
      <c r="AS65" s="502"/>
      <c r="AT65" s="502"/>
      <c r="AU65" s="502"/>
      <c r="AV65" s="502"/>
      <c r="AW65" s="502"/>
      <c r="AX65" s="502"/>
      <c r="AY65" s="502"/>
      <c r="AZ65" s="556"/>
      <c r="BA65" s="507"/>
      <c r="BB65" s="507"/>
      <c r="BC65" s="64"/>
      <c r="BD65" s="64"/>
      <c r="BE65" s="64"/>
      <c r="BF65" s="64"/>
      <c r="BG65" s="64"/>
      <c r="CH65" s="12"/>
    </row>
    <row r="66" spans="2:86" ht="15" customHeight="1">
      <c r="B66" s="75"/>
      <c r="C66" s="70"/>
      <c r="D66" s="70"/>
      <c r="E66" s="70"/>
      <c r="F66" s="70"/>
      <c r="G66" s="75"/>
      <c r="H66" s="75"/>
      <c r="I66" s="75"/>
      <c r="J66" s="75"/>
      <c r="K66" s="75"/>
      <c r="L66" s="70"/>
      <c r="M66" s="70"/>
      <c r="O66" s="25"/>
      <c r="P66" s="25" t="s">
        <v>36</v>
      </c>
      <c r="R66" s="388"/>
      <c r="S66" s="45">
        <f t="shared" ref="S66:AL66" si="43">IF(S51&lt;5,"-",VLOOKUP(S$47&amp;"AllSex"&amp;"Maori"&amp;24,agesextable,7,FALSE))</f>
        <v>12.674271229404299</v>
      </c>
      <c r="T66" s="45">
        <f t="shared" si="43"/>
        <v>10.644768856447699</v>
      </c>
      <c r="U66" s="45">
        <f t="shared" si="43"/>
        <v>17.528483786152499</v>
      </c>
      <c r="V66" s="45" t="str">
        <f t="shared" si="43"/>
        <v>-</v>
      </c>
      <c r="W66" s="45">
        <f t="shared" si="43"/>
        <v>13.4156157767642</v>
      </c>
      <c r="X66" s="45">
        <f t="shared" si="43"/>
        <v>6.4094346878605304</v>
      </c>
      <c r="Y66" s="45">
        <f t="shared" si="43"/>
        <v>8.5637386836310192</v>
      </c>
      <c r="Z66" s="45">
        <f t="shared" si="43"/>
        <v>5.8486372675166702</v>
      </c>
      <c r="AA66" s="45">
        <f t="shared" si="43"/>
        <v>10.058113544926201</v>
      </c>
      <c r="AB66" s="45">
        <f t="shared" si="43"/>
        <v>7.4994643239768601</v>
      </c>
      <c r="AC66" s="45">
        <f t="shared" si="43"/>
        <v>12.327922745017499</v>
      </c>
      <c r="AD66" s="45">
        <f t="shared" si="43"/>
        <v>11.773940345368899</v>
      </c>
      <c r="AE66" s="45">
        <f t="shared" si="43"/>
        <v>9.3624192491339802</v>
      </c>
      <c r="AF66" s="45">
        <f t="shared" si="43"/>
        <v>9.8858632156016899</v>
      </c>
      <c r="AG66" s="45">
        <f t="shared" si="43"/>
        <v>12.978023879563899</v>
      </c>
      <c r="AH66" s="45">
        <f t="shared" si="43"/>
        <v>13.3723359799415</v>
      </c>
      <c r="AI66" s="45">
        <f t="shared" si="43"/>
        <v>8.08865162177465</v>
      </c>
      <c r="AJ66" s="45">
        <f t="shared" si="43"/>
        <v>7.8492935635792804</v>
      </c>
      <c r="AK66" s="45">
        <f t="shared" si="43"/>
        <v>8.4207303069738995</v>
      </c>
      <c r="AL66" s="45">
        <f t="shared" si="43"/>
        <v>13.474062429822601</v>
      </c>
      <c r="AM66" s="45">
        <f t="shared" ref="AM66" si="44">IF(AM51&lt;5,"-",VLOOKUP(AM$47&amp;"AllSex"&amp;"Maori"&amp;24,agesextable,7,FALSE))</f>
        <v>17.537449762513699</v>
      </c>
      <c r="AO66" s="506"/>
      <c r="AP66" s="506"/>
      <c r="AQ66" s="497"/>
      <c r="AR66" s="501"/>
      <c r="AS66" s="502"/>
      <c r="AT66" s="502"/>
      <c r="AU66" s="502"/>
      <c r="AV66" s="502"/>
      <c r="AW66" s="502"/>
      <c r="AX66" s="502"/>
      <c r="AY66" s="502"/>
      <c r="AZ66" s="507"/>
      <c r="BA66" s="507"/>
      <c r="BB66" s="507"/>
      <c r="BC66" s="64"/>
      <c r="BD66" s="64"/>
      <c r="BE66" s="64"/>
      <c r="BF66" s="64"/>
      <c r="BG66" s="64"/>
      <c r="CH66" s="12"/>
    </row>
    <row r="67" spans="2:86">
      <c r="B67" s="75"/>
      <c r="C67" s="70"/>
      <c r="D67" s="70"/>
      <c r="E67" s="70"/>
      <c r="F67" s="70"/>
      <c r="G67" s="75"/>
      <c r="H67" s="75"/>
      <c r="I67" s="75"/>
      <c r="J67" s="75"/>
      <c r="K67" s="75"/>
      <c r="L67" s="70"/>
      <c r="M67" s="70"/>
      <c r="O67" s="25"/>
      <c r="P67" s="25" t="s">
        <v>26</v>
      </c>
      <c r="R67" s="388"/>
      <c r="S67" s="45" t="str">
        <f t="shared" ref="S67:AL67" si="45">IF(S52&lt;5,"-",VLOOKUP(S$47&amp;"AllSex"&amp;"Maori"&amp;25,agesextable,7,FALSE))</f>
        <v>-</v>
      </c>
      <c r="T67" s="45" t="str">
        <f t="shared" si="45"/>
        <v>-</v>
      </c>
      <c r="U67" s="45" t="str">
        <f t="shared" si="45"/>
        <v>-</v>
      </c>
      <c r="V67" s="45" t="str">
        <f t="shared" si="45"/>
        <v>-</v>
      </c>
      <c r="W67" s="45" t="str">
        <f t="shared" si="45"/>
        <v>-</v>
      </c>
      <c r="X67" s="45" t="str">
        <f t="shared" si="45"/>
        <v>-</v>
      </c>
      <c r="Y67" s="45" t="str">
        <f t="shared" si="45"/>
        <v>-</v>
      </c>
      <c r="Z67" s="45" t="str">
        <f t="shared" si="45"/>
        <v>-</v>
      </c>
      <c r="AA67" s="45" t="str">
        <f t="shared" si="45"/>
        <v>-</v>
      </c>
      <c r="AB67" s="45" t="str">
        <f t="shared" si="45"/>
        <v>-</v>
      </c>
      <c r="AC67" s="45" t="str">
        <f t="shared" si="45"/>
        <v>-</v>
      </c>
      <c r="AD67" s="45" t="str">
        <f t="shared" si="45"/>
        <v>-</v>
      </c>
      <c r="AE67" s="45" t="str">
        <f t="shared" si="45"/>
        <v>-</v>
      </c>
      <c r="AF67" s="45" t="str">
        <f t="shared" si="45"/>
        <v>-</v>
      </c>
      <c r="AG67" s="45" t="str">
        <f t="shared" si="45"/>
        <v>-</v>
      </c>
      <c r="AH67" s="45" t="str">
        <f t="shared" si="45"/>
        <v>-</v>
      </c>
      <c r="AI67" s="45" t="str">
        <f t="shared" si="45"/>
        <v>-</v>
      </c>
      <c r="AJ67" s="45" t="str">
        <f t="shared" si="45"/>
        <v>-</v>
      </c>
      <c r="AK67" s="45" t="str">
        <f t="shared" si="45"/>
        <v>-</v>
      </c>
      <c r="AL67" s="45" t="str">
        <f t="shared" si="45"/>
        <v>-</v>
      </c>
      <c r="AM67" s="45" t="str">
        <f t="shared" ref="AM67" si="46">IF(AM52&lt;5,"-",VLOOKUP(AM$47&amp;"AllSex"&amp;"Maori"&amp;25,agesextable,7,FALSE))</f>
        <v>-</v>
      </c>
      <c r="AO67" s="506"/>
      <c r="AP67" s="506"/>
      <c r="AQ67" s="497"/>
      <c r="AR67" s="501"/>
      <c r="AS67" s="502"/>
      <c r="AT67" s="502"/>
      <c r="AU67" s="502"/>
      <c r="AV67" s="502"/>
      <c r="AW67" s="502"/>
      <c r="AX67" s="502"/>
      <c r="AY67" s="502"/>
      <c r="AZ67" s="507"/>
      <c r="BA67" s="507"/>
      <c r="BB67" s="507"/>
      <c r="BC67" s="64"/>
      <c r="BD67" s="64"/>
      <c r="BE67" s="64"/>
      <c r="BF67" s="64"/>
      <c r="BG67" s="64"/>
      <c r="CH67" s="12"/>
    </row>
    <row r="68" spans="2:86">
      <c r="B68" s="70"/>
      <c r="C68" s="70"/>
      <c r="D68" s="70"/>
      <c r="E68" s="77"/>
      <c r="F68" s="77"/>
      <c r="G68" s="70"/>
      <c r="H68" s="70"/>
      <c r="I68" s="70"/>
      <c r="J68" s="70"/>
      <c r="K68" s="70"/>
      <c r="L68" s="70"/>
      <c r="M68" s="70"/>
      <c r="O68" s="28"/>
      <c r="P68" s="28"/>
      <c r="Q68" s="28"/>
      <c r="R68" s="389"/>
      <c r="S68" s="38"/>
      <c r="T68" s="38"/>
      <c r="U68" s="38"/>
      <c r="V68" s="38"/>
      <c r="W68" s="38"/>
      <c r="X68" s="38"/>
      <c r="Y68" s="38"/>
      <c r="Z68" s="38"/>
      <c r="AA68" s="38"/>
      <c r="AB68" s="38"/>
      <c r="AC68" s="38"/>
      <c r="AD68" s="38"/>
      <c r="AE68" s="38"/>
      <c r="AF68" s="38"/>
      <c r="AG68" s="38"/>
      <c r="AH68" s="38"/>
      <c r="AI68" s="38"/>
      <c r="AJ68" s="38"/>
      <c r="AK68" s="38"/>
      <c r="AL68" s="38"/>
      <c r="AM68" s="38"/>
      <c r="AO68" s="506"/>
      <c r="AP68" s="506"/>
      <c r="AQ68" s="497"/>
      <c r="AR68" s="501"/>
      <c r="AS68" s="507"/>
      <c r="AT68" s="507"/>
      <c r="AU68" s="507"/>
      <c r="AV68" s="507"/>
      <c r="AW68" s="507"/>
      <c r="AX68" s="507"/>
      <c r="AY68" s="507"/>
      <c r="AZ68" s="507"/>
      <c r="BA68" s="507"/>
      <c r="BB68" s="507"/>
      <c r="BC68" s="64"/>
      <c r="BD68" s="64"/>
      <c r="BE68" s="64"/>
      <c r="BF68" s="64"/>
      <c r="BG68" s="64"/>
      <c r="CH68" s="12"/>
    </row>
    <row r="69" spans="2:86">
      <c r="B69" s="70"/>
      <c r="C69" s="81" t="s">
        <v>140</v>
      </c>
      <c r="D69" s="78" t="s">
        <v>101</v>
      </c>
      <c r="E69" s="70"/>
      <c r="F69" s="70"/>
      <c r="G69" s="70"/>
      <c r="H69" s="70"/>
      <c r="I69" s="70"/>
      <c r="J69" s="70"/>
      <c r="K69" s="70"/>
      <c r="L69" s="70"/>
      <c r="M69" s="70"/>
      <c r="O69" s="25" t="s">
        <v>20</v>
      </c>
      <c r="P69" s="25" t="s">
        <v>150</v>
      </c>
      <c r="Q69" s="25" t="s">
        <v>22</v>
      </c>
      <c r="R69" s="388"/>
      <c r="S69" s="45">
        <f t="shared" ref="S69:AL69" si="47">IF(S54&lt;5, "-",VLOOKUP(S$47&amp;"Male"&amp;"Maori"&amp;22,agesextable,7,FALSE))</f>
        <v>58.59375</v>
      </c>
      <c r="T69" s="45">
        <f t="shared" si="47"/>
        <v>56.431212298112499</v>
      </c>
      <c r="U69" s="45">
        <f t="shared" si="47"/>
        <v>56.541236108403197</v>
      </c>
      <c r="V69" s="45">
        <f t="shared" si="47"/>
        <v>45.195519748477103</v>
      </c>
      <c r="W69" s="45">
        <f t="shared" si="47"/>
        <v>47.374654559810502</v>
      </c>
      <c r="X69" s="45">
        <f t="shared" si="47"/>
        <v>38.978756577665202</v>
      </c>
      <c r="Y69" s="45">
        <f t="shared" si="47"/>
        <v>43.909889270713997</v>
      </c>
      <c r="Z69" s="45">
        <f t="shared" si="47"/>
        <v>37.306472673008798</v>
      </c>
      <c r="AA69" s="45">
        <f t="shared" si="47"/>
        <v>50.918348790689201</v>
      </c>
      <c r="AB69" s="45">
        <f t="shared" si="47"/>
        <v>51.5280739161336</v>
      </c>
      <c r="AC69" s="45">
        <f t="shared" si="47"/>
        <v>50.752537626881299</v>
      </c>
      <c r="AD69" s="45">
        <f t="shared" si="47"/>
        <v>39.593733861249802</v>
      </c>
      <c r="AE69" s="45">
        <f t="shared" si="47"/>
        <v>28.857579358343202</v>
      </c>
      <c r="AF69" s="45">
        <f t="shared" si="47"/>
        <v>40.140491721023601</v>
      </c>
      <c r="AG69" s="45">
        <f t="shared" si="47"/>
        <v>44.437129690585898</v>
      </c>
      <c r="AH69" s="45">
        <f t="shared" si="47"/>
        <v>53.519299383717197</v>
      </c>
      <c r="AI69" s="45">
        <f t="shared" si="47"/>
        <v>59.247397918334698</v>
      </c>
      <c r="AJ69" s="45">
        <f t="shared" si="47"/>
        <v>45.597484276729602</v>
      </c>
      <c r="AK69" s="45">
        <f t="shared" si="47"/>
        <v>30.736130321192601</v>
      </c>
      <c r="AL69" s="45">
        <f t="shared" si="47"/>
        <v>29.899835550904498</v>
      </c>
      <c r="AM69" s="45">
        <f t="shared" ref="AM69" si="48">IF(AM54&lt;5, "-",VLOOKUP(AM$47&amp;"Male"&amp;"Maori"&amp;22,agesextable,7,FALSE))</f>
        <v>49.773093251354098</v>
      </c>
      <c r="AO69" s="506"/>
      <c r="AP69" s="506"/>
      <c r="AQ69" s="507"/>
      <c r="AR69" s="501"/>
      <c r="AS69" s="502"/>
      <c r="AT69" s="502"/>
      <c r="AU69" s="502"/>
      <c r="AV69" s="502"/>
      <c r="AW69" s="502"/>
      <c r="AX69" s="502"/>
      <c r="AY69" s="502"/>
      <c r="AZ69" s="507"/>
      <c r="BA69" s="507"/>
      <c r="BB69" s="507"/>
      <c r="BC69" s="64"/>
      <c r="BD69" s="64"/>
      <c r="BE69" s="64"/>
      <c r="BF69" s="64"/>
      <c r="BG69" s="64"/>
      <c r="CH69" s="12"/>
    </row>
    <row r="70" spans="2:86">
      <c r="B70" s="70"/>
      <c r="C70" s="70"/>
      <c r="D70" s="81" t="s">
        <v>432</v>
      </c>
      <c r="E70" s="75"/>
      <c r="F70" s="75"/>
      <c r="G70" s="70"/>
      <c r="H70" s="70"/>
      <c r="I70" s="70"/>
      <c r="J70" s="70"/>
      <c r="K70" s="70"/>
      <c r="L70" s="70"/>
      <c r="M70" s="70"/>
      <c r="O70" s="25"/>
      <c r="P70" s="25" t="s">
        <v>35</v>
      </c>
      <c r="R70" s="388"/>
      <c r="S70" s="45">
        <f t="shared" ref="S70:AL70" si="49">IF(S55&lt;5, "-",VLOOKUP(S$47&amp;"Male"&amp;"Maori"&amp;23,agesextable,7,FALSE))</f>
        <v>50.811573747353599</v>
      </c>
      <c r="T70" s="45">
        <f t="shared" si="49"/>
        <v>56.365136101182301</v>
      </c>
      <c r="U70" s="45">
        <f t="shared" si="49"/>
        <v>53.569037096558198</v>
      </c>
      <c r="V70" s="45">
        <f t="shared" si="49"/>
        <v>44.328552803129099</v>
      </c>
      <c r="W70" s="45">
        <f t="shared" si="49"/>
        <v>44.523597506678499</v>
      </c>
      <c r="X70" s="45">
        <f t="shared" si="49"/>
        <v>38.7548443555444</v>
      </c>
      <c r="Y70" s="45">
        <f t="shared" si="49"/>
        <v>38.581207218419401</v>
      </c>
      <c r="Z70" s="45">
        <f t="shared" si="49"/>
        <v>48.555776892430302</v>
      </c>
      <c r="AA70" s="45">
        <f t="shared" si="49"/>
        <v>55</v>
      </c>
      <c r="AB70" s="45">
        <f t="shared" si="49"/>
        <v>52.618391380606397</v>
      </c>
      <c r="AC70" s="45">
        <f t="shared" si="49"/>
        <v>45.028142589118197</v>
      </c>
      <c r="AD70" s="45">
        <f t="shared" si="49"/>
        <v>49.044265593561398</v>
      </c>
      <c r="AE70" s="45">
        <f t="shared" si="49"/>
        <v>35.523978685612803</v>
      </c>
      <c r="AF70" s="45">
        <f t="shared" si="49"/>
        <v>29.362951614962299</v>
      </c>
      <c r="AG70" s="45">
        <f t="shared" si="49"/>
        <v>40.994107097104802</v>
      </c>
      <c r="AH70" s="45">
        <f t="shared" si="49"/>
        <v>42.411001156663701</v>
      </c>
      <c r="AI70" s="45">
        <f t="shared" si="49"/>
        <v>38.669760247486501</v>
      </c>
      <c r="AJ70" s="45">
        <f t="shared" si="49"/>
        <v>40.119063025753803</v>
      </c>
      <c r="AK70" s="45">
        <f t="shared" si="49"/>
        <v>46.433638591513002</v>
      </c>
      <c r="AL70" s="45">
        <f t="shared" si="49"/>
        <v>51.026916698558502</v>
      </c>
      <c r="AM70" s="45">
        <f t="shared" ref="AM70" si="50">IF(AM55&lt;5, "-",VLOOKUP(AM$47&amp;"Male"&amp;"Maori"&amp;23,agesextable,7,FALSE))</f>
        <v>55.352874575418298</v>
      </c>
      <c r="AO70" s="506"/>
      <c r="AP70" s="506"/>
      <c r="AQ70" s="497"/>
      <c r="AR70" s="501"/>
      <c r="AS70" s="502"/>
      <c r="AT70" s="502"/>
      <c r="AU70" s="502"/>
      <c r="AV70" s="502"/>
      <c r="AW70" s="502"/>
      <c r="AX70" s="502"/>
      <c r="AY70" s="502"/>
      <c r="AZ70" s="556"/>
      <c r="BA70" s="507"/>
      <c r="BB70" s="507"/>
      <c r="BC70" s="64"/>
      <c r="BD70" s="64"/>
      <c r="BE70" s="64"/>
      <c r="BF70" s="64"/>
      <c r="BG70" s="64"/>
      <c r="CH70" s="12"/>
    </row>
    <row r="71" spans="2:86">
      <c r="B71" s="70"/>
      <c r="C71" s="78" t="s">
        <v>145</v>
      </c>
      <c r="D71" s="302" t="s">
        <v>144</v>
      </c>
      <c r="E71" s="70"/>
      <c r="F71" s="70"/>
      <c r="G71" s="70"/>
      <c r="H71" s="70"/>
      <c r="I71" s="70"/>
      <c r="J71" s="70"/>
      <c r="K71" s="70"/>
      <c r="L71" s="70"/>
      <c r="M71" s="70"/>
      <c r="O71" s="25"/>
      <c r="P71" s="25" t="s">
        <v>36</v>
      </c>
      <c r="R71" s="388"/>
      <c r="S71" s="45">
        <f t="shared" ref="S71:AL71" si="51">IF(S56&lt;5, "-",VLOOKUP(S$47&amp;"Male"&amp;"Maori"&amp;24,agesextable,7,FALSE))</f>
        <v>16.103059581320501</v>
      </c>
      <c r="T71" s="45">
        <f t="shared" si="51"/>
        <v>21.6450216450216</v>
      </c>
      <c r="U71" s="45">
        <f t="shared" si="51"/>
        <v>29.753049687592998</v>
      </c>
      <c r="V71" s="45" t="str">
        <f>IF(V56&lt;5, "-",VLOOKUP(V$47&amp;"Male"&amp;"Maori"&amp;24,agesextable,7,FALSE))</f>
        <v>-</v>
      </c>
      <c r="W71" s="45">
        <f t="shared" si="51"/>
        <v>22.0507166482911</v>
      </c>
      <c r="X71" s="45">
        <f t="shared" si="51"/>
        <v>13.185654008438799</v>
      </c>
      <c r="Y71" s="45">
        <f t="shared" si="51"/>
        <v>15.1285930408472</v>
      </c>
      <c r="Z71" s="45" t="str">
        <f t="shared" si="51"/>
        <v>-</v>
      </c>
      <c r="AA71" s="45">
        <f t="shared" si="51"/>
        <v>16.199953714418001</v>
      </c>
      <c r="AB71" s="45">
        <f t="shared" si="51"/>
        <v>11.148272017837201</v>
      </c>
      <c r="AC71" s="45">
        <f t="shared" si="51"/>
        <v>21.4868929952729</v>
      </c>
      <c r="AD71" s="45">
        <f t="shared" si="51"/>
        <v>22.680412371134</v>
      </c>
      <c r="AE71" s="45">
        <f t="shared" si="51"/>
        <v>15.7946692991116</v>
      </c>
      <c r="AF71" s="45">
        <f t="shared" si="51"/>
        <v>13.292821876186901</v>
      </c>
      <c r="AG71" s="45">
        <f t="shared" si="51"/>
        <v>20.139143170999599</v>
      </c>
      <c r="AH71" s="45">
        <f t="shared" si="51"/>
        <v>23.008849557522101</v>
      </c>
      <c r="AI71" s="45">
        <f t="shared" si="51"/>
        <v>15.442690459849</v>
      </c>
      <c r="AJ71" s="45">
        <f t="shared" si="51"/>
        <v>8.3514280942041097</v>
      </c>
      <c r="AK71" s="45">
        <f t="shared" si="51"/>
        <v>14.6866840731071</v>
      </c>
      <c r="AL71" s="45">
        <f t="shared" si="51"/>
        <v>23.996160614301701</v>
      </c>
      <c r="AM71" s="45">
        <f t="shared" ref="AM71" si="52">IF(AM56&lt;5, "-",VLOOKUP(AM$47&amp;"Male"&amp;"Maori"&amp;24,agesextable,7,FALSE))</f>
        <v>23.470505398216201</v>
      </c>
      <c r="AO71" s="506"/>
      <c r="AP71" s="506"/>
      <c r="AQ71" s="497"/>
      <c r="AR71" s="501"/>
      <c r="AS71" s="502"/>
      <c r="AT71" s="502"/>
      <c r="AU71" s="502"/>
      <c r="AV71" s="502"/>
      <c r="AW71" s="502"/>
      <c r="AX71" s="502"/>
      <c r="AY71" s="502"/>
      <c r="AZ71" s="507"/>
      <c r="BA71" s="507"/>
      <c r="BB71" s="507"/>
      <c r="BC71" s="64"/>
      <c r="BD71" s="64"/>
      <c r="BE71" s="64"/>
      <c r="BF71" s="64"/>
      <c r="BG71" s="64"/>
      <c r="CH71" s="12"/>
    </row>
    <row r="72" spans="2:86">
      <c r="B72" s="70"/>
      <c r="C72" s="70"/>
      <c r="D72" s="70"/>
      <c r="E72" s="70"/>
      <c r="F72" s="70"/>
      <c r="G72" s="70"/>
      <c r="H72" s="70"/>
      <c r="I72" s="70"/>
      <c r="J72" s="70"/>
      <c r="K72" s="70"/>
      <c r="L72" s="70"/>
      <c r="M72" s="70"/>
      <c r="O72" s="25"/>
      <c r="P72" s="25" t="s">
        <v>26</v>
      </c>
      <c r="R72" s="388"/>
      <c r="S72" s="45" t="str">
        <f t="shared" ref="S72:AL72" si="53">IF(S57&lt;5, "-",VLOOKUP(S$47&amp;"Male"&amp;"Maori"&amp;25,agesextable,7,FALSE))</f>
        <v>-</v>
      </c>
      <c r="T72" s="45" t="str">
        <f t="shared" si="53"/>
        <v>-</v>
      </c>
      <c r="U72" s="45" t="str">
        <f t="shared" si="53"/>
        <v>-</v>
      </c>
      <c r="V72" s="45" t="str">
        <f t="shared" si="53"/>
        <v>-</v>
      </c>
      <c r="W72" s="45" t="str">
        <f t="shared" si="53"/>
        <v>-</v>
      </c>
      <c r="X72" s="45" t="str">
        <f t="shared" si="53"/>
        <v>-</v>
      </c>
      <c r="Y72" s="45" t="str">
        <f t="shared" si="53"/>
        <v>-</v>
      </c>
      <c r="Z72" s="45" t="str">
        <f t="shared" si="53"/>
        <v>-</v>
      </c>
      <c r="AA72" s="45" t="str">
        <f t="shared" si="53"/>
        <v>-</v>
      </c>
      <c r="AB72" s="45" t="str">
        <f t="shared" si="53"/>
        <v>-</v>
      </c>
      <c r="AC72" s="45" t="str">
        <f t="shared" si="53"/>
        <v>-</v>
      </c>
      <c r="AD72" s="45" t="str">
        <f t="shared" si="53"/>
        <v>-</v>
      </c>
      <c r="AE72" s="45" t="str">
        <f t="shared" si="53"/>
        <v>-</v>
      </c>
      <c r="AF72" s="45" t="str">
        <f t="shared" si="53"/>
        <v>-</v>
      </c>
      <c r="AG72" s="45" t="str">
        <f t="shared" si="53"/>
        <v>-</v>
      </c>
      <c r="AH72" s="45" t="str">
        <f t="shared" si="53"/>
        <v>-</v>
      </c>
      <c r="AI72" s="45" t="str">
        <f t="shared" si="53"/>
        <v>-</v>
      </c>
      <c r="AJ72" s="45" t="str">
        <f t="shared" si="53"/>
        <v>-</v>
      </c>
      <c r="AK72" s="45" t="str">
        <f t="shared" si="53"/>
        <v>-</v>
      </c>
      <c r="AL72" s="45" t="str">
        <f t="shared" si="53"/>
        <v>-</v>
      </c>
      <c r="AM72" s="45" t="str">
        <f t="shared" ref="AM72" si="54">IF(AM57&lt;5, "-",VLOOKUP(AM$47&amp;"Male"&amp;"Maori"&amp;25,agesextable,7,FALSE))</f>
        <v>-</v>
      </c>
      <c r="AO72" s="506"/>
      <c r="AP72" s="503"/>
      <c r="AQ72" s="508"/>
      <c r="AR72" s="503"/>
      <c r="AS72" s="502"/>
      <c r="AT72" s="502"/>
      <c r="AU72" s="502"/>
      <c r="AV72" s="502"/>
      <c r="AW72" s="502"/>
      <c r="AX72" s="502"/>
      <c r="AY72" s="502"/>
      <c r="AZ72" s="507"/>
      <c r="BA72" s="507"/>
      <c r="BB72" s="507"/>
      <c r="BC72" s="64"/>
      <c r="BD72" s="64"/>
      <c r="BE72" s="64"/>
      <c r="BF72" s="64"/>
      <c r="BG72" s="64"/>
      <c r="CH72" s="12"/>
    </row>
    <row r="73" spans="2:86">
      <c r="O73" s="28"/>
      <c r="P73" s="28"/>
      <c r="Q73" s="28"/>
      <c r="R73" s="389"/>
      <c r="S73" s="38"/>
      <c r="T73" s="38"/>
      <c r="U73" s="38"/>
      <c r="V73" s="38"/>
      <c r="W73" s="38"/>
      <c r="X73" s="38"/>
      <c r="Y73" s="38"/>
      <c r="Z73" s="38"/>
      <c r="AA73" s="38"/>
      <c r="AB73" s="38"/>
      <c r="AC73" s="38"/>
      <c r="AD73" s="38"/>
      <c r="AE73" s="38"/>
      <c r="AF73" s="38"/>
      <c r="AG73" s="38"/>
      <c r="AH73" s="38"/>
      <c r="AI73" s="38"/>
      <c r="AJ73" s="38"/>
      <c r="AK73" s="38"/>
      <c r="AL73" s="38"/>
      <c r="AM73" s="38"/>
      <c r="AO73" s="503"/>
      <c r="AP73" s="503"/>
      <c r="AQ73" s="508"/>
      <c r="AR73" s="503"/>
      <c r="AS73" s="557"/>
      <c r="AT73" s="557"/>
      <c r="AU73" s="557"/>
      <c r="AV73" s="557"/>
      <c r="AW73" s="557"/>
      <c r="AX73" s="557"/>
      <c r="AY73" s="557"/>
      <c r="AZ73" s="507"/>
      <c r="BA73" s="507"/>
      <c r="BB73" s="507"/>
      <c r="BC73" s="64"/>
      <c r="BD73" s="64"/>
      <c r="BE73" s="64"/>
      <c r="BF73" s="64"/>
      <c r="BG73" s="64"/>
      <c r="CH73" s="12"/>
    </row>
    <row r="74" spans="2:86">
      <c r="O74" s="25" t="s">
        <v>8</v>
      </c>
      <c r="P74" s="25" t="s">
        <v>150</v>
      </c>
      <c r="Q74" s="25" t="s">
        <v>22</v>
      </c>
      <c r="R74" s="388"/>
      <c r="S74" s="45">
        <f t="shared" ref="S74:AL74" si="55">IF(S59&lt;5, "-",VLOOKUP(S$47&amp;"Female"&amp;"Maori"&amp;22,agesextable,7,FALSE))</f>
        <v>16.997167138810202</v>
      </c>
      <c r="T74" s="45">
        <f t="shared" si="55"/>
        <v>17.0680826853783</v>
      </c>
      <c r="U74" s="45">
        <f t="shared" si="55"/>
        <v>24.823372159633401</v>
      </c>
      <c r="V74" s="45">
        <f t="shared" si="55"/>
        <v>19.275250578257499</v>
      </c>
      <c r="W74" s="45">
        <f>IF(W59&lt;4, "-",VLOOKUP(W$47&amp;"Female"&amp;"Maori"&amp;22,agesextable,7,FALSE))</f>
        <v>7.7489345215032897</v>
      </c>
      <c r="X74" s="45">
        <f t="shared" si="55"/>
        <v>17.241379310344801</v>
      </c>
      <c r="Y74" s="45">
        <f t="shared" si="55"/>
        <v>18.793459875963201</v>
      </c>
      <c r="Z74" s="45">
        <f t="shared" si="55"/>
        <v>20.106013525863599</v>
      </c>
      <c r="AA74" s="45">
        <f t="shared" si="55"/>
        <v>24.857954545454501</v>
      </c>
      <c r="AB74" s="45">
        <f t="shared" si="55"/>
        <v>18.9753320683112</v>
      </c>
      <c r="AC74" s="45">
        <f t="shared" si="55"/>
        <v>13.552430967304799</v>
      </c>
      <c r="AD74" s="45">
        <f t="shared" si="55"/>
        <v>16.686133822793298</v>
      </c>
      <c r="AE74" s="45">
        <f t="shared" si="55"/>
        <v>29.6247531270573</v>
      </c>
      <c r="AF74" s="45">
        <f t="shared" si="55"/>
        <v>17.889087656529501</v>
      </c>
      <c r="AG74" s="45">
        <f t="shared" si="55"/>
        <v>24.0731824747232</v>
      </c>
      <c r="AH74" s="45">
        <f t="shared" si="55"/>
        <v>25.412960609911099</v>
      </c>
      <c r="AI74" s="45">
        <f t="shared" si="55"/>
        <v>37.7299166797673</v>
      </c>
      <c r="AJ74" s="45">
        <f t="shared" si="55"/>
        <v>31.172069825436399</v>
      </c>
      <c r="AK74" s="45">
        <f t="shared" si="55"/>
        <v>12.405024034734099</v>
      </c>
      <c r="AL74" s="45">
        <f t="shared" si="55"/>
        <v>33.747507286393599</v>
      </c>
      <c r="AM74" s="45">
        <f t="shared" ref="AM74" si="56">IF(AM59&lt;5, "-",VLOOKUP(AM$47&amp;"Female"&amp;"Maori"&amp;22,agesextable,7,FALSE))</f>
        <v>16.714784987083998</v>
      </c>
      <c r="AO74" s="506"/>
      <c r="AP74" s="506"/>
      <c r="AQ74" s="507"/>
      <c r="AR74" s="501"/>
      <c r="AS74" s="502"/>
      <c r="AT74" s="502"/>
      <c r="AU74" s="502"/>
      <c r="AV74" s="502"/>
      <c r="AW74" s="502"/>
      <c r="AX74" s="502"/>
      <c r="AY74" s="502"/>
      <c r="AZ74" s="507"/>
      <c r="BA74" s="507"/>
      <c r="BB74" s="507"/>
      <c r="BC74" s="64"/>
      <c r="BD74" s="64"/>
      <c r="BE74" s="64"/>
      <c r="BF74" s="64"/>
      <c r="BG74" s="64"/>
      <c r="CH74" s="12"/>
    </row>
    <row r="75" spans="2:86">
      <c r="O75" s="25"/>
      <c r="P75" s="25" t="s">
        <v>35</v>
      </c>
      <c r="R75" s="388"/>
      <c r="S75" s="45">
        <f t="shared" ref="S75:AL75" si="57">IF(S60&lt;5, "-",VLOOKUP(S$47&amp;"Female"&amp;"Maori"&amp;23,agesextable,7,FALSE))</f>
        <v>11.5266393442623</v>
      </c>
      <c r="T75" s="45">
        <f t="shared" si="57"/>
        <v>18.649757553151801</v>
      </c>
      <c r="U75" s="45">
        <f t="shared" si="57"/>
        <v>8.4622823984526097</v>
      </c>
      <c r="V75" s="45">
        <f t="shared" si="57"/>
        <v>8.2382017182534995</v>
      </c>
      <c r="W75" s="45">
        <f t="shared" si="57"/>
        <v>5.7451453521774098</v>
      </c>
      <c r="X75" s="45">
        <f t="shared" si="57"/>
        <v>12.439217460138</v>
      </c>
      <c r="Y75" s="45">
        <f t="shared" si="57"/>
        <v>10.097610232245</v>
      </c>
      <c r="Z75" s="45">
        <f t="shared" si="57"/>
        <v>7.8238515703587801</v>
      </c>
      <c r="AA75" s="45">
        <f t="shared" si="57"/>
        <v>12.279526680062499</v>
      </c>
      <c r="AB75" s="45">
        <f t="shared" si="57"/>
        <v>13.386880856760399</v>
      </c>
      <c r="AC75" s="45">
        <f t="shared" si="57"/>
        <v>20.028930677645501</v>
      </c>
      <c r="AD75" s="45">
        <f t="shared" si="57"/>
        <v>12.280897621971601</v>
      </c>
      <c r="AE75" s="45">
        <f t="shared" si="57"/>
        <v>10.0964774512004</v>
      </c>
      <c r="AF75" s="45">
        <f t="shared" si="57"/>
        <v>8.9827082865483892</v>
      </c>
      <c r="AG75" s="45">
        <f t="shared" si="57"/>
        <v>10.0682402953351</v>
      </c>
      <c r="AH75" s="45">
        <f t="shared" si="57"/>
        <v>12.2562674094708</v>
      </c>
      <c r="AI75" s="45">
        <f t="shared" si="57"/>
        <v>9.9922282669035205</v>
      </c>
      <c r="AJ75" s="45">
        <f t="shared" si="57"/>
        <v>14.3662283125207</v>
      </c>
      <c r="AK75" s="45">
        <f t="shared" si="57"/>
        <v>16.458196181698501</v>
      </c>
      <c r="AL75" s="45">
        <f t="shared" si="57"/>
        <v>15.1909722222222</v>
      </c>
      <c r="AM75" s="45">
        <f t="shared" ref="AM75" si="58">IF(AM60&lt;5, "-",VLOOKUP(AM$47&amp;"Female"&amp;"Maori"&amp;23,agesextable,7,FALSE))</f>
        <v>16.101331043366301</v>
      </c>
      <c r="AO75" s="506"/>
      <c r="AP75" s="506"/>
      <c r="AQ75" s="497"/>
      <c r="AR75" s="501"/>
      <c r="AS75" s="502"/>
      <c r="AT75" s="502"/>
      <c r="AU75" s="502"/>
      <c r="AV75" s="502"/>
      <c r="AW75" s="502"/>
      <c r="AX75" s="502"/>
      <c r="AY75" s="502"/>
      <c r="AZ75" s="556"/>
      <c r="BA75" s="507"/>
      <c r="BB75" s="507"/>
      <c r="BC75" s="64"/>
      <c r="BD75" s="64"/>
      <c r="BE75" s="64"/>
      <c r="BF75" s="64"/>
      <c r="BG75" s="64"/>
      <c r="CH75" s="12"/>
    </row>
    <row r="76" spans="2:86">
      <c r="O76" s="25"/>
      <c r="P76" s="25" t="s">
        <v>36</v>
      </c>
      <c r="R76" s="388"/>
      <c r="S76" s="45" t="str">
        <f t="shared" ref="S76:AL76" si="59">IF(S61&lt;5, "-",VLOOKUP(S$47&amp;"Female"&amp;"Maori"&amp;24,agesextable,7,FALSE))</f>
        <v>-</v>
      </c>
      <c r="T76" s="45" t="str">
        <f t="shared" si="59"/>
        <v>-</v>
      </c>
      <c r="U76" s="45" t="str">
        <f t="shared" si="59"/>
        <v>-</v>
      </c>
      <c r="V76" s="45" t="str">
        <f t="shared" si="59"/>
        <v>-</v>
      </c>
      <c r="W76" s="45" t="str">
        <f t="shared" si="59"/>
        <v>-</v>
      </c>
      <c r="X76" s="45" t="str">
        <f t="shared" si="59"/>
        <v>-</v>
      </c>
      <c r="Y76" s="45" t="str">
        <f t="shared" si="59"/>
        <v>-</v>
      </c>
      <c r="Z76" s="45" t="str">
        <f t="shared" si="59"/>
        <v>-</v>
      </c>
      <c r="AA76" s="45" t="str">
        <f t="shared" si="59"/>
        <v>-</v>
      </c>
      <c r="AB76" s="45" t="str">
        <f t="shared" si="59"/>
        <v>-</v>
      </c>
      <c r="AC76" s="45" t="str">
        <f t="shared" si="59"/>
        <v>-</v>
      </c>
      <c r="AD76" s="45" t="str">
        <f t="shared" si="59"/>
        <v>-</v>
      </c>
      <c r="AE76" s="45" t="str">
        <f t="shared" si="59"/>
        <v>-</v>
      </c>
      <c r="AF76" s="45" t="str">
        <f t="shared" si="59"/>
        <v>-</v>
      </c>
      <c r="AG76" s="45" t="str">
        <f t="shared" si="59"/>
        <v>-</v>
      </c>
      <c r="AH76" s="45" t="str">
        <f t="shared" si="59"/>
        <v>-</v>
      </c>
      <c r="AI76" s="45" t="str">
        <f t="shared" si="59"/>
        <v>-</v>
      </c>
      <c r="AJ76" s="45">
        <f t="shared" si="59"/>
        <v>7.4041166888790197</v>
      </c>
      <c r="AK76" s="45" t="str">
        <f t="shared" si="59"/>
        <v>-</v>
      </c>
      <c r="AL76" s="45" t="str">
        <f t="shared" si="59"/>
        <v>-</v>
      </c>
      <c r="AM76" s="45">
        <f t="shared" ref="AM76" si="60">IF(AM61&lt;5, "-",VLOOKUP(AM$47&amp;"Female"&amp;"Maori"&amp;24,agesextable,7,FALSE))</f>
        <v>12.337217272104199</v>
      </c>
      <c r="AO76" s="506"/>
      <c r="AP76" s="506"/>
      <c r="AQ76" s="497"/>
      <c r="AR76" s="501"/>
      <c r="AS76" s="502"/>
      <c r="AT76" s="502"/>
      <c r="AU76" s="502"/>
      <c r="AV76" s="502"/>
      <c r="AW76" s="502"/>
      <c r="AX76" s="502"/>
      <c r="AY76" s="502"/>
      <c r="AZ76" s="507"/>
      <c r="BA76" s="507"/>
      <c r="BB76" s="507"/>
      <c r="BC76" s="64"/>
      <c r="BD76" s="64"/>
      <c r="BE76" s="64"/>
      <c r="BF76" s="64"/>
      <c r="BG76" s="64"/>
      <c r="CH76" s="12"/>
    </row>
    <row r="77" spans="2:86">
      <c r="B77" s="195"/>
      <c r="C77" s="347"/>
      <c r="D77" s="347"/>
      <c r="E77" s="347"/>
      <c r="F77" s="347"/>
      <c r="G77" s="347"/>
      <c r="H77" s="347"/>
      <c r="I77" s="347"/>
      <c r="J77" s="347"/>
      <c r="K77" s="347"/>
      <c r="L77" s="347"/>
      <c r="M77" s="195"/>
      <c r="P77" s="24" t="s">
        <v>26</v>
      </c>
      <c r="R77" s="390"/>
      <c r="S77" s="45" t="str">
        <f t="shared" ref="S77:AL77" si="61">IF(S62&lt;5, "-",VLOOKUP(S$47&amp;"Female"&amp;"Maori"&amp;25,agesextable,7,FALSE))</f>
        <v>-</v>
      </c>
      <c r="T77" s="45" t="str">
        <f t="shared" si="61"/>
        <v>-</v>
      </c>
      <c r="U77" s="45" t="str">
        <f t="shared" si="61"/>
        <v>-</v>
      </c>
      <c r="V77" s="45" t="str">
        <f t="shared" si="61"/>
        <v>-</v>
      </c>
      <c r="W77" s="45" t="str">
        <f t="shared" si="61"/>
        <v>-</v>
      </c>
      <c r="X77" s="45" t="str">
        <f t="shared" si="61"/>
        <v>-</v>
      </c>
      <c r="Y77" s="45" t="str">
        <f t="shared" si="61"/>
        <v>-</v>
      </c>
      <c r="Z77" s="45" t="str">
        <f t="shared" si="61"/>
        <v>-</v>
      </c>
      <c r="AA77" s="45" t="str">
        <f t="shared" si="61"/>
        <v>-</v>
      </c>
      <c r="AB77" s="45" t="str">
        <f t="shared" si="61"/>
        <v>-</v>
      </c>
      <c r="AC77" s="45" t="str">
        <f t="shared" si="61"/>
        <v>-</v>
      </c>
      <c r="AD77" s="45" t="str">
        <f t="shared" si="61"/>
        <v>-</v>
      </c>
      <c r="AE77" s="45" t="str">
        <f t="shared" si="61"/>
        <v>-</v>
      </c>
      <c r="AF77" s="45" t="str">
        <f t="shared" si="61"/>
        <v>-</v>
      </c>
      <c r="AG77" s="45" t="str">
        <f t="shared" si="61"/>
        <v>-</v>
      </c>
      <c r="AH77" s="45" t="str">
        <f t="shared" si="61"/>
        <v>-</v>
      </c>
      <c r="AI77" s="45" t="str">
        <f t="shared" si="61"/>
        <v>-</v>
      </c>
      <c r="AJ77" s="45" t="str">
        <f t="shared" si="61"/>
        <v>-</v>
      </c>
      <c r="AK77" s="45" t="str">
        <f t="shared" si="61"/>
        <v>-</v>
      </c>
      <c r="AL77" s="45" t="str">
        <f t="shared" si="61"/>
        <v>-</v>
      </c>
      <c r="AM77" s="228" t="str">
        <f t="shared" ref="AM77" si="62">IF(AM62&lt;5, "-",VLOOKUP(AM$47&amp;"Female"&amp;"Maori"&amp;25,agesextable,7,FALSE))</f>
        <v>-</v>
      </c>
      <c r="AO77" s="506"/>
      <c r="AP77" s="506"/>
      <c r="AQ77" s="497"/>
      <c r="AR77" s="501"/>
      <c r="AS77" s="502"/>
      <c r="AT77" s="502"/>
      <c r="AU77" s="502"/>
      <c r="AV77" s="502"/>
      <c r="AW77" s="502"/>
      <c r="AX77" s="502"/>
      <c r="AY77" s="502"/>
      <c r="AZ77" s="66"/>
      <c r="BA77" s="66"/>
      <c r="BB77" s="66"/>
      <c r="BC77" s="64"/>
      <c r="BD77" s="64"/>
      <c r="BE77" s="64"/>
      <c r="BF77" s="64"/>
      <c r="BG77" s="64"/>
      <c r="CH77" s="12"/>
    </row>
    <row r="78" spans="2:86">
      <c r="O78" s="26"/>
      <c r="P78" s="26"/>
      <c r="Q78" s="28"/>
      <c r="R78" s="389"/>
      <c r="S78" s="123"/>
      <c r="T78" s="123"/>
      <c r="U78" s="123"/>
      <c r="V78" s="123"/>
      <c r="W78" s="123"/>
      <c r="X78" s="123"/>
      <c r="Y78" s="123"/>
      <c r="Z78" s="123"/>
      <c r="AA78" s="123"/>
      <c r="AB78" s="123"/>
      <c r="AC78" s="123"/>
      <c r="AD78" s="123"/>
      <c r="AE78" s="123"/>
      <c r="AF78" s="123"/>
      <c r="AG78" s="123"/>
      <c r="AH78" s="123"/>
      <c r="AI78" s="123"/>
      <c r="AJ78" s="123"/>
      <c r="AK78" s="123"/>
      <c r="AL78" s="42"/>
    </row>
    <row r="79" spans="2:86">
      <c r="B79" s="70"/>
      <c r="C79" s="70"/>
      <c r="D79" s="70"/>
      <c r="E79" s="70"/>
      <c r="F79" s="70"/>
      <c r="G79" s="70"/>
      <c r="H79" s="70"/>
      <c r="I79" s="70"/>
      <c r="J79" s="70"/>
      <c r="K79" s="70"/>
      <c r="L79" s="70"/>
      <c r="M79" s="70"/>
      <c r="P79" s="30"/>
      <c r="Q79" s="31"/>
      <c r="R79" s="388"/>
      <c r="AC79" s="119"/>
      <c r="AD79" s="119"/>
      <c r="AE79" s="119"/>
      <c r="AF79" s="119"/>
      <c r="AG79" s="119"/>
      <c r="AH79" s="119"/>
      <c r="AI79" s="119"/>
      <c r="AJ79" s="119"/>
      <c r="AK79" s="119"/>
      <c r="AL79" s="125"/>
    </row>
    <row r="80" spans="2:86" ht="13.5">
      <c r="B80" s="346"/>
      <c r="C80" s="659" t="s">
        <v>511</v>
      </c>
      <c r="D80" s="635"/>
      <c r="E80" s="635"/>
      <c r="F80" s="635"/>
      <c r="G80" s="635"/>
      <c r="H80" s="635"/>
      <c r="I80" s="635"/>
      <c r="J80" s="635"/>
      <c r="K80" s="635"/>
      <c r="L80" s="635"/>
      <c r="M80" s="346"/>
      <c r="O80" s="22" t="s">
        <v>4</v>
      </c>
      <c r="R80" s="388"/>
    </row>
    <row r="81" spans="2:39">
      <c r="B81" s="70"/>
      <c r="C81" s="70"/>
      <c r="D81" s="70"/>
      <c r="E81" s="70"/>
      <c r="F81" s="70"/>
      <c r="G81" s="70"/>
      <c r="H81" s="70"/>
      <c r="I81" s="70"/>
      <c r="J81" s="70"/>
      <c r="K81" s="70"/>
      <c r="L81" s="70"/>
      <c r="M81" s="70"/>
      <c r="R81" s="388"/>
    </row>
    <row r="82" spans="2:39">
      <c r="B82" s="75"/>
      <c r="C82" s="75"/>
      <c r="D82" s="75"/>
      <c r="E82" s="107"/>
      <c r="F82" s="75"/>
      <c r="G82" s="75"/>
      <c r="H82" s="75"/>
      <c r="I82" s="75"/>
      <c r="J82" s="107"/>
      <c r="K82" s="70"/>
      <c r="L82" s="70"/>
      <c r="M82" s="70"/>
      <c r="O82" s="34" t="s">
        <v>1</v>
      </c>
      <c r="P82" s="22" t="s">
        <v>37</v>
      </c>
      <c r="R82" s="388"/>
      <c r="S82" s="163">
        <v>1996</v>
      </c>
      <c r="T82" s="163">
        <v>1997</v>
      </c>
      <c r="U82" s="163">
        <v>1998</v>
      </c>
      <c r="V82" s="163">
        <v>1999</v>
      </c>
      <c r="W82" s="163">
        <v>2000</v>
      </c>
      <c r="X82" s="163">
        <v>2001</v>
      </c>
      <c r="Y82" s="163">
        <v>2002</v>
      </c>
      <c r="Z82" s="163">
        <v>2003</v>
      </c>
      <c r="AA82" s="163">
        <v>2004</v>
      </c>
      <c r="AB82" s="163">
        <v>2005</v>
      </c>
      <c r="AC82" s="163">
        <v>2006</v>
      </c>
      <c r="AD82" s="48">
        <v>2007</v>
      </c>
      <c r="AE82" s="48">
        <v>2008</v>
      </c>
      <c r="AF82" s="48">
        <v>2009</v>
      </c>
      <c r="AG82" s="48">
        <v>2010</v>
      </c>
      <c r="AH82" s="48">
        <v>2011</v>
      </c>
      <c r="AI82" s="48">
        <v>2012</v>
      </c>
      <c r="AJ82" s="48">
        <v>2013</v>
      </c>
      <c r="AK82" s="48">
        <v>2014</v>
      </c>
      <c r="AL82" s="48">
        <v>2015</v>
      </c>
      <c r="AM82" s="48">
        <v>2016</v>
      </c>
    </row>
    <row r="83" spans="2:39">
      <c r="B83" s="75"/>
      <c r="C83" s="75"/>
      <c r="D83" s="75"/>
      <c r="E83" s="70"/>
      <c r="F83" s="75"/>
      <c r="G83" s="75"/>
      <c r="H83" s="75"/>
      <c r="I83" s="75"/>
      <c r="J83" s="70"/>
      <c r="K83" s="70"/>
      <c r="L83" s="70"/>
      <c r="M83" s="70"/>
      <c r="O83" s="30"/>
      <c r="R83" s="388"/>
      <c r="AC83" s="119"/>
      <c r="AL83" s="46"/>
      <c r="AM83" s="46"/>
    </row>
    <row r="84" spans="2:39">
      <c r="B84" s="75"/>
      <c r="C84" s="75"/>
      <c r="D84" s="75"/>
      <c r="E84" s="75"/>
      <c r="F84" s="75"/>
      <c r="G84" s="75"/>
      <c r="H84" s="75"/>
      <c r="I84" s="75"/>
      <c r="J84" s="75"/>
      <c r="K84" s="70"/>
      <c r="L84" s="70"/>
      <c r="M84" s="70"/>
      <c r="O84" s="30" t="s">
        <v>0</v>
      </c>
      <c r="P84" s="24" t="s">
        <v>150</v>
      </c>
      <c r="Q84" s="25" t="s">
        <v>21</v>
      </c>
      <c r="R84" s="388"/>
      <c r="S84" s="119">
        <f t="shared" ref="S84:AM84" si="63">VLOOKUP(S$47&amp;"AllSex"&amp;"Non-Maori"&amp;22,agesextable,6,FALSE)</f>
        <v>104</v>
      </c>
      <c r="T84" s="119">
        <f t="shared" si="63"/>
        <v>104</v>
      </c>
      <c r="U84" s="119">
        <f t="shared" si="63"/>
        <v>97</v>
      </c>
      <c r="V84" s="119">
        <f t="shared" si="63"/>
        <v>86</v>
      </c>
      <c r="W84" s="119">
        <f t="shared" si="63"/>
        <v>68</v>
      </c>
      <c r="X84" s="119">
        <f t="shared" si="63"/>
        <v>81</v>
      </c>
      <c r="Y84" s="119">
        <f t="shared" si="63"/>
        <v>63</v>
      </c>
      <c r="Z84" s="119">
        <f t="shared" si="63"/>
        <v>67</v>
      </c>
      <c r="AA84" s="119">
        <f t="shared" si="63"/>
        <v>72</v>
      </c>
      <c r="AB84" s="119">
        <f t="shared" si="63"/>
        <v>69</v>
      </c>
      <c r="AC84" s="119">
        <f t="shared" si="63"/>
        <v>82</v>
      </c>
      <c r="AD84" s="119">
        <f t="shared" si="63"/>
        <v>61</v>
      </c>
      <c r="AE84" s="119">
        <f t="shared" si="63"/>
        <v>86</v>
      </c>
      <c r="AF84" s="119">
        <f t="shared" si="63"/>
        <v>81</v>
      </c>
      <c r="AG84" s="119">
        <f t="shared" si="63"/>
        <v>69</v>
      </c>
      <c r="AH84" s="119">
        <f t="shared" si="63"/>
        <v>82</v>
      </c>
      <c r="AI84" s="119">
        <f t="shared" si="63"/>
        <v>87</v>
      </c>
      <c r="AJ84" s="119">
        <f t="shared" si="63"/>
        <v>62</v>
      </c>
      <c r="AK84" s="119">
        <f t="shared" si="63"/>
        <v>61</v>
      </c>
      <c r="AL84" s="119">
        <f t="shared" si="63"/>
        <v>69</v>
      </c>
      <c r="AM84" s="119">
        <f t="shared" si="63"/>
        <v>67</v>
      </c>
    </row>
    <row r="85" spans="2:39">
      <c r="B85" s="75"/>
      <c r="C85" s="75"/>
      <c r="D85" s="75"/>
      <c r="E85" s="75"/>
      <c r="F85" s="75"/>
      <c r="G85" s="75"/>
      <c r="H85" s="75"/>
      <c r="I85" s="75"/>
      <c r="J85" s="75"/>
      <c r="K85" s="70"/>
      <c r="L85" s="70"/>
      <c r="M85" s="70"/>
      <c r="O85" s="30"/>
      <c r="P85" s="24" t="s">
        <v>35</v>
      </c>
      <c r="R85" s="388"/>
      <c r="S85" s="119">
        <f t="shared" ref="S85:AM85" si="64">VLOOKUP(S$47&amp;"AllSex"&amp;"Non-Maori"&amp;23,agesextable,6,FALSE)</f>
        <v>177</v>
      </c>
      <c r="T85" s="119">
        <f t="shared" si="64"/>
        <v>200</v>
      </c>
      <c r="U85" s="119">
        <f t="shared" si="64"/>
        <v>202</v>
      </c>
      <c r="V85" s="119">
        <f t="shared" si="64"/>
        <v>194</v>
      </c>
      <c r="W85" s="119">
        <f t="shared" si="64"/>
        <v>169</v>
      </c>
      <c r="X85" s="119">
        <f t="shared" si="64"/>
        <v>197</v>
      </c>
      <c r="Y85" s="119">
        <f t="shared" si="64"/>
        <v>173</v>
      </c>
      <c r="Z85" s="119">
        <f t="shared" si="64"/>
        <v>171</v>
      </c>
      <c r="AA85" s="119">
        <f t="shared" si="64"/>
        <v>146</v>
      </c>
      <c r="AB85" s="119">
        <f t="shared" si="64"/>
        <v>165</v>
      </c>
      <c r="AC85" s="119">
        <f t="shared" si="64"/>
        <v>153</v>
      </c>
      <c r="AD85" s="119">
        <f t="shared" si="64"/>
        <v>163</v>
      </c>
      <c r="AE85" s="119">
        <f t="shared" si="64"/>
        <v>145</v>
      </c>
      <c r="AF85" s="119">
        <f t="shared" si="64"/>
        <v>142</v>
      </c>
      <c r="AG85" s="119">
        <f t="shared" si="64"/>
        <v>158</v>
      </c>
      <c r="AH85" s="119">
        <f t="shared" si="64"/>
        <v>119</v>
      </c>
      <c r="AI85" s="119">
        <f t="shared" si="64"/>
        <v>147</v>
      </c>
      <c r="AJ85" s="119">
        <f t="shared" si="64"/>
        <v>117</v>
      </c>
      <c r="AK85" s="119">
        <f t="shared" si="64"/>
        <v>139</v>
      </c>
      <c r="AL85" s="119">
        <f t="shared" si="64"/>
        <v>119</v>
      </c>
      <c r="AM85" s="119">
        <f t="shared" si="64"/>
        <v>141</v>
      </c>
    </row>
    <row r="86" spans="2:39">
      <c r="B86" s="70"/>
      <c r="C86" s="70"/>
      <c r="D86" s="70"/>
      <c r="E86" s="70"/>
      <c r="F86" s="70"/>
      <c r="G86" s="70"/>
      <c r="H86" s="70"/>
      <c r="I86" s="70"/>
      <c r="J86" s="70"/>
      <c r="K86" s="70"/>
      <c r="L86" s="70"/>
      <c r="M86" s="70"/>
      <c r="O86" s="30"/>
      <c r="P86" s="24" t="s">
        <v>36</v>
      </c>
      <c r="R86" s="388"/>
      <c r="S86" s="119">
        <f t="shared" ref="S86:AM86" si="65">VLOOKUP(S$47&amp;"AllSex"&amp;"Non-Maori"&amp;24,agesextable,6,FALSE)</f>
        <v>94</v>
      </c>
      <c r="T86" s="119">
        <f t="shared" si="65"/>
        <v>95</v>
      </c>
      <c r="U86" s="119">
        <f t="shared" si="65"/>
        <v>102</v>
      </c>
      <c r="V86" s="119">
        <f t="shared" si="65"/>
        <v>103</v>
      </c>
      <c r="W86" s="119">
        <f t="shared" si="65"/>
        <v>93</v>
      </c>
      <c r="X86" s="119">
        <f t="shared" si="65"/>
        <v>87</v>
      </c>
      <c r="Y86" s="119">
        <f t="shared" si="65"/>
        <v>106</v>
      </c>
      <c r="Z86" s="119">
        <f t="shared" si="65"/>
        <v>130</v>
      </c>
      <c r="AA86" s="119">
        <f t="shared" si="65"/>
        <v>109</v>
      </c>
      <c r="AB86" s="119">
        <f t="shared" si="65"/>
        <v>129</v>
      </c>
      <c r="AC86" s="119">
        <f t="shared" si="65"/>
        <v>129</v>
      </c>
      <c r="AD86" s="119">
        <f t="shared" si="65"/>
        <v>130</v>
      </c>
      <c r="AE86" s="119">
        <f t="shared" si="65"/>
        <v>149</v>
      </c>
      <c r="AF86" s="119">
        <f t="shared" si="65"/>
        <v>148</v>
      </c>
      <c r="AG86" s="119">
        <f t="shared" si="65"/>
        <v>146</v>
      </c>
      <c r="AH86" s="119">
        <f t="shared" si="65"/>
        <v>134</v>
      </c>
      <c r="AI86" s="119">
        <f t="shared" si="65"/>
        <v>137</v>
      </c>
      <c r="AJ86" s="119">
        <f t="shared" si="65"/>
        <v>173</v>
      </c>
      <c r="AK86" s="119">
        <f t="shared" si="65"/>
        <v>154</v>
      </c>
      <c r="AL86" s="119">
        <f t="shared" si="65"/>
        <v>154</v>
      </c>
      <c r="AM86" s="119">
        <f t="shared" si="65"/>
        <v>147</v>
      </c>
    </row>
    <row r="87" spans="2:39">
      <c r="B87" s="70"/>
      <c r="C87" s="70"/>
      <c r="D87" s="70"/>
      <c r="E87" s="70"/>
      <c r="F87" s="70"/>
      <c r="G87" s="70"/>
      <c r="H87" s="70"/>
      <c r="I87" s="70"/>
      <c r="J87" s="70"/>
      <c r="K87" s="70"/>
      <c r="L87" s="70"/>
      <c r="M87" s="70"/>
      <c r="O87" s="30"/>
      <c r="P87" s="24" t="s">
        <v>26</v>
      </c>
      <c r="R87" s="388"/>
      <c r="S87" s="119">
        <f t="shared" ref="S87:AM87" si="66">VLOOKUP(S$47&amp;"AllSex"&amp;"Non-Maori"&amp;25,agesextable,6,FALSE)</f>
        <v>65</v>
      </c>
      <c r="T87" s="119">
        <f t="shared" si="66"/>
        <v>53</v>
      </c>
      <c r="U87" s="119">
        <f t="shared" si="66"/>
        <v>62</v>
      </c>
      <c r="V87" s="119">
        <f t="shared" si="66"/>
        <v>52</v>
      </c>
      <c r="W87" s="119">
        <f t="shared" si="66"/>
        <v>46</v>
      </c>
      <c r="X87" s="119">
        <f t="shared" si="66"/>
        <v>62</v>
      </c>
      <c r="Y87" s="119">
        <f t="shared" si="66"/>
        <v>48</v>
      </c>
      <c r="Z87" s="119">
        <f t="shared" si="66"/>
        <v>67</v>
      </c>
      <c r="AA87" s="119">
        <f t="shared" si="66"/>
        <v>53</v>
      </c>
      <c r="AB87" s="119">
        <f t="shared" si="66"/>
        <v>46</v>
      </c>
      <c r="AC87" s="119">
        <f t="shared" si="66"/>
        <v>50</v>
      </c>
      <c r="AD87" s="119">
        <f t="shared" si="66"/>
        <v>49</v>
      </c>
      <c r="AE87" s="119">
        <f t="shared" si="66"/>
        <v>50</v>
      </c>
      <c r="AF87" s="119">
        <f t="shared" si="66"/>
        <v>53</v>
      </c>
      <c r="AG87" s="119">
        <f t="shared" si="66"/>
        <v>57</v>
      </c>
      <c r="AH87" s="119">
        <f t="shared" si="66"/>
        <v>45</v>
      </c>
      <c r="AI87" s="119">
        <f t="shared" si="66"/>
        <v>56</v>
      </c>
      <c r="AJ87" s="119">
        <f t="shared" si="66"/>
        <v>56</v>
      </c>
      <c r="AK87" s="119">
        <f t="shared" si="66"/>
        <v>60</v>
      </c>
      <c r="AL87" s="119">
        <f t="shared" si="66"/>
        <v>65</v>
      </c>
      <c r="AM87" s="119">
        <f t="shared" si="66"/>
        <v>60</v>
      </c>
    </row>
    <row r="88" spans="2:39">
      <c r="B88" s="70"/>
      <c r="C88" s="70"/>
      <c r="D88" s="70"/>
      <c r="E88" s="70"/>
      <c r="F88" s="70"/>
      <c r="G88" s="70"/>
      <c r="H88" s="70"/>
      <c r="I88" s="70"/>
      <c r="J88" s="70"/>
      <c r="K88" s="70"/>
      <c r="L88" s="70"/>
      <c r="M88" s="70"/>
      <c r="O88" s="26"/>
      <c r="P88" s="26"/>
      <c r="Q88" s="28"/>
      <c r="R88" s="389"/>
      <c r="S88" s="123"/>
      <c r="T88" s="123"/>
      <c r="U88" s="123"/>
      <c r="V88" s="123"/>
      <c r="W88" s="123"/>
      <c r="X88" s="123"/>
      <c r="Y88" s="123"/>
      <c r="Z88" s="123"/>
      <c r="AA88" s="123"/>
      <c r="AB88" s="123"/>
      <c r="AC88" s="123"/>
      <c r="AD88" s="123"/>
      <c r="AE88" s="123"/>
      <c r="AF88" s="123"/>
      <c r="AG88" s="123"/>
      <c r="AH88" s="123"/>
      <c r="AI88" s="123"/>
      <c r="AJ88" s="123"/>
      <c r="AK88" s="123"/>
      <c r="AL88" s="123"/>
      <c r="AM88" s="123"/>
    </row>
    <row r="89" spans="2:39">
      <c r="B89" s="70"/>
      <c r="C89" s="70"/>
      <c r="D89" s="70"/>
      <c r="E89" s="70"/>
      <c r="F89" s="70"/>
      <c r="G89" s="70"/>
      <c r="H89" s="70"/>
      <c r="I89" s="70"/>
      <c r="J89" s="70"/>
      <c r="K89" s="70"/>
      <c r="L89" s="70"/>
      <c r="M89" s="70"/>
      <c r="O89" s="24" t="s">
        <v>20</v>
      </c>
      <c r="P89" s="24" t="s">
        <v>150</v>
      </c>
      <c r="Q89" s="25" t="s">
        <v>21</v>
      </c>
      <c r="R89" s="388"/>
      <c r="S89" s="119">
        <f t="shared" ref="S89:AM89" si="67">VLOOKUP(S$47&amp;"Male"&amp;"Non-Maori"&amp;22,agesextable,6,FALSE)</f>
        <v>75</v>
      </c>
      <c r="T89" s="119">
        <f t="shared" si="67"/>
        <v>84</v>
      </c>
      <c r="U89" s="119">
        <f t="shared" si="67"/>
        <v>75</v>
      </c>
      <c r="V89" s="119">
        <f t="shared" si="67"/>
        <v>59</v>
      </c>
      <c r="W89" s="119">
        <f t="shared" si="67"/>
        <v>57</v>
      </c>
      <c r="X89" s="119">
        <f t="shared" si="67"/>
        <v>67</v>
      </c>
      <c r="Y89" s="119">
        <f t="shared" si="67"/>
        <v>43</v>
      </c>
      <c r="Z89" s="119">
        <f t="shared" si="67"/>
        <v>47</v>
      </c>
      <c r="AA89" s="119">
        <f t="shared" si="67"/>
        <v>55</v>
      </c>
      <c r="AB89" s="119">
        <f t="shared" si="67"/>
        <v>55</v>
      </c>
      <c r="AC89" s="119">
        <f t="shared" si="67"/>
        <v>66</v>
      </c>
      <c r="AD89" s="119">
        <f t="shared" si="67"/>
        <v>48</v>
      </c>
      <c r="AE89" s="119">
        <f t="shared" si="67"/>
        <v>66</v>
      </c>
      <c r="AF89" s="119">
        <f t="shared" si="67"/>
        <v>71</v>
      </c>
      <c r="AG89" s="119">
        <f t="shared" si="67"/>
        <v>50</v>
      </c>
      <c r="AH89" s="119">
        <f t="shared" si="67"/>
        <v>63</v>
      </c>
      <c r="AI89" s="119">
        <f t="shared" si="67"/>
        <v>70</v>
      </c>
      <c r="AJ89" s="119">
        <f t="shared" si="67"/>
        <v>44</v>
      </c>
      <c r="AK89" s="119">
        <f t="shared" si="67"/>
        <v>48</v>
      </c>
      <c r="AL89" s="119">
        <f t="shared" si="67"/>
        <v>50</v>
      </c>
      <c r="AM89" s="119">
        <f t="shared" si="67"/>
        <v>52</v>
      </c>
    </row>
    <row r="90" spans="2:39">
      <c r="B90" s="70"/>
      <c r="C90" s="70"/>
      <c r="D90" s="70"/>
      <c r="E90" s="70"/>
      <c r="F90" s="70"/>
      <c r="G90" s="70"/>
      <c r="H90" s="70"/>
      <c r="I90" s="70"/>
      <c r="J90" s="70"/>
      <c r="K90" s="70"/>
      <c r="L90" s="70"/>
      <c r="M90" s="70"/>
      <c r="P90" s="24" t="s">
        <v>35</v>
      </c>
      <c r="R90" s="388"/>
      <c r="S90" s="119">
        <f t="shared" ref="S90:AM90" si="68">VLOOKUP(S$47&amp;"Male"&amp;"Non-Maori"&amp;23,agesextable,6,FALSE)</f>
        <v>152</v>
      </c>
      <c r="T90" s="119">
        <f t="shared" si="68"/>
        <v>160</v>
      </c>
      <c r="U90" s="119">
        <f t="shared" si="68"/>
        <v>155</v>
      </c>
      <c r="V90" s="119">
        <f t="shared" si="68"/>
        <v>146</v>
      </c>
      <c r="W90" s="119">
        <f t="shared" si="68"/>
        <v>136</v>
      </c>
      <c r="X90" s="119">
        <f t="shared" si="68"/>
        <v>158</v>
      </c>
      <c r="Y90" s="119">
        <f t="shared" si="68"/>
        <v>135</v>
      </c>
      <c r="Z90" s="119">
        <f t="shared" si="68"/>
        <v>124</v>
      </c>
      <c r="AA90" s="119">
        <f>VLOOKUP(AA$47&amp;"Male"&amp;"Non-Maori"&amp;23,agesextable,6,FALSE)</f>
        <v>117</v>
      </c>
      <c r="AB90" s="119">
        <f t="shared" si="68"/>
        <v>119</v>
      </c>
      <c r="AC90" s="119">
        <f t="shared" si="68"/>
        <v>111</v>
      </c>
      <c r="AD90" s="119">
        <f t="shared" si="68"/>
        <v>126</v>
      </c>
      <c r="AE90" s="119">
        <f t="shared" si="68"/>
        <v>105</v>
      </c>
      <c r="AF90" s="119">
        <f t="shared" si="68"/>
        <v>109</v>
      </c>
      <c r="AG90" s="119">
        <f t="shared" si="68"/>
        <v>114</v>
      </c>
      <c r="AH90" s="119">
        <f t="shared" si="68"/>
        <v>97</v>
      </c>
      <c r="AI90" s="119">
        <f t="shared" si="68"/>
        <v>113</v>
      </c>
      <c r="AJ90" s="119">
        <f t="shared" si="68"/>
        <v>83</v>
      </c>
      <c r="AK90" s="119">
        <f>VLOOKUP(AK$47&amp;"Male"&amp;"Non-Maori"&amp;23,agesextable,6,FALSE)</f>
        <v>104</v>
      </c>
      <c r="AL90" s="119">
        <f t="shared" si="68"/>
        <v>97</v>
      </c>
      <c r="AM90" s="119">
        <f t="shared" si="68"/>
        <v>99</v>
      </c>
    </row>
    <row r="91" spans="2:39">
      <c r="B91" s="70"/>
      <c r="C91" s="70"/>
      <c r="D91" s="70"/>
      <c r="E91" s="70"/>
      <c r="F91" s="70"/>
      <c r="G91" s="70"/>
      <c r="H91" s="70"/>
      <c r="I91" s="70"/>
      <c r="J91" s="70"/>
      <c r="K91" s="70"/>
      <c r="L91" s="70"/>
      <c r="M91" s="70"/>
      <c r="P91" s="24" t="s">
        <v>36</v>
      </c>
      <c r="R91" s="388"/>
      <c r="S91" s="119">
        <f t="shared" ref="S91:AM91" si="69">VLOOKUP(S$47&amp;"Male"&amp;"Non-Maori"&amp;24,agesextable,6,FALSE)</f>
        <v>75</v>
      </c>
      <c r="T91" s="119">
        <f t="shared" si="69"/>
        <v>69</v>
      </c>
      <c r="U91" s="119">
        <f t="shared" si="69"/>
        <v>80</v>
      </c>
      <c r="V91" s="119">
        <f t="shared" si="69"/>
        <v>82</v>
      </c>
      <c r="W91" s="119">
        <f t="shared" si="69"/>
        <v>72</v>
      </c>
      <c r="X91" s="119">
        <f t="shared" si="69"/>
        <v>60</v>
      </c>
      <c r="Y91" s="119">
        <f t="shared" si="69"/>
        <v>82</v>
      </c>
      <c r="Z91" s="119">
        <f t="shared" si="69"/>
        <v>96</v>
      </c>
      <c r="AA91" s="119">
        <f t="shared" si="69"/>
        <v>81</v>
      </c>
      <c r="AB91" s="119">
        <f t="shared" si="69"/>
        <v>100</v>
      </c>
      <c r="AC91" s="119">
        <f t="shared" si="69"/>
        <v>100</v>
      </c>
      <c r="AD91" s="119">
        <f>VLOOKUP(AD$47&amp;"Male"&amp;"Non-Maori"&amp;24,agesextable,6,FALSE)</f>
        <v>91</v>
      </c>
      <c r="AE91" s="119">
        <f t="shared" si="69"/>
        <v>117</v>
      </c>
      <c r="AF91" s="119">
        <f t="shared" si="69"/>
        <v>113</v>
      </c>
      <c r="AG91" s="119">
        <f t="shared" si="69"/>
        <v>107</v>
      </c>
      <c r="AH91" s="119">
        <f t="shared" si="69"/>
        <v>104</v>
      </c>
      <c r="AI91" s="119">
        <f t="shared" si="69"/>
        <v>96</v>
      </c>
      <c r="AJ91" s="119">
        <f t="shared" si="69"/>
        <v>125</v>
      </c>
      <c r="AK91" s="119">
        <f t="shared" si="69"/>
        <v>111</v>
      </c>
      <c r="AL91" s="119">
        <f t="shared" si="69"/>
        <v>110</v>
      </c>
      <c r="AM91" s="119">
        <f t="shared" si="69"/>
        <v>112</v>
      </c>
    </row>
    <row r="92" spans="2:39">
      <c r="B92" s="70"/>
      <c r="C92" s="70"/>
      <c r="D92" s="70"/>
      <c r="E92" s="70"/>
      <c r="F92" s="70"/>
      <c r="G92" s="70"/>
      <c r="H92" s="70"/>
      <c r="I92" s="70"/>
      <c r="J92" s="70"/>
      <c r="K92" s="70"/>
      <c r="L92" s="70"/>
      <c r="M92" s="70"/>
      <c r="P92" s="24" t="s">
        <v>26</v>
      </c>
      <c r="R92" s="388"/>
      <c r="S92" s="119">
        <f t="shared" ref="S92:AM92" si="70">VLOOKUP(S$47&amp;"Male"&amp;"Non-Maori"&amp;25,agesextable,6,FALSE)</f>
        <v>52</v>
      </c>
      <c r="T92" s="119">
        <f t="shared" si="70"/>
        <v>46</v>
      </c>
      <c r="U92" s="119">
        <f t="shared" si="70"/>
        <v>46</v>
      </c>
      <c r="V92" s="119">
        <f t="shared" si="70"/>
        <v>36</v>
      </c>
      <c r="W92" s="119">
        <f t="shared" si="70"/>
        <v>40</v>
      </c>
      <c r="X92" s="119">
        <f t="shared" si="70"/>
        <v>46</v>
      </c>
      <c r="Y92" s="119">
        <f t="shared" si="70"/>
        <v>36</v>
      </c>
      <c r="Z92" s="119">
        <f t="shared" si="70"/>
        <v>46</v>
      </c>
      <c r="AA92" s="119">
        <f t="shared" si="70"/>
        <v>44</v>
      </c>
      <c r="AB92" s="119">
        <f t="shared" si="70"/>
        <v>30</v>
      </c>
      <c r="AC92" s="119">
        <f t="shared" si="70"/>
        <v>33</v>
      </c>
      <c r="AD92" s="119">
        <f t="shared" si="70"/>
        <v>41</v>
      </c>
      <c r="AE92" s="119">
        <f t="shared" si="70"/>
        <v>35</v>
      </c>
      <c r="AF92" s="119">
        <f t="shared" si="70"/>
        <v>40</v>
      </c>
      <c r="AG92" s="119">
        <f t="shared" si="70"/>
        <v>43</v>
      </c>
      <c r="AH92" s="119">
        <f t="shared" si="70"/>
        <v>31</v>
      </c>
      <c r="AI92" s="119">
        <f t="shared" si="70"/>
        <v>42</v>
      </c>
      <c r="AJ92" s="119">
        <f t="shared" si="70"/>
        <v>48</v>
      </c>
      <c r="AK92" s="119">
        <f t="shared" si="70"/>
        <v>49</v>
      </c>
      <c r="AL92" s="119">
        <f t="shared" si="70"/>
        <v>49</v>
      </c>
      <c r="AM92" s="119">
        <f t="shared" si="70"/>
        <v>48</v>
      </c>
    </row>
    <row r="93" spans="2:39">
      <c r="B93" s="70"/>
      <c r="C93" s="70"/>
      <c r="D93" s="70"/>
      <c r="E93" s="70"/>
      <c r="F93" s="70"/>
      <c r="G93" s="70"/>
      <c r="H93" s="70"/>
      <c r="I93" s="70"/>
      <c r="J93" s="70"/>
      <c r="K93" s="70"/>
      <c r="L93" s="70"/>
      <c r="M93" s="70"/>
      <c r="O93" s="26"/>
      <c r="P93" s="26"/>
      <c r="Q93" s="28"/>
      <c r="R93" s="389"/>
      <c r="S93" s="123"/>
      <c r="T93" s="123"/>
      <c r="U93" s="123"/>
      <c r="V93" s="123"/>
      <c r="W93" s="123"/>
      <c r="X93" s="123"/>
      <c r="Y93" s="123"/>
      <c r="Z93" s="123"/>
      <c r="AA93" s="123"/>
      <c r="AB93" s="123"/>
      <c r="AC93" s="123"/>
      <c r="AD93" s="123"/>
      <c r="AE93" s="123"/>
      <c r="AF93" s="123"/>
      <c r="AG93" s="123"/>
      <c r="AH93" s="123"/>
      <c r="AI93" s="123"/>
      <c r="AJ93" s="123"/>
      <c r="AK93" s="123"/>
      <c r="AL93" s="123"/>
      <c r="AM93" s="123"/>
    </row>
    <row r="94" spans="2:39">
      <c r="B94" s="70"/>
      <c r="C94" s="70"/>
      <c r="D94" s="70"/>
      <c r="E94" s="70"/>
      <c r="F94" s="70"/>
      <c r="G94" s="70"/>
      <c r="H94" s="70"/>
      <c r="I94" s="70"/>
      <c r="J94" s="70"/>
      <c r="K94" s="70"/>
      <c r="L94" s="70"/>
      <c r="M94" s="70"/>
      <c r="O94" s="24" t="s">
        <v>8</v>
      </c>
      <c r="P94" s="24" t="s">
        <v>150</v>
      </c>
      <c r="Q94" s="25" t="s">
        <v>21</v>
      </c>
      <c r="R94" s="388"/>
      <c r="S94" s="119">
        <f t="shared" ref="S94:AM94" si="71">VLOOKUP(S$47&amp;"Female"&amp;"Non-Maori"&amp;22,agesextable,6,FALSE)</f>
        <v>29</v>
      </c>
      <c r="T94" s="119">
        <f t="shared" si="71"/>
        <v>20</v>
      </c>
      <c r="U94" s="119">
        <f t="shared" si="71"/>
        <v>22</v>
      </c>
      <c r="V94" s="119">
        <f t="shared" si="71"/>
        <v>27</v>
      </c>
      <c r="W94" s="119">
        <f t="shared" si="71"/>
        <v>11</v>
      </c>
      <c r="X94" s="119">
        <f t="shared" si="71"/>
        <v>14</v>
      </c>
      <c r="Y94" s="119">
        <f t="shared" si="71"/>
        <v>20</v>
      </c>
      <c r="Z94" s="119">
        <f t="shared" si="71"/>
        <v>20</v>
      </c>
      <c r="AA94" s="119">
        <f t="shared" si="71"/>
        <v>17</v>
      </c>
      <c r="AB94" s="119">
        <f t="shared" si="71"/>
        <v>14</v>
      </c>
      <c r="AC94" s="119">
        <f t="shared" si="71"/>
        <v>16</v>
      </c>
      <c r="AD94" s="119">
        <f t="shared" si="71"/>
        <v>13</v>
      </c>
      <c r="AE94" s="119">
        <f t="shared" si="71"/>
        <v>20</v>
      </c>
      <c r="AF94" s="119">
        <f t="shared" si="71"/>
        <v>10</v>
      </c>
      <c r="AG94" s="119">
        <f t="shared" si="71"/>
        <v>19</v>
      </c>
      <c r="AH94" s="119">
        <f t="shared" si="71"/>
        <v>19</v>
      </c>
      <c r="AI94" s="119">
        <f t="shared" si="71"/>
        <v>17</v>
      </c>
      <c r="AJ94" s="119">
        <f t="shared" si="71"/>
        <v>18</v>
      </c>
      <c r="AK94" s="119">
        <f t="shared" si="71"/>
        <v>13</v>
      </c>
      <c r="AL94" s="119">
        <f t="shared" si="71"/>
        <v>19</v>
      </c>
      <c r="AM94" s="119">
        <f t="shared" si="71"/>
        <v>15</v>
      </c>
    </row>
    <row r="95" spans="2:39">
      <c r="B95" s="70"/>
      <c r="C95" s="70"/>
      <c r="D95" s="70"/>
      <c r="E95" s="70"/>
      <c r="F95" s="70"/>
      <c r="G95" s="70"/>
      <c r="H95" s="70"/>
      <c r="I95" s="70"/>
      <c r="J95" s="70"/>
      <c r="K95" s="70"/>
      <c r="L95" s="70"/>
      <c r="M95" s="70"/>
      <c r="P95" s="24" t="s">
        <v>35</v>
      </c>
      <c r="R95" s="388"/>
      <c r="S95" s="119">
        <f t="shared" ref="S95:AM95" si="72">VLOOKUP(S$47&amp;"Female"&amp;"Non-Maori"&amp;23,agesextable,6,FALSE)</f>
        <v>25</v>
      </c>
      <c r="T95" s="119">
        <f t="shared" si="72"/>
        <v>40</v>
      </c>
      <c r="U95" s="119">
        <f t="shared" si="72"/>
        <v>47</v>
      </c>
      <c r="V95" s="119">
        <f t="shared" si="72"/>
        <v>48</v>
      </c>
      <c r="W95" s="119">
        <f t="shared" si="72"/>
        <v>33</v>
      </c>
      <c r="X95" s="119">
        <f t="shared" si="72"/>
        <v>39</v>
      </c>
      <c r="Y95" s="119">
        <f t="shared" si="72"/>
        <v>38</v>
      </c>
      <c r="Z95" s="119">
        <f t="shared" si="72"/>
        <v>47</v>
      </c>
      <c r="AA95" s="119">
        <f t="shared" si="72"/>
        <v>29</v>
      </c>
      <c r="AB95" s="119">
        <f t="shared" si="72"/>
        <v>46</v>
      </c>
      <c r="AC95" s="119">
        <f t="shared" si="72"/>
        <v>42</v>
      </c>
      <c r="AD95" s="119">
        <f t="shared" si="72"/>
        <v>37</v>
      </c>
      <c r="AE95" s="119">
        <f t="shared" si="72"/>
        <v>40</v>
      </c>
      <c r="AF95" s="119">
        <f t="shared" si="72"/>
        <v>33</v>
      </c>
      <c r="AG95" s="119">
        <f t="shared" si="72"/>
        <v>44</v>
      </c>
      <c r="AH95" s="119">
        <f t="shared" si="72"/>
        <v>22</v>
      </c>
      <c r="AI95" s="119">
        <f t="shared" si="72"/>
        <v>34</v>
      </c>
      <c r="AJ95" s="119">
        <f t="shared" si="72"/>
        <v>34</v>
      </c>
      <c r="AK95" s="119">
        <f t="shared" si="72"/>
        <v>35</v>
      </c>
      <c r="AL95" s="119">
        <f t="shared" si="72"/>
        <v>22</v>
      </c>
      <c r="AM95" s="119">
        <f t="shared" si="72"/>
        <v>42</v>
      </c>
    </row>
    <row r="96" spans="2:39">
      <c r="B96" s="70"/>
      <c r="C96" s="70"/>
      <c r="D96" s="70"/>
      <c r="E96" s="108"/>
      <c r="F96" s="70"/>
      <c r="G96" s="70"/>
      <c r="H96" s="70"/>
      <c r="I96" s="70"/>
      <c r="J96" s="70"/>
      <c r="K96" s="70"/>
      <c r="L96" s="70"/>
      <c r="M96" s="70"/>
      <c r="P96" s="24" t="s">
        <v>36</v>
      </c>
      <c r="R96" s="388"/>
      <c r="S96" s="119">
        <f t="shared" ref="S96:AM96" si="73">VLOOKUP(S$47&amp;"Female"&amp;"Non-Maori"&amp;24,agesextable,6,FALSE)</f>
        <v>19</v>
      </c>
      <c r="T96" s="119">
        <f t="shared" si="73"/>
        <v>26</v>
      </c>
      <c r="U96" s="119">
        <f t="shared" si="73"/>
        <v>22</v>
      </c>
      <c r="V96" s="119">
        <f t="shared" si="73"/>
        <v>21</v>
      </c>
      <c r="W96" s="119">
        <f t="shared" si="73"/>
        <v>21</v>
      </c>
      <c r="X96" s="119">
        <f t="shared" si="73"/>
        <v>27</v>
      </c>
      <c r="Y96" s="119">
        <f t="shared" si="73"/>
        <v>24</v>
      </c>
      <c r="Z96" s="119">
        <f t="shared" si="73"/>
        <v>34</v>
      </c>
      <c r="AA96" s="119">
        <f t="shared" si="73"/>
        <v>28</v>
      </c>
      <c r="AB96" s="119">
        <f t="shared" si="73"/>
        <v>29</v>
      </c>
      <c r="AC96" s="119">
        <f t="shared" si="73"/>
        <v>29</v>
      </c>
      <c r="AD96" s="119">
        <f t="shared" si="73"/>
        <v>39</v>
      </c>
      <c r="AE96" s="119">
        <f t="shared" si="73"/>
        <v>32</v>
      </c>
      <c r="AF96" s="119">
        <f t="shared" si="73"/>
        <v>35</v>
      </c>
      <c r="AG96" s="119">
        <f t="shared" si="73"/>
        <v>39</v>
      </c>
      <c r="AH96" s="119">
        <f t="shared" si="73"/>
        <v>30</v>
      </c>
      <c r="AI96" s="119">
        <f t="shared" si="73"/>
        <v>41</v>
      </c>
      <c r="AJ96" s="119">
        <f t="shared" si="73"/>
        <v>48</v>
      </c>
      <c r="AK96" s="119">
        <f t="shared" si="73"/>
        <v>43</v>
      </c>
      <c r="AL96" s="119">
        <f t="shared" si="73"/>
        <v>44</v>
      </c>
      <c r="AM96" s="119">
        <f t="shared" si="73"/>
        <v>35</v>
      </c>
    </row>
    <row r="97" spans="2:86">
      <c r="B97" s="70"/>
      <c r="C97" s="70"/>
      <c r="D97" s="70"/>
      <c r="E97" s="70"/>
      <c r="F97" s="70"/>
      <c r="G97" s="70"/>
      <c r="H97" s="70"/>
      <c r="I97" s="70"/>
      <c r="J97" s="70"/>
      <c r="K97" s="70"/>
      <c r="L97" s="70"/>
      <c r="M97" s="70"/>
      <c r="P97" s="24" t="s">
        <v>26</v>
      </c>
      <c r="R97" s="388"/>
      <c r="S97" s="119">
        <f t="shared" ref="S97:AM97" si="74">VLOOKUP(S$47&amp;"Female"&amp;"Non-Maori"&amp;25,agesextable,6,FALSE)</f>
        <v>13</v>
      </c>
      <c r="T97" s="119">
        <f t="shared" si="74"/>
        <v>7</v>
      </c>
      <c r="U97" s="119">
        <f t="shared" si="74"/>
        <v>16</v>
      </c>
      <c r="V97" s="119">
        <f t="shared" si="74"/>
        <v>16</v>
      </c>
      <c r="W97" s="119">
        <f t="shared" si="74"/>
        <v>6</v>
      </c>
      <c r="X97" s="119">
        <f t="shared" si="74"/>
        <v>16</v>
      </c>
      <c r="Y97" s="119">
        <f t="shared" si="74"/>
        <v>12</v>
      </c>
      <c r="Z97" s="119">
        <f t="shared" si="74"/>
        <v>21</v>
      </c>
      <c r="AA97" s="119">
        <f t="shared" si="74"/>
        <v>9</v>
      </c>
      <c r="AB97" s="119">
        <f t="shared" si="74"/>
        <v>16</v>
      </c>
      <c r="AC97" s="119">
        <f t="shared" si="74"/>
        <v>17</v>
      </c>
      <c r="AD97" s="119">
        <f t="shared" si="74"/>
        <v>8</v>
      </c>
      <c r="AE97" s="119">
        <f t="shared" si="74"/>
        <v>15</v>
      </c>
      <c r="AF97" s="119">
        <f t="shared" si="74"/>
        <v>13</v>
      </c>
      <c r="AG97" s="119">
        <f t="shared" si="74"/>
        <v>14</v>
      </c>
      <c r="AH97" s="119">
        <f t="shared" si="74"/>
        <v>14</v>
      </c>
      <c r="AI97" s="119">
        <f t="shared" si="74"/>
        <v>14</v>
      </c>
      <c r="AJ97" s="119">
        <f t="shared" si="74"/>
        <v>8</v>
      </c>
      <c r="AK97" s="119">
        <f t="shared" si="74"/>
        <v>11</v>
      </c>
      <c r="AL97" s="119">
        <f t="shared" si="74"/>
        <v>16</v>
      </c>
      <c r="AM97" s="119">
        <f t="shared" si="74"/>
        <v>12</v>
      </c>
    </row>
    <row r="98" spans="2:86">
      <c r="B98" s="70"/>
      <c r="C98" s="70"/>
      <c r="D98" s="70"/>
      <c r="E98" s="70"/>
      <c r="F98" s="70"/>
      <c r="G98" s="70"/>
      <c r="H98" s="70"/>
      <c r="I98" s="70"/>
      <c r="J98" s="70"/>
      <c r="K98" s="70"/>
      <c r="L98" s="70"/>
      <c r="M98" s="70"/>
      <c r="O98" s="26"/>
      <c r="P98" s="26"/>
      <c r="Q98" s="28"/>
      <c r="R98" s="389"/>
      <c r="S98" s="123"/>
      <c r="T98" s="123"/>
      <c r="U98" s="123"/>
      <c r="V98" s="123"/>
      <c r="W98" s="123"/>
      <c r="X98" s="123"/>
      <c r="Y98" s="123"/>
      <c r="Z98" s="123"/>
      <c r="AA98" s="123"/>
      <c r="AB98" s="123"/>
      <c r="AC98" s="123"/>
      <c r="AD98" s="123"/>
      <c r="AE98" s="123"/>
      <c r="AF98" s="123"/>
      <c r="AG98" s="123"/>
      <c r="AH98" s="123"/>
      <c r="AI98" s="123"/>
      <c r="AJ98" s="123"/>
      <c r="AK98" s="123"/>
      <c r="AL98" s="123"/>
      <c r="AM98" s="123"/>
      <c r="AS98" s="498"/>
      <c r="AT98" s="498"/>
      <c r="AU98" s="498"/>
      <c r="AV98" s="498"/>
      <c r="AW98" s="498"/>
      <c r="AX98" s="498"/>
      <c r="AY98" s="498"/>
      <c r="AZ98" s="498"/>
      <c r="BA98" s="498"/>
      <c r="BB98" s="498"/>
      <c r="BC98" s="498"/>
      <c r="BD98" s="499"/>
      <c r="BE98" s="499"/>
      <c r="BF98" s="499"/>
      <c r="BG98" s="499"/>
      <c r="BH98" s="593"/>
      <c r="BI98" s="593"/>
      <c r="BJ98" s="593"/>
      <c r="BK98" s="593"/>
      <c r="BL98" s="593"/>
      <c r="BM98" s="593"/>
    </row>
    <row r="99" spans="2:86">
      <c r="B99" s="70"/>
      <c r="C99" s="70"/>
      <c r="D99" s="70"/>
      <c r="E99" s="70"/>
      <c r="F99" s="70"/>
      <c r="G99" s="70"/>
      <c r="H99" s="70"/>
      <c r="I99" s="70"/>
      <c r="J99" s="70"/>
      <c r="K99" s="70"/>
      <c r="L99" s="70"/>
      <c r="M99" s="70"/>
      <c r="O99" s="24" t="s">
        <v>0</v>
      </c>
      <c r="P99" s="24" t="s">
        <v>150</v>
      </c>
      <c r="Q99" s="25" t="s">
        <v>22</v>
      </c>
      <c r="R99" s="388"/>
      <c r="S99" s="45">
        <f t="shared" ref="S99:AM99" si="75">VLOOKUP(S$47&amp;"AllSex"&amp;"Non-Maori"&amp;22,agesextable,7,FALSE)</f>
        <v>23.258934561882199</v>
      </c>
      <c r="T99" s="45">
        <f t="shared" si="75"/>
        <v>23.608462725869401</v>
      </c>
      <c r="U99" s="45">
        <f t="shared" si="75"/>
        <v>22.384787575289</v>
      </c>
      <c r="V99" s="45">
        <f t="shared" si="75"/>
        <v>20.104261635925798</v>
      </c>
      <c r="W99" s="45">
        <f t="shared" si="75"/>
        <v>15.9399906235349</v>
      </c>
      <c r="X99" s="45">
        <f t="shared" si="75"/>
        <v>18.786965093355001</v>
      </c>
      <c r="Y99" s="45">
        <f t="shared" si="75"/>
        <v>14.0980598384318</v>
      </c>
      <c r="Z99" s="45">
        <f t="shared" si="75"/>
        <v>14.4042653824655</v>
      </c>
      <c r="AA99" s="45">
        <f t="shared" si="75"/>
        <v>15.163960320970499</v>
      </c>
      <c r="AB99" s="45">
        <f t="shared" si="75"/>
        <v>14.344816116089101</v>
      </c>
      <c r="AC99" s="45">
        <f t="shared" si="75"/>
        <v>16.795018843191901</v>
      </c>
      <c r="AD99" s="45">
        <f t="shared" si="75"/>
        <v>12.488228309380499</v>
      </c>
      <c r="AE99" s="45">
        <f t="shared" si="75"/>
        <v>17.6642155855893</v>
      </c>
      <c r="AF99" s="45">
        <f t="shared" si="75"/>
        <v>16.560353287536799</v>
      </c>
      <c r="AG99" s="45">
        <f t="shared" si="75"/>
        <v>13.9464375947448</v>
      </c>
      <c r="AH99" s="45">
        <f t="shared" si="75"/>
        <v>16.4625577193335</v>
      </c>
      <c r="AI99" s="45">
        <f t="shared" si="75"/>
        <v>17.457259812183999</v>
      </c>
      <c r="AJ99" s="45">
        <f t="shared" si="75"/>
        <v>12.380438906527701</v>
      </c>
      <c r="AK99" s="45">
        <f t="shared" si="75"/>
        <v>11.938779504442801</v>
      </c>
      <c r="AL99" s="45">
        <f t="shared" si="75"/>
        <v>13.155887736424599</v>
      </c>
      <c r="AM99" s="45">
        <f t="shared" si="75"/>
        <v>12.5482263924786</v>
      </c>
      <c r="AO99" s="500"/>
      <c r="AP99" s="500"/>
      <c r="AR99" s="501"/>
      <c r="AS99" s="502"/>
      <c r="AT99" s="502"/>
      <c r="AU99" s="502"/>
      <c r="AV99" s="502"/>
      <c r="AW99" s="502"/>
      <c r="AX99" s="502"/>
      <c r="AY99" s="502"/>
      <c r="AZ99" s="502"/>
      <c r="BA99" s="502"/>
      <c r="BB99" s="502"/>
      <c r="BC99" s="502"/>
      <c r="BD99" s="502"/>
      <c r="BE99" s="502"/>
      <c r="BF99" s="502"/>
      <c r="BG99" s="502"/>
      <c r="BH99" s="595"/>
      <c r="BI99" s="595"/>
      <c r="BJ99" s="595"/>
      <c r="BK99" s="595"/>
      <c r="BL99" s="595"/>
      <c r="BM99" s="595"/>
    </row>
    <row r="100" spans="2:86">
      <c r="B100" s="70"/>
      <c r="C100" s="70"/>
      <c r="D100" s="70"/>
      <c r="E100" s="70"/>
      <c r="F100" s="70"/>
      <c r="G100" s="70"/>
      <c r="H100" s="70"/>
      <c r="I100" s="70"/>
      <c r="J100" s="70"/>
      <c r="K100" s="70"/>
      <c r="L100" s="70"/>
      <c r="M100" s="70"/>
      <c r="P100" s="24" t="s">
        <v>35</v>
      </c>
      <c r="R100" s="388"/>
      <c r="S100" s="45">
        <f t="shared" ref="S100:AM100" si="76">VLOOKUP(S$47&amp;"AllSex"&amp;"Non-Maori"&amp;23,agesextable,7,FALSE)</f>
        <v>17.723039951937501</v>
      </c>
      <c r="T100" s="45">
        <f t="shared" si="76"/>
        <v>19.763431722284299</v>
      </c>
      <c r="U100" s="45">
        <f t="shared" si="76"/>
        <v>19.9213009990237</v>
      </c>
      <c r="V100" s="45">
        <f t="shared" si="76"/>
        <v>19.248896165103901</v>
      </c>
      <c r="W100" s="45">
        <f t="shared" si="76"/>
        <v>16.9221680401326</v>
      </c>
      <c r="X100" s="45">
        <f t="shared" si="76"/>
        <v>19.962304683541699</v>
      </c>
      <c r="Y100" s="45">
        <f t="shared" si="76"/>
        <v>17.429852400382899</v>
      </c>
      <c r="Z100" s="45">
        <f t="shared" si="76"/>
        <v>17.0213613107444</v>
      </c>
      <c r="AA100" s="45">
        <f t="shared" si="76"/>
        <v>14.429443972248</v>
      </c>
      <c r="AB100" s="45">
        <f t="shared" si="76"/>
        <v>16.289699973344099</v>
      </c>
      <c r="AC100" s="45">
        <f t="shared" si="76"/>
        <v>15.112902269898701</v>
      </c>
      <c r="AD100" s="45">
        <f t="shared" si="76"/>
        <v>16.1504468620574</v>
      </c>
      <c r="AE100" s="45">
        <f t="shared" si="76"/>
        <v>14.4589366199992</v>
      </c>
      <c r="AF100" s="45">
        <f t="shared" si="76"/>
        <v>14.2147833747097</v>
      </c>
      <c r="AG100" s="45">
        <f t="shared" si="76"/>
        <v>15.868392772850999</v>
      </c>
      <c r="AH100" s="45">
        <f t="shared" si="76"/>
        <v>12.051121058068199</v>
      </c>
      <c r="AI100" s="45">
        <f t="shared" si="76"/>
        <v>15.025451274608001</v>
      </c>
      <c r="AJ100" s="45">
        <f t="shared" si="76"/>
        <v>11.9851261511355</v>
      </c>
      <c r="AK100" s="45">
        <f t="shared" si="76"/>
        <v>14.0580120555039</v>
      </c>
      <c r="AL100" s="45">
        <f t="shared" si="76"/>
        <v>11.739636564528499</v>
      </c>
      <c r="AM100" s="45">
        <f t="shared" si="76"/>
        <v>13.4688497029211</v>
      </c>
      <c r="AO100" s="500"/>
      <c r="AP100" s="500"/>
      <c r="AQ100" s="496"/>
      <c r="AR100" s="501"/>
      <c r="AS100" s="502"/>
      <c r="AT100" s="502"/>
      <c r="AU100" s="502"/>
      <c r="AV100" s="502"/>
      <c r="AW100" s="502"/>
      <c r="AX100" s="502"/>
      <c r="AY100" s="502"/>
      <c r="AZ100" s="502"/>
      <c r="BA100" s="502"/>
      <c r="BB100" s="502"/>
      <c r="BC100" s="502"/>
      <c r="BD100" s="502"/>
      <c r="BE100" s="502"/>
      <c r="BF100" s="502"/>
      <c r="BG100" s="502"/>
      <c r="BH100" s="595"/>
      <c r="BI100" s="595"/>
      <c r="BJ100" s="595"/>
      <c r="BK100" s="595"/>
      <c r="BL100" s="595"/>
      <c r="BM100" s="595"/>
    </row>
    <row r="101" spans="2:86">
      <c r="B101" s="70"/>
      <c r="C101" s="70"/>
      <c r="D101" s="70"/>
      <c r="E101" s="70"/>
      <c r="F101" s="70"/>
      <c r="G101" s="70"/>
      <c r="H101" s="70"/>
      <c r="I101" s="70"/>
      <c r="J101" s="70"/>
      <c r="K101" s="70"/>
      <c r="L101" s="70"/>
      <c r="M101" s="70"/>
      <c r="P101" s="24" t="s">
        <v>36</v>
      </c>
      <c r="R101" s="388"/>
      <c r="S101" s="45">
        <f t="shared" ref="S101:AM101" si="77">VLOOKUP(S$47&amp;"AllSex"&amp;"Non-Maori"&amp;24,agesextable,7,FALSE)</f>
        <v>13.7837996363423</v>
      </c>
      <c r="T101" s="45">
        <f t="shared" si="77"/>
        <v>13.5431813645824</v>
      </c>
      <c r="U101" s="45">
        <f t="shared" si="77"/>
        <v>14.1448600074885</v>
      </c>
      <c r="V101" s="45">
        <f t="shared" si="77"/>
        <v>13.904075378987301</v>
      </c>
      <c r="W101" s="45">
        <f t="shared" si="77"/>
        <v>12.2329790592444</v>
      </c>
      <c r="X101" s="45">
        <f t="shared" si="77"/>
        <v>11.152988231674501</v>
      </c>
      <c r="Y101" s="45">
        <f t="shared" si="77"/>
        <v>13.187360039810899</v>
      </c>
      <c r="Z101" s="45">
        <f t="shared" si="77"/>
        <v>15.6785180182353</v>
      </c>
      <c r="AA101" s="45">
        <f t="shared" si="77"/>
        <v>12.756445515933899</v>
      </c>
      <c r="AB101" s="45">
        <f t="shared" si="77"/>
        <v>14.689805957912</v>
      </c>
      <c r="AC101" s="45">
        <f t="shared" si="77"/>
        <v>14.3125006934351</v>
      </c>
      <c r="AD101" s="45">
        <f t="shared" si="77"/>
        <v>14.0802356814834</v>
      </c>
      <c r="AE101" s="45">
        <f t="shared" si="77"/>
        <v>15.737053896769201</v>
      </c>
      <c r="AF101" s="45">
        <f t="shared" si="77"/>
        <v>15.298580746529399</v>
      </c>
      <c r="AG101" s="45">
        <f t="shared" si="77"/>
        <v>14.822335025380699</v>
      </c>
      <c r="AH101" s="45">
        <f t="shared" si="77"/>
        <v>13.431025669296099</v>
      </c>
      <c r="AI101" s="45">
        <f t="shared" si="77"/>
        <v>13.648137079099399</v>
      </c>
      <c r="AJ101" s="45">
        <f t="shared" si="77"/>
        <v>17.105002966185499</v>
      </c>
      <c r="AK101" s="45">
        <f t="shared" si="77"/>
        <v>15.051850693460301</v>
      </c>
      <c r="AL101" s="45">
        <f t="shared" si="77"/>
        <v>14.859844647078701</v>
      </c>
      <c r="AM101" s="45">
        <f t="shared" si="77"/>
        <v>13.9775028763229</v>
      </c>
      <c r="AO101" s="506"/>
      <c r="AP101" s="506"/>
      <c r="AQ101" s="497"/>
      <c r="AR101" s="501"/>
      <c r="AS101" s="502"/>
      <c r="AT101" s="502"/>
      <c r="AU101" s="502"/>
      <c r="AV101" s="502"/>
      <c r="AW101" s="502"/>
      <c r="AX101" s="502"/>
      <c r="AY101" s="502"/>
      <c r="AZ101" s="502"/>
      <c r="BA101" s="502"/>
      <c r="BB101" s="502"/>
      <c r="BC101" s="502"/>
      <c r="BD101" s="502"/>
      <c r="BE101" s="502"/>
      <c r="BF101" s="502"/>
      <c r="BG101" s="502"/>
      <c r="BH101" s="595"/>
      <c r="BI101" s="595"/>
      <c r="BJ101" s="595"/>
      <c r="BK101" s="595"/>
      <c r="BL101" s="595"/>
      <c r="BM101" s="595"/>
    </row>
    <row r="102" spans="2:86">
      <c r="B102" s="70"/>
      <c r="C102" s="70"/>
      <c r="D102" s="70"/>
      <c r="E102" s="70"/>
      <c r="F102" s="70"/>
      <c r="G102" s="70"/>
      <c r="H102" s="70"/>
      <c r="I102" s="70"/>
      <c r="J102" s="70"/>
      <c r="K102" s="70"/>
      <c r="L102" s="70"/>
      <c r="M102" s="70"/>
      <c r="P102" s="24" t="s">
        <v>26</v>
      </c>
      <c r="R102" s="388"/>
      <c r="S102" s="45">
        <f t="shared" ref="S102:AM102" si="78">VLOOKUP(S$47&amp;"AllSex"&amp;"Non-Maori"&amp;25,agesextable,7,FALSE)</f>
        <v>15.678139849007501</v>
      </c>
      <c r="T102" s="45">
        <f t="shared" si="78"/>
        <v>12.6244581010909</v>
      </c>
      <c r="U102" s="45">
        <f t="shared" si="78"/>
        <v>14.590638458099001</v>
      </c>
      <c r="V102" s="45">
        <f t="shared" si="78"/>
        <v>12.099776619508599</v>
      </c>
      <c r="W102" s="45">
        <f t="shared" si="78"/>
        <v>10.582497469402799</v>
      </c>
      <c r="X102" s="45">
        <f t="shared" si="78"/>
        <v>14.070762317590701</v>
      </c>
      <c r="Y102" s="45">
        <f t="shared" si="78"/>
        <v>10.7481134821649</v>
      </c>
      <c r="Z102" s="45">
        <f t="shared" si="78"/>
        <v>14.766816538834499</v>
      </c>
      <c r="AA102" s="45">
        <f t="shared" si="78"/>
        <v>11.478818331456299</v>
      </c>
      <c r="AB102" s="45">
        <f t="shared" si="78"/>
        <v>9.7373044601088008</v>
      </c>
      <c r="AC102" s="45">
        <f t="shared" si="78"/>
        <v>10.293148880105401</v>
      </c>
      <c r="AD102" s="45">
        <f t="shared" si="78"/>
        <v>9.8389622906710592</v>
      </c>
      <c r="AE102" s="45">
        <f t="shared" si="78"/>
        <v>9.8545468879340898</v>
      </c>
      <c r="AF102" s="45">
        <f t="shared" si="78"/>
        <v>10.2131267583921</v>
      </c>
      <c r="AG102" s="45">
        <f t="shared" si="78"/>
        <v>10.7016127518165</v>
      </c>
      <c r="AH102" s="45">
        <f t="shared" si="78"/>
        <v>8.2083834956769195</v>
      </c>
      <c r="AI102" s="45">
        <f t="shared" si="78"/>
        <v>9.8484049101333095</v>
      </c>
      <c r="AJ102" s="45">
        <f t="shared" si="78"/>
        <v>9.4941000949410004</v>
      </c>
      <c r="AK102" s="45">
        <f t="shared" si="78"/>
        <v>9.8053635338530203</v>
      </c>
      <c r="AL102" s="45">
        <f t="shared" si="78"/>
        <v>10.261105673602099</v>
      </c>
      <c r="AM102" s="45">
        <f t="shared" si="78"/>
        <v>9.1537370131356095</v>
      </c>
      <c r="AO102" s="506"/>
      <c r="AP102" s="506"/>
      <c r="AQ102" s="497"/>
      <c r="AR102" s="501"/>
      <c r="AS102" s="502"/>
      <c r="AT102" s="502"/>
      <c r="AU102" s="502"/>
      <c r="AV102" s="502"/>
      <c r="AW102" s="502"/>
      <c r="AX102" s="502"/>
      <c r="AY102" s="502"/>
      <c r="AZ102" s="502"/>
      <c r="BA102" s="502"/>
      <c r="BB102" s="502"/>
      <c r="BC102" s="502"/>
      <c r="BD102" s="502"/>
      <c r="BE102" s="502"/>
      <c r="BF102" s="502"/>
      <c r="BG102" s="502"/>
      <c r="BH102" s="595"/>
      <c r="BI102" s="595"/>
      <c r="BJ102" s="595"/>
      <c r="BK102" s="595"/>
      <c r="BL102" s="595"/>
      <c r="BM102" s="595"/>
    </row>
    <row r="103" spans="2:86">
      <c r="B103" s="70"/>
      <c r="C103" s="70"/>
      <c r="D103" s="70"/>
      <c r="E103" s="70"/>
      <c r="F103" s="70"/>
      <c r="G103" s="70"/>
      <c r="H103" s="70"/>
      <c r="I103" s="70"/>
      <c r="J103" s="70"/>
      <c r="K103" s="70"/>
      <c r="L103" s="70"/>
      <c r="M103" s="70"/>
      <c r="O103" s="26"/>
      <c r="P103" s="26"/>
      <c r="Q103" s="28"/>
      <c r="R103" s="389"/>
      <c r="S103" s="38"/>
      <c r="T103" s="38"/>
      <c r="U103" s="38"/>
      <c r="V103" s="38"/>
      <c r="W103" s="38"/>
      <c r="X103" s="38"/>
      <c r="Y103" s="38"/>
      <c r="Z103" s="38"/>
      <c r="AA103" s="38"/>
      <c r="AB103" s="38"/>
      <c r="AC103" s="38"/>
      <c r="AD103" s="38"/>
      <c r="AE103" s="38"/>
      <c r="AF103" s="38"/>
      <c r="AG103" s="38"/>
      <c r="AH103" s="38"/>
      <c r="AI103" s="38"/>
      <c r="AJ103" s="38"/>
      <c r="AK103" s="38"/>
      <c r="AL103" s="38"/>
      <c r="AM103" s="38"/>
      <c r="AO103" s="506"/>
      <c r="AP103" s="506"/>
      <c r="AQ103" s="497"/>
      <c r="AR103" s="501"/>
    </row>
    <row r="104" spans="2:86">
      <c r="B104" s="70"/>
      <c r="C104" s="70"/>
      <c r="D104" s="70"/>
      <c r="E104" s="70"/>
      <c r="F104" s="70"/>
      <c r="G104" s="70"/>
      <c r="H104" s="70"/>
      <c r="I104" s="70"/>
      <c r="J104" s="70"/>
      <c r="K104" s="70"/>
      <c r="L104" s="70"/>
      <c r="M104" s="70"/>
      <c r="O104" s="24" t="s">
        <v>20</v>
      </c>
      <c r="P104" s="24" t="s">
        <v>150</v>
      </c>
      <c r="Q104" s="25" t="s">
        <v>22</v>
      </c>
      <c r="R104" s="388"/>
      <c r="S104" s="45">
        <f t="shared" ref="S104:AM104" si="79">VLOOKUP(S$47&amp;"Male"&amp;"Non-Maori"&amp;22,agesextable,7,FALSE)</f>
        <v>33.017829627999099</v>
      </c>
      <c r="T104" s="45">
        <f t="shared" si="79"/>
        <v>37.505022994150998</v>
      </c>
      <c r="U104" s="45">
        <f t="shared" si="79"/>
        <v>34.083162917518699</v>
      </c>
      <c r="V104" s="45">
        <f t="shared" si="79"/>
        <v>27.192699451537099</v>
      </c>
      <c r="W104" s="45">
        <f t="shared" si="79"/>
        <v>26.336459825347699</v>
      </c>
      <c r="X104" s="45">
        <f t="shared" si="79"/>
        <v>30.611778681409099</v>
      </c>
      <c r="Y104" s="45">
        <f t="shared" si="79"/>
        <v>18.9260563380282</v>
      </c>
      <c r="Z104" s="45">
        <f t="shared" si="79"/>
        <v>19.839594765723898</v>
      </c>
      <c r="AA104" s="45">
        <f t="shared" si="79"/>
        <v>22.754540565140001</v>
      </c>
      <c r="AB104" s="45">
        <f t="shared" si="79"/>
        <v>22.494887525562401</v>
      </c>
      <c r="AC104" s="45">
        <f t="shared" si="79"/>
        <v>26.6311584553928</v>
      </c>
      <c r="AD104" s="45">
        <f t="shared" si="79"/>
        <v>19.402562755163899</v>
      </c>
      <c r="AE104" s="45">
        <f t="shared" si="79"/>
        <v>26.791150801704902</v>
      </c>
      <c r="AF104" s="45">
        <f t="shared" si="79"/>
        <v>28.669493236422401</v>
      </c>
      <c r="AG104" s="45">
        <f t="shared" si="79"/>
        <v>19.9163513244374</v>
      </c>
      <c r="AH104" s="45">
        <f t="shared" si="79"/>
        <v>24.846190250828201</v>
      </c>
      <c r="AI104" s="45">
        <f t="shared" si="79"/>
        <v>27.5319567354966</v>
      </c>
      <c r="AJ104" s="45">
        <f t="shared" si="79"/>
        <v>17.1667121844641</v>
      </c>
      <c r="AK104" s="45">
        <f t="shared" si="79"/>
        <v>18.231540565177799</v>
      </c>
      <c r="AL104" s="45">
        <f t="shared" si="79"/>
        <v>18.353338472268099</v>
      </c>
      <c r="AM104" s="45">
        <f t="shared" si="79"/>
        <v>18.709747058611899</v>
      </c>
      <c r="AO104" s="506"/>
      <c r="AP104" s="506"/>
      <c r="AQ104" s="507"/>
      <c r="AR104" s="501"/>
      <c r="AS104" s="502"/>
      <c r="AT104" s="502"/>
      <c r="AU104" s="502"/>
      <c r="AV104" s="502"/>
      <c r="AW104" s="502"/>
      <c r="AX104" s="502"/>
      <c r="AY104" s="502"/>
      <c r="AZ104" s="502"/>
      <c r="BA104" s="502"/>
      <c r="BB104" s="502"/>
      <c r="BC104" s="502"/>
      <c r="BD104" s="502"/>
      <c r="BE104" s="502"/>
      <c r="BF104" s="502"/>
      <c r="BG104" s="502"/>
      <c r="BH104" s="595"/>
      <c r="BI104" s="595"/>
      <c r="BJ104" s="595"/>
      <c r="BK104" s="595"/>
      <c r="BL104" s="595"/>
      <c r="BM104" s="595"/>
    </row>
    <row r="105" spans="2:86" ht="12" customHeight="1">
      <c r="B105" s="70"/>
      <c r="C105" s="70"/>
      <c r="D105" s="70"/>
      <c r="E105" s="70"/>
      <c r="F105" s="70"/>
      <c r="G105" s="70"/>
      <c r="H105" s="70"/>
      <c r="I105" s="70"/>
      <c r="J105" s="70"/>
      <c r="K105" s="70"/>
      <c r="L105" s="70"/>
      <c r="M105" s="70"/>
      <c r="P105" s="24" t="s">
        <v>35</v>
      </c>
      <c r="R105" s="388"/>
      <c r="S105" s="45">
        <f t="shared" ref="S105:AM105" si="80">VLOOKUP(S$47&amp;"Male"&amp;"Non-Maori"&amp;23,agesextable,7,FALSE)</f>
        <v>30.860437730945701</v>
      </c>
      <c r="T105" s="45">
        <f t="shared" si="80"/>
        <v>32.142067940296101</v>
      </c>
      <c r="U105" s="45">
        <f t="shared" si="80"/>
        <v>31.1701892332133</v>
      </c>
      <c r="V105" s="45">
        <f t="shared" si="80"/>
        <v>29.6537016350157</v>
      </c>
      <c r="W105" s="45">
        <f t="shared" si="80"/>
        <v>27.966275961340699</v>
      </c>
      <c r="X105" s="45">
        <f t="shared" si="80"/>
        <v>32.968179447052698</v>
      </c>
      <c r="Y105" s="45">
        <f t="shared" si="80"/>
        <v>28.0379654821492</v>
      </c>
      <c r="Z105" s="45">
        <f t="shared" si="80"/>
        <v>25.4609666954129</v>
      </c>
      <c r="AA105" s="45">
        <f t="shared" si="80"/>
        <v>23.892178885031701</v>
      </c>
      <c r="AB105" s="45">
        <f t="shared" si="80"/>
        <v>24.3100243100243</v>
      </c>
      <c r="AC105" s="45">
        <f t="shared" si="80"/>
        <v>22.715645144786698</v>
      </c>
      <c r="AD105" s="45">
        <f t="shared" si="80"/>
        <v>25.875346544819799</v>
      </c>
      <c r="AE105" s="45">
        <f t="shared" si="80"/>
        <v>21.701837422235101</v>
      </c>
      <c r="AF105" s="45">
        <f t="shared" si="80"/>
        <v>22.622556141297601</v>
      </c>
      <c r="AG105" s="45">
        <f t="shared" si="80"/>
        <v>23.758414438446898</v>
      </c>
      <c r="AH105" s="45">
        <f t="shared" si="80"/>
        <v>20.4038704249053</v>
      </c>
      <c r="AI105" s="45">
        <f t="shared" si="80"/>
        <v>23.994564063362599</v>
      </c>
      <c r="AJ105" s="45">
        <f t="shared" si="80"/>
        <v>17.636684303351</v>
      </c>
      <c r="AK105" s="45">
        <f t="shared" si="80"/>
        <v>21.706461846719002</v>
      </c>
      <c r="AL105" s="45">
        <f t="shared" si="80"/>
        <v>19.620931690838798</v>
      </c>
      <c r="AM105" s="45">
        <f t="shared" si="80"/>
        <v>19.268947798668702</v>
      </c>
      <c r="AO105" s="506"/>
      <c r="AP105" s="506"/>
      <c r="AQ105" s="497"/>
      <c r="AR105" s="501"/>
      <c r="AS105" s="502"/>
      <c r="AT105" s="502"/>
      <c r="AU105" s="502"/>
      <c r="AV105" s="502"/>
      <c r="AW105" s="502"/>
      <c r="AX105" s="502"/>
      <c r="AY105" s="502"/>
      <c r="AZ105" s="502"/>
      <c r="BA105" s="502"/>
      <c r="BB105" s="502"/>
      <c r="BC105" s="502"/>
      <c r="BD105" s="502"/>
      <c r="BE105" s="502"/>
      <c r="BF105" s="502"/>
      <c r="BG105" s="502"/>
      <c r="BH105" s="595"/>
      <c r="BI105" s="595"/>
      <c r="BJ105" s="595"/>
      <c r="BK105" s="595"/>
      <c r="BL105" s="595"/>
      <c r="BM105" s="595"/>
    </row>
    <row r="106" spans="2:86">
      <c r="B106" s="70"/>
      <c r="C106" s="70"/>
      <c r="D106" s="70"/>
      <c r="E106" s="70"/>
      <c r="F106" s="70"/>
      <c r="G106" s="70"/>
      <c r="H106" s="70"/>
      <c r="I106" s="70"/>
      <c r="J106" s="70"/>
      <c r="K106" s="70"/>
      <c r="L106" s="70"/>
      <c r="M106" s="70"/>
      <c r="P106" s="24" t="s">
        <v>36</v>
      </c>
      <c r="R106" s="388"/>
      <c r="S106" s="45">
        <f t="shared" ref="S106:AM106" si="81">VLOOKUP(S$47&amp;"Male"&amp;"Non-Maori"&amp;24,agesextable,7,FALSE)</f>
        <v>21.985753231905701</v>
      </c>
      <c r="T106" s="45">
        <f t="shared" si="81"/>
        <v>19.691218857909298</v>
      </c>
      <c r="U106" s="45">
        <f t="shared" si="81"/>
        <v>22.2450852264828</v>
      </c>
      <c r="V106" s="45">
        <f t="shared" si="81"/>
        <v>22.2372881355932</v>
      </c>
      <c r="W106" s="45">
        <f t="shared" si="81"/>
        <v>19.071837253655399</v>
      </c>
      <c r="X106" s="45">
        <f t="shared" si="81"/>
        <v>15.513095638234599</v>
      </c>
      <c r="Y106" s="45">
        <f t="shared" si="81"/>
        <v>20.5828459549688</v>
      </c>
      <c r="Z106" s="45">
        <f t="shared" si="81"/>
        <v>23.3804188991719</v>
      </c>
      <c r="AA106" s="45">
        <f t="shared" si="81"/>
        <v>19.157994323557201</v>
      </c>
      <c r="AB106" s="45">
        <f t="shared" si="81"/>
        <v>23.042005576165302</v>
      </c>
      <c r="AC106" s="45">
        <f t="shared" si="81"/>
        <v>22.492633662475502</v>
      </c>
      <c r="AD106" s="45">
        <f t="shared" si="81"/>
        <v>20.0105550180315</v>
      </c>
      <c r="AE106" s="45">
        <f t="shared" si="81"/>
        <v>25.138044389059601</v>
      </c>
      <c r="AF106" s="45">
        <f t="shared" si="81"/>
        <v>23.8014997051142</v>
      </c>
      <c r="AG106" s="45">
        <f t="shared" si="81"/>
        <v>22.1734084880637</v>
      </c>
      <c r="AH106" s="45">
        <f t="shared" si="81"/>
        <v>21.3219616204691</v>
      </c>
      <c r="AI106" s="45">
        <f t="shared" si="81"/>
        <v>19.613852283175</v>
      </c>
      <c r="AJ106" s="45">
        <f t="shared" si="81"/>
        <v>25.395148510828498</v>
      </c>
      <c r="AK106" s="45">
        <f t="shared" si="81"/>
        <v>22.328612809784399</v>
      </c>
      <c r="AL106" s="45">
        <f t="shared" si="81"/>
        <v>21.874875710933502</v>
      </c>
      <c r="AM106" s="45">
        <f t="shared" si="81"/>
        <v>21.986650961915998</v>
      </c>
      <c r="AO106" s="506"/>
      <c r="AP106" s="506"/>
      <c r="AQ106" s="497"/>
      <c r="AR106" s="501"/>
      <c r="AS106" s="502"/>
      <c r="AT106" s="502"/>
      <c r="AU106" s="502"/>
      <c r="AV106" s="502"/>
      <c r="AW106" s="502"/>
      <c r="AX106" s="502"/>
      <c r="AY106" s="502"/>
      <c r="AZ106" s="502"/>
      <c r="BA106" s="502"/>
      <c r="BB106" s="502"/>
      <c r="BC106" s="502"/>
      <c r="BD106" s="502"/>
      <c r="BE106" s="502"/>
      <c r="BF106" s="502"/>
      <c r="BG106" s="502"/>
      <c r="BH106" s="595"/>
      <c r="BI106" s="595"/>
      <c r="BJ106" s="595"/>
      <c r="BK106" s="595"/>
      <c r="BL106" s="595"/>
      <c r="BM106" s="595"/>
    </row>
    <row r="107" spans="2:86" ht="34.5" customHeight="1">
      <c r="B107" s="346"/>
      <c r="C107" s="350" t="s">
        <v>99</v>
      </c>
      <c r="D107" s="662" t="s">
        <v>452</v>
      </c>
      <c r="E107" s="663"/>
      <c r="F107" s="663"/>
      <c r="G107" s="663"/>
      <c r="H107" s="663"/>
      <c r="I107" s="663"/>
      <c r="J107" s="663"/>
      <c r="K107" s="663"/>
      <c r="L107" s="663"/>
      <c r="M107" s="346"/>
      <c r="P107" s="197" t="s">
        <v>26</v>
      </c>
      <c r="Q107" s="198"/>
      <c r="R107" s="204"/>
      <c r="S107" s="425">
        <f t="shared" ref="S107:AM107" si="82">VLOOKUP(S$47&amp;"Male"&amp;"Non-Maori"&amp;25,agesextable,7,FALSE)</f>
        <v>29.087654528164698</v>
      </c>
      <c r="T107" s="425">
        <f t="shared" si="82"/>
        <v>25.3290017069545</v>
      </c>
      <c r="U107" s="425">
        <f t="shared" si="82"/>
        <v>24.970144392574099</v>
      </c>
      <c r="V107" s="425">
        <f t="shared" si="82"/>
        <v>19.2688540384307</v>
      </c>
      <c r="W107" s="425">
        <f t="shared" si="82"/>
        <v>21.108179419525101</v>
      </c>
      <c r="X107" s="425">
        <f t="shared" si="82"/>
        <v>23.8973453166398</v>
      </c>
      <c r="Y107" s="425">
        <f t="shared" si="82"/>
        <v>18.379537448307602</v>
      </c>
      <c r="Z107" s="425">
        <f t="shared" si="82"/>
        <v>23.013808284970999</v>
      </c>
      <c r="AA107" s="425">
        <f t="shared" si="82"/>
        <v>21.5570035765029</v>
      </c>
      <c r="AB107" s="425">
        <f t="shared" si="82"/>
        <v>14.2891164562991</v>
      </c>
      <c r="AC107" s="425">
        <f t="shared" si="82"/>
        <v>15.1933701657459</v>
      </c>
      <c r="AD107" s="425">
        <f t="shared" si="82"/>
        <v>18.316654753395301</v>
      </c>
      <c r="AE107" s="425">
        <f t="shared" si="82"/>
        <v>15.281840806881201</v>
      </c>
      <c r="AF107" s="425">
        <f t="shared" si="82"/>
        <v>16.995963458678599</v>
      </c>
      <c r="AG107" s="425">
        <f t="shared" si="82"/>
        <v>17.730496453900699</v>
      </c>
      <c r="AH107" s="425">
        <f t="shared" si="82"/>
        <v>12.360939431396799</v>
      </c>
      <c r="AI107" s="425">
        <f t="shared" si="82"/>
        <v>16.070403673235099</v>
      </c>
      <c r="AJ107" s="425">
        <f t="shared" si="82"/>
        <v>17.635388345947501</v>
      </c>
      <c r="AK107" s="425">
        <f t="shared" si="82"/>
        <v>17.287609370589902</v>
      </c>
      <c r="AL107" s="425">
        <f t="shared" si="82"/>
        <v>16.6547704020937</v>
      </c>
      <c r="AM107" s="425">
        <f t="shared" si="82"/>
        <v>15.7176069943351</v>
      </c>
      <c r="AO107" s="506"/>
      <c r="AP107" s="503"/>
      <c r="AQ107" s="508"/>
      <c r="AR107" s="503"/>
      <c r="AS107" s="502"/>
      <c r="AT107" s="502"/>
      <c r="AU107" s="502"/>
      <c r="AV107" s="502"/>
      <c r="AW107" s="502"/>
      <c r="AX107" s="502"/>
      <c r="AY107" s="502"/>
      <c r="AZ107" s="502"/>
      <c r="BA107" s="502"/>
      <c r="BB107" s="502"/>
      <c r="BC107" s="502"/>
      <c r="BD107" s="502"/>
      <c r="BE107" s="502"/>
      <c r="BF107" s="502"/>
      <c r="BG107" s="502"/>
      <c r="BH107" s="595"/>
      <c r="BI107" s="595"/>
      <c r="BJ107" s="595"/>
      <c r="BK107" s="595"/>
      <c r="BL107" s="595"/>
      <c r="BM107" s="595"/>
    </row>
    <row r="108" spans="2:86" s="171" customFormat="1">
      <c r="B108" s="401"/>
      <c r="C108" s="402"/>
      <c r="D108" s="402" t="s">
        <v>101</v>
      </c>
      <c r="E108" s="402"/>
      <c r="F108" s="402"/>
      <c r="G108" s="398"/>
      <c r="H108" s="448"/>
      <c r="I108" s="402"/>
      <c r="J108" s="401"/>
      <c r="K108" s="401"/>
      <c r="L108" s="401"/>
      <c r="M108" s="401"/>
      <c r="O108" s="199"/>
      <c r="P108" s="199"/>
      <c r="Q108" s="202"/>
      <c r="R108" s="199"/>
      <c r="S108" s="426"/>
      <c r="T108" s="426"/>
      <c r="U108" s="426"/>
      <c r="V108" s="426"/>
      <c r="W108" s="426"/>
      <c r="X108" s="426"/>
      <c r="Y108" s="426"/>
      <c r="Z108" s="426"/>
      <c r="AA108" s="426"/>
      <c r="AB108" s="426"/>
      <c r="AC108" s="426"/>
      <c r="AD108" s="426"/>
      <c r="AE108" s="426"/>
      <c r="AF108" s="426"/>
      <c r="AG108" s="426"/>
      <c r="AH108" s="426"/>
      <c r="AI108" s="426"/>
      <c r="AJ108" s="426"/>
      <c r="AK108" s="426"/>
      <c r="AL108" s="426"/>
      <c r="AM108" s="426"/>
      <c r="AO108" s="503"/>
      <c r="AP108" s="503"/>
      <c r="AQ108" s="508"/>
      <c r="AR108" s="503"/>
      <c r="AS108" s="504"/>
      <c r="AT108" s="504"/>
      <c r="AU108" s="504"/>
      <c r="AV108" s="504"/>
      <c r="AW108" s="504"/>
      <c r="AX108" s="504"/>
      <c r="AY108" s="504"/>
      <c r="AZ108" s="504"/>
      <c r="BA108" s="504"/>
      <c r="BB108" s="504"/>
      <c r="BC108" s="504"/>
      <c r="BD108" s="504"/>
      <c r="BE108" s="504"/>
      <c r="BF108" s="504"/>
      <c r="BG108" s="504"/>
      <c r="BH108" s="596"/>
      <c r="BI108" s="596"/>
      <c r="BJ108" s="596"/>
      <c r="BK108" s="596"/>
      <c r="BL108" s="596"/>
      <c r="BM108" s="596"/>
      <c r="BN108" s="596"/>
      <c r="BO108" s="596"/>
      <c r="BP108" s="596"/>
      <c r="BQ108" s="596"/>
      <c r="BR108" s="596"/>
      <c r="BS108" s="596"/>
      <c r="BT108" s="596"/>
      <c r="BU108" s="596"/>
      <c r="BV108" s="596"/>
      <c r="BW108" s="596"/>
      <c r="BX108" s="596"/>
      <c r="BY108" s="596"/>
      <c r="BZ108" s="596"/>
      <c r="CA108" s="596"/>
      <c r="CB108" s="596"/>
      <c r="CC108" s="596"/>
      <c r="CD108" s="596"/>
      <c r="CE108" s="596"/>
      <c r="CF108" s="596"/>
      <c r="CG108" s="582"/>
      <c r="CH108" s="469"/>
    </row>
    <row r="109" spans="2:86">
      <c r="B109" s="398"/>
      <c r="C109" s="70"/>
      <c r="D109" s="81" t="s">
        <v>432</v>
      </c>
      <c r="E109" s="70"/>
      <c r="F109" s="70"/>
      <c r="G109" s="393"/>
      <c r="H109" s="398"/>
      <c r="I109" s="393"/>
      <c r="J109" s="398"/>
      <c r="K109" s="398"/>
      <c r="L109" s="398"/>
      <c r="M109" s="398"/>
      <c r="O109" s="24" t="s">
        <v>8</v>
      </c>
      <c r="P109" s="24" t="s">
        <v>150</v>
      </c>
      <c r="Q109" s="25" t="s">
        <v>22</v>
      </c>
      <c r="R109" s="388"/>
      <c r="S109" s="45">
        <f t="shared" ref="S109:AM109" si="83">VLOOKUP(S$47&amp;"Female"&amp;"Non-Maori"&amp;22,agesextable,7,FALSE)</f>
        <v>13.1824173826083</v>
      </c>
      <c r="T109" s="45">
        <f t="shared" si="83"/>
        <v>9.2357423227891893</v>
      </c>
      <c r="U109" s="45">
        <f t="shared" si="83"/>
        <v>10.315562432597201</v>
      </c>
      <c r="V109" s="45">
        <f t="shared" si="83"/>
        <v>12.808956781631</v>
      </c>
      <c r="W109" s="45">
        <f t="shared" si="83"/>
        <v>5.2338583051815197</v>
      </c>
      <c r="X109" s="45">
        <f t="shared" si="83"/>
        <v>6.5950631241756197</v>
      </c>
      <c r="Y109" s="45">
        <f t="shared" si="83"/>
        <v>9.1049804242920906</v>
      </c>
      <c r="Z109" s="45">
        <f t="shared" si="83"/>
        <v>8.7623220153340604</v>
      </c>
      <c r="AA109" s="45">
        <f t="shared" si="83"/>
        <v>7.2933201767557598</v>
      </c>
      <c r="AB109" s="45">
        <f t="shared" si="83"/>
        <v>5.9194114413766901</v>
      </c>
      <c r="AC109" s="45">
        <f t="shared" si="83"/>
        <v>6.6552972006156201</v>
      </c>
      <c r="AD109" s="45">
        <f t="shared" si="83"/>
        <v>5.3926245488862197</v>
      </c>
      <c r="AE109" s="45">
        <f t="shared" si="83"/>
        <v>8.3156625504137001</v>
      </c>
      <c r="AF109" s="45">
        <f t="shared" si="83"/>
        <v>4.1414727076948603</v>
      </c>
      <c r="AG109" s="45">
        <f t="shared" si="83"/>
        <v>7.7961511632678198</v>
      </c>
      <c r="AH109" s="45">
        <f t="shared" si="83"/>
        <v>7.7693723164996902</v>
      </c>
      <c r="AI109" s="45">
        <f t="shared" si="83"/>
        <v>6.96407357338905</v>
      </c>
      <c r="AJ109" s="45">
        <f t="shared" si="83"/>
        <v>7.3625654450261804</v>
      </c>
      <c r="AK109" s="45">
        <f t="shared" si="83"/>
        <v>5.2491318743438597</v>
      </c>
      <c r="AL109" s="45">
        <f t="shared" si="83"/>
        <v>7.5381868676849804</v>
      </c>
      <c r="AM109" s="45">
        <f t="shared" si="83"/>
        <v>5.859375</v>
      </c>
      <c r="AO109" s="500"/>
      <c r="AP109" s="500"/>
      <c r="AR109" s="501"/>
      <c r="AS109" s="502"/>
      <c r="AT109" s="502"/>
      <c r="AU109" s="502"/>
      <c r="AV109" s="502"/>
      <c r="AW109" s="502"/>
      <c r="AX109" s="502"/>
      <c r="AY109" s="502"/>
      <c r="AZ109" s="502"/>
      <c r="BA109" s="502"/>
      <c r="BB109" s="502"/>
      <c r="BC109" s="502"/>
      <c r="BD109" s="502"/>
      <c r="BE109" s="502"/>
      <c r="BF109" s="502"/>
      <c r="BG109" s="502"/>
      <c r="BH109" s="595"/>
      <c r="BI109" s="595"/>
      <c r="BJ109" s="595"/>
      <c r="BK109" s="595"/>
      <c r="BL109" s="595"/>
      <c r="BM109" s="595"/>
    </row>
    <row r="110" spans="2:86">
      <c r="B110" s="398"/>
      <c r="C110" s="398" t="s">
        <v>141</v>
      </c>
      <c r="D110" s="398" t="s">
        <v>144</v>
      </c>
      <c r="E110" s="398"/>
      <c r="F110" s="398"/>
      <c r="G110" s="70"/>
      <c r="H110" s="398"/>
      <c r="I110" s="393"/>
      <c r="J110" s="398"/>
      <c r="K110" s="398"/>
      <c r="L110" s="398"/>
      <c r="M110" s="398"/>
      <c r="P110" s="24" t="s">
        <v>35</v>
      </c>
      <c r="R110" s="388"/>
      <c r="S110" s="45">
        <f t="shared" ref="S110:AM110" si="84">VLOOKUP(S$47&amp;"Female"&amp;"Non-Maori"&amp;23,agesextable,7,FALSE)</f>
        <v>4.9390520971215199</v>
      </c>
      <c r="T110" s="45">
        <f t="shared" si="84"/>
        <v>7.77937687191256</v>
      </c>
      <c r="U110" s="45">
        <f t="shared" si="84"/>
        <v>9.0956592417703597</v>
      </c>
      <c r="V110" s="45">
        <f t="shared" si="84"/>
        <v>9.3111675816182</v>
      </c>
      <c r="W110" s="45">
        <f t="shared" si="84"/>
        <v>6.4405324173464997</v>
      </c>
      <c r="X110" s="45">
        <f t="shared" si="84"/>
        <v>7.6827610661308396</v>
      </c>
      <c r="Y110" s="45">
        <f t="shared" si="84"/>
        <v>7.4356716563937004</v>
      </c>
      <c r="Z110" s="45">
        <f t="shared" si="84"/>
        <v>9.0805463784076199</v>
      </c>
      <c r="AA110" s="45">
        <f t="shared" si="84"/>
        <v>5.5543850912642903</v>
      </c>
      <c r="AB110" s="45">
        <f t="shared" si="84"/>
        <v>8.7888572574944099</v>
      </c>
      <c r="AC110" s="45">
        <f t="shared" si="84"/>
        <v>8.0195524325975693</v>
      </c>
      <c r="AD110" s="45">
        <f t="shared" si="84"/>
        <v>7.0840513115067996</v>
      </c>
      <c r="AE110" s="45">
        <f t="shared" si="84"/>
        <v>7.7069805976763499</v>
      </c>
      <c r="AF110" s="45">
        <f t="shared" si="84"/>
        <v>6.3814975247524801</v>
      </c>
      <c r="AG110" s="45">
        <f t="shared" si="84"/>
        <v>8.5296113211204805</v>
      </c>
      <c r="AH110" s="45">
        <f t="shared" si="84"/>
        <v>4.2961198226874204</v>
      </c>
      <c r="AI110" s="45">
        <f t="shared" si="84"/>
        <v>6.7010918837951801</v>
      </c>
      <c r="AJ110" s="45">
        <f t="shared" si="84"/>
        <v>6.7246835443038</v>
      </c>
      <c r="AK110" s="45">
        <f t="shared" si="84"/>
        <v>6.8674580594525603</v>
      </c>
      <c r="AL110" s="45">
        <f t="shared" si="84"/>
        <v>4.2367169295356897</v>
      </c>
      <c r="AM110" s="45">
        <f t="shared" si="84"/>
        <v>7.87889020203726</v>
      </c>
      <c r="AO110" s="500"/>
      <c r="AP110" s="500"/>
      <c r="AQ110" s="496"/>
      <c r="AR110" s="501"/>
      <c r="AS110" s="502"/>
      <c r="AT110" s="502"/>
      <c r="AU110" s="502"/>
      <c r="AV110" s="502"/>
      <c r="AW110" s="502"/>
      <c r="AX110" s="502"/>
      <c r="AY110" s="502"/>
      <c r="AZ110" s="502"/>
      <c r="BA110" s="502"/>
      <c r="BB110" s="502"/>
      <c r="BC110" s="502"/>
      <c r="BD110" s="502"/>
      <c r="BE110" s="502"/>
      <c r="BF110" s="502"/>
      <c r="BG110" s="502"/>
      <c r="BH110" s="595"/>
      <c r="BI110" s="595"/>
      <c r="BJ110" s="595"/>
      <c r="BK110" s="595"/>
      <c r="BL110" s="595"/>
      <c r="BM110" s="595"/>
    </row>
    <row r="111" spans="2:86">
      <c r="B111" s="70"/>
      <c r="C111" s="70"/>
      <c r="D111" s="70"/>
      <c r="E111" s="70"/>
      <c r="F111" s="70"/>
      <c r="G111" s="70"/>
      <c r="H111" s="70"/>
      <c r="I111" s="70"/>
      <c r="J111" s="70"/>
      <c r="K111" s="70"/>
      <c r="L111" s="70"/>
      <c r="M111" s="70"/>
      <c r="P111" s="24" t="s">
        <v>36</v>
      </c>
      <c r="R111" s="388"/>
      <c r="S111" s="45">
        <f t="shared" ref="S111:AM111" si="85">VLOOKUP(S$47&amp;"Female"&amp;"Non-Maori"&amp;24,agesextable,7,FALSE)</f>
        <v>5.5746266467153696</v>
      </c>
      <c r="T111" s="45">
        <f t="shared" si="85"/>
        <v>7.4063523714570598</v>
      </c>
      <c r="U111" s="45">
        <f t="shared" si="85"/>
        <v>6.08625888732122</v>
      </c>
      <c r="V111" s="45">
        <f t="shared" si="85"/>
        <v>5.6445543489947303</v>
      </c>
      <c r="W111" s="45">
        <f t="shared" si="85"/>
        <v>5.48704013377926</v>
      </c>
      <c r="X111" s="45">
        <f t="shared" si="85"/>
        <v>6.8653376729047997</v>
      </c>
      <c r="Y111" s="45">
        <f t="shared" si="85"/>
        <v>5.9197868876720401</v>
      </c>
      <c r="Z111" s="45">
        <f t="shared" si="85"/>
        <v>8.1232827619161405</v>
      </c>
      <c r="AA111" s="45">
        <f t="shared" si="85"/>
        <v>6.4864363981745301</v>
      </c>
      <c r="AB111" s="45">
        <f t="shared" si="85"/>
        <v>6.5290316770605799</v>
      </c>
      <c r="AC111" s="45">
        <f t="shared" si="85"/>
        <v>6.3500405088791103</v>
      </c>
      <c r="AD111" s="45">
        <f t="shared" si="85"/>
        <v>8.3240843507214208</v>
      </c>
      <c r="AE111" s="45">
        <f t="shared" si="85"/>
        <v>6.6474168553563597</v>
      </c>
      <c r="AF111" s="45">
        <f t="shared" si="85"/>
        <v>7.1047236262509399</v>
      </c>
      <c r="AG111" s="45">
        <f t="shared" si="85"/>
        <v>7.7616574123828297</v>
      </c>
      <c r="AH111" s="45">
        <f t="shared" si="85"/>
        <v>5.8832758079698797</v>
      </c>
      <c r="AI111" s="45">
        <f t="shared" si="85"/>
        <v>7.9715357844185597</v>
      </c>
      <c r="AJ111" s="45">
        <f t="shared" si="85"/>
        <v>9.2453484340691094</v>
      </c>
      <c r="AK111" s="45">
        <f t="shared" si="85"/>
        <v>8.1747495294766299</v>
      </c>
      <c r="AL111" s="45">
        <f t="shared" si="85"/>
        <v>8.2474226804123703</v>
      </c>
      <c r="AM111" s="45">
        <f t="shared" si="85"/>
        <v>6.4542302869366397</v>
      </c>
      <c r="AO111" s="500"/>
      <c r="AP111" s="500"/>
      <c r="AQ111" s="496"/>
      <c r="AR111" s="501"/>
      <c r="AS111" s="502"/>
      <c r="AT111" s="502"/>
      <c r="AU111" s="502"/>
      <c r="AV111" s="502"/>
      <c r="AW111" s="502"/>
      <c r="AX111" s="502"/>
      <c r="AY111" s="502"/>
      <c r="AZ111" s="502"/>
      <c r="BA111" s="502"/>
      <c r="BB111" s="502"/>
      <c r="BC111" s="502"/>
      <c r="BD111" s="502"/>
      <c r="BE111" s="502"/>
      <c r="BF111" s="502"/>
      <c r="BG111" s="502"/>
      <c r="BH111" s="595"/>
      <c r="BI111" s="595"/>
      <c r="BJ111" s="595"/>
      <c r="BK111" s="595"/>
      <c r="BL111" s="595"/>
      <c r="BM111" s="595"/>
    </row>
    <row r="112" spans="2:86">
      <c r="P112" s="24" t="s">
        <v>26</v>
      </c>
      <c r="R112" s="388"/>
      <c r="S112" s="45">
        <f t="shared" ref="S112:AM112" si="86">VLOOKUP(S$47&amp;"Female"&amp;"Non-Maori"&amp;25,agesextable,7,FALSE)</f>
        <v>5.5124454055887702</v>
      </c>
      <c r="T112" s="45">
        <f t="shared" si="86"/>
        <v>2.9385836027034999</v>
      </c>
      <c r="U112" s="45">
        <f t="shared" si="86"/>
        <v>6.6472787702534299</v>
      </c>
      <c r="V112" s="45">
        <f t="shared" si="86"/>
        <v>6.5862594162927603</v>
      </c>
      <c r="W112" s="45">
        <f t="shared" si="86"/>
        <v>2.4475809741372299</v>
      </c>
      <c r="X112" s="45">
        <f t="shared" si="86"/>
        <v>6.4479729185137398</v>
      </c>
      <c r="Y112" s="45">
        <f t="shared" si="86"/>
        <v>4.7844982257485702</v>
      </c>
      <c r="Z112" s="45">
        <f t="shared" si="86"/>
        <v>8.2726019302737797</v>
      </c>
      <c r="AA112" s="45">
        <f t="shared" si="86"/>
        <v>3.49473847707063</v>
      </c>
      <c r="AB112" s="45">
        <f t="shared" si="86"/>
        <v>6.0966316110349004</v>
      </c>
      <c r="AC112" s="45">
        <f t="shared" si="86"/>
        <v>6.3300565981531101</v>
      </c>
      <c r="AD112" s="45">
        <f t="shared" si="86"/>
        <v>2.91779123203735</v>
      </c>
      <c r="AE112" s="45">
        <f t="shared" si="86"/>
        <v>5.38889886833124</v>
      </c>
      <c r="AF112" s="45">
        <f t="shared" si="86"/>
        <v>4.5840826545364797</v>
      </c>
      <c r="AG112" s="45">
        <f t="shared" si="86"/>
        <v>4.8262548262548304</v>
      </c>
      <c r="AH112" s="45">
        <f t="shared" si="86"/>
        <v>4.70540785803112</v>
      </c>
      <c r="AI112" s="45">
        <f t="shared" si="86"/>
        <v>4.5559569136646196</v>
      </c>
      <c r="AJ112" s="45">
        <f t="shared" si="86"/>
        <v>2.5182573659027998</v>
      </c>
      <c r="AK112" s="45">
        <f t="shared" si="86"/>
        <v>3.3487579152459799</v>
      </c>
      <c r="AL112" s="45">
        <f t="shared" si="86"/>
        <v>4.7162859248341897</v>
      </c>
      <c r="AM112" s="45">
        <f t="shared" si="86"/>
        <v>3.4264176803152302</v>
      </c>
      <c r="AO112" s="500"/>
      <c r="AP112" s="500"/>
      <c r="AQ112" s="496"/>
      <c r="AR112" s="501"/>
      <c r="AS112" s="502"/>
      <c r="AT112" s="502"/>
      <c r="AU112" s="502"/>
      <c r="AV112" s="502"/>
      <c r="AW112" s="502"/>
      <c r="AX112" s="502"/>
      <c r="AY112" s="502"/>
      <c r="AZ112" s="502"/>
      <c r="BA112" s="502"/>
      <c r="BB112" s="502"/>
      <c r="BC112" s="502"/>
      <c r="BD112" s="502"/>
      <c r="BE112" s="502"/>
      <c r="BF112" s="502"/>
      <c r="BG112" s="502"/>
      <c r="BH112" s="595"/>
      <c r="BI112" s="595"/>
      <c r="BJ112" s="595"/>
      <c r="BK112" s="595"/>
      <c r="BL112" s="595"/>
      <c r="BM112" s="595"/>
    </row>
    <row r="113" spans="2:40">
      <c r="O113" s="26"/>
      <c r="P113" s="26"/>
      <c r="Q113" s="28"/>
      <c r="R113" s="389"/>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row>
    <row r="114" spans="2:40">
      <c r="O114" s="10" t="s">
        <v>136</v>
      </c>
      <c r="P114" s="84" t="s">
        <v>150</v>
      </c>
      <c r="Q114" s="18" t="s">
        <v>110</v>
      </c>
      <c r="R114" s="388"/>
      <c r="S114" s="45">
        <f>IFERROR(S64/S99, "-")</f>
        <v>1.6099615938550167</v>
      </c>
      <c r="T114" s="45">
        <f t="shared" ref="T114:AK114" si="87">IFERROR(T64/T99, "-")</f>
        <v>1.5459011791128594</v>
      </c>
      <c r="U114" s="45">
        <f t="shared" si="87"/>
        <v>1.8102018589523674</v>
      </c>
      <c r="V114" s="45">
        <f t="shared" si="87"/>
        <v>1.5972005675350938</v>
      </c>
      <c r="W114" s="45">
        <f t="shared" si="87"/>
        <v>1.7175987438096409</v>
      </c>
      <c r="X114" s="45">
        <f t="shared" si="87"/>
        <v>1.4912795447687373</v>
      </c>
      <c r="Y114" s="45">
        <f t="shared" si="87"/>
        <v>2.2168269902903766</v>
      </c>
      <c r="Z114" s="45">
        <f>IFERROR(Z64/Z99, "-")</f>
        <v>1.9866521725352724</v>
      </c>
      <c r="AA114" s="45">
        <f t="shared" si="87"/>
        <v>2.4882984457820521</v>
      </c>
      <c r="AB114" s="45">
        <f t="shared" si="87"/>
        <v>2.4406685060095712</v>
      </c>
      <c r="AC114" s="45">
        <f t="shared" si="87"/>
        <v>1.8963881779645873</v>
      </c>
      <c r="AD114" s="45">
        <f>IFERROR(AD64/AD99, "-")</f>
        <v>2.2390175602356899</v>
      </c>
      <c r="AE114" s="45">
        <f t="shared" si="87"/>
        <v>1.6557257263676666</v>
      </c>
      <c r="AF114" s="45">
        <f t="shared" si="87"/>
        <v>1.7429337633856841</v>
      </c>
      <c r="AG114" s="45">
        <f t="shared" si="87"/>
        <v>2.446999056740423</v>
      </c>
      <c r="AH114" s="45">
        <f>IFERROR(AH64/AH99, "-")</f>
        <v>2.3884217778143095</v>
      </c>
      <c r="AI114" s="45">
        <f>IFERROR(AI64/AI99, "-")</f>
        <v>2.7718929683183129</v>
      </c>
      <c r="AJ114" s="45">
        <f t="shared" si="87"/>
        <v>3.0978838851071542</v>
      </c>
      <c r="AK114" s="45">
        <f t="shared" si="87"/>
        <v>1.8102025012779683</v>
      </c>
      <c r="AL114" s="45">
        <f>IFERROR(AL64/AL99, "-")</f>
        <v>2.417085824138216</v>
      </c>
      <c r="AM114" s="45">
        <f>IFERROR(AM64/AM99, "-")</f>
        <v>2.6740468116504874</v>
      </c>
    </row>
    <row r="115" spans="2:40">
      <c r="O115" s="10" t="s">
        <v>136</v>
      </c>
      <c r="P115" s="24" t="s">
        <v>35</v>
      </c>
      <c r="R115" s="388"/>
      <c r="S115" s="45">
        <f>IFERROR(S65/S100, "-")</f>
        <v>1.7047588267827116</v>
      </c>
      <c r="T115" s="45">
        <f t="shared" ref="T115:AL115" si="88">IFERROR(T65/T100, "-")</f>
        <v>1.8497950124037017</v>
      </c>
      <c r="U115" s="45">
        <f t="shared" si="88"/>
        <v>1.499004805493571</v>
      </c>
      <c r="V115" s="45">
        <f t="shared" si="88"/>
        <v>1.3174938257198248</v>
      </c>
      <c r="W115" s="45">
        <f t="shared" si="88"/>
        <v>1.4271347664127652</v>
      </c>
      <c r="X115" s="45">
        <f t="shared" si="88"/>
        <v>1.2490889825656044</v>
      </c>
      <c r="Y115" s="45">
        <f t="shared" si="88"/>
        <v>1.3541708236252299</v>
      </c>
      <c r="Z115" s="45">
        <f>IFERROR(Z65/Z100, "-")</f>
        <v>1.5917578923946241</v>
      </c>
      <c r="AA115" s="45">
        <f t="shared" si="88"/>
        <v>2.2477006043940975</v>
      </c>
      <c r="AB115" s="45">
        <f t="shared" si="88"/>
        <v>1.9562009806551317</v>
      </c>
      <c r="AC115" s="45">
        <f t="shared" si="88"/>
        <v>2.1043026397838251</v>
      </c>
      <c r="AD115" s="45">
        <f t="shared" si="88"/>
        <v>1.8309122778118958</v>
      </c>
      <c r="AE115" s="45">
        <f t="shared" si="88"/>
        <v>1.523469092387191</v>
      </c>
      <c r="AF115" s="45">
        <f t="shared" si="88"/>
        <v>1.302920402087516</v>
      </c>
      <c r="AG115" s="45">
        <f t="shared" si="88"/>
        <v>1.5430915740835955</v>
      </c>
      <c r="AH115" s="45">
        <f t="shared" si="88"/>
        <v>2.1787281328571493</v>
      </c>
      <c r="AI115" s="45">
        <f t="shared" si="88"/>
        <v>1.5483153891477872</v>
      </c>
      <c r="AJ115" s="45">
        <f t="shared" si="88"/>
        <v>2.1883745195619322</v>
      </c>
      <c r="AK115" s="45">
        <f t="shared" si="88"/>
        <v>2.1508415606993796</v>
      </c>
      <c r="AL115" s="45">
        <f t="shared" si="88"/>
        <v>2.6973562896102061</v>
      </c>
      <c r="AM115" s="45">
        <f t="shared" ref="AM115" si="89">IFERROR(AM65/AM100, "-")</f>
        <v>2.5372012824699706</v>
      </c>
    </row>
    <row r="116" spans="2:40">
      <c r="O116" s="10" t="s">
        <v>136</v>
      </c>
      <c r="P116" s="24" t="s">
        <v>36</v>
      </c>
      <c r="R116" s="388"/>
      <c r="S116" s="45">
        <f>IFERROR(S66/S101, "-")</f>
        <v>0.91950489442601713</v>
      </c>
      <c r="T116" s="45">
        <f t="shared" ref="T116:AK116" si="90">IFERROR(T66/T101, "-")</f>
        <v>0.7859873223204028</v>
      </c>
      <c r="U116" s="45">
        <f t="shared" si="90"/>
        <v>1.2392122493169009</v>
      </c>
      <c r="V116" s="45" t="str">
        <f t="shared" si="90"/>
        <v>-</v>
      </c>
      <c r="W116" s="45">
        <f t="shared" si="90"/>
        <v>1.0966761008738986</v>
      </c>
      <c r="X116" s="45">
        <f t="shared" si="90"/>
        <v>0.57468317501292865</v>
      </c>
      <c r="Y116" s="45">
        <f t="shared" si="90"/>
        <v>0.64938992017949171</v>
      </c>
      <c r="Z116" s="45">
        <f t="shared" si="90"/>
        <v>0.37303508282570225</v>
      </c>
      <c r="AA116" s="45">
        <f t="shared" si="90"/>
        <v>0.78847305327826234</v>
      </c>
      <c r="AB116" s="45">
        <f t="shared" si="90"/>
        <v>0.51052167370104795</v>
      </c>
      <c r="AC116" s="45">
        <f t="shared" si="90"/>
        <v>0.86133953870633573</v>
      </c>
      <c r="AD116" s="45">
        <f t="shared" si="90"/>
        <v>0.83620335708247717</v>
      </c>
      <c r="AE116" s="45">
        <f t="shared" si="90"/>
        <v>0.5949283335082225</v>
      </c>
      <c r="AF116" s="45">
        <f t="shared" si="90"/>
        <v>0.64619479279765046</v>
      </c>
      <c r="AG116" s="45">
        <f t="shared" si="90"/>
        <v>0.87557215899797614</v>
      </c>
      <c r="AH116" s="45">
        <f t="shared" si="90"/>
        <v>0.99563028983789625</v>
      </c>
      <c r="AI116" s="45">
        <f t="shared" si="90"/>
        <v>0.59265609473995673</v>
      </c>
      <c r="AJ116" s="45">
        <f t="shared" si="90"/>
        <v>0.45888875781526461</v>
      </c>
      <c r="AK116" s="45">
        <f t="shared" si="90"/>
        <v>0.5594481687645575</v>
      </c>
      <c r="AL116" s="45">
        <f>IFERROR(AL66/AL101, "-")</f>
        <v>0.90674315578874298</v>
      </c>
      <c r="AM116" s="45">
        <f t="shared" ref="AM116" si="91">IFERROR(AM66/AM101, "-")</f>
        <v>1.2546911932474825</v>
      </c>
    </row>
    <row r="117" spans="2:40">
      <c r="S117" s="167"/>
      <c r="AC117" s="119"/>
      <c r="AD117" s="119"/>
      <c r="AE117" s="119"/>
      <c r="AF117" s="119"/>
      <c r="AG117" s="119"/>
      <c r="AH117" s="119"/>
      <c r="AI117" s="119"/>
      <c r="AJ117" s="119"/>
      <c r="AK117" s="119"/>
    </row>
    <row r="118" spans="2:40">
      <c r="O118" s="132" t="s">
        <v>99</v>
      </c>
      <c r="P118" s="132" t="s">
        <v>400</v>
      </c>
      <c r="Q118" s="210"/>
      <c r="R118" s="210"/>
      <c r="S118" s="164"/>
      <c r="AI118" s="36"/>
      <c r="AJ118" s="36"/>
      <c r="AK118" s="36"/>
      <c r="AL118" s="36"/>
      <c r="AM118" s="36"/>
    </row>
    <row r="119" spans="2:40" ht="10.5" customHeight="1">
      <c r="O119" s="50"/>
      <c r="P119" s="50" t="s">
        <v>101</v>
      </c>
      <c r="Q119" s="210"/>
      <c r="R119" s="210"/>
      <c r="S119" s="164"/>
      <c r="AI119" s="36"/>
      <c r="AJ119" s="36"/>
      <c r="AK119" s="36"/>
      <c r="AL119" s="36"/>
      <c r="AM119" s="36"/>
    </row>
    <row r="120" spans="2:40">
      <c r="P120" s="50" t="s">
        <v>664</v>
      </c>
      <c r="Q120" s="31"/>
      <c r="AC120" s="119"/>
      <c r="AD120" s="119"/>
      <c r="AE120" s="119"/>
      <c r="AF120" s="119"/>
      <c r="AG120" s="119"/>
      <c r="AH120" s="119"/>
      <c r="AI120" s="119"/>
      <c r="AJ120" s="119"/>
      <c r="AK120" s="119"/>
      <c r="AL120" s="125"/>
      <c r="AM120" s="33"/>
    </row>
    <row r="121" spans="2:40" ht="15.75">
      <c r="C121" s="39"/>
      <c r="O121" s="132" t="s">
        <v>141</v>
      </c>
      <c r="P121" s="132" t="s">
        <v>144</v>
      </c>
      <c r="Q121" s="210"/>
      <c r="R121" s="210"/>
      <c r="AC121" s="119"/>
      <c r="AD121" s="119"/>
      <c r="AE121" s="119"/>
      <c r="AF121" s="119"/>
      <c r="AG121" s="119"/>
      <c r="AH121" s="119"/>
      <c r="AI121" s="119"/>
      <c r="AJ121" s="119"/>
      <c r="AK121" s="119"/>
      <c r="AL121" s="125"/>
      <c r="AM121" s="33"/>
      <c r="AN121" s="33"/>
    </row>
    <row r="122" spans="2:40" ht="15.75">
      <c r="C122" s="39"/>
      <c r="O122" s="54"/>
      <c r="P122" s="54"/>
      <c r="Q122" s="209"/>
      <c r="R122" s="209"/>
      <c r="S122" s="123"/>
      <c r="T122" s="123"/>
      <c r="U122" s="123"/>
      <c r="V122" s="123"/>
      <c r="W122" s="123"/>
      <c r="X122" s="123"/>
      <c r="Y122" s="123"/>
      <c r="Z122" s="123"/>
      <c r="AA122" s="123"/>
      <c r="AB122" s="123"/>
      <c r="AC122" s="123"/>
      <c r="AD122" s="123"/>
      <c r="AE122" s="123"/>
      <c r="AF122" s="123"/>
      <c r="AG122" s="123"/>
      <c r="AH122" s="123"/>
      <c r="AI122" s="123"/>
      <c r="AJ122" s="123"/>
      <c r="AK122" s="123"/>
      <c r="AL122" s="42"/>
      <c r="AM122" s="20"/>
      <c r="AN122" s="33"/>
    </row>
    <row r="123" spans="2:40" ht="15.75">
      <c r="C123" s="39" t="s">
        <v>597</v>
      </c>
      <c r="O123" s="132"/>
      <c r="P123" s="132"/>
      <c r="Q123" s="210"/>
      <c r="R123" s="210"/>
      <c r="AC123" s="119"/>
      <c r="AD123" s="119"/>
      <c r="AE123" s="119"/>
      <c r="AF123" s="119"/>
      <c r="AG123" s="119"/>
      <c r="AH123" s="119"/>
      <c r="AI123" s="119"/>
      <c r="AJ123" s="119"/>
      <c r="AK123" s="119"/>
      <c r="AL123" s="125"/>
    </row>
    <row r="124" spans="2:40" ht="8.25" customHeight="1">
      <c r="O124" s="30"/>
      <c r="P124" s="132"/>
      <c r="Q124" s="31"/>
      <c r="AC124" s="119"/>
      <c r="AD124" s="119"/>
      <c r="AE124" s="119"/>
      <c r="AF124" s="119"/>
      <c r="AG124" s="119"/>
      <c r="AH124" s="119"/>
      <c r="AI124" s="119"/>
      <c r="AJ124" s="119"/>
      <c r="AK124" s="119"/>
      <c r="AL124" s="125"/>
    </row>
    <row r="125" spans="2:40" ht="42" customHeight="1">
      <c r="C125" s="656" t="s">
        <v>595</v>
      </c>
      <c r="D125" s="657"/>
      <c r="E125" s="657"/>
      <c r="F125" s="657"/>
      <c r="G125" s="657"/>
      <c r="H125" s="657"/>
      <c r="I125" s="657"/>
      <c r="J125" s="657"/>
      <c r="K125" s="657"/>
      <c r="L125" s="657"/>
      <c r="O125" s="12"/>
      <c r="P125" s="30"/>
      <c r="Q125" s="44"/>
      <c r="R125" s="12"/>
      <c r="S125" s="12"/>
      <c r="T125" s="12"/>
      <c r="U125" s="12"/>
      <c r="V125" s="12"/>
      <c r="W125" s="12"/>
      <c r="X125" s="12"/>
      <c r="Y125" s="12"/>
      <c r="Z125" s="12"/>
      <c r="AA125" s="12"/>
      <c r="AB125" s="12"/>
      <c r="AC125" s="12"/>
      <c r="AD125" s="12"/>
      <c r="AE125" s="12"/>
      <c r="AF125" s="12"/>
      <c r="AG125" s="12"/>
      <c r="AH125" s="12"/>
      <c r="AI125" s="12"/>
      <c r="AJ125" s="12"/>
      <c r="AK125" s="12"/>
      <c r="AL125" s="12"/>
    </row>
    <row r="126" spans="2:40" ht="12.75" customHeight="1">
      <c r="C126" s="23" t="s">
        <v>415</v>
      </c>
      <c r="N126" s="434" t="s">
        <v>153</v>
      </c>
      <c r="O126" s="12"/>
      <c r="P126" s="12"/>
      <c r="Q126" s="44"/>
      <c r="R126" s="12"/>
      <c r="S126" s="12"/>
      <c r="T126" s="12"/>
      <c r="U126" s="12"/>
      <c r="V126" s="12"/>
      <c r="W126" s="12"/>
      <c r="X126" s="12"/>
      <c r="Y126" s="12"/>
      <c r="Z126" s="12"/>
      <c r="AA126" s="12"/>
      <c r="AB126" s="12"/>
      <c r="AC126" s="12"/>
      <c r="AD126" s="12"/>
      <c r="AE126" s="12"/>
      <c r="AF126" s="12"/>
      <c r="AG126" s="12"/>
      <c r="AH126" s="12"/>
      <c r="AI126" s="12"/>
      <c r="AJ126" s="12"/>
      <c r="AK126" s="12"/>
      <c r="AL126" s="12"/>
    </row>
    <row r="127" spans="2:40">
      <c r="O127" s="30"/>
      <c r="P127" s="12"/>
      <c r="Q127" s="31"/>
      <c r="AC127" s="119"/>
      <c r="AD127" s="119"/>
      <c r="AE127" s="119"/>
      <c r="AF127" s="119"/>
      <c r="AG127" s="119"/>
      <c r="AH127" s="119"/>
      <c r="AI127" s="119"/>
      <c r="AJ127" s="119"/>
      <c r="AK127" s="119"/>
    </row>
    <row r="128" spans="2:40">
      <c r="B128" s="70"/>
      <c r="C128" s="70"/>
      <c r="D128" s="70"/>
      <c r="E128" s="70"/>
      <c r="F128" s="70"/>
      <c r="G128" s="70"/>
      <c r="H128" s="70"/>
      <c r="I128" s="70"/>
      <c r="J128" s="70"/>
      <c r="K128" s="70"/>
      <c r="L128" s="70"/>
      <c r="M128" s="70"/>
      <c r="O128" s="50"/>
      <c r="P128" s="30"/>
      <c r="Q128" s="193"/>
      <c r="R128" s="193"/>
    </row>
    <row r="129" spans="2:86" ht="17.25" customHeight="1">
      <c r="B129" s="70"/>
      <c r="C129" s="661" t="s">
        <v>626</v>
      </c>
      <c r="D129" s="637"/>
      <c r="E129" s="637"/>
      <c r="F129" s="637"/>
      <c r="G129" s="637"/>
      <c r="H129" s="637"/>
      <c r="I129" s="637"/>
      <c r="J129" s="637"/>
      <c r="K129" s="637"/>
      <c r="L129" s="637"/>
      <c r="M129" s="70"/>
      <c r="O129" s="50"/>
      <c r="P129" s="50"/>
      <c r="Q129" s="193"/>
      <c r="R129" s="193"/>
    </row>
    <row r="130" spans="2:86" ht="15" customHeight="1">
      <c r="B130" s="70"/>
      <c r="C130" s="70"/>
      <c r="D130" s="70"/>
      <c r="E130" s="70"/>
      <c r="F130" s="70"/>
      <c r="G130" s="70"/>
      <c r="H130" s="70"/>
      <c r="I130" s="70"/>
      <c r="J130" s="70"/>
      <c r="K130" s="70"/>
      <c r="L130" s="70"/>
      <c r="M130" s="70"/>
      <c r="O130" s="572" t="s">
        <v>596</v>
      </c>
      <c r="P130" s="50"/>
      <c r="Q130" s="572"/>
      <c r="R130" s="572"/>
      <c r="S130" s="572"/>
      <c r="T130" s="572"/>
      <c r="U130" s="572"/>
      <c r="V130" s="572"/>
      <c r="W130" s="572"/>
      <c r="X130" s="572"/>
      <c r="Y130" s="572"/>
      <c r="Z130" s="572"/>
      <c r="AA130" s="572"/>
      <c r="AB130" s="572"/>
      <c r="AC130" s="572"/>
      <c r="AD130" s="572"/>
      <c r="AE130" s="572"/>
      <c r="AF130" s="572"/>
      <c r="AG130" s="37"/>
      <c r="AH130" s="37"/>
      <c r="AI130" s="37"/>
      <c r="AJ130" s="37"/>
      <c r="AK130" s="37"/>
      <c r="AL130" s="125"/>
    </row>
    <row r="131" spans="2:86" ht="12.75" customHeight="1">
      <c r="B131" s="70"/>
      <c r="C131" s="396"/>
      <c r="D131" s="396"/>
      <c r="E131" s="396"/>
      <c r="F131" s="396"/>
      <c r="G131" s="396"/>
      <c r="H131" s="396"/>
      <c r="I131" s="396"/>
      <c r="J131" s="396"/>
      <c r="K131" s="396"/>
      <c r="L131" s="396"/>
      <c r="M131" s="70"/>
      <c r="R131" s="25"/>
      <c r="S131" s="46"/>
      <c r="T131" s="46"/>
      <c r="U131" s="46"/>
      <c r="V131" s="46"/>
      <c r="W131" s="46"/>
      <c r="X131" s="46"/>
      <c r="Y131" s="46"/>
      <c r="Z131" s="46"/>
      <c r="AA131" s="46"/>
      <c r="AB131" s="46"/>
      <c r="AC131" s="37"/>
      <c r="AD131" s="37"/>
      <c r="AE131" s="37"/>
      <c r="AF131" s="37"/>
    </row>
    <row r="132" spans="2:86" ht="20.25" customHeight="1">
      <c r="B132" s="70"/>
      <c r="C132" s="70"/>
      <c r="D132" s="70"/>
      <c r="E132" s="70"/>
      <c r="F132" s="70"/>
      <c r="G132" s="70"/>
      <c r="H132" s="70"/>
      <c r="I132" s="70"/>
      <c r="J132" s="70"/>
      <c r="K132" s="70"/>
      <c r="L132" s="70"/>
      <c r="M132" s="70"/>
      <c r="O132" s="22" t="s">
        <v>3</v>
      </c>
      <c r="R132" s="25"/>
      <c r="S132" s="46"/>
      <c r="T132" s="46"/>
      <c r="U132" s="46"/>
      <c r="V132" s="46"/>
      <c r="W132" s="46"/>
      <c r="X132" s="46"/>
      <c r="Y132" s="46"/>
      <c r="Z132" s="46"/>
      <c r="AA132" s="46"/>
      <c r="AB132" s="46"/>
      <c r="AC132" s="37"/>
      <c r="AD132" s="37"/>
      <c r="AE132" s="37"/>
      <c r="AF132" s="37"/>
    </row>
    <row r="133" spans="2:86">
      <c r="B133" s="70"/>
      <c r="C133" s="70"/>
      <c r="D133" s="70"/>
      <c r="E133" s="70"/>
      <c r="F133" s="70"/>
      <c r="G133" s="70"/>
      <c r="H133" s="70"/>
      <c r="I133" s="70"/>
      <c r="J133" s="70"/>
      <c r="K133" s="70"/>
      <c r="L133" s="70"/>
      <c r="M133" s="70"/>
      <c r="O133" s="22"/>
      <c r="Q133" s="120"/>
      <c r="S133" s="48">
        <v>2007</v>
      </c>
      <c r="T133" s="48">
        <v>2008</v>
      </c>
      <c r="U133" s="48">
        <v>2009</v>
      </c>
      <c r="V133" s="48">
        <v>2010</v>
      </c>
      <c r="W133" s="48">
        <v>2011</v>
      </c>
      <c r="X133" s="48">
        <v>2012</v>
      </c>
      <c r="Y133" s="48">
        <v>2013</v>
      </c>
      <c r="Z133" s="48">
        <v>2014</v>
      </c>
      <c r="AA133" s="48">
        <v>2015</v>
      </c>
      <c r="AB133" s="48">
        <v>2016</v>
      </c>
      <c r="AK133" s="37"/>
      <c r="AL133" s="12"/>
    </row>
    <row r="134" spans="2:86">
      <c r="B134" s="70"/>
      <c r="C134" s="70"/>
      <c r="D134" s="70"/>
      <c r="E134" s="70"/>
      <c r="F134" s="70"/>
      <c r="G134" s="70"/>
      <c r="H134" s="70"/>
      <c r="I134" s="70"/>
      <c r="J134" s="70"/>
      <c r="K134" s="70"/>
      <c r="L134" s="70"/>
      <c r="M134" s="70"/>
      <c r="P134" s="120" t="s">
        <v>38</v>
      </c>
      <c r="S134" s="46"/>
      <c r="T134" s="46"/>
      <c r="U134" s="46"/>
      <c r="V134" s="46"/>
      <c r="W134" s="46"/>
      <c r="X134" s="46"/>
      <c r="Y134" s="46"/>
      <c r="Z134" s="46"/>
      <c r="AA134" s="46"/>
      <c r="AB134" s="46"/>
      <c r="AK134" s="37"/>
      <c r="AL134" s="12"/>
      <c r="CH134" s="12"/>
    </row>
    <row r="135" spans="2:86">
      <c r="B135" s="70"/>
      <c r="C135" s="70"/>
      <c r="D135" s="70"/>
      <c r="E135" s="70"/>
      <c r="F135" s="70"/>
      <c r="G135" s="70"/>
      <c r="H135" s="70"/>
      <c r="I135" s="70"/>
      <c r="J135" s="70"/>
      <c r="K135" s="70"/>
      <c r="L135" s="70"/>
      <c r="M135" s="70"/>
      <c r="O135" s="24" t="s">
        <v>0</v>
      </c>
      <c r="P135" s="25">
        <v>1</v>
      </c>
      <c r="Q135" s="25" t="s">
        <v>21</v>
      </c>
      <c r="S135" s="46">
        <f t="shared" ref="S135:AB135" si="92">VLOOKUP(S$133&amp;"AllSex"&amp;"Maori"&amp;19&amp;1,deptable,7,FALSE)</f>
        <v>9</v>
      </c>
      <c r="T135" s="46">
        <f>VLOOKUP(T$133&amp;"AllSex"&amp;"Maori"&amp;19&amp;1,deptable,7,FALSE)</f>
        <v>3</v>
      </c>
      <c r="U135" s="46">
        <f t="shared" si="92"/>
        <v>4</v>
      </c>
      <c r="V135" s="46">
        <f t="shared" si="92"/>
        <v>2</v>
      </c>
      <c r="W135" s="46">
        <f t="shared" si="92"/>
        <v>6</v>
      </c>
      <c r="X135" s="46">
        <f t="shared" si="92"/>
        <v>2</v>
      </c>
      <c r="Y135" s="46">
        <f t="shared" si="92"/>
        <v>2</v>
      </c>
      <c r="Z135" s="46">
        <f t="shared" si="92"/>
        <v>8</v>
      </c>
      <c r="AA135" s="46">
        <f t="shared" si="92"/>
        <v>3</v>
      </c>
      <c r="AB135" s="46">
        <f t="shared" si="92"/>
        <v>2</v>
      </c>
      <c r="AK135" s="37"/>
      <c r="AL135" s="12"/>
      <c r="CH135" s="12"/>
    </row>
    <row r="136" spans="2:86">
      <c r="B136" s="70"/>
      <c r="C136" s="70"/>
      <c r="D136" s="70"/>
      <c r="E136" s="70"/>
      <c r="F136" s="70"/>
      <c r="G136" s="70"/>
      <c r="H136" s="70"/>
      <c r="I136" s="70"/>
      <c r="J136" s="70"/>
      <c r="K136" s="70"/>
      <c r="L136" s="70"/>
      <c r="M136" s="70"/>
      <c r="P136" s="25">
        <v>2</v>
      </c>
      <c r="S136" s="46">
        <f t="shared" ref="S136:AB136" si="93">VLOOKUP(S$133&amp;"AllSex"&amp;"Maori"&amp;19&amp;2,deptable,7,FALSE)</f>
        <v>6</v>
      </c>
      <c r="T136" s="46">
        <f t="shared" si="93"/>
        <v>7</v>
      </c>
      <c r="U136" s="46">
        <f t="shared" si="93"/>
        <v>8</v>
      </c>
      <c r="V136" s="46">
        <f t="shared" si="93"/>
        <v>10</v>
      </c>
      <c r="W136" s="46">
        <f t="shared" si="93"/>
        <v>17</v>
      </c>
      <c r="X136" s="46">
        <f t="shared" si="93"/>
        <v>12</v>
      </c>
      <c r="Y136" s="46">
        <f t="shared" si="93"/>
        <v>9</v>
      </c>
      <c r="Z136" s="46">
        <f t="shared" si="93"/>
        <v>4</v>
      </c>
      <c r="AA136" s="46">
        <f t="shared" si="93"/>
        <v>14</v>
      </c>
      <c r="AB136" s="46">
        <f t="shared" si="93"/>
        <v>6</v>
      </c>
      <c r="AK136" s="37"/>
      <c r="AL136" s="12"/>
      <c r="CH136" s="12"/>
    </row>
    <row r="137" spans="2:86">
      <c r="B137" s="70"/>
      <c r="C137" s="70"/>
      <c r="D137" s="70"/>
      <c r="E137" s="70"/>
      <c r="F137" s="70"/>
      <c r="G137" s="70"/>
      <c r="H137" s="70"/>
      <c r="I137" s="70"/>
      <c r="J137" s="70"/>
      <c r="K137" s="70"/>
      <c r="L137" s="70"/>
      <c r="M137" s="70"/>
      <c r="P137" s="25">
        <v>3</v>
      </c>
      <c r="S137" s="46">
        <f t="shared" ref="S137:AB137" si="94">VLOOKUP(S$133&amp;"AllSex"&amp;"Maori"&amp;19&amp;3,deptable,7,FALSE)</f>
        <v>18</v>
      </c>
      <c r="T137" s="46">
        <f t="shared" si="94"/>
        <v>15</v>
      </c>
      <c r="U137" s="46">
        <f t="shared" si="94"/>
        <v>14</v>
      </c>
      <c r="V137" s="46">
        <f t="shared" si="94"/>
        <v>12</v>
      </c>
      <c r="W137" s="46">
        <f t="shared" si="94"/>
        <v>14</v>
      </c>
      <c r="X137" s="46">
        <f t="shared" si="94"/>
        <v>17</v>
      </c>
      <c r="Y137" s="46">
        <f t="shared" si="94"/>
        <v>10</v>
      </c>
      <c r="Z137" s="46">
        <f t="shared" si="94"/>
        <v>18</v>
      </c>
      <c r="AA137" s="46">
        <f t="shared" si="94"/>
        <v>17</v>
      </c>
      <c r="AB137" s="46">
        <f t="shared" si="94"/>
        <v>22</v>
      </c>
      <c r="AK137" s="37"/>
      <c r="AL137" s="12"/>
      <c r="CH137" s="12"/>
    </row>
    <row r="138" spans="2:86">
      <c r="B138" s="70"/>
      <c r="C138" s="70"/>
      <c r="D138" s="70"/>
      <c r="E138" s="70"/>
      <c r="F138" s="70"/>
      <c r="G138" s="70"/>
      <c r="H138" s="70"/>
      <c r="I138" s="70"/>
      <c r="J138" s="70"/>
      <c r="K138" s="70"/>
      <c r="L138" s="70"/>
      <c r="M138" s="70"/>
      <c r="P138" s="25">
        <v>4</v>
      </c>
      <c r="S138" s="46">
        <f t="shared" ref="S138:AB138" si="95">VLOOKUP(S$133&amp;"AllSex"&amp;"Maori"&amp;19&amp;4,deptable,7,FALSE)</f>
        <v>16</v>
      </c>
      <c r="T138" s="46">
        <f t="shared" si="95"/>
        <v>20</v>
      </c>
      <c r="U138" s="46">
        <f t="shared" si="95"/>
        <v>19</v>
      </c>
      <c r="V138" s="46">
        <f t="shared" si="95"/>
        <v>20</v>
      </c>
      <c r="W138" s="46">
        <f t="shared" si="95"/>
        <v>20</v>
      </c>
      <c r="X138" s="46">
        <f t="shared" si="95"/>
        <v>34</v>
      </c>
      <c r="Y138" s="46">
        <f t="shared" si="95"/>
        <v>28</v>
      </c>
      <c r="Z138" s="46">
        <f t="shared" si="95"/>
        <v>19</v>
      </c>
      <c r="AA138" s="46">
        <f t="shared" si="95"/>
        <v>28</v>
      </c>
      <c r="AB138" s="46">
        <f t="shared" si="95"/>
        <v>40</v>
      </c>
      <c r="AK138" s="37"/>
      <c r="AL138" s="12"/>
      <c r="CH138" s="12"/>
    </row>
    <row r="139" spans="2:86">
      <c r="B139" s="70"/>
      <c r="C139" s="70"/>
      <c r="D139" s="70"/>
      <c r="E139" s="70"/>
      <c r="F139" s="70"/>
      <c r="G139" s="70"/>
      <c r="H139" s="70"/>
      <c r="I139" s="70"/>
      <c r="J139" s="70"/>
      <c r="K139" s="70"/>
      <c r="L139" s="70"/>
      <c r="M139" s="70"/>
      <c r="P139" s="25">
        <v>5</v>
      </c>
      <c r="S139" s="46">
        <f t="shared" ref="S139:AB139" si="96">VLOOKUP(S$133&amp;"AllSex"&amp;"Maori"&amp;19&amp;5,deptable,7,FALSE)</f>
        <v>47</v>
      </c>
      <c r="T139" s="46">
        <f t="shared" si="96"/>
        <v>41</v>
      </c>
      <c r="U139" s="46">
        <f t="shared" si="96"/>
        <v>38</v>
      </c>
      <c r="V139" s="46">
        <f t="shared" si="96"/>
        <v>56</v>
      </c>
      <c r="W139" s="46">
        <f t="shared" si="96"/>
        <v>55</v>
      </c>
      <c r="X139" s="46">
        <f t="shared" si="96"/>
        <v>50</v>
      </c>
      <c r="Y139" s="46">
        <f t="shared" si="96"/>
        <v>54</v>
      </c>
      <c r="Z139" s="46">
        <f t="shared" si="96"/>
        <v>41</v>
      </c>
      <c r="AA139" s="46">
        <f t="shared" si="96"/>
        <v>56</v>
      </c>
      <c r="AB139" s="46">
        <f t="shared" si="96"/>
        <v>65</v>
      </c>
      <c r="AK139" s="37"/>
      <c r="AL139" s="12"/>
      <c r="CH139" s="12"/>
    </row>
    <row r="140" spans="2:86">
      <c r="B140" s="70"/>
      <c r="C140" s="70"/>
      <c r="D140" s="70"/>
      <c r="E140" s="70"/>
      <c r="F140" s="70"/>
      <c r="G140" s="70"/>
      <c r="H140" s="70"/>
      <c r="I140" s="70"/>
      <c r="J140" s="70"/>
      <c r="K140" s="70"/>
      <c r="L140" s="70"/>
      <c r="M140" s="70"/>
      <c r="P140" s="25" t="s">
        <v>75</v>
      </c>
      <c r="S140" s="46">
        <f t="shared" ref="S140:AB140" si="97">IFERROR(VLOOKUP(S$133&amp;"AllSex"&amp;"Maori"&amp;9,UnkDep,6,FALSE),0)</f>
        <v>1</v>
      </c>
      <c r="T140" s="46">
        <f t="shared" si="97"/>
        <v>1</v>
      </c>
      <c r="U140" s="46">
        <f t="shared" si="97"/>
        <v>0</v>
      </c>
      <c r="V140" s="46">
        <f t="shared" si="97"/>
        <v>2</v>
      </c>
      <c r="W140" s="46">
        <f t="shared" si="97"/>
        <v>1</v>
      </c>
      <c r="X140" s="46">
        <f>IFERROR(VLOOKUP(X$133&amp;"AllSex"&amp;"Maori"&amp;9,UnkDep,6,FALSE),0)</f>
        <v>3</v>
      </c>
      <c r="Y140" s="46">
        <f t="shared" si="97"/>
        <v>1</v>
      </c>
      <c r="Z140" s="46">
        <f t="shared" si="97"/>
        <v>3</v>
      </c>
      <c r="AA140" s="46">
        <f t="shared" si="97"/>
        <v>0</v>
      </c>
      <c r="AB140" s="46">
        <f t="shared" si="97"/>
        <v>0</v>
      </c>
      <c r="AK140" s="37"/>
      <c r="AL140" s="12"/>
      <c r="CH140" s="12"/>
    </row>
    <row r="141" spans="2:86">
      <c r="B141" s="70"/>
      <c r="C141" s="70"/>
      <c r="D141" s="70"/>
      <c r="E141" s="70"/>
      <c r="F141" s="70"/>
      <c r="G141" s="70"/>
      <c r="H141" s="70"/>
      <c r="I141" s="70"/>
      <c r="J141" s="70"/>
      <c r="K141" s="70"/>
      <c r="L141" s="70"/>
      <c r="M141" s="70"/>
      <c r="O141" s="26"/>
      <c r="P141" s="26"/>
      <c r="Q141" s="28"/>
      <c r="R141" s="28"/>
      <c r="S141" s="123"/>
      <c r="T141" s="123"/>
      <c r="U141" s="123"/>
      <c r="V141" s="123"/>
      <c r="W141" s="123"/>
      <c r="X141" s="123"/>
      <c r="Y141" s="123"/>
      <c r="Z141" s="123"/>
      <c r="AA141" s="123"/>
      <c r="AB141" s="123"/>
      <c r="AK141" s="37"/>
      <c r="AL141" s="12"/>
      <c r="CH141" s="12"/>
    </row>
    <row r="142" spans="2:86">
      <c r="B142" s="70"/>
      <c r="C142" s="70"/>
      <c r="D142" s="70"/>
      <c r="E142" s="70"/>
      <c r="F142" s="70"/>
      <c r="G142" s="70"/>
      <c r="H142" s="70"/>
      <c r="I142" s="70"/>
      <c r="J142" s="70"/>
      <c r="K142" s="70"/>
      <c r="L142" s="70"/>
      <c r="M142" s="70"/>
      <c r="O142" s="24" t="s">
        <v>0</v>
      </c>
      <c r="P142" s="25">
        <v>1</v>
      </c>
      <c r="Q142" s="25" t="s">
        <v>22</v>
      </c>
      <c r="S142" s="36">
        <f t="shared" ref="S142:AA142" si="98">IF(S135&lt;5, "-",VLOOKUP(S$133&amp;"AllSex"&amp;"Maori"&amp;19&amp;1,deptable,8,FALSE))</f>
        <v>19.531752536884898</v>
      </c>
      <c r="T142" s="36" t="str">
        <f t="shared" si="98"/>
        <v>-</v>
      </c>
      <c r="U142" s="36" t="str">
        <f t="shared" si="98"/>
        <v>-</v>
      </c>
      <c r="V142" s="36" t="str">
        <f t="shared" si="98"/>
        <v>-</v>
      </c>
      <c r="W142" s="36">
        <f t="shared" si="98"/>
        <v>10.4968045124853</v>
      </c>
      <c r="X142" s="36" t="str">
        <f t="shared" si="98"/>
        <v>-</v>
      </c>
      <c r="Y142" s="36" t="str">
        <f t="shared" si="98"/>
        <v>-</v>
      </c>
      <c r="Z142" s="36">
        <f t="shared" si="98"/>
        <v>15.7691906269486</v>
      </c>
      <c r="AA142" s="36" t="str">
        <f t="shared" si="98"/>
        <v>-</v>
      </c>
      <c r="AB142" s="36" t="str">
        <f t="shared" ref="AB142" si="99">IF(AB135&lt;5, "-",VLOOKUP(AB$133&amp;"AllSex"&amp;"Maori"&amp;19&amp;1,deptable,8,FALSE))</f>
        <v>-</v>
      </c>
      <c r="AK142" s="37"/>
      <c r="AL142" s="12"/>
      <c r="CH142" s="12"/>
    </row>
    <row r="143" spans="2:86">
      <c r="B143" s="70"/>
      <c r="C143" s="78" t="s">
        <v>99</v>
      </c>
      <c r="D143" s="81" t="s">
        <v>106</v>
      </c>
      <c r="E143" s="70"/>
      <c r="F143" s="70"/>
      <c r="G143" s="70"/>
      <c r="H143" s="70"/>
      <c r="I143" s="70"/>
      <c r="J143" s="70"/>
      <c r="K143" s="70"/>
      <c r="L143" s="70"/>
      <c r="M143" s="70"/>
      <c r="P143" s="25">
        <v>2</v>
      </c>
      <c r="S143" s="36">
        <f t="shared" ref="S143:Y143" si="100">IF(S136&lt;5, "-",VLOOKUP(S$133&amp;"AllSex"&amp;"Maori"&amp;19&amp;2,deptable,8,FALSE))</f>
        <v>8.1565810584055303</v>
      </c>
      <c r="T143" s="36">
        <f t="shared" si="100"/>
        <v>9.4013724061805295</v>
      </c>
      <c r="U143" s="36">
        <f t="shared" si="100"/>
        <v>11.764406152372301</v>
      </c>
      <c r="V143" s="36">
        <f t="shared" si="100"/>
        <v>13.234319650344901</v>
      </c>
      <c r="W143" s="36">
        <f t="shared" si="100"/>
        <v>21.6531984067813</v>
      </c>
      <c r="X143" s="36">
        <f t="shared" si="100"/>
        <v>16.637221219970201</v>
      </c>
      <c r="Y143" s="36">
        <f t="shared" si="100"/>
        <v>12.8935925880459</v>
      </c>
      <c r="Z143" s="36">
        <f>(VLOOKUP(Z$133&amp;"AllSex"&amp;"Maori"&amp;19&amp;2,deptable,8,FALSE))</f>
        <v>5.1624947243936603</v>
      </c>
      <c r="AA143" s="36">
        <f>IF(AA136&lt;5, "-",VLOOKUP(AA$133&amp;"AllSex"&amp;"Maori"&amp;19&amp;2,deptable,8,FALSE))</f>
        <v>17.293197461414</v>
      </c>
      <c r="AB143" s="36">
        <f t="shared" ref="AB143" si="101">IF(AB136&lt;5, "-",VLOOKUP(AB$133&amp;"AllSex"&amp;"Maori"&amp;19&amp;2,deptable,8,FALSE))</f>
        <v>7.5043656916213797</v>
      </c>
      <c r="AG143" s="41"/>
      <c r="AK143" s="37"/>
      <c r="AL143" s="12"/>
      <c r="CH143" s="12"/>
    </row>
    <row r="144" spans="2:86">
      <c r="B144" s="70"/>
      <c r="C144" s="70"/>
      <c r="D144" s="81" t="s">
        <v>416</v>
      </c>
      <c r="E144" s="70"/>
      <c r="F144" s="70"/>
      <c r="G144" s="70"/>
      <c r="H144" s="70"/>
      <c r="I144" s="70"/>
      <c r="J144" s="70"/>
      <c r="K144" s="70"/>
      <c r="L144" s="70"/>
      <c r="M144" s="70"/>
      <c r="P144" s="25">
        <v>3</v>
      </c>
      <c r="S144" s="36">
        <f t="shared" ref="S144:AA144" si="102">IF(S137&lt;5, "-",VLOOKUP(S$133&amp;"AllSex"&amp;"Maori"&amp;19&amp;3,deptable,8,FALSE))</f>
        <v>18.388081375555899</v>
      </c>
      <c r="T144" s="36">
        <f t="shared" si="102"/>
        <v>15.677335095772801</v>
      </c>
      <c r="U144" s="36">
        <f t="shared" si="102"/>
        <v>13.2947520863601</v>
      </c>
      <c r="V144" s="36">
        <f t="shared" si="102"/>
        <v>11.7392941235848</v>
      </c>
      <c r="W144" s="36">
        <f t="shared" si="102"/>
        <v>12.3556696064809</v>
      </c>
      <c r="X144" s="36">
        <f t="shared" si="102"/>
        <v>15.2135127829612</v>
      </c>
      <c r="Y144" s="36">
        <f t="shared" si="102"/>
        <v>8.8540522689585792</v>
      </c>
      <c r="Z144" s="36">
        <f t="shared" si="102"/>
        <v>17.531322991444199</v>
      </c>
      <c r="AA144" s="36">
        <f t="shared" si="102"/>
        <v>15.776487158670401</v>
      </c>
      <c r="AB144" s="36">
        <f t="shared" ref="AB144" si="103">IF(AB137&lt;5, "-",VLOOKUP(AB$133&amp;"AllSex"&amp;"Maori"&amp;19&amp;3,deptable,8,FALSE))</f>
        <v>19.699267196382799</v>
      </c>
      <c r="AK144" s="37"/>
      <c r="AL144" s="12"/>
      <c r="CH144" s="12"/>
    </row>
    <row r="145" spans="2:86" ht="11.25" customHeight="1">
      <c r="B145" s="70"/>
      <c r="C145" s="70"/>
      <c r="D145" s="81" t="s">
        <v>417</v>
      </c>
      <c r="E145" s="70"/>
      <c r="F145" s="70"/>
      <c r="G145" s="70"/>
      <c r="H145" s="70"/>
      <c r="I145" s="70"/>
      <c r="J145" s="70"/>
      <c r="K145" s="70"/>
      <c r="L145" s="70"/>
      <c r="M145" s="70"/>
      <c r="P145" s="25">
        <v>4</v>
      </c>
      <c r="S145" s="36">
        <f t="shared" ref="S145:AA145" si="104">IF(S138&lt;5, "-",VLOOKUP(S$133&amp;"AllSex"&amp;"Maori"&amp;19&amp;4,deptable,8,FALSE))</f>
        <v>11.358463125385599</v>
      </c>
      <c r="T145" s="36">
        <f t="shared" si="104"/>
        <v>13.3027935406478</v>
      </c>
      <c r="U145" s="36">
        <f t="shared" si="104"/>
        <v>12.5866132128183</v>
      </c>
      <c r="V145" s="36">
        <f t="shared" si="104"/>
        <v>12.8928666096258</v>
      </c>
      <c r="W145" s="36">
        <f t="shared" si="104"/>
        <v>12.891795717896899</v>
      </c>
      <c r="X145" s="36">
        <f t="shared" si="104"/>
        <v>21.7493772047203</v>
      </c>
      <c r="Y145" s="36">
        <f t="shared" si="104"/>
        <v>17.802485127361699</v>
      </c>
      <c r="Z145" s="36">
        <f t="shared" si="104"/>
        <v>12.808920001561599</v>
      </c>
      <c r="AA145" s="36">
        <f t="shared" si="104"/>
        <v>17.3470124378421</v>
      </c>
      <c r="AB145" s="36">
        <f t="shared" ref="AB145" si="105">IF(AB138&lt;5, "-",VLOOKUP(AB$133&amp;"AllSex"&amp;"Maori"&amp;19&amp;4,deptable,8,FALSE))</f>
        <v>23.524847716637598</v>
      </c>
      <c r="AK145" s="37"/>
      <c r="AL145" s="12"/>
      <c r="CH145" s="12"/>
    </row>
    <row r="146" spans="2:86">
      <c r="B146" s="70"/>
      <c r="C146" s="70"/>
      <c r="D146" s="81" t="s">
        <v>343</v>
      </c>
      <c r="E146" s="70"/>
      <c r="F146" s="70"/>
      <c r="G146" s="70"/>
      <c r="H146" s="70"/>
      <c r="I146" s="70"/>
      <c r="J146" s="70"/>
      <c r="K146" s="70"/>
      <c r="L146" s="70"/>
      <c r="M146" s="70"/>
      <c r="P146" s="25">
        <v>5</v>
      </c>
      <c r="S146" s="36">
        <f t="shared" ref="S146:AA146" si="106">IF(S139&lt;5, "-",VLOOKUP(S$133&amp;"AllSex"&amp;"Maori"&amp;19&amp;5,deptable,8,FALSE))</f>
        <v>19.169053604398101</v>
      </c>
      <c r="T146" s="36">
        <f t="shared" si="106"/>
        <v>16.099910181965601</v>
      </c>
      <c r="U146" s="36">
        <f t="shared" si="106"/>
        <v>14.498638527004401</v>
      </c>
      <c r="V146" s="36">
        <f t="shared" si="106"/>
        <v>21.5974219861146</v>
      </c>
      <c r="W146" s="36">
        <f t="shared" si="106"/>
        <v>21.835288706363301</v>
      </c>
      <c r="X146" s="36">
        <f t="shared" si="106"/>
        <v>18.144466542874301</v>
      </c>
      <c r="Y146" s="36">
        <f t="shared" si="106"/>
        <v>20.706632827755101</v>
      </c>
      <c r="Z146" s="36">
        <f t="shared" si="106"/>
        <v>15.7634164322589</v>
      </c>
      <c r="AA146" s="36">
        <f t="shared" si="106"/>
        <v>21.655423371134301</v>
      </c>
      <c r="AB146" s="36">
        <f t="shared" ref="AB146" si="107">IF(AB139&lt;5, "-",VLOOKUP(AB$133&amp;"AllSex"&amp;"Maori"&amp;19&amp;5,deptable,8,FALSE))</f>
        <v>25.117743254056101</v>
      </c>
      <c r="AC146" s="324"/>
      <c r="AD146" s="324"/>
      <c r="AE146" s="324"/>
      <c r="AF146" s="324"/>
      <c r="AG146" s="119"/>
      <c r="AH146" s="119"/>
      <c r="AK146" s="37"/>
      <c r="AL146" s="12"/>
      <c r="CH146" s="12"/>
    </row>
    <row r="147" spans="2:86">
      <c r="B147" s="70"/>
      <c r="C147" s="78" t="s">
        <v>145</v>
      </c>
      <c r="D147" s="78" t="s">
        <v>146</v>
      </c>
      <c r="E147" s="70"/>
      <c r="F147" s="70"/>
      <c r="G147" s="70"/>
      <c r="H147" s="70"/>
      <c r="I147" s="70"/>
      <c r="J147" s="70"/>
      <c r="K147" s="70"/>
      <c r="L147" s="70"/>
      <c r="M147" s="70"/>
      <c r="O147" s="26"/>
      <c r="P147" s="26"/>
      <c r="Q147" s="28"/>
      <c r="R147" s="28"/>
      <c r="S147" s="38"/>
      <c r="T147" s="38"/>
      <c r="U147" s="38"/>
      <c r="V147" s="38"/>
      <c r="W147" s="38"/>
      <c r="X147" s="38"/>
      <c r="Y147" s="38"/>
      <c r="Z147" s="38"/>
      <c r="AA147" s="38"/>
      <c r="AB147" s="38"/>
      <c r="AC147" s="37"/>
      <c r="AD147" s="37"/>
      <c r="AE147" s="41"/>
      <c r="AF147" s="41"/>
      <c r="AK147" s="37"/>
      <c r="AL147" s="12"/>
      <c r="CH147" s="12"/>
    </row>
    <row r="148" spans="2:86">
      <c r="B148" s="70"/>
      <c r="C148" s="70"/>
      <c r="D148" s="70"/>
      <c r="E148" s="70"/>
      <c r="F148" s="70"/>
      <c r="G148" s="70"/>
      <c r="H148" s="70"/>
      <c r="I148" s="70"/>
      <c r="J148" s="70"/>
      <c r="K148" s="70"/>
      <c r="L148" s="70"/>
      <c r="M148" s="70"/>
      <c r="P148" s="31"/>
      <c r="S148" s="46"/>
      <c r="T148" s="46"/>
      <c r="U148" s="46"/>
      <c r="V148" s="46"/>
      <c r="W148" s="46"/>
      <c r="X148" s="46"/>
      <c r="Y148" s="46"/>
      <c r="Z148" s="46"/>
      <c r="AA148" s="46"/>
      <c r="AB148" s="46"/>
      <c r="AC148" s="37"/>
      <c r="AD148" s="37"/>
      <c r="AE148" s="41"/>
      <c r="AF148" s="41"/>
      <c r="AK148" s="37"/>
      <c r="AL148" s="12"/>
      <c r="CH148" s="12"/>
    </row>
    <row r="149" spans="2:86">
      <c r="O149" s="22" t="s">
        <v>4</v>
      </c>
      <c r="P149" s="25"/>
      <c r="S149" s="46"/>
      <c r="T149" s="46"/>
      <c r="U149" s="46"/>
      <c r="V149" s="46"/>
      <c r="W149" s="46"/>
      <c r="X149" s="46"/>
      <c r="Y149" s="46"/>
      <c r="Z149" s="46"/>
      <c r="AA149" s="46"/>
      <c r="AB149" s="46"/>
      <c r="AE149" s="37"/>
      <c r="AF149" s="37"/>
      <c r="AK149" s="37"/>
      <c r="AL149" s="12"/>
      <c r="CH149" s="12"/>
    </row>
    <row r="150" spans="2:86">
      <c r="O150" s="22"/>
      <c r="P150" s="25"/>
      <c r="Q150" s="120"/>
      <c r="S150" s="48">
        <v>2007</v>
      </c>
      <c r="T150" s="48">
        <v>2008</v>
      </c>
      <c r="U150" s="48">
        <v>2009</v>
      </c>
      <c r="V150" s="48">
        <v>2010</v>
      </c>
      <c r="W150" s="48">
        <v>2011</v>
      </c>
      <c r="X150" s="48">
        <v>2012</v>
      </c>
      <c r="Y150" s="48">
        <v>2013</v>
      </c>
      <c r="Z150" s="48">
        <v>2014</v>
      </c>
      <c r="AA150" s="48">
        <v>2015</v>
      </c>
      <c r="AB150" s="48">
        <v>2016</v>
      </c>
      <c r="AE150" s="37"/>
      <c r="AF150" s="37"/>
      <c r="AK150" s="37"/>
      <c r="AL150" s="12"/>
      <c r="CH150" s="12"/>
    </row>
    <row r="151" spans="2:86" ht="12.75" customHeight="1">
      <c r="B151" s="70"/>
      <c r="C151" s="70"/>
      <c r="D151" s="70"/>
      <c r="E151" s="70"/>
      <c r="F151" s="70"/>
      <c r="G151" s="70"/>
      <c r="H151" s="70"/>
      <c r="I151" s="70"/>
      <c r="J151" s="70"/>
      <c r="K151" s="70"/>
      <c r="L151" s="70"/>
      <c r="M151" s="70"/>
      <c r="P151" s="120" t="s">
        <v>38</v>
      </c>
      <c r="S151" s="46"/>
      <c r="T151" s="46"/>
      <c r="U151" s="46"/>
      <c r="V151" s="46"/>
      <c r="W151" s="46"/>
      <c r="X151" s="46"/>
      <c r="Y151" s="46"/>
      <c r="Z151" s="46"/>
      <c r="AA151" s="46"/>
      <c r="AB151" s="46"/>
      <c r="AK151" s="37"/>
      <c r="AL151" s="12"/>
      <c r="CH151" s="12"/>
    </row>
    <row r="152" spans="2:86" ht="27.75" customHeight="1">
      <c r="B152" s="348"/>
      <c r="C152" s="661" t="s">
        <v>598</v>
      </c>
      <c r="D152" s="661"/>
      <c r="E152" s="661"/>
      <c r="F152" s="661"/>
      <c r="G152" s="661"/>
      <c r="H152" s="661"/>
      <c r="I152" s="661"/>
      <c r="J152" s="661"/>
      <c r="K152" s="661"/>
      <c r="L152" s="661"/>
      <c r="M152" s="70"/>
      <c r="O152" s="24" t="s">
        <v>0</v>
      </c>
      <c r="P152" s="198">
        <v>1</v>
      </c>
      <c r="Q152" s="25" t="s">
        <v>21</v>
      </c>
      <c r="S152" s="46">
        <f t="shared" ref="S152:AB152" si="108">VLOOKUP(S$133&amp;"AllSex"&amp;"Non-Maori"&amp;19&amp;1,deptable,7,FALSE)</f>
        <v>60</v>
      </c>
      <c r="T152" s="46">
        <f t="shared" si="108"/>
        <v>80</v>
      </c>
      <c r="U152" s="46">
        <f t="shared" si="108"/>
        <v>70</v>
      </c>
      <c r="V152" s="46">
        <f t="shared" si="108"/>
        <v>88</v>
      </c>
      <c r="W152" s="46">
        <f t="shared" si="108"/>
        <v>69</v>
      </c>
      <c r="X152" s="46">
        <f t="shared" si="108"/>
        <v>50</v>
      </c>
      <c r="Y152" s="46">
        <f t="shared" si="108"/>
        <v>70</v>
      </c>
      <c r="Z152" s="46">
        <f t="shared" si="108"/>
        <v>55</v>
      </c>
      <c r="AA152" s="46">
        <f t="shared" si="108"/>
        <v>78</v>
      </c>
      <c r="AB152" s="46">
        <f t="shared" si="108"/>
        <v>70</v>
      </c>
      <c r="AK152" s="37"/>
      <c r="AL152" s="12"/>
      <c r="CH152" s="12"/>
    </row>
    <row r="153" spans="2:86" ht="12.75" customHeight="1">
      <c r="B153" s="70"/>
      <c r="C153" s="661"/>
      <c r="D153" s="661"/>
      <c r="E153" s="661"/>
      <c r="F153" s="661"/>
      <c r="G153" s="661"/>
      <c r="H153" s="661"/>
      <c r="I153" s="661"/>
      <c r="J153" s="661"/>
      <c r="K153" s="661"/>
      <c r="L153" s="661"/>
      <c r="M153" s="70"/>
      <c r="P153" s="198">
        <v>2</v>
      </c>
      <c r="S153" s="46">
        <f t="shared" ref="S153:AB153" si="109">VLOOKUP(S$133&amp;"AllSex"&amp;"Non-Maori"&amp;19&amp;2,deptable,7,FALSE)</f>
        <v>68</v>
      </c>
      <c r="T153" s="46">
        <f t="shared" si="109"/>
        <v>78</v>
      </c>
      <c r="U153" s="46">
        <f t="shared" si="109"/>
        <v>81</v>
      </c>
      <c r="V153" s="46">
        <f t="shared" si="109"/>
        <v>78</v>
      </c>
      <c r="W153" s="46">
        <f t="shared" si="109"/>
        <v>59</v>
      </c>
      <c r="X153" s="46">
        <f t="shared" si="109"/>
        <v>75</v>
      </c>
      <c r="Y153" s="46">
        <f t="shared" si="109"/>
        <v>74</v>
      </c>
      <c r="Z153" s="46">
        <f t="shared" si="109"/>
        <v>68</v>
      </c>
      <c r="AA153" s="46">
        <f t="shared" si="109"/>
        <v>80</v>
      </c>
      <c r="AB153" s="46">
        <f t="shared" si="109"/>
        <v>65</v>
      </c>
      <c r="AK153" s="37"/>
      <c r="AL153" s="12"/>
      <c r="CH153" s="12"/>
    </row>
    <row r="154" spans="2:86">
      <c r="B154" s="70"/>
      <c r="C154" s="70"/>
      <c r="D154" s="70"/>
      <c r="E154" s="76" t="s">
        <v>31</v>
      </c>
      <c r="F154" s="70"/>
      <c r="G154" s="70"/>
      <c r="H154" s="70"/>
      <c r="I154" s="70"/>
      <c r="J154" s="76" t="s">
        <v>32</v>
      </c>
      <c r="K154" s="70"/>
      <c r="L154" s="70"/>
      <c r="M154" s="70"/>
      <c r="P154" s="198">
        <v>3</v>
      </c>
      <c r="S154" s="46">
        <f t="shared" ref="S154:AB154" si="110">VLOOKUP(S$133&amp;"AllSex"&amp;"Non-Maori"&amp;19&amp;3,deptable,7,FALSE)</f>
        <v>88</v>
      </c>
      <c r="T154" s="46">
        <f t="shared" si="110"/>
        <v>90</v>
      </c>
      <c r="U154" s="46">
        <f t="shared" si="110"/>
        <v>73</v>
      </c>
      <c r="V154" s="46">
        <f t="shared" si="110"/>
        <v>86</v>
      </c>
      <c r="W154" s="46">
        <f t="shared" si="110"/>
        <v>90</v>
      </c>
      <c r="X154" s="46">
        <f t="shared" si="110"/>
        <v>100</v>
      </c>
      <c r="Y154" s="46">
        <f t="shared" si="110"/>
        <v>87</v>
      </c>
      <c r="Z154" s="46">
        <f t="shared" si="110"/>
        <v>76</v>
      </c>
      <c r="AA154" s="46">
        <f t="shared" si="110"/>
        <v>74</v>
      </c>
      <c r="AB154" s="46">
        <f t="shared" si="110"/>
        <v>85</v>
      </c>
      <c r="AK154" s="37"/>
      <c r="AL154" s="12"/>
      <c r="CH154" s="12"/>
    </row>
    <row r="155" spans="2:86">
      <c r="B155" s="70"/>
      <c r="C155" s="70"/>
      <c r="D155" s="70"/>
      <c r="E155" s="70"/>
      <c r="F155" s="70"/>
      <c r="G155" s="70"/>
      <c r="H155" s="70"/>
      <c r="I155" s="70"/>
      <c r="J155" s="70"/>
      <c r="K155" s="70"/>
      <c r="L155" s="70"/>
      <c r="M155" s="70"/>
      <c r="P155" s="198">
        <v>4</v>
      </c>
      <c r="S155" s="46">
        <f t="shared" ref="S155:AB155" si="111">VLOOKUP(S$133&amp;"AllSex"&amp;"Non-Maori"&amp;19&amp;4,deptable,7,FALSE)</f>
        <v>93</v>
      </c>
      <c r="T155" s="46">
        <f t="shared" si="111"/>
        <v>81</v>
      </c>
      <c r="U155" s="46">
        <f t="shared" si="111"/>
        <v>110</v>
      </c>
      <c r="V155" s="46">
        <f t="shared" si="111"/>
        <v>95</v>
      </c>
      <c r="W155" s="46">
        <f t="shared" si="111"/>
        <v>69</v>
      </c>
      <c r="X155" s="46">
        <f t="shared" si="111"/>
        <v>102</v>
      </c>
      <c r="Y155" s="46">
        <f t="shared" si="111"/>
        <v>71</v>
      </c>
      <c r="Z155" s="46">
        <f t="shared" si="111"/>
        <v>101</v>
      </c>
      <c r="AA155" s="46">
        <f t="shared" si="111"/>
        <v>91</v>
      </c>
      <c r="AB155" s="46">
        <f t="shared" si="111"/>
        <v>115</v>
      </c>
      <c r="AK155" s="37"/>
      <c r="AL155" s="12"/>
      <c r="CH155" s="12"/>
    </row>
    <row r="156" spans="2:86">
      <c r="B156" s="70"/>
      <c r="C156" s="70"/>
      <c r="D156" s="70"/>
      <c r="E156" s="70"/>
      <c r="F156" s="70"/>
      <c r="G156" s="70"/>
      <c r="H156" s="70"/>
      <c r="I156" s="70"/>
      <c r="J156" s="70"/>
      <c r="K156" s="70"/>
      <c r="L156" s="70"/>
      <c r="M156" s="70"/>
      <c r="P156" s="198">
        <v>5</v>
      </c>
      <c r="S156" s="46">
        <f t="shared" ref="S156:AB156" si="112">VLOOKUP(S$133&amp;"AllSex"&amp;"Non-Maori"&amp;19&amp;5,deptable,7,FALSE)</f>
        <v>74</v>
      </c>
      <c r="T156" s="46">
        <f t="shared" si="112"/>
        <v>78</v>
      </c>
      <c r="U156" s="46">
        <f t="shared" si="112"/>
        <v>90</v>
      </c>
      <c r="V156" s="46">
        <f t="shared" si="112"/>
        <v>69</v>
      </c>
      <c r="W156" s="46">
        <f t="shared" si="112"/>
        <v>82</v>
      </c>
      <c r="X156" s="46">
        <f t="shared" si="112"/>
        <v>86</v>
      </c>
      <c r="Y156" s="46">
        <f t="shared" si="112"/>
        <v>80</v>
      </c>
      <c r="Z156" s="46">
        <f t="shared" si="112"/>
        <v>101</v>
      </c>
      <c r="AA156" s="46">
        <f t="shared" si="112"/>
        <v>82</v>
      </c>
      <c r="AB156" s="46">
        <f t="shared" si="112"/>
        <v>82</v>
      </c>
      <c r="AK156" s="37"/>
      <c r="AL156" s="12"/>
      <c r="CH156" s="12"/>
    </row>
    <row r="157" spans="2:86">
      <c r="B157" s="70"/>
      <c r="C157" s="70"/>
      <c r="D157" s="70"/>
      <c r="E157" s="70"/>
      <c r="F157" s="70"/>
      <c r="G157" s="70"/>
      <c r="H157" s="70"/>
      <c r="I157" s="70"/>
      <c r="J157" s="70"/>
      <c r="K157" s="70"/>
      <c r="L157" s="70"/>
      <c r="M157" s="70"/>
      <c r="P157" s="198" t="s">
        <v>75</v>
      </c>
      <c r="S157" s="46">
        <f t="shared" ref="S157:AB157" si="113">IFERROR(VLOOKUP(S$133&amp;"AllSex"&amp;"Non-maori"&amp;9,UnkDep,6,FALSE),0)</f>
        <v>21</v>
      </c>
      <c r="T157" s="46">
        <f t="shared" si="113"/>
        <v>24</v>
      </c>
      <c r="U157" s="46">
        <f t="shared" si="113"/>
        <v>5</v>
      </c>
      <c r="V157" s="46">
        <f t="shared" si="113"/>
        <v>16</v>
      </c>
      <c r="W157" s="46">
        <f t="shared" si="113"/>
        <v>13</v>
      </c>
      <c r="X157" s="46">
        <f t="shared" si="113"/>
        <v>18</v>
      </c>
      <c r="Y157" s="46">
        <f t="shared" si="113"/>
        <v>27</v>
      </c>
      <c r="Z157" s="46">
        <f t="shared" si="113"/>
        <v>16</v>
      </c>
      <c r="AA157" s="46">
        <f t="shared" si="113"/>
        <v>7</v>
      </c>
      <c r="AB157" s="46">
        <f t="shared" si="113"/>
        <v>2</v>
      </c>
      <c r="AK157" s="37"/>
      <c r="AL157" s="12"/>
      <c r="CH157" s="12"/>
    </row>
    <row r="158" spans="2:86">
      <c r="B158" s="70"/>
      <c r="C158" s="70"/>
      <c r="D158" s="70"/>
      <c r="E158" s="70"/>
      <c r="F158" s="70"/>
      <c r="G158" s="70"/>
      <c r="H158" s="70"/>
      <c r="I158" s="70"/>
      <c r="J158" s="70"/>
      <c r="K158" s="70"/>
      <c r="L158" s="70"/>
      <c r="M158" s="70"/>
      <c r="O158" s="26"/>
      <c r="P158" s="28"/>
      <c r="Q158" s="28"/>
      <c r="R158" s="28"/>
      <c r="S158" s="123"/>
      <c r="T158" s="123"/>
      <c r="U158" s="123"/>
      <c r="V158" s="123"/>
      <c r="W158" s="123"/>
      <c r="X158" s="123"/>
      <c r="Y158" s="123"/>
      <c r="Z158" s="123"/>
      <c r="AA158" s="123"/>
      <c r="AB158" s="123"/>
      <c r="AK158" s="37"/>
      <c r="AL158" s="12"/>
      <c r="CH158" s="12"/>
    </row>
    <row r="159" spans="2:86">
      <c r="B159" s="70"/>
      <c r="C159" s="70"/>
      <c r="D159" s="70"/>
      <c r="E159" s="70"/>
      <c r="F159" s="70"/>
      <c r="G159" s="70"/>
      <c r="H159" s="70"/>
      <c r="I159" s="70"/>
      <c r="J159" s="70"/>
      <c r="K159" s="70"/>
      <c r="L159" s="70"/>
      <c r="M159" s="70"/>
      <c r="O159" s="24" t="s">
        <v>0</v>
      </c>
      <c r="P159" s="25">
        <v>1</v>
      </c>
      <c r="Q159" s="25" t="s">
        <v>22</v>
      </c>
      <c r="S159" s="36">
        <f t="shared" ref="S159:AB159" si="114">VLOOKUP(S$133&amp;"AllSex"&amp;"Non-Maori"&amp;19&amp;1,deptable,8,FALSE)</f>
        <v>6.9943488715776398</v>
      </c>
      <c r="T159" s="36">
        <f t="shared" si="114"/>
        <v>9.9285873968282505</v>
      </c>
      <c r="U159" s="36">
        <f t="shared" si="114"/>
        <v>7.9174449503132198</v>
      </c>
      <c r="V159" s="36">
        <f t="shared" si="114"/>
        <v>10.4556809118773</v>
      </c>
      <c r="W159" s="36">
        <f t="shared" si="114"/>
        <v>7.7593299698986202</v>
      </c>
      <c r="X159" s="36">
        <f t="shared" si="114"/>
        <v>5.8373105320872503</v>
      </c>
      <c r="Y159" s="36">
        <f t="shared" si="114"/>
        <v>6.8863390180409496</v>
      </c>
      <c r="Z159" s="36">
        <f t="shared" si="114"/>
        <v>5.7323671865219996</v>
      </c>
      <c r="AA159" s="36">
        <f t="shared" si="114"/>
        <v>8.2228761833545203</v>
      </c>
      <c r="AB159" s="36">
        <f t="shared" si="114"/>
        <v>7.2380403122927603</v>
      </c>
      <c r="AK159" s="37"/>
      <c r="AL159" s="12"/>
      <c r="CH159" s="12"/>
    </row>
    <row r="160" spans="2:86">
      <c r="B160" s="70"/>
      <c r="C160" s="70"/>
      <c r="D160" s="70"/>
      <c r="E160" s="70"/>
      <c r="F160" s="70"/>
      <c r="G160" s="70"/>
      <c r="H160" s="70"/>
      <c r="I160" s="70"/>
      <c r="J160" s="70"/>
      <c r="K160" s="70"/>
      <c r="L160" s="70"/>
      <c r="M160" s="70"/>
      <c r="P160" s="25">
        <v>2</v>
      </c>
      <c r="S160" s="36">
        <f t="shared" ref="S160:AB160" si="115">VLOOKUP(S$133&amp;"AllSex"&amp;"Non-Maori"&amp;19&amp;2,deptable,8,FALSE)</f>
        <v>7.70857713977278</v>
      </c>
      <c r="T160" s="36">
        <f t="shared" si="115"/>
        <v>9.0240190540465299</v>
      </c>
      <c r="U160" s="36">
        <f t="shared" si="115"/>
        <v>9.2339983930278997</v>
      </c>
      <c r="V160" s="36">
        <f t="shared" si="115"/>
        <v>8.9807969074907099</v>
      </c>
      <c r="W160" s="36">
        <f t="shared" si="115"/>
        <v>7.1735157232694</v>
      </c>
      <c r="X160" s="36">
        <f t="shared" si="115"/>
        <v>8.4212610687443306</v>
      </c>
      <c r="Y160" s="36">
        <f t="shared" si="115"/>
        <v>7.75061254391865</v>
      </c>
      <c r="Z160" s="36">
        <f t="shared" si="115"/>
        <v>7.6072288012468299</v>
      </c>
      <c r="AA160" s="36">
        <f t="shared" si="115"/>
        <v>8.2412621593162996</v>
      </c>
      <c r="AB160" s="36">
        <f t="shared" si="115"/>
        <v>6.6096317313835504</v>
      </c>
      <c r="AK160" s="37"/>
      <c r="AL160" s="12"/>
      <c r="CH160" s="12"/>
    </row>
    <row r="161" spans="1:86">
      <c r="B161" s="70"/>
      <c r="C161" s="70"/>
      <c r="D161" s="70"/>
      <c r="E161" s="70"/>
      <c r="F161" s="70"/>
      <c r="G161" s="70"/>
      <c r="H161" s="70"/>
      <c r="I161" s="70"/>
      <c r="J161" s="70"/>
      <c r="K161" s="70"/>
      <c r="L161" s="70"/>
      <c r="M161" s="70"/>
      <c r="P161" s="25">
        <v>3</v>
      </c>
      <c r="S161" s="36">
        <f t="shared" ref="S161:AB161" si="116">VLOOKUP(S$133&amp;"AllSex"&amp;"Non-Maori"&amp;19&amp;3,deptable,8,FALSE)</f>
        <v>11.080984410546</v>
      </c>
      <c r="T161" s="36">
        <f t="shared" si="116"/>
        <v>11.173808666885</v>
      </c>
      <c r="U161" s="36">
        <f t="shared" si="116"/>
        <v>9.1279852968133408</v>
      </c>
      <c r="V161" s="36">
        <f t="shared" si="116"/>
        <v>10.527981699193599</v>
      </c>
      <c r="W161" s="36">
        <f t="shared" si="116"/>
        <v>10.666353724075799</v>
      </c>
      <c r="X161" s="36">
        <f t="shared" si="116"/>
        <v>12.2450346228781</v>
      </c>
      <c r="Y161" s="36">
        <f t="shared" si="116"/>
        <v>9.7238612561748106</v>
      </c>
      <c r="Z161" s="36">
        <f t="shared" si="116"/>
        <v>9.05209822465598</v>
      </c>
      <c r="AA161" s="36">
        <f t="shared" si="116"/>
        <v>8.3806808558893309</v>
      </c>
      <c r="AB161" s="36">
        <f t="shared" si="116"/>
        <v>8.9536734505989806</v>
      </c>
      <c r="AK161" s="37"/>
      <c r="AL161" s="12"/>
      <c r="CH161" s="12"/>
    </row>
    <row r="162" spans="1:86">
      <c r="B162" s="70"/>
      <c r="C162" s="70"/>
      <c r="D162" s="70"/>
      <c r="E162" s="70"/>
      <c r="F162" s="70"/>
      <c r="G162" s="70"/>
      <c r="H162" s="70"/>
      <c r="I162" s="70"/>
      <c r="J162" s="70"/>
      <c r="K162" s="70"/>
      <c r="L162" s="70"/>
      <c r="M162" s="70"/>
      <c r="P162" s="25">
        <v>4</v>
      </c>
      <c r="S162" s="36">
        <f t="shared" ref="S162:AB162" si="117">VLOOKUP(S$133&amp;"AllSex"&amp;"Non-Maori"&amp;19&amp;4,deptable,8,FALSE)</f>
        <v>12.2661593803128</v>
      </c>
      <c r="T162" s="36">
        <f t="shared" si="117"/>
        <v>11.021127423476001</v>
      </c>
      <c r="U162" s="36">
        <f t="shared" si="117"/>
        <v>14.5141755107568</v>
      </c>
      <c r="V162" s="36">
        <f t="shared" si="117"/>
        <v>11.896161889371299</v>
      </c>
      <c r="W162" s="36">
        <f t="shared" si="117"/>
        <v>9.1452574133930806</v>
      </c>
      <c r="X162" s="36">
        <f t="shared" si="117"/>
        <v>13.592609385810301</v>
      </c>
      <c r="Y162" s="36">
        <f t="shared" si="117"/>
        <v>9.19443356923286</v>
      </c>
      <c r="Z162" s="36">
        <f t="shared" si="117"/>
        <v>12.3127259713626</v>
      </c>
      <c r="AA162" s="36">
        <f t="shared" si="117"/>
        <v>11.200531176064599</v>
      </c>
      <c r="AB162" s="36">
        <f t="shared" si="117"/>
        <v>14.119167990118701</v>
      </c>
      <c r="AC162" s="12"/>
      <c r="AD162" s="12"/>
      <c r="AE162" s="12"/>
      <c r="AK162" s="37"/>
      <c r="AL162" s="12"/>
      <c r="CH162" s="12"/>
    </row>
    <row r="163" spans="1:86">
      <c r="B163" s="70"/>
      <c r="C163" s="70"/>
      <c r="D163" s="70"/>
      <c r="E163" s="70"/>
      <c r="F163" s="70"/>
      <c r="G163" s="70"/>
      <c r="H163" s="70"/>
      <c r="I163" s="70"/>
      <c r="J163" s="70"/>
      <c r="K163" s="70"/>
      <c r="L163" s="70"/>
      <c r="M163" s="70"/>
      <c r="P163" s="25">
        <v>5</v>
      </c>
      <c r="S163" s="36">
        <f t="shared" ref="S163:AB163" si="118">VLOOKUP(S$133&amp;"AllSex"&amp;"Non-Maori"&amp;19&amp;5,deptable,8,FALSE)</f>
        <v>12.587052355612199</v>
      </c>
      <c r="T163" s="36">
        <f t="shared" si="118"/>
        <v>12.896367785498301</v>
      </c>
      <c r="U163" s="36">
        <f t="shared" si="118"/>
        <v>15.407246316021901</v>
      </c>
      <c r="V163" s="36">
        <f t="shared" si="118"/>
        <v>11.9050077950544</v>
      </c>
      <c r="W163" s="36">
        <f t="shared" si="118"/>
        <v>13.367076753295001</v>
      </c>
      <c r="X163" s="36">
        <f t="shared" si="118"/>
        <v>13.792419367632601</v>
      </c>
      <c r="Y163" s="36">
        <f t="shared" si="118"/>
        <v>13.1094925994683</v>
      </c>
      <c r="Z163" s="36">
        <f t="shared" si="118"/>
        <v>15.6118360483781</v>
      </c>
      <c r="AA163" s="36">
        <f t="shared" si="118"/>
        <v>12.470200233423901</v>
      </c>
      <c r="AB163" s="36">
        <f t="shared" si="118"/>
        <v>12.177398547017299</v>
      </c>
      <c r="AK163" s="37"/>
      <c r="AL163" s="12"/>
      <c r="CH163" s="12"/>
    </row>
    <row r="164" spans="1:86">
      <c r="B164" s="70"/>
      <c r="C164" s="70"/>
      <c r="D164" s="70"/>
      <c r="E164" s="70"/>
      <c r="F164" s="70"/>
      <c r="G164" s="70"/>
      <c r="H164" s="70"/>
      <c r="I164" s="70"/>
      <c r="J164" s="70"/>
      <c r="K164" s="70"/>
      <c r="L164" s="70"/>
      <c r="M164" s="70"/>
      <c r="O164" s="12"/>
      <c r="P164" s="12"/>
      <c r="Q164" s="44"/>
      <c r="R164" s="12"/>
      <c r="S164" s="12"/>
      <c r="T164" s="12"/>
      <c r="U164" s="12"/>
      <c r="V164" s="12"/>
      <c r="W164" s="12"/>
      <c r="X164" s="12"/>
      <c r="Y164" s="12"/>
      <c r="Z164" s="12"/>
      <c r="AA164" s="12"/>
      <c r="AB164" s="12"/>
      <c r="CH164" s="12"/>
    </row>
    <row r="165" spans="1:86" ht="25.5" customHeight="1">
      <c r="B165" s="70"/>
      <c r="C165" s="255"/>
      <c r="D165" s="349"/>
      <c r="E165" s="352"/>
      <c r="F165" s="352"/>
      <c r="G165" s="346"/>
      <c r="H165" s="346"/>
      <c r="I165" s="346"/>
      <c r="J165" s="346"/>
      <c r="K165" s="346"/>
      <c r="L165" s="70"/>
      <c r="M165" s="70"/>
      <c r="O165" s="50" t="s">
        <v>99</v>
      </c>
      <c r="P165" s="50" t="s">
        <v>106</v>
      </c>
      <c r="Q165" s="193"/>
      <c r="R165" s="193"/>
      <c r="S165" s="167"/>
      <c r="T165" s="167"/>
      <c r="AC165" s="12"/>
    </row>
    <row r="166" spans="1:86">
      <c r="B166" s="70"/>
      <c r="C166" s="346"/>
      <c r="D166" s="665"/>
      <c r="E166" s="635"/>
      <c r="F166" s="635"/>
      <c r="G166" s="635"/>
      <c r="H166" s="635"/>
      <c r="I166" s="635"/>
      <c r="J166" s="635"/>
      <c r="K166" s="635"/>
      <c r="L166" s="70"/>
      <c r="M166" s="70"/>
      <c r="O166" s="50"/>
      <c r="P166" s="50" t="s">
        <v>401</v>
      </c>
      <c r="Q166" s="193"/>
      <c r="R166" s="193"/>
      <c r="S166" s="167"/>
      <c r="T166" s="167"/>
      <c r="AC166" s="12"/>
    </row>
    <row r="167" spans="1:86">
      <c r="B167" s="70"/>
      <c r="C167" s="421"/>
      <c r="D167" s="422"/>
      <c r="E167" s="420"/>
      <c r="F167" s="420"/>
      <c r="G167" s="420"/>
      <c r="H167" s="420"/>
      <c r="I167" s="420"/>
      <c r="J167" s="420"/>
      <c r="K167" s="420"/>
      <c r="L167" s="70"/>
      <c r="M167" s="70"/>
      <c r="O167" s="50"/>
      <c r="P167" s="50" t="s">
        <v>402</v>
      </c>
      <c r="Q167" s="193"/>
      <c r="R167" s="193"/>
      <c r="S167" s="167"/>
      <c r="T167" s="167"/>
      <c r="AD167" s="12"/>
      <c r="AE167" s="12"/>
      <c r="AF167" s="12"/>
    </row>
    <row r="168" spans="1:86" ht="13.5" customHeight="1">
      <c r="B168" s="70"/>
      <c r="C168" s="346"/>
      <c r="D168" s="349"/>
      <c r="E168" s="400" t="s">
        <v>33</v>
      </c>
      <c r="F168" s="346"/>
      <c r="G168" s="346"/>
      <c r="H168" s="346"/>
      <c r="I168" s="346"/>
      <c r="J168" s="400" t="s">
        <v>34</v>
      </c>
      <c r="K168" s="346"/>
      <c r="L168" s="70"/>
      <c r="M168" s="70"/>
      <c r="O168" s="12"/>
      <c r="P168" s="50" t="s">
        <v>343</v>
      </c>
      <c r="Q168" s="44"/>
      <c r="R168" s="12"/>
      <c r="S168" s="12"/>
      <c r="T168" s="12"/>
      <c r="U168" s="12"/>
      <c r="V168" s="12"/>
      <c r="W168" s="12"/>
      <c r="X168" s="12"/>
      <c r="Y168" s="12"/>
      <c r="Z168" s="12"/>
      <c r="AA168" s="12"/>
      <c r="AB168" s="12"/>
      <c r="AD168" s="12"/>
      <c r="AE168" s="12"/>
      <c r="AF168" s="12"/>
    </row>
    <row r="169" spans="1:86">
      <c r="A169" s="387"/>
      <c r="B169" s="70"/>
      <c r="C169" s="255"/>
      <c r="D169" s="255"/>
      <c r="E169" s="353"/>
      <c r="F169" s="353"/>
      <c r="G169" s="391"/>
      <c r="H169" s="391"/>
      <c r="I169" s="391"/>
      <c r="J169" s="391"/>
      <c r="K169" s="391"/>
      <c r="L169" s="70"/>
      <c r="M169" s="70"/>
      <c r="O169" s="50" t="s">
        <v>145</v>
      </c>
      <c r="P169" s="50" t="s">
        <v>146</v>
      </c>
      <c r="Q169" s="193"/>
      <c r="R169" s="193"/>
      <c r="S169" s="167"/>
      <c r="T169" s="167"/>
      <c r="AC169" s="229"/>
      <c r="AD169" s="119"/>
      <c r="AE169" s="119"/>
      <c r="AF169" s="119"/>
      <c r="AG169" s="119"/>
      <c r="AH169" s="119"/>
      <c r="AI169" s="119"/>
      <c r="AJ169" s="119"/>
    </row>
    <row r="170" spans="1:86">
      <c r="A170" s="387"/>
      <c r="B170" s="70"/>
      <c r="C170" s="70"/>
      <c r="D170" s="70"/>
      <c r="E170" s="70"/>
      <c r="F170" s="70"/>
      <c r="G170" s="70"/>
      <c r="H170" s="70"/>
      <c r="I170" s="70"/>
      <c r="J170" s="70"/>
      <c r="K170" s="70"/>
      <c r="L170" s="70"/>
      <c r="M170" s="70"/>
      <c r="O170" s="20"/>
      <c r="P170" s="20"/>
      <c r="Q170" s="43"/>
      <c r="R170" s="20"/>
      <c r="S170" s="20"/>
      <c r="T170" s="20"/>
      <c r="U170" s="20"/>
      <c r="V170" s="20"/>
      <c r="W170" s="20"/>
      <c r="X170" s="20"/>
      <c r="Y170" s="20"/>
      <c r="Z170" s="20"/>
      <c r="AA170" s="20"/>
      <c r="AB170" s="20"/>
      <c r="AC170" s="33"/>
      <c r="AD170" s="119"/>
      <c r="AE170" s="119"/>
      <c r="AF170" s="119"/>
    </row>
    <row r="171" spans="1:86">
      <c r="A171" s="387"/>
      <c r="B171" s="70"/>
      <c r="C171" s="70"/>
      <c r="D171" s="70"/>
      <c r="E171" s="70"/>
      <c r="F171" s="70"/>
      <c r="G171" s="70"/>
      <c r="H171" s="70"/>
      <c r="I171" s="70"/>
      <c r="J171" s="70"/>
      <c r="K171" s="70"/>
      <c r="L171" s="70"/>
      <c r="M171" s="70"/>
      <c r="O171" s="132"/>
      <c r="Q171" s="210"/>
      <c r="R171" s="210"/>
      <c r="S171" s="167"/>
      <c r="T171" s="167"/>
    </row>
    <row r="172" spans="1:86">
      <c r="A172" s="387"/>
      <c r="B172" s="70"/>
      <c r="C172" s="70"/>
      <c r="D172" s="70"/>
      <c r="E172" s="70"/>
      <c r="F172" s="70"/>
      <c r="G172" s="70"/>
      <c r="H172" s="70"/>
      <c r="I172" s="70"/>
      <c r="J172" s="70"/>
      <c r="K172" s="70"/>
      <c r="L172" s="70"/>
      <c r="M172" s="70"/>
      <c r="O172" s="132"/>
      <c r="P172" s="132"/>
      <c r="Q172" s="210"/>
      <c r="R172" s="210"/>
      <c r="S172" s="167"/>
      <c r="T172" s="167"/>
    </row>
    <row r="173" spans="1:86" ht="15">
      <c r="A173" s="387"/>
      <c r="B173" s="70"/>
      <c r="C173" s="660"/>
      <c r="D173" s="664"/>
      <c r="E173" s="664"/>
      <c r="F173" s="664"/>
      <c r="G173" s="664"/>
      <c r="H173" s="664"/>
      <c r="I173" s="664"/>
      <c r="J173" s="664"/>
      <c r="K173" s="664"/>
      <c r="L173" s="664"/>
      <c r="M173" s="70"/>
      <c r="P173" s="132"/>
    </row>
    <row r="174" spans="1:86">
      <c r="B174" s="70"/>
      <c r="C174" s="70"/>
      <c r="D174" s="70"/>
      <c r="E174" s="70"/>
      <c r="F174" s="70"/>
      <c r="G174" s="70"/>
      <c r="H174" s="70"/>
      <c r="I174" s="70"/>
      <c r="J174" s="70"/>
      <c r="K174" s="70"/>
      <c r="L174" s="70"/>
      <c r="M174" s="70"/>
      <c r="O174" s="12"/>
    </row>
    <row r="175" spans="1:86">
      <c r="B175" s="70"/>
      <c r="C175" s="70"/>
      <c r="D175" s="70"/>
      <c r="E175" s="70"/>
      <c r="F175" s="70"/>
      <c r="G175" s="70"/>
      <c r="H175" s="70"/>
      <c r="I175" s="70"/>
      <c r="J175" s="70"/>
      <c r="K175" s="70"/>
      <c r="L175" s="70"/>
      <c r="M175" s="70"/>
      <c r="O175" s="12"/>
      <c r="Q175" s="44"/>
      <c r="R175" s="44"/>
      <c r="S175" s="12"/>
      <c r="T175" s="12"/>
      <c r="U175" s="12"/>
      <c r="V175" s="12"/>
      <c r="W175" s="12"/>
      <c r="X175" s="12"/>
      <c r="Y175" s="12"/>
      <c r="Z175" s="12"/>
      <c r="AA175" s="12"/>
      <c r="AB175" s="12"/>
      <c r="AL175" s="46"/>
    </row>
    <row r="176" spans="1:86">
      <c r="B176" s="70"/>
      <c r="C176" s="70"/>
      <c r="D176" s="70"/>
      <c r="E176" s="70"/>
      <c r="F176" s="70"/>
      <c r="G176" s="70"/>
      <c r="H176" s="70"/>
      <c r="I176" s="70"/>
      <c r="J176" s="70"/>
      <c r="K176" s="70"/>
      <c r="L176" s="70"/>
      <c r="M176" s="70"/>
      <c r="P176" s="12"/>
    </row>
    <row r="177" spans="2:40">
      <c r="B177" s="70"/>
      <c r="C177" s="70"/>
      <c r="D177" s="70"/>
      <c r="E177" s="70"/>
      <c r="F177" s="70"/>
      <c r="G177" s="70"/>
      <c r="H177" s="70"/>
      <c r="I177" s="70"/>
      <c r="J177" s="70"/>
      <c r="K177" s="70"/>
      <c r="L177" s="70"/>
      <c r="M177" s="70"/>
    </row>
    <row r="178" spans="2:40">
      <c r="B178" s="70"/>
      <c r="C178" s="70"/>
      <c r="D178" s="70"/>
      <c r="E178" s="70"/>
      <c r="F178" s="70"/>
      <c r="G178" s="70"/>
      <c r="H178" s="70"/>
      <c r="I178" s="70"/>
      <c r="J178" s="70"/>
      <c r="K178" s="70"/>
      <c r="L178" s="70"/>
      <c r="M178" s="70"/>
    </row>
    <row r="179" spans="2:40" ht="18" customHeight="1">
      <c r="B179" s="70"/>
      <c r="C179" s="70"/>
      <c r="D179" s="70"/>
      <c r="E179" s="79"/>
      <c r="F179" s="79"/>
      <c r="G179" s="70"/>
      <c r="H179" s="70"/>
      <c r="I179" s="70"/>
      <c r="J179" s="70"/>
      <c r="K179" s="70"/>
      <c r="L179" s="70"/>
      <c r="M179" s="70"/>
    </row>
    <row r="180" spans="2:40">
      <c r="B180" s="70"/>
      <c r="C180" s="78" t="s">
        <v>99</v>
      </c>
      <c r="D180" s="81" t="s">
        <v>106</v>
      </c>
      <c r="E180" s="70"/>
      <c r="F180" s="70"/>
      <c r="G180" s="70"/>
      <c r="H180" s="70"/>
      <c r="I180" s="70"/>
      <c r="J180" s="70"/>
      <c r="K180" s="70"/>
      <c r="L180" s="70"/>
      <c r="M180" s="70"/>
    </row>
    <row r="181" spans="2:40">
      <c r="B181" s="70"/>
      <c r="C181" s="70"/>
      <c r="D181" s="81" t="s">
        <v>419</v>
      </c>
      <c r="E181" s="70"/>
      <c r="F181" s="70"/>
      <c r="G181" s="70"/>
      <c r="H181" s="70"/>
      <c r="I181" s="70"/>
      <c r="J181" s="70"/>
      <c r="K181" s="70"/>
      <c r="L181" s="70"/>
      <c r="M181" s="70"/>
    </row>
    <row r="182" spans="2:40" ht="12" customHeight="1">
      <c r="B182" s="70"/>
      <c r="C182" s="70"/>
      <c r="D182" s="81" t="s">
        <v>418</v>
      </c>
      <c r="E182" s="70"/>
      <c r="F182" s="70"/>
      <c r="G182" s="70"/>
      <c r="H182" s="70"/>
      <c r="I182" s="70"/>
      <c r="J182" s="70"/>
      <c r="K182" s="70"/>
      <c r="L182" s="70"/>
      <c r="M182" s="70"/>
    </row>
    <row r="183" spans="2:40">
      <c r="B183" s="70"/>
      <c r="C183" s="70"/>
      <c r="D183" s="81" t="s">
        <v>343</v>
      </c>
      <c r="E183" s="77"/>
      <c r="F183" s="77"/>
      <c r="G183" s="70"/>
      <c r="H183" s="70"/>
      <c r="I183" s="70"/>
      <c r="J183" s="70"/>
      <c r="K183" s="70"/>
      <c r="L183" s="70"/>
      <c r="M183" s="70"/>
    </row>
    <row r="184" spans="2:40">
      <c r="B184" s="70"/>
      <c r="C184" s="78" t="s">
        <v>145</v>
      </c>
      <c r="D184" s="78" t="s">
        <v>146</v>
      </c>
      <c r="E184" s="70"/>
      <c r="F184" s="70"/>
      <c r="G184" s="70"/>
      <c r="H184" s="70"/>
      <c r="I184" s="70"/>
      <c r="J184" s="70"/>
      <c r="K184" s="70"/>
      <c r="L184" s="70"/>
      <c r="M184" s="70"/>
    </row>
    <row r="185" spans="2:40">
      <c r="B185" s="70"/>
      <c r="C185" s="70"/>
      <c r="D185" s="70"/>
      <c r="E185" s="70"/>
      <c r="F185" s="70"/>
      <c r="G185" s="70"/>
      <c r="H185" s="70"/>
      <c r="I185" s="70"/>
      <c r="J185" s="70"/>
      <c r="K185" s="70"/>
      <c r="L185" s="70"/>
      <c r="M185" s="70"/>
    </row>
    <row r="186" spans="2:40">
      <c r="B186" s="387"/>
      <c r="C186" s="387"/>
      <c r="D186" s="387"/>
      <c r="E186" s="387"/>
      <c r="F186" s="387"/>
      <c r="G186" s="387"/>
      <c r="H186" s="387"/>
      <c r="I186" s="387"/>
      <c r="J186" s="387"/>
      <c r="K186" s="387"/>
      <c r="L186" s="387"/>
      <c r="M186" s="387"/>
    </row>
    <row r="187" spans="2:40">
      <c r="B187" s="387"/>
      <c r="C187" s="387"/>
      <c r="D187" s="387"/>
      <c r="E187" s="387"/>
      <c r="F187" s="387"/>
      <c r="G187" s="387"/>
      <c r="H187" s="387"/>
      <c r="I187" s="387"/>
      <c r="J187" s="387"/>
      <c r="K187" s="387"/>
      <c r="L187" s="387"/>
      <c r="M187" s="387"/>
      <c r="N187" s="435" t="s">
        <v>153</v>
      </c>
    </row>
    <row r="188" spans="2:40">
      <c r="B188" s="387"/>
      <c r="C188" s="387"/>
      <c r="D188" s="387"/>
      <c r="E188" s="387"/>
      <c r="F188" s="387"/>
      <c r="G188" s="387"/>
      <c r="H188" s="387"/>
      <c r="I188" s="387"/>
      <c r="J188" s="387"/>
      <c r="K188" s="387"/>
      <c r="L188" s="387"/>
      <c r="M188" s="387"/>
    </row>
    <row r="189" spans="2:40">
      <c r="B189" s="174"/>
    </row>
    <row r="190" spans="2:40" ht="13.5">
      <c r="O190" s="653" t="s">
        <v>515</v>
      </c>
      <c r="P190" s="635"/>
      <c r="Q190" s="635"/>
      <c r="R190" s="635"/>
      <c r="S190" s="635"/>
      <c r="T190" s="635"/>
      <c r="U190" s="635"/>
      <c r="V190" s="635"/>
      <c r="W190" s="635"/>
      <c r="X190" s="635"/>
      <c r="Y190" s="635"/>
      <c r="Z190" s="635"/>
      <c r="AA190" s="635"/>
      <c r="AB190" s="635"/>
      <c r="AC190" s="635"/>
      <c r="AD190" s="635"/>
      <c r="AE190" s="635"/>
      <c r="AF190" s="635"/>
      <c r="AG190" s="635"/>
      <c r="AH190" s="635"/>
      <c r="AI190" s="635"/>
      <c r="AJ190" s="635"/>
      <c r="AK190" s="635"/>
      <c r="AL190" s="635"/>
      <c r="AM190" s="635"/>
      <c r="AN190" s="635"/>
    </row>
    <row r="191" spans="2:40" ht="15.75" customHeight="1">
      <c r="C191" s="39" t="s">
        <v>403</v>
      </c>
      <c r="D191" s="387"/>
      <c r="E191" s="387"/>
      <c r="F191" s="387"/>
      <c r="G191" s="387"/>
      <c r="H191" s="387"/>
      <c r="I191" s="387"/>
      <c r="J191" s="387"/>
      <c r="K191" s="387"/>
      <c r="L191" s="387"/>
      <c r="M191" s="387"/>
      <c r="P191" s="573"/>
    </row>
    <row r="192" spans="2:40" ht="13.5" customHeight="1">
      <c r="C192" s="174"/>
      <c r="D192" s="174"/>
      <c r="E192" s="174"/>
      <c r="F192" s="174"/>
      <c r="G192" s="174"/>
      <c r="H192" s="174"/>
      <c r="I192" s="174"/>
      <c r="J192" s="174"/>
      <c r="K192" s="174"/>
      <c r="L192" s="174"/>
      <c r="M192" s="174"/>
      <c r="O192" s="22" t="s">
        <v>3</v>
      </c>
      <c r="R192" s="25"/>
      <c r="S192" s="46"/>
      <c r="T192" s="46"/>
      <c r="U192" s="46"/>
      <c r="V192" s="46"/>
      <c r="W192" s="46"/>
      <c r="X192" s="46"/>
      <c r="Y192" s="46"/>
      <c r="Z192" s="46"/>
      <c r="AA192" s="46"/>
      <c r="AB192" s="46"/>
    </row>
    <row r="193" spans="2:40" ht="33.75" customHeight="1">
      <c r="C193" s="656" t="s">
        <v>296</v>
      </c>
      <c r="D193" s="658"/>
      <c r="E193" s="658"/>
      <c r="F193" s="658"/>
      <c r="G193" s="658"/>
      <c r="H193" s="658"/>
      <c r="I193" s="658"/>
      <c r="J193" s="658"/>
      <c r="K193" s="658"/>
      <c r="L193" s="658"/>
      <c r="M193" s="174"/>
      <c r="N193" s="174"/>
      <c r="O193" s="22" t="s">
        <v>1</v>
      </c>
      <c r="Q193" s="120"/>
      <c r="R193" s="120" t="s">
        <v>50</v>
      </c>
      <c r="T193" s="48">
        <v>1996</v>
      </c>
      <c r="U193" s="48">
        <v>1997</v>
      </c>
      <c r="V193" s="48">
        <v>1998</v>
      </c>
      <c r="W193" s="48">
        <v>1999</v>
      </c>
      <c r="X193" s="48">
        <v>2000</v>
      </c>
      <c r="Y193" s="48">
        <v>2001</v>
      </c>
      <c r="Z193" s="48">
        <v>2002</v>
      </c>
      <c r="AA193" s="48">
        <v>2003</v>
      </c>
      <c r="AB193" s="48">
        <v>2004</v>
      </c>
      <c r="AC193" s="48">
        <v>2005</v>
      </c>
      <c r="AD193" s="48">
        <v>2006</v>
      </c>
      <c r="AE193" s="48">
        <v>2007</v>
      </c>
      <c r="AF193" s="48">
        <v>2008</v>
      </c>
      <c r="AG193" s="48">
        <v>2009</v>
      </c>
      <c r="AH193" s="48">
        <v>2010</v>
      </c>
      <c r="AI193" s="48">
        <v>2011</v>
      </c>
      <c r="AJ193" s="48">
        <v>2012</v>
      </c>
      <c r="AK193" s="48">
        <v>2013</v>
      </c>
      <c r="AL193" s="48">
        <v>2014</v>
      </c>
      <c r="AM193" s="48">
        <v>2015</v>
      </c>
      <c r="AN193" s="48">
        <v>2016</v>
      </c>
    </row>
    <row r="194" spans="2:40">
      <c r="P194" s="22" t="s">
        <v>37</v>
      </c>
      <c r="R194" s="25"/>
      <c r="T194" s="46"/>
      <c r="U194" s="46"/>
      <c r="V194" s="46"/>
      <c r="W194" s="46"/>
      <c r="X194" s="46"/>
      <c r="Y194" s="46"/>
      <c r="Z194" s="46"/>
      <c r="AA194" s="46"/>
      <c r="AB194" s="46"/>
      <c r="AL194" s="46"/>
      <c r="AM194" s="46"/>
      <c r="AN194" s="46"/>
    </row>
    <row r="195" spans="2:40" ht="28.5" customHeight="1">
      <c r="B195" s="70"/>
      <c r="C195" s="70"/>
      <c r="D195" s="70"/>
      <c r="E195" s="70"/>
      <c r="F195" s="70"/>
      <c r="G195" s="70"/>
      <c r="H195" s="70"/>
      <c r="I195" s="70"/>
      <c r="J195" s="70"/>
      <c r="K195" s="70"/>
      <c r="L195" s="70"/>
      <c r="M195" s="70"/>
      <c r="O195" s="24" t="s">
        <v>0</v>
      </c>
      <c r="P195" s="24" t="s">
        <v>9</v>
      </c>
      <c r="Q195" s="25" t="s">
        <v>51</v>
      </c>
      <c r="R195" s="25" t="s">
        <v>43</v>
      </c>
      <c r="T195" s="36">
        <f t="shared" ref="T195:AC202" si="119">IFERROR(VLOOKUP(T$193&amp;"AllSex"&amp;"Maori"&amp;19&amp;$R195,Methodstable,9,FALSE),"0.0")</f>
        <v>68</v>
      </c>
      <c r="U195" s="36">
        <f t="shared" si="119"/>
        <v>66</v>
      </c>
      <c r="V195" s="36">
        <f t="shared" si="119"/>
        <v>66.099999999999994</v>
      </c>
      <c r="W195" s="36">
        <f t="shared" si="119"/>
        <v>74.7</v>
      </c>
      <c r="X195" s="36">
        <f t="shared" si="119"/>
        <v>73.8</v>
      </c>
      <c r="Y195" s="36">
        <f t="shared" si="119"/>
        <v>70.900000000000006</v>
      </c>
      <c r="Z195" s="36">
        <f t="shared" si="119"/>
        <v>76.2</v>
      </c>
      <c r="AA195" s="36">
        <f t="shared" si="119"/>
        <v>78.2</v>
      </c>
      <c r="AB195" s="36">
        <f t="shared" si="119"/>
        <v>82.9</v>
      </c>
      <c r="AC195" s="36">
        <f t="shared" si="119"/>
        <v>75.2</v>
      </c>
      <c r="AD195" s="36">
        <f t="shared" ref="AD195:AN202" si="120">IFERROR(VLOOKUP(AD$193&amp;"AllSex"&amp;"Maori"&amp;19&amp;$R195,Methodstable,9,FALSE),"0.0")</f>
        <v>75</v>
      </c>
      <c r="AE195" s="36">
        <f t="shared" si="120"/>
        <v>73.2</v>
      </c>
      <c r="AF195" s="36">
        <f t="shared" si="120"/>
        <v>87.4</v>
      </c>
      <c r="AG195" s="36">
        <f t="shared" si="120"/>
        <v>84.3</v>
      </c>
      <c r="AH195" s="36">
        <f t="shared" si="120"/>
        <v>76.5</v>
      </c>
      <c r="AI195" s="36">
        <f t="shared" si="120"/>
        <v>85</v>
      </c>
      <c r="AJ195" s="36">
        <f t="shared" si="120"/>
        <v>89</v>
      </c>
      <c r="AK195" s="36">
        <f t="shared" si="120"/>
        <v>80.8</v>
      </c>
      <c r="AL195" s="36">
        <f t="shared" si="120"/>
        <v>83.9</v>
      </c>
      <c r="AM195" s="36">
        <f t="shared" si="120"/>
        <v>89</v>
      </c>
      <c r="AN195" s="36">
        <f t="shared" si="120"/>
        <v>84.4</v>
      </c>
    </row>
    <row r="196" spans="2:40" ht="15">
      <c r="B196" s="70"/>
      <c r="C196" s="88" t="s">
        <v>512</v>
      </c>
      <c r="D196" s="70"/>
      <c r="E196" s="70"/>
      <c r="F196" s="70"/>
      <c r="G196" s="70"/>
      <c r="H196" s="70"/>
      <c r="I196" s="70"/>
      <c r="J196" s="70"/>
      <c r="K196" s="70"/>
      <c r="L196" s="70"/>
      <c r="M196" s="70"/>
      <c r="R196" s="25" t="s">
        <v>46</v>
      </c>
      <c r="T196" s="36">
        <f t="shared" si="119"/>
        <v>10.3</v>
      </c>
      <c r="U196" s="36">
        <f t="shared" si="119"/>
        <v>7.5</v>
      </c>
      <c r="V196" s="36">
        <f t="shared" si="119"/>
        <v>8</v>
      </c>
      <c r="W196" s="36">
        <f t="shared" si="119"/>
        <v>6.3</v>
      </c>
      <c r="X196" s="36">
        <f t="shared" si="119"/>
        <v>8.8000000000000007</v>
      </c>
      <c r="Y196" s="36">
        <f t="shared" si="119"/>
        <v>13.9</v>
      </c>
      <c r="Z196" s="36">
        <f t="shared" si="119"/>
        <v>10</v>
      </c>
      <c r="AA196" s="36">
        <f t="shared" si="119"/>
        <v>8</v>
      </c>
      <c r="AB196" s="36">
        <f t="shared" si="119"/>
        <v>2.7</v>
      </c>
      <c r="AC196" s="36">
        <f t="shared" si="119"/>
        <v>10.5</v>
      </c>
      <c r="AD196" s="36">
        <f t="shared" si="120"/>
        <v>6.5</v>
      </c>
      <c r="AE196" s="36">
        <f t="shared" si="120"/>
        <v>6.2</v>
      </c>
      <c r="AF196" s="36">
        <f t="shared" si="120"/>
        <v>2.2999999999999998</v>
      </c>
      <c r="AG196" s="36">
        <f t="shared" si="120"/>
        <v>3.6</v>
      </c>
      <c r="AH196" s="36">
        <f t="shared" si="120"/>
        <v>3.9</v>
      </c>
      <c r="AI196" s="36">
        <f t="shared" si="120"/>
        <v>4.4000000000000004</v>
      </c>
      <c r="AJ196" s="36">
        <f t="shared" si="120"/>
        <v>1.7</v>
      </c>
      <c r="AK196" s="36">
        <f t="shared" si="120"/>
        <v>4.8</v>
      </c>
      <c r="AL196" s="36">
        <f t="shared" si="120"/>
        <v>2.2000000000000002</v>
      </c>
      <c r="AM196" s="36">
        <f t="shared" si="120"/>
        <v>3.4</v>
      </c>
      <c r="AN196" s="36">
        <f t="shared" si="120"/>
        <v>2.2000000000000002</v>
      </c>
    </row>
    <row r="197" spans="2:40" ht="15">
      <c r="B197" s="70"/>
      <c r="C197" s="88"/>
      <c r="D197" s="70"/>
      <c r="E197" s="70"/>
      <c r="F197" s="70"/>
      <c r="G197" s="70"/>
      <c r="H197" s="70"/>
      <c r="I197" s="70"/>
      <c r="J197" s="70"/>
      <c r="K197" s="70"/>
      <c r="L197" s="70"/>
      <c r="M197" s="70"/>
      <c r="R197" s="25" t="s">
        <v>47</v>
      </c>
      <c r="T197" s="36">
        <f t="shared" si="119"/>
        <v>11.3</v>
      </c>
      <c r="U197" s="36">
        <f t="shared" si="119"/>
        <v>10.4</v>
      </c>
      <c r="V197" s="36">
        <f t="shared" si="119"/>
        <v>8.9</v>
      </c>
      <c r="W197" s="36">
        <f t="shared" si="119"/>
        <v>6.3</v>
      </c>
      <c r="X197" s="36">
        <f t="shared" si="119"/>
        <v>5</v>
      </c>
      <c r="Y197" s="36">
        <f t="shared" si="119"/>
        <v>5.0999999999999996</v>
      </c>
      <c r="Z197" s="36">
        <f t="shared" si="119"/>
        <v>6.2</v>
      </c>
      <c r="AA197" s="36">
        <f t="shared" si="119"/>
        <v>1.1000000000000001</v>
      </c>
      <c r="AB197" s="36">
        <f t="shared" si="119"/>
        <v>5.4</v>
      </c>
      <c r="AC197" s="36">
        <f t="shared" si="119"/>
        <v>2.9</v>
      </c>
      <c r="AD197" s="36">
        <f t="shared" si="120"/>
        <v>4.5999999999999996</v>
      </c>
      <c r="AE197" s="36">
        <f t="shared" si="120"/>
        <v>9.3000000000000007</v>
      </c>
      <c r="AF197" s="36">
        <f t="shared" si="120"/>
        <v>3.4</v>
      </c>
      <c r="AG197" s="36">
        <f t="shared" si="120"/>
        <v>4.8</v>
      </c>
      <c r="AH197" s="36">
        <f t="shared" si="120"/>
        <v>10.8</v>
      </c>
      <c r="AI197" s="36">
        <f t="shared" si="120"/>
        <v>2.7</v>
      </c>
      <c r="AJ197" s="36">
        <f t="shared" si="120"/>
        <v>1.7</v>
      </c>
      <c r="AK197" s="36">
        <f t="shared" si="120"/>
        <v>5.8</v>
      </c>
      <c r="AL197" s="36">
        <f t="shared" si="120"/>
        <v>7.5</v>
      </c>
      <c r="AM197" s="36">
        <f t="shared" si="120"/>
        <v>1.7</v>
      </c>
      <c r="AN197" s="36">
        <f t="shared" si="120"/>
        <v>5.9</v>
      </c>
    </row>
    <row r="198" spans="2:40" ht="15">
      <c r="B198" s="70"/>
      <c r="C198" s="88"/>
      <c r="D198" s="70"/>
      <c r="E198" s="70"/>
      <c r="F198" s="70"/>
      <c r="G198" s="70"/>
      <c r="H198" s="70"/>
      <c r="I198" s="70"/>
      <c r="J198" s="70"/>
      <c r="K198" s="70"/>
      <c r="L198" s="70"/>
      <c r="M198" s="70"/>
      <c r="R198" s="25" t="s">
        <v>42</v>
      </c>
      <c r="T198" s="36">
        <f t="shared" si="119"/>
        <v>4.0999999999999996</v>
      </c>
      <c r="U198" s="36">
        <f t="shared" si="119"/>
        <v>7.5</v>
      </c>
      <c r="V198" s="36">
        <f t="shared" si="119"/>
        <v>8.9</v>
      </c>
      <c r="W198" s="36">
        <f t="shared" si="119"/>
        <v>2.5</v>
      </c>
      <c r="X198" s="36">
        <f t="shared" si="119"/>
        <v>5</v>
      </c>
      <c r="Y198" s="36">
        <f t="shared" si="119"/>
        <v>5.0999999999999996</v>
      </c>
      <c r="Z198" s="36">
        <f t="shared" si="119"/>
        <v>5</v>
      </c>
      <c r="AA198" s="36">
        <f t="shared" si="119"/>
        <v>4.5999999999999996</v>
      </c>
      <c r="AB198" s="36">
        <f t="shared" si="119"/>
        <v>3.6</v>
      </c>
      <c r="AC198" s="36">
        <f t="shared" si="119"/>
        <v>6.7</v>
      </c>
      <c r="AD198" s="36">
        <f t="shared" si="120"/>
        <v>5.6</v>
      </c>
      <c r="AE198" s="36">
        <f t="shared" si="120"/>
        <v>6.2</v>
      </c>
      <c r="AF198" s="36">
        <f t="shared" si="120"/>
        <v>3.4</v>
      </c>
      <c r="AG198" s="36">
        <f t="shared" si="120"/>
        <v>3.6</v>
      </c>
      <c r="AH198" s="36">
        <f t="shared" si="120"/>
        <v>3.9</v>
      </c>
      <c r="AI198" s="36">
        <f t="shared" si="120"/>
        <v>1.8</v>
      </c>
      <c r="AJ198" s="36">
        <f t="shared" si="120"/>
        <v>4.2</v>
      </c>
      <c r="AK198" s="36">
        <f t="shared" si="120"/>
        <v>1.9</v>
      </c>
      <c r="AL198" s="36">
        <f t="shared" si="120"/>
        <v>1.1000000000000001</v>
      </c>
      <c r="AM198" s="36">
        <f t="shared" si="120"/>
        <v>0.8</v>
      </c>
      <c r="AN198" s="36">
        <f t="shared" si="120"/>
        <v>2.2000000000000002</v>
      </c>
    </row>
    <row r="199" spans="2:40" ht="15">
      <c r="B199" s="70"/>
      <c r="C199" s="88"/>
      <c r="D199" s="70"/>
      <c r="E199" s="70"/>
      <c r="F199" s="70"/>
      <c r="G199" s="70"/>
      <c r="H199" s="70"/>
      <c r="I199" s="70"/>
      <c r="J199" s="70"/>
      <c r="K199" s="70"/>
      <c r="L199" s="70"/>
      <c r="M199" s="70"/>
      <c r="R199" s="25" t="s">
        <v>44</v>
      </c>
      <c r="T199" s="36">
        <f t="shared" si="119"/>
        <v>1</v>
      </c>
      <c r="U199" s="36">
        <f t="shared" si="119"/>
        <v>0.9</v>
      </c>
      <c r="V199" s="36">
        <f t="shared" si="119"/>
        <v>1.8</v>
      </c>
      <c r="W199" s="36">
        <f t="shared" si="119"/>
        <v>2.5</v>
      </c>
      <c r="X199" s="36">
        <f t="shared" si="119"/>
        <v>2.5</v>
      </c>
      <c r="Y199" s="36">
        <f t="shared" si="119"/>
        <v>1.3</v>
      </c>
      <c r="Z199" s="36">
        <f t="shared" si="119"/>
        <v>1.2</v>
      </c>
      <c r="AA199" s="36">
        <f t="shared" si="119"/>
        <v>4.5999999999999996</v>
      </c>
      <c r="AB199" s="36" t="str">
        <f t="shared" si="119"/>
        <v>0.0</v>
      </c>
      <c r="AC199" s="36">
        <f t="shared" si="119"/>
        <v>1.9</v>
      </c>
      <c r="AD199" s="36">
        <f t="shared" si="120"/>
        <v>0.9</v>
      </c>
      <c r="AE199" s="36">
        <f t="shared" si="120"/>
        <v>1</v>
      </c>
      <c r="AF199" s="36" t="str">
        <f t="shared" si="120"/>
        <v>0.0</v>
      </c>
      <c r="AG199" s="36">
        <f t="shared" si="120"/>
        <v>3.6</v>
      </c>
      <c r="AH199" s="36">
        <f t="shared" si="120"/>
        <v>1</v>
      </c>
      <c r="AI199" s="36">
        <f t="shared" si="120"/>
        <v>1.8</v>
      </c>
      <c r="AJ199" s="36">
        <f t="shared" si="120"/>
        <v>0.8</v>
      </c>
      <c r="AK199" s="36">
        <f t="shared" si="120"/>
        <v>1.9</v>
      </c>
      <c r="AL199" s="36">
        <f t="shared" si="120"/>
        <v>1.1000000000000001</v>
      </c>
      <c r="AM199" s="36" t="str">
        <f t="shared" si="120"/>
        <v>0.0</v>
      </c>
      <c r="AN199" s="36">
        <f t="shared" si="120"/>
        <v>3</v>
      </c>
    </row>
    <row r="200" spans="2:40">
      <c r="B200" s="70"/>
      <c r="C200" s="70"/>
      <c r="D200" s="70"/>
      <c r="E200" s="70"/>
      <c r="F200" s="70"/>
      <c r="G200" s="70"/>
      <c r="H200" s="70"/>
      <c r="I200" s="70"/>
      <c r="J200" s="70"/>
      <c r="K200" s="70"/>
      <c r="L200" s="70"/>
      <c r="M200" s="70"/>
      <c r="R200" s="25" t="s">
        <v>49</v>
      </c>
      <c r="T200" s="36" t="str">
        <f t="shared" si="119"/>
        <v>0.0</v>
      </c>
      <c r="U200" s="36">
        <f t="shared" si="119"/>
        <v>1.9</v>
      </c>
      <c r="V200" s="36" t="str">
        <f t="shared" si="119"/>
        <v>0.0</v>
      </c>
      <c r="W200" s="36" t="str">
        <f t="shared" si="119"/>
        <v>0.0</v>
      </c>
      <c r="X200" s="36">
        <f t="shared" si="119"/>
        <v>1.2</v>
      </c>
      <c r="Y200" s="36" t="str">
        <f t="shared" si="119"/>
        <v>0.0</v>
      </c>
      <c r="Z200" s="36" t="str">
        <f t="shared" si="119"/>
        <v>0.0</v>
      </c>
      <c r="AA200" s="36" t="str">
        <f t="shared" si="119"/>
        <v>0.0</v>
      </c>
      <c r="AB200" s="36">
        <f t="shared" si="119"/>
        <v>1.8</v>
      </c>
      <c r="AC200" s="36" t="str">
        <f t="shared" si="119"/>
        <v>0.0</v>
      </c>
      <c r="AD200" s="36">
        <f t="shared" si="120"/>
        <v>0.9</v>
      </c>
      <c r="AE200" s="36">
        <f t="shared" si="120"/>
        <v>2.1</v>
      </c>
      <c r="AF200" s="36" t="str">
        <f t="shared" si="120"/>
        <v>0.0</v>
      </c>
      <c r="AG200" s="36" t="str">
        <f t="shared" si="120"/>
        <v>0.0</v>
      </c>
      <c r="AH200" s="36" t="str">
        <f t="shared" si="120"/>
        <v>0.0</v>
      </c>
      <c r="AI200" s="36">
        <f t="shared" si="120"/>
        <v>0.9</v>
      </c>
      <c r="AJ200" s="36" t="str">
        <f t="shared" si="120"/>
        <v>0.0</v>
      </c>
      <c r="AK200" s="36" t="str">
        <f t="shared" si="120"/>
        <v>0.0</v>
      </c>
      <c r="AL200" s="36">
        <f t="shared" si="120"/>
        <v>1.1000000000000001</v>
      </c>
      <c r="AM200" s="36">
        <f t="shared" si="120"/>
        <v>1.7</v>
      </c>
      <c r="AN200" s="36" t="str">
        <f t="shared" si="120"/>
        <v>0.0</v>
      </c>
    </row>
    <row r="201" spans="2:40">
      <c r="B201" s="70"/>
      <c r="C201" s="70"/>
      <c r="D201" s="76" t="s">
        <v>88</v>
      </c>
      <c r="E201" s="70"/>
      <c r="F201" s="70"/>
      <c r="G201" s="70"/>
      <c r="H201" s="70"/>
      <c r="I201" s="76" t="s">
        <v>91</v>
      </c>
      <c r="J201" s="70"/>
      <c r="K201" s="70"/>
      <c r="L201" s="70"/>
      <c r="M201" s="70"/>
      <c r="R201" s="25" t="s">
        <v>48</v>
      </c>
      <c r="T201" s="36">
        <f t="shared" si="119"/>
        <v>3.1</v>
      </c>
      <c r="U201" s="36">
        <f t="shared" si="119"/>
        <v>0.9</v>
      </c>
      <c r="V201" s="36">
        <f t="shared" si="119"/>
        <v>0.9</v>
      </c>
      <c r="W201" s="36" t="str">
        <f t="shared" si="119"/>
        <v>0.0</v>
      </c>
      <c r="X201" s="36" t="str">
        <f t="shared" si="119"/>
        <v>0.0</v>
      </c>
      <c r="Y201" s="36">
        <f t="shared" si="119"/>
        <v>1.3</v>
      </c>
      <c r="Z201" s="36">
        <f t="shared" si="119"/>
        <v>1.2</v>
      </c>
      <c r="AA201" s="36">
        <f t="shared" si="119"/>
        <v>1.1000000000000001</v>
      </c>
      <c r="AB201" s="36">
        <f t="shared" si="119"/>
        <v>2.7</v>
      </c>
      <c r="AC201" s="36">
        <f t="shared" si="119"/>
        <v>1.9</v>
      </c>
      <c r="AD201" s="36">
        <f t="shared" si="120"/>
        <v>2.8</v>
      </c>
      <c r="AE201" s="36" t="str">
        <f t="shared" si="120"/>
        <v>0.0</v>
      </c>
      <c r="AF201" s="36">
        <f t="shared" si="120"/>
        <v>1.1000000000000001</v>
      </c>
      <c r="AG201" s="36" t="str">
        <f t="shared" si="120"/>
        <v>0.0</v>
      </c>
      <c r="AH201" s="36">
        <f t="shared" si="120"/>
        <v>1</v>
      </c>
      <c r="AI201" s="36">
        <f t="shared" si="120"/>
        <v>0.9</v>
      </c>
      <c r="AJ201" s="36">
        <f t="shared" si="120"/>
        <v>0.8</v>
      </c>
      <c r="AK201" s="36">
        <f t="shared" si="120"/>
        <v>1.9</v>
      </c>
      <c r="AL201" s="36" t="str">
        <f t="shared" si="120"/>
        <v>0.0</v>
      </c>
      <c r="AM201" s="36" t="str">
        <f t="shared" si="120"/>
        <v>0.0</v>
      </c>
      <c r="AN201" s="36">
        <f t="shared" si="120"/>
        <v>0.7</v>
      </c>
    </row>
    <row r="202" spans="2:40">
      <c r="B202" s="70"/>
      <c r="C202" s="70"/>
      <c r="D202" s="70"/>
      <c r="E202" s="70"/>
      <c r="F202" s="70"/>
      <c r="G202" s="70"/>
      <c r="H202" s="70"/>
      <c r="I202" s="70"/>
      <c r="J202" s="70"/>
      <c r="K202" s="70"/>
      <c r="L202" s="70"/>
      <c r="M202" s="70"/>
      <c r="R202" s="25" t="s">
        <v>45</v>
      </c>
      <c r="T202" s="36">
        <f t="shared" si="119"/>
        <v>2.1</v>
      </c>
      <c r="U202" s="36">
        <f t="shared" si="119"/>
        <v>4.7</v>
      </c>
      <c r="V202" s="36">
        <f t="shared" si="119"/>
        <v>5.4</v>
      </c>
      <c r="W202" s="36">
        <f t="shared" si="119"/>
        <v>7.6</v>
      </c>
      <c r="X202" s="36">
        <f t="shared" si="119"/>
        <v>3.8</v>
      </c>
      <c r="Y202" s="36">
        <f t="shared" si="119"/>
        <v>2.5</v>
      </c>
      <c r="Z202" s="36" t="str">
        <f t="shared" si="119"/>
        <v>0.0</v>
      </c>
      <c r="AA202" s="36">
        <f t="shared" si="119"/>
        <v>2.2999999999999998</v>
      </c>
      <c r="AB202" s="36">
        <f t="shared" si="119"/>
        <v>0.9</v>
      </c>
      <c r="AC202" s="36">
        <f t="shared" si="119"/>
        <v>1</v>
      </c>
      <c r="AD202" s="36">
        <f t="shared" si="120"/>
        <v>3.7</v>
      </c>
      <c r="AE202" s="36">
        <f t="shared" si="120"/>
        <v>2.1</v>
      </c>
      <c r="AF202" s="36">
        <f t="shared" si="120"/>
        <v>2.2999999999999998</v>
      </c>
      <c r="AG202" s="36" t="str">
        <f t="shared" si="120"/>
        <v>0.0</v>
      </c>
      <c r="AH202" s="36">
        <f t="shared" si="120"/>
        <v>2.9</v>
      </c>
      <c r="AI202" s="36">
        <f t="shared" si="120"/>
        <v>2.7</v>
      </c>
      <c r="AJ202" s="36">
        <f t="shared" si="120"/>
        <v>1.7</v>
      </c>
      <c r="AK202" s="36">
        <f t="shared" si="120"/>
        <v>2.9</v>
      </c>
      <c r="AL202" s="36">
        <f t="shared" si="120"/>
        <v>3.2</v>
      </c>
      <c r="AM202" s="36">
        <f t="shared" si="120"/>
        <v>3.4</v>
      </c>
      <c r="AN202" s="36">
        <f t="shared" si="120"/>
        <v>1.5</v>
      </c>
    </row>
    <row r="203" spans="2:40">
      <c r="B203" s="70"/>
      <c r="C203" s="70"/>
      <c r="D203" s="70"/>
      <c r="E203" s="70"/>
      <c r="F203" s="70"/>
      <c r="G203" s="70"/>
      <c r="H203" s="70"/>
      <c r="I203" s="70"/>
      <c r="J203" s="70"/>
      <c r="K203" s="70"/>
      <c r="L203" s="70"/>
      <c r="M203" s="70"/>
      <c r="O203" s="26"/>
      <c r="P203" s="26"/>
      <c r="Q203" s="28"/>
      <c r="R203" s="28"/>
      <c r="S203" s="123"/>
      <c r="T203" s="38"/>
      <c r="U203" s="38"/>
      <c r="V203" s="38"/>
      <c r="W203" s="38"/>
      <c r="X203" s="38"/>
      <c r="Y203" s="38"/>
      <c r="Z203" s="38"/>
      <c r="AA203" s="38"/>
      <c r="AB203" s="38"/>
      <c r="AC203" s="38"/>
      <c r="AD203" s="38"/>
      <c r="AE203" s="38"/>
      <c r="AF203" s="38"/>
      <c r="AG203" s="38"/>
      <c r="AH203" s="38"/>
      <c r="AI203" s="38"/>
      <c r="AJ203" s="38"/>
      <c r="AK203" s="38"/>
      <c r="AL203" s="38"/>
      <c r="AM203" s="38"/>
      <c r="AN203" s="38"/>
    </row>
    <row r="204" spans="2:40">
      <c r="B204" s="70"/>
      <c r="C204" s="70"/>
      <c r="D204" s="70"/>
      <c r="E204" s="70"/>
      <c r="F204" s="70"/>
      <c r="G204" s="70"/>
      <c r="H204" s="70"/>
      <c r="I204" s="70"/>
      <c r="J204" s="70"/>
      <c r="K204" s="70"/>
      <c r="L204" s="70"/>
      <c r="M204" s="70"/>
      <c r="O204" s="24" t="s">
        <v>20</v>
      </c>
      <c r="P204" s="24" t="s">
        <v>9</v>
      </c>
      <c r="Q204" s="25" t="s">
        <v>51</v>
      </c>
      <c r="R204" s="25" t="s">
        <v>43</v>
      </c>
      <c r="T204" s="36">
        <f t="shared" ref="T204:AC211" si="121">IFERROR(VLOOKUP(T$193&amp;"Male"&amp;"Maori"&amp;19&amp;$R204,Methodstable,9,FALSE),"0.0")</f>
        <v>71.2</v>
      </c>
      <c r="U204" s="36">
        <f t="shared" si="121"/>
        <v>70</v>
      </c>
      <c r="V204" s="36">
        <f t="shared" si="121"/>
        <v>65.5</v>
      </c>
      <c r="W204" s="36">
        <f t="shared" si="121"/>
        <v>72.900000000000006</v>
      </c>
      <c r="X204" s="36">
        <f t="shared" si="121"/>
        <v>75.400000000000006</v>
      </c>
      <c r="Y204" s="36">
        <f t="shared" si="121"/>
        <v>70.7</v>
      </c>
      <c r="Z204" s="36">
        <f t="shared" si="121"/>
        <v>81.7</v>
      </c>
      <c r="AA204" s="36">
        <f t="shared" si="121"/>
        <v>79.099999999999994</v>
      </c>
      <c r="AB204" s="36">
        <f t="shared" si="121"/>
        <v>84.3</v>
      </c>
      <c r="AC204" s="36">
        <f t="shared" si="121"/>
        <v>71.8</v>
      </c>
      <c r="AD204" s="36">
        <f t="shared" ref="AD204:AN211" si="122">IFERROR(VLOOKUP(AD$193&amp;"Male"&amp;"Maori"&amp;19&amp;$R204,Methodstable,9,FALSE),"0.0")</f>
        <v>76</v>
      </c>
      <c r="AE204" s="36">
        <f t="shared" si="122"/>
        <v>74.3</v>
      </c>
      <c r="AF204" s="36">
        <f t="shared" si="122"/>
        <v>85.7</v>
      </c>
      <c r="AG204" s="36">
        <f t="shared" si="122"/>
        <v>82.8</v>
      </c>
      <c r="AH204" s="36">
        <f t="shared" si="122"/>
        <v>79.2</v>
      </c>
      <c r="AI204" s="36">
        <f t="shared" si="122"/>
        <v>81.5</v>
      </c>
      <c r="AJ204" s="36">
        <f t="shared" si="122"/>
        <v>86.4</v>
      </c>
      <c r="AK204" s="36">
        <f t="shared" si="122"/>
        <v>80</v>
      </c>
      <c r="AL204" s="36">
        <f t="shared" si="122"/>
        <v>86.4</v>
      </c>
      <c r="AM204" s="36">
        <f t="shared" si="122"/>
        <v>88.5</v>
      </c>
      <c r="AN204" s="36">
        <f t="shared" si="122"/>
        <v>85.7</v>
      </c>
    </row>
    <row r="205" spans="2:40">
      <c r="B205" s="70"/>
      <c r="C205" s="70"/>
      <c r="D205" s="70"/>
      <c r="E205" s="70"/>
      <c r="F205" s="70"/>
      <c r="G205" s="70"/>
      <c r="H205" s="70"/>
      <c r="I205" s="70"/>
      <c r="J205" s="70"/>
      <c r="K205" s="70"/>
      <c r="L205" s="70"/>
      <c r="M205" s="70"/>
      <c r="R205" s="25" t="s">
        <v>46</v>
      </c>
      <c r="T205" s="36">
        <f t="shared" si="121"/>
        <v>12.3</v>
      </c>
      <c r="U205" s="36">
        <f t="shared" si="121"/>
        <v>6.2</v>
      </c>
      <c r="V205" s="36">
        <f t="shared" si="121"/>
        <v>10.3</v>
      </c>
      <c r="W205" s="36">
        <f t="shared" si="121"/>
        <v>6.8</v>
      </c>
      <c r="X205" s="36">
        <f t="shared" si="121"/>
        <v>7.2</v>
      </c>
      <c r="Y205" s="36">
        <f t="shared" si="121"/>
        <v>13.8</v>
      </c>
      <c r="Z205" s="36">
        <f t="shared" si="121"/>
        <v>10</v>
      </c>
      <c r="AA205" s="36">
        <f t="shared" si="121"/>
        <v>6</v>
      </c>
      <c r="AB205" s="36">
        <f t="shared" si="121"/>
        <v>2.4</v>
      </c>
      <c r="AC205" s="36">
        <f t="shared" si="121"/>
        <v>12.8</v>
      </c>
      <c r="AD205" s="36">
        <f t="shared" si="122"/>
        <v>4</v>
      </c>
      <c r="AE205" s="36">
        <f t="shared" si="122"/>
        <v>8.1</v>
      </c>
      <c r="AF205" s="36">
        <f t="shared" si="122"/>
        <v>3.6</v>
      </c>
      <c r="AG205" s="36">
        <f t="shared" si="122"/>
        <v>3.4</v>
      </c>
      <c r="AH205" s="36">
        <f t="shared" si="122"/>
        <v>5.6</v>
      </c>
      <c r="AI205" s="36">
        <f t="shared" si="122"/>
        <v>6.2</v>
      </c>
      <c r="AJ205" s="36">
        <f t="shared" si="122"/>
        <v>2.5</v>
      </c>
      <c r="AK205" s="36">
        <f t="shared" si="122"/>
        <v>6.2</v>
      </c>
      <c r="AL205" s="36">
        <f t="shared" si="122"/>
        <v>3</v>
      </c>
      <c r="AM205" s="36">
        <f t="shared" si="122"/>
        <v>5.0999999999999996</v>
      </c>
      <c r="AN205" s="36">
        <f t="shared" si="122"/>
        <v>1</v>
      </c>
    </row>
    <row r="206" spans="2:40">
      <c r="B206" s="70"/>
      <c r="C206" s="70"/>
      <c r="D206" s="70"/>
      <c r="E206" s="70"/>
      <c r="F206" s="70"/>
      <c r="G206" s="70"/>
      <c r="H206" s="70"/>
      <c r="I206" s="70"/>
      <c r="J206" s="70"/>
      <c r="K206" s="70"/>
      <c r="L206" s="70"/>
      <c r="M206" s="70"/>
      <c r="R206" s="25" t="s">
        <v>47</v>
      </c>
      <c r="T206" s="36">
        <f t="shared" si="121"/>
        <v>5.5</v>
      </c>
      <c r="U206" s="36">
        <f t="shared" si="121"/>
        <v>7.5</v>
      </c>
      <c r="V206" s="36">
        <f t="shared" si="121"/>
        <v>3.4</v>
      </c>
      <c r="W206" s="36">
        <f t="shared" si="121"/>
        <v>6.8</v>
      </c>
      <c r="X206" s="36">
        <f t="shared" si="121"/>
        <v>4.3</v>
      </c>
      <c r="Y206" s="36">
        <f t="shared" si="121"/>
        <v>5.2</v>
      </c>
      <c r="Z206" s="36" t="str">
        <f t="shared" si="121"/>
        <v>0.0</v>
      </c>
      <c r="AA206" s="36">
        <f t="shared" si="121"/>
        <v>1.5</v>
      </c>
      <c r="AB206" s="36">
        <f t="shared" si="121"/>
        <v>3.6</v>
      </c>
      <c r="AC206" s="36">
        <f t="shared" si="121"/>
        <v>1.3</v>
      </c>
      <c r="AD206" s="36">
        <f t="shared" si="122"/>
        <v>4</v>
      </c>
      <c r="AE206" s="36">
        <f t="shared" si="122"/>
        <v>5.4</v>
      </c>
      <c r="AF206" s="36">
        <f t="shared" si="122"/>
        <v>1.8</v>
      </c>
      <c r="AG206" s="36">
        <f t="shared" si="122"/>
        <v>3.4</v>
      </c>
      <c r="AH206" s="36">
        <f t="shared" si="122"/>
        <v>5.6</v>
      </c>
      <c r="AI206" s="36">
        <f t="shared" si="122"/>
        <v>2.5</v>
      </c>
      <c r="AJ206" s="36">
        <f t="shared" si="122"/>
        <v>1.2</v>
      </c>
      <c r="AK206" s="36">
        <f t="shared" si="122"/>
        <v>1.5</v>
      </c>
      <c r="AL206" s="36">
        <f t="shared" si="122"/>
        <v>3</v>
      </c>
      <c r="AM206" s="36" t="str">
        <f t="shared" si="122"/>
        <v>0.0</v>
      </c>
      <c r="AN206" s="36">
        <f t="shared" si="122"/>
        <v>3.1</v>
      </c>
    </row>
    <row r="207" spans="2:40">
      <c r="B207" s="70"/>
      <c r="C207" s="70"/>
      <c r="D207" s="70"/>
      <c r="E207" s="70"/>
      <c r="F207" s="70"/>
      <c r="G207" s="70"/>
      <c r="H207" s="70"/>
      <c r="I207" s="70"/>
      <c r="J207" s="70"/>
      <c r="K207" s="70"/>
      <c r="L207" s="70"/>
      <c r="M207" s="70"/>
      <c r="R207" s="25" t="s">
        <v>42</v>
      </c>
      <c r="T207" s="36">
        <f t="shared" si="121"/>
        <v>4.0999999999999996</v>
      </c>
      <c r="U207" s="36">
        <f t="shared" si="121"/>
        <v>8.8000000000000007</v>
      </c>
      <c r="V207" s="36">
        <f t="shared" si="121"/>
        <v>11.5</v>
      </c>
      <c r="W207" s="36">
        <f t="shared" si="121"/>
        <v>3.4</v>
      </c>
      <c r="X207" s="36">
        <f t="shared" si="121"/>
        <v>5.8</v>
      </c>
      <c r="Y207" s="36">
        <f t="shared" si="121"/>
        <v>6.9</v>
      </c>
      <c r="Z207" s="36">
        <f t="shared" si="121"/>
        <v>6.7</v>
      </c>
      <c r="AA207" s="36">
        <f t="shared" si="121"/>
        <v>6</v>
      </c>
      <c r="AB207" s="36">
        <f t="shared" si="121"/>
        <v>4.8</v>
      </c>
      <c r="AC207" s="36">
        <f t="shared" si="121"/>
        <v>9</v>
      </c>
      <c r="AD207" s="36">
        <f t="shared" si="122"/>
        <v>8</v>
      </c>
      <c r="AE207" s="36">
        <f t="shared" si="122"/>
        <v>8.1</v>
      </c>
      <c r="AF207" s="36">
        <f t="shared" si="122"/>
        <v>3.6</v>
      </c>
      <c r="AG207" s="36">
        <f t="shared" si="122"/>
        <v>5.2</v>
      </c>
      <c r="AH207" s="36">
        <f t="shared" si="122"/>
        <v>4.2</v>
      </c>
      <c r="AI207" s="36">
        <f t="shared" si="122"/>
        <v>2.5</v>
      </c>
      <c r="AJ207" s="36">
        <f t="shared" si="122"/>
        <v>6.2</v>
      </c>
      <c r="AK207" s="36">
        <f t="shared" si="122"/>
        <v>1.5</v>
      </c>
      <c r="AL207" s="36">
        <f t="shared" si="122"/>
        <v>1.5</v>
      </c>
      <c r="AM207" s="36">
        <f t="shared" si="122"/>
        <v>1.3</v>
      </c>
      <c r="AN207" s="36">
        <f t="shared" si="122"/>
        <v>3.1</v>
      </c>
    </row>
    <row r="208" spans="2:40">
      <c r="B208" s="70"/>
      <c r="C208" s="70"/>
      <c r="D208" s="70"/>
      <c r="E208" s="70"/>
      <c r="F208" s="70"/>
      <c r="G208" s="70"/>
      <c r="H208" s="70"/>
      <c r="I208" s="70"/>
      <c r="J208" s="70"/>
      <c r="K208" s="70"/>
      <c r="L208" s="70"/>
      <c r="M208" s="70"/>
      <c r="R208" s="25" t="s">
        <v>44</v>
      </c>
      <c r="T208" s="36">
        <f t="shared" si="121"/>
        <v>1.4</v>
      </c>
      <c r="U208" s="36" t="str">
        <f t="shared" si="121"/>
        <v>0.0</v>
      </c>
      <c r="V208" s="36">
        <f t="shared" si="121"/>
        <v>2.2999999999999998</v>
      </c>
      <c r="W208" s="36">
        <f t="shared" si="121"/>
        <v>3.4</v>
      </c>
      <c r="X208" s="36">
        <f t="shared" si="121"/>
        <v>1.4</v>
      </c>
      <c r="Y208" s="36" t="str">
        <f t="shared" si="121"/>
        <v>0.0</v>
      </c>
      <c r="Z208" s="36" t="str">
        <f t="shared" si="121"/>
        <v>0.0</v>
      </c>
      <c r="AA208" s="36">
        <f t="shared" si="121"/>
        <v>3</v>
      </c>
      <c r="AB208" s="36" t="str">
        <f t="shared" si="121"/>
        <v>0.0</v>
      </c>
      <c r="AC208" s="36">
        <f t="shared" si="121"/>
        <v>1.3</v>
      </c>
      <c r="AD208" s="36" t="str">
        <f t="shared" si="122"/>
        <v>0.0</v>
      </c>
      <c r="AE208" s="36">
        <f t="shared" si="122"/>
        <v>1.4</v>
      </c>
      <c r="AF208" s="36" t="str">
        <f t="shared" si="122"/>
        <v>0.0</v>
      </c>
      <c r="AG208" s="36">
        <f t="shared" si="122"/>
        <v>5.2</v>
      </c>
      <c r="AH208" s="36" t="str">
        <f t="shared" si="122"/>
        <v>0.0</v>
      </c>
      <c r="AI208" s="36">
        <f t="shared" si="122"/>
        <v>1.2</v>
      </c>
      <c r="AJ208" s="36" t="str">
        <f t="shared" si="122"/>
        <v>0.0</v>
      </c>
      <c r="AK208" s="36">
        <f t="shared" si="122"/>
        <v>3.1</v>
      </c>
      <c r="AL208" s="36" t="str">
        <f t="shared" si="122"/>
        <v>0.0</v>
      </c>
      <c r="AM208" s="36" t="str">
        <f t="shared" si="122"/>
        <v>0.0</v>
      </c>
      <c r="AN208" s="36">
        <f t="shared" si="122"/>
        <v>4.0999999999999996</v>
      </c>
    </row>
    <row r="209" spans="2:40">
      <c r="B209" s="70"/>
      <c r="C209" s="70"/>
      <c r="D209" s="70"/>
      <c r="E209" s="70"/>
      <c r="F209" s="70"/>
      <c r="G209" s="70"/>
      <c r="H209" s="70"/>
      <c r="I209" s="70"/>
      <c r="J209" s="70"/>
      <c r="K209" s="70"/>
      <c r="L209" s="70"/>
      <c r="M209" s="70"/>
      <c r="R209" s="25" t="s">
        <v>49</v>
      </c>
      <c r="T209" s="36" t="str">
        <f t="shared" si="121"/>
        <v>0.0</v>
      </c>
      <c r="U209" s="36">
        <f t="shared" si="121"/>
        <v>1.2</v>
      </c>
      <c r="V209" s="36" t="str">
        <f t="shared" si="121"/>
        <v>0.0</v>
      </c>
      <c r="W209" s="36" t="str">
        <f t="shared" si="121"/>
        <v>0.0</v>
      </c>
      <c r="X209" s="36">
        <f t="shared" si="121"/>
        <v>1.4</v>
      </c>
      <c r="Y209" s="36" t="str">
        <f t="shared" si="121"/>
        <v>0.0</v>
      </c>
      <c r="Z209" s="36" t="str">
        <f t="shared" si="121"/>
        <v>0.0</v>
      </c>
      <c r="AA209" s="36" t="str">
        <f t="shared" si="121"/>
        <v>0.0</v>
      </c>
      <c r="AB209" s="36">
        <f t="shared" si="121"/>
        <v>2.4</v>
      </c>
      <c r="AC209" s="36" t="str">
        <f t="shared" si="121"/>
        <v>0.0</v>
      </c>
      <c r="AD209" s="36">
        <f t="shared" si="122"/>
        <v>1.3</v>
      </c>
      <c r="AE209" s="36" t="str">
        <f t="shared" si="122"/>
        <v>0.0</v>
      </c>
      <c r="AF209" s="36" t="str">
        <f t="shared" si="122"/>
        <v>0.0</v>
      </c>
      <c r="AG209" s="36" t="str">
        <f t="shared" si="122"/>
        <v>0.0</v>
      </c>
      <c r="AH209" s="36" t="str">
        <f t="shared" si="122"/>
        <v>0.0</v>
      </c>
      <c r="AI209" s="36">
        <f t="shared" si="122"/>
        <v>1.2</v>
      </c>
      <c r="AJ209" s="36" t="str">
        <f t="shared" si="122"/>
        <v>0.0</v>
      </c>
      <c r="AK209" s="36" t="str">
        <f t="shared" si="122"/>
        <v>0.0</v>
      </c>
      <c r="AL209" s="36">
        <f t="shared" si="122"/>
        <v>1.5</v>
      </c>
      <c r="AM209" s="36">
        <f t="shared" si="122"/>
        <v>2.6</v>
      </c>
      <c r="AN209" s="36" t="str">
        <f t="shared" si="122"/>
        <v>0.0</v>
      </c>
    </row>
    <row r="210" spans="2:40">
      <c r="B210" s="70"/>
      <c r="C210" s="70"/>
      <c r="D210" s="70"/>
      <c r="E210" s="70"/>
      <c r="F210" s="70"/>
      <c r="G210" s="70"/>
      <c r="H210" s="70"/>
      <c r="I210" s="70"/>
      <c r="J210" s="70"/>
      <c r="K210" s="70"/>
      <c r="L210" s="70"/>
      <c r="M210" s="70"/>
      <c r="R210" s="25" t="s">
        <v>48</v>
      </c>
      <c r="T210" s="36">
        <f t="shared" si="121"/>
        <v>2.7</v>
      </c>
      <c r="U210" s="36">
        <f t="shared" si="121"/>
        <v>1.2</v>
      </c>
      <c r="V210" s="36">
        <f t="shared" si="121"/>
        <v>1.1000000000000001</v>
      </c>
      <c r="W210" s="36" t="str">
        <f t="shared" si="121"/>
        <v>0.0</v>
      </c>
      <c r="X210" s="36" t="str">
        <f t="shared" si="121"/>
        <v>0.0</v>
      </c>
      <c r="Y210" s="36">
        <f t="shared" si="121"/>
        <v>1.7</v>
      </c>
      <c r="Z210" s="36">
        <f t="shared" si="121"/>
        <v>1.7</v>
      </c>
      <c r="AA210" s="36">
        <f t="shared" si="121"/>
        <v>1.5</v>
      </c>
      <c r="AB210" s="36">
        <f t="shared" si="121"/>
        <v>2.4</v>
      </c>
      <c r="AC210" s="36">
        <f t="shared" si="121"/>
        <v>2.6</v>
      </c>
      <c r="AD210" s="36">
        <f t="shared" si="122"/>
        <v>4</v>
      </c>
      <c r="AE210" s="36" t="str">
        <f t="shared" si="122"/>
        <v>0.0</v>
      </c>
      <c r="AF210" s="36">
        <f t="shared" si="122"/>
        <v>1.8</v>
      </c>
      <c r="AG210" s="36" t="str">
        <f t="shared" si="122"/>
        <v>0.0</v>
      </c>
      <c r="AH210" s="36">
        <f t="shared" si="122"/>
        <v>1.4</v>
      </c>
      <c r="AI210" s="36">
        <f t="shared" si="122"/>
        <v>1.2</v>
      </c>
      <c r="AJ210" s="36">
        <f t="shared" si="122"/>
        <v>1.2</v>
      </c>
      <c r="AK210" s="36">
        <f t="shared" si="122"/>
        <v>3.1</v>
      </c>
      <c r="AL210" s="36" t="str">
        <f t="shared" si="122"/>
        <v>0.0</v>
      </c>
      <c r="AM210" s="36" t="str">
        <f t="shared" si="122"/>
        <v>0.0</v>
      </c>
      <c r="AN210" s="36">
        <f t="shared" si="122"/>
        <v>1</v>
      </c>
    </row>
    <row r="211" spans="2:40">
      <c r="B211" s="70"/>
      <c r="C211" s="70"/>
      <c r="D211" s="70"/>
      <c r="E211" s="70"/>
      <c r="F211" s="70"/>
      <c r="G211" s="70"/>
      <c r="H211" s="70"/>
      <c r="I211" s="70"/>
      <c r="J211" s="70"/>
      <c r="K211" s="70"/>
      <c r="L211" s="70"/>
      <c r="M211" s="70"/>
      <c r="R211" s="25" t="s">
        <v>45</v>
      </c>
      <c r="T211" s="36">
        <f t="shared" si="121"/>
        <v>2.7</v>
      </c>
      <c r="U211" s="36">
        <f t="shared" si="121"/>
        <v>5</v>
      </c>
      <c r="V211" s="36">
        <f t="shared" si="121"/>
        <v>5.7</v>
      </c>
      <c r="W211" s="36">
        <f t="shared" si="121"/>
        <v>6.8</v>
      </c>
      <c r="X211" s="36">
        <f t="shared" si="121"/>
        <v>4.3</v>
      </c>
      <c r="Y211" s="36">
        <f t="shared" si="121"/>
        <v>1.7</v>
      </c>
      <c r="Z211" s="36" t="str">
        <f t="shared" si="121"/>
        <v>0.0</v>
      </c>
      <c r="AA211" s="36">
        <f t="shared" si="121"/>
        <v>3</v>
      </c>
      <c r="AB211" s="36" t="str">
        <f t="shared" si="121"/>
        <v>0.0</v>
      </c>
      <c r="AC211" s="36">
        <f t="shared" si="121"/>
        <v>1.3</v>
      </c>
      <c r="AD211" s="36">
        <f t="shared" si="122"/>
        <v>2.7</v>
      </c>
      <c r="AE211" s="36">
        <f t="shared" si="122"/>
        <v>2.7</v>
      </c>
      <c r="AF211" s="36">
        <f t="shared" si="122"/>
        <v>3.6</v>
      </c>
      <c r="AG211" s="36" t="str">
        <f t="shared" si="122"/>
        <v>0.0</v>
      </c>
      <c r="AH211" s="36">
        <f t="shared" si="122"/>
        <v>4.2</v>
      </c>
      <c r="AI211" s="36">
        <f t="shared" si="122"/>
        <v>3.7</v>
      </c>
      <c r="AJ211" s="36">
        <f t="shared" si="122"/>
        <v>2.5</v>
      </c>
      <c r="AK211" s="36">
        <f t="shared" si="122"/>
        <v>4.5999999999999996</v>
      </c>
      <c r="AL211" s="36">
        <f t="shared" si="122"/>
        <v>4.5</v>
      </c>
      <c r="AM211" s="36">
        <f t="shared" si="122"/>
        <v>2.6</v>
      </c>
      <c r="AN211" s="36">
        <f t="shared" si="122"/>
        <v>2</v>
      </c>
    </row>
    <row r="212" spans="2:40">
      <c r="B212" s="70"/>
      <c r="C212" s="70"/>
      <c r="D212" s="70"/>
      <c r="E212" s="70"/>
      <c r="F212" s="70"/>
      <c r="G212" s="70"/>
      <c r="H212" s="70"/>
      <c r="I212" s="70"/>
      <c r="J212" s="70"/>
      <c r="K212" s="70"/>
      <c r="L212" s="70"/>
      <c r="M212" s="70"/>
      <c r="O212" s="26"/>
      <c r="P212" s="26"/>
      <c r="Q212" s="28"/>
      <c r="R212" s="28"/>
      <c r="S212" s="123"/>
      <c r="T212" s="38"/>
      <c r="U212" s="38"/>
      <c r="V212" s="38"/>
      <c r="W212" s="38"/>
      <c r="X212" s="38"/>
      <c r="Y212" s="38"/>
      <c r="Z212" s="38"/>
      <c r="AA212" s="38"/>
      <c r="AB212" s="38"/>
      <c r="AC212" s="38"/>
      <c r="AD212" s="38"/>
      <c r="AE212" s="38"/>
      <c r="AF212" s="38"/>
      <c r="AG212" s="38"/>
      <c r="AH212" s="38"/>
      <c r="AI212" s="38"/>
      <c r="AJ212" s="38"/>
      <c r="AK212" s="38"/>
      <c r="AL212" s="38"/>
      <c r="AM212" s="38"/>
      <c r="AN212" s="38"/>
    </row>
    <row r="213" spans="2:40">
      <c r="B213" s="70"/>
      <c r="C213" s="70"/>
      <c r="D213" s="70"/>
      <c r="E213" s="70"/>
      <c r="F213" s="70"/>
      <c r="G213" s="70"/>
      <c r="H213" s="70"/>
      <c r="I213" s="70"/>
      <c r="J213" s="70"/>
      <c r="K213" s="70"/>
      <c r="L213" s="70"/>
      <c r="M213" s="70"/>
      <c r="O213" s="24" t="s">
        <v>8</v>
      </c>
      <c r="P213" s="24" t="s">
        <v>9</v>
      </c>
      <c r="Q213" s="25" t="s">
        <v>51</v>
      </c>
      <c r="R213" s="25" t="s">
        <v>43</v>
      </c>
      <c r="T213" s="36">
        <f t="shared" ref="T213:AC220" si="123">IFERROR(VLOOKUP(T$193&amp;"Female"&amp;"Maori"&amp;19&amp;$R213,Methodstable,9,FALSE),"0.0")</f>
        <v>58.3</v>
      </c>
      <c r="U213" s="36">
        <f t="shared" si="123"/>
        <v>53.8</v>
      </c>
      <c r="V213" s="36">
        <f t="shared" si="123"/>
        <v>68</v>
      </c>
      <c r="W213" s="36">
        <f t="shared" si="123"/>
        <v>80</v>
      </c>
      <c r="X213" s="36">
        <f t="shared" si="123"/>
        <v>63.6</v>
      </c>
      <c r="Y213" s="36">
        <f t="shared" si="123"/>
        <v>71.400000000000006</v>
      </c>
      <c r="Z213" s="36">
        <f t="shared" si="123"/>
        <v>60</v>
      </c>
      <c r="AA213" s="36">
        <f t="shared" si="123"/>
        <v>75</v>
      </c>
      <c r="AB213" s="36">
        <f t="shared" si="123"/>
        <v>78.599999999999994</v>
      </c>
      <c r="AC213" s="36">
        <f t="shared" si="123"/>
        <v>85.2</v>
      </c>
      <c r="AD213" s="36">
        <f t="shared" ref="AD213:AN220" si="124">IFERROR(VLOOKUP(AD$193&amp;"Female"&amp;"Maori"&amp;19&amp;$R213,Methodstable,9,FALSE),"0.0")</f>
        <v>72.7</v>
      </c>
      <c r="AE213" s="36">
        <f t="shared" si="124"/>
        <v>69.599999999999994</v>
      </c>
      <c r="AF213" s="36">
        <f t="shared" si="124"/>
        <v>90.3</v>
      </c>
      <c r="AG213" s="36">
        <f t="shared" si="124"/>
        <v>88</v>
      </c>
      <c r="AH213" s="36">
        <f t="shared" si="124"/>
        <v>70</v>
      </c>
      <c r="AI213" s="36">
        <f t="shared" si="124"/>
        <v>93.8</v>
      </c>
      <c r="AJ213" s="36">
        <f t="shared" si="124"/>
        <v>94.6</v>
      </c>
      <c r="AK213" s="36">
        <f t="shared" si="124"/>
        <v>82.1</v>
      </c>
      <c r="AL213" s="36">
        <f t="shared" si="124"/>
        <v>77.8</v>
      </c>
      <c r="AM213" s="36">
        <f t="shared" si="124"/>
        <v>90</v>
      </c>
      <c r="AN213" s="36">
        <f t="shared" si="124"/>
        <v>81.099999999999994</v>
      </c>
    </row>
    <row r="214" spans="2:40">
      <c r="B214" s="70"/>
      <c r="C214" s="70"/>
      <c r="D214" s="74" t="s">
        <v>89</v>
      </c>
      <c r="E214" s="70"/>
      <c r="F214" s="70"/>
      <c r="G214" s="70"/>
      <c r="H214" s="70"/>
      <c r="I214" s="76" t="s">
        <v>92</v>
      </c>
      <c r="J214" s="70"/>
      <c r="K214" s="70"/>
      <c r="L214" s="70"/>
      <c r="M214" s="70"/>
      <c r="R214" s="25" t="s">
        <v>46</v>
      </c>
      <c r="T214" s="36">
        <f t="shared" si="123"/>
        <v>4.2</v>
      </c>
      <c r="U214" s="36">
        <f t="shared" si="123"/>
        <v>11.5</v>
      </c>
      <c r="V214" s="36" t="str">
        <f t="shared" si="123"/>
        <v>0.0</v>
      </c>
      <c r="W214" s="36">
        <f t="shared" si="123"/>
        <v>5</v>
      </c>
      <c r="X214" s="36">
        <f t="shared" si="123"/>
        <v>18.2</v>
      </c>
      <c r="Y214" s="36">
        <f t="shared" si="123"/>
        <v>14.3</v>
      </c>
      <c r="Z214" s="36">
        <f t="shared" si="123"/>
        <v>10</v>
      </c>
      <c r="AA214" s="36">
        <f t="shared" si="123"/>
        <v>15</v>
      </c>
      <c r="AB214" s="36">
        <f t="shared" si="123"/>
        <v>3.6</v>
      </c>
      <c r="AC214" s="36">
        <f t="shared" si="123"/>
        <v>3.7</v>
      </c>
      <c r="AD214" s="36">
        <f t="shared" si="124"/>
        <v>12.1</v>
      </c>
      <c r="AE214" s="36" t="str">
        <f t="shared" si="124"/>
        <v>0.0</v>
      </c>
      <c r="AF214" s="36" t="str">
        <f t="shared" si="124"/>
        <v>0.0</v>
      </c>
      <c r="AG214" s="36">
        <f t="shared" si="124"/>
        <v>4</v>
      </c>
      <c r="AH214" s="36" t="str">
        <f t="shared" si="124"/>
        <v>0.0</v>
      </c>
      <c r="AI214" s="36" t="str">
        <f t="shared" si="124"/>
        <v>0.0</v>
      </c>
      <c r="AJ214" s="36" t="str">
        <f t="shared" si="124"/>
        <v>0.0</v>
      </c>
      <c r="AK214" s="36">
        <f t="shared" si="124"/>
        <v>2.6</v>
      </c>
      <c r="AL214" s="36" t="str">
        <f t="shared" si="124"/>
        <v>0.0</v>
      </c>
      <c r="AM214" s="36" t="str">
        <f t="shared" si="124"/>
        <v>0.0</v>
      </c>
      <c r="AN214" s="36">
        <f t="shared" si="124"/>
        <v>5.4</v>
      </c>
    </row>
    <row r="215" spans="2:40">
      <c r="B215" s="70"/>
      <c r="C215" s="70"/>
      <c r="D215" s="70"/>
      <c r="E215" s="70"/>
      <c r="F215" s="70"/>
      <c r="G215" s="70"/>
      <c r="H215" s="70"/>
      <c r="I215" s="70"/>
      <c r="J215" s="70"/>
      <c r="K215" s="70"/>
      <c r="L215" s="70"/>
      <c r="M215" s="70"/>
      <c r="R215" s="25" t="s">
        <v>47</v>
      </c>
      <c r="T215" s="36">
        <f t="shared" si="123"/>
        <v>29.2</v>
      </c>
      <c r="U215" s="36">
        <f t="shared" si="123"/>
        <v>19.2</v>
      </c>
      <c r="V215" s="36">
        <f t="shared" si="123"/>
        <v>28</v>
      </c>
      <c r="W215" s="36">
        <f t="shared" si="123"/>
        <v>5</v>
      </c>
      <c r="X215" s="36">
        <f t="shared" si="123"/>
        <v>9.1</v>
      </c>
      <c r="Y215" s="36">
        <f t="shared" si="123"/>
        <v>4.8</v>
      </c>
      <c r="Z215" s="36">
        <f t="shared" si="123"/>
        <v>25</v>
      </c>
      <c r="AA215" s="36" t="str">
        <f t="shared" si="123"/>
        <v>0.0</v>
      </c>
      <c r="AB215" s="36">
        <f t="shared" si="123"/>
        <v>10.7</v>
      </c>
      <c r="AC215" s="36">
        <f t="shared" si="123"/>
        <v>7.4</v>
      </c>
      <c r="AD215" s="36">
        <f t="shared" si="124"/>
        <v>6.1</v>
      </c>
      <c r="AE215" s="36">
        <f t="shared" si="124"/>
        <v>21.7</v>
      </c>
      <c r="AF215" s="36">
        <f t="shared" si="124"/>
        <v>6.5</v>
      </c>
      <c r="AG215" s="36">
        <f t="shared" si="124"/>
        <v>8</v>
      </c>
      <c r="AH215" s="36">
        <f t="shared" si="124"/>
        <v>23.3</v>
      </c>
      <c r="AI215" s="36">
        <f t="shared" si="124"/>
        <v>3.1</v>
      </c>
      <c r="AJ215" s="36">
        <f t="shared" si="124"/>
        <v>2.7</v>
      </c>
      <c r="AK215" s="36">
        <f t="shared" si="124"/>
        <v>12.8</v>
      </c>
      <c r="AL215" s="36">
        <f t="shared" si="124"/>
        <v>18.5</v>
      </c>
      <c r="AM215" s="36">
        <f t="shared" si="124"/>
        <v>5</v>
      </c>
      <c r="AN215" s="36">
        <f t="shared" si="124"/>
        <v>13.5</v>
      </c>
    </row>
    <row r="216" spans="2:40">
      <c r="B216" s="70"/>
      <c r="C216" s="70"/>
      <c r="D216" s="70"/>
      <c r="E216" s="70"/>
      <c r="F216" s="70"/>
      <c r="G216" s="70"/>
      <c r="H216" s="70"/>
      <c r="I216" s="70"/>
      <c r="J216" s="70"/>
      <c r="K216" s="70"/>
      <c r="L216" s="70"/>
      <c r="M216" s="70"/>
      <c r="R216" s="25" t="s">
        <v>42</v>
      </c>
      <c r="T216" s="36">
        <f t="shared" si="123"/>
        <v>4.2</v>
      </c>
      <c r="U216" s="36">
        <f t="shared" si="123"/>
        <v>3.8</v>
      </c>
      <c r="V216" s="36" t="str">
        <f t="shared" si="123"/>
        <v>0.0</v>
      </c>
      <c r="W216" s="36" t="str">
        <f t="shared" si="123"/>
        <v>0.0</v>
      </c>
      <c r="X216" s="36" t="str">
        <f t="shared" si="123"/>
        <v>0.0</v>
      </c>
      <c r="Y216" s="36" t="str">
        <f t="shared" si="123"/>
        <v>0.0</v>
      </c>
      <c r="Z216" s="36" t="str">
        <f t="shared" si="123"/>
        <v>0.0</v>
      </c>
      <c r="AA216" s="36" t="str">
        <f t="shared" si="123"/>
        <v>0.0</v>
      </c>
      <c r="AB216" s="36" t="str">
        <f t="shared" si="123"/>
        <v>0.0</v>
      </c>
      <c r="AC216" s="36" t="str">
        <f t="shared" si="123"/>
        <v>0.0</v>
      </c>
      <c r="AD216" s="36" t="str">
        <f t="shared" si="124"/>
        <v>0.0</v>
      </c>
      <c r="AE216" s="36" t="str">
        <f t="shared" si="124"/>
        <v>0.0</v>
      </c>
      <c r="AF216" s="36">
        <f t="shared" si="124"/>
        <v>3.2</v>
      </c>
      <c r="AG216" s="36" t="str">
        <f t="shared" si="124"/>
        <v>0.0</v>
      </c>
      <c r="AH216" s="36">
        <f t="shared" si="124"/>
        <v>3.3</v>
      </c>
      <c r="AI216" s="36" t="str">
        <f t="shared" si="124"/>
        <v>0.0</v>
      </c>
      <c r="AJ216" s="36" t="str">
        <f t="shared" si="124"/>
        <v>0.0</v>
      </c>
      <c r="AK216" s="36">
        <f t="shared" si="124"/>
        <v>2.6</v>
      </c>
      <c r="AL216" s="36" t="str">
        <f t="shared" si="124"/>
        <v>0.0</v>
      </c>
      <c r="AM216" s="36" t="str">
        <f t="shared" si="124"/>
        <v>0.0</v>
      </c>
      <c r="AN216" s="36" t="str">
        <f t="shared" si="124"/>
        <v>0.0</v>
      </c>
    </row>
    <row r="217" spans="2:40">
      <c r="B217" s="70"/>
      <c r="C217" s="70"/>
      <c r="D217" s="70"/>
      <c r="E217" s="70"/>
      <c r="F217" s="70"/>
      <c r="G217" s="70"/>
      <c r="H217" s="70"/>
      <c r="I217" s="70"/>
      <c r="J217" s="70"/>
      <c r="K217" s="70"/>
      <c r="L217" s="70"/>
      <c r="M217" s="70"/>
      <c r="R217" s="25" t="s">
        <v>44</v>
      </c>
      <c r="T217" s="36" t="str">
        <f t="shared" si="123"/>
        <v>0.0</v>
      </c>
      <c r="U217" s="36">
        <f t="shared" si="123"/>
        <v>3.8</v>
      </c>
      <c r="V217" s="36" t="str">
        <f t="shared" si="123"/>
        <v>0.0</v>
      </c>
      <c r="W217" s="36" t="str">
        <f t="shared" si="123"/>
        <v>0.0</v>
      </c>
      <c r="X217" s="36">
        <f t="shared" si="123"/>
        <v>9.1</v>
      </c>
      <c r="Y217" s="36">
        <f t="shared" si="123"/>
        <v>4.8</v>
      </c>
      <c r="Z217" s="36">
        <f t="shared" si="123"/>
        <v>5</v>
      </c>
      <c r="AA217" s="36">
        <f t="shared" si="123"/>
        <v>10</v>
      </c>
      <c r="AB217" s="36" t="str">
        <f t="shared" si="123"/>
        <v>0.0</v>
      </c>
      <c r="AC217" s="36">
        <f t="shared" si="123"/>
        <v>3.7</v>
      </c>
      <c r="AD217" s="36">
        <f t="shared" si="124"/>
        <v>3</v>
      </c>
      <c r="AE217" s="36" t="str">
        <f t="shared" si="124"/>
        <v>0.0</v>
      </c>
      <c r="AF217" s="36" t="str">
        <f t="shared" si="124"/>
        <v>0.0</v>
      </c>
      <c r="AG217" s="36" t="str">
        <f t="shared" si="124"/>
        <v>0.0</v>
      </c>
      <c r="AH217" s="36">
        <f t="shared" si="124"/>
        <v>3.3</v>
      </c>
      <c r="AI217" s="36">
        <f t="shared" si="124"/>
        <v>3.1</v>
      </c>
      <c r="AJ217" s="36">
        <f t="shared" si="124"/>
        <v>2.7</v>
      </c>
      <c r="AK217" s="36" t="str">
        <f t="shared" si="124"/>
        <v>0.0</v>
      </c>
      <c r="AL217" s="36">
        <f t="shared" si="124"/>
        <v>3.7</v>
      </c>
      <c r="AM217" s="36" t="str">
        <f t="shared" si="124"/>
        <v>0.0</v>
      </c>
      <c r="AN217" s="36" t="str">
        <f t="shared" si="124"/>
        <v>0.0</v>
      </c>
    </row>
    <row r="218" spans="2:40">
      <c r="B218" s="70"/>
      <c r="C218" s="70"/>
      <c r="D218" s="70"/>
      <c r="E218" s="70"/>
      <c r="F218" s="70"/>
      <c r="G218" s="70"/>
      <c r="H218" s="70"/>
      <c r="I218" s="70"/>
      <c r="J218" s="70"/>
      <c r="K218" s="70"/>
      <c r="L218" s="70"/>
      <c r="M218" s="70"/>
      <c r="R218" s="25" t="s">
        <v>49</v>
      </c>
      <c r="T218" s="36" t="str">
        <f t="shared" si="123"/>
        <v>0.0</v>
      </c>
      <c r="U218" s="36">
        <f t="shared" si="123"/>
        <v>3.8</v>
      </c>
      <c r="V218" s="36" t="str">
        <f t="shared" si="123"/>
        <v>0.0</v>
      </c>
      <c r="W218" s="36" t="str">
        <f t="shared" si="123"/>
        <v>0.0</v>
      </c>
      <c r="X218" s="36" t="str">
        <f t="shared" si="123"/>
        <v>0.0</v>
      </c>
      <c r="Y218" s="36" t="str">
        <f t="shared" si="123"/>
        <v>0.0</v>
      </c>
      <c r="Z218" s="36" t="str">
        <f t="shared" si="123"/>
        <v>0.0</v>
      </c>
      <c r="AA218" s="36" t="str">
        <f t="shared" si="123"/>
        <v>0.0</v>
      </c>
      <c r="AB218" s="36" t="str">
        <f t="shared" si="123"/>
        <v>0.0</v>
      </c>
      <c r="AC218" s="36" t="str">
        <f t="shared" si="123"/>
        <v>0.0</v>
      </c>
      <c r="AD218" s="36" t="str">
        <f t="shared" si="124"/>
        <v>0.0</v>
      </c>
      <c r="AE218" s="36">
        <f t="shared" si="124"/>
        <v>8.6999999999999993</v>
      </c>
      <c r="AF218" s="36" t="str">
        <f t="shared" si="124"/>
        <v>0.0</v>
      </c>
      <c r="AG218" s="36" t="str">
        <f t="shared" si="124"/>
        <v>0.0</v>
      </c>
      <c r="AH218" s="36" t="str">
        <f t="shared" si="124"/>
        <v>0.0</v>
      </c>
      <c r="AI218" s="36" t="str">
        <f t="shared" si="124"/>
        <v>0.0</v>
      </c>
      <c r="AJ218" s="36" t="str">
        <f t="shared" si="124"/>
        <v>0.0</v>
      </c>
      <c r="AK218" s="36" t="str">
        <f t="shared" si="124"/>
        <v>0.0</v>
      </c>
      <c r="AL218" s="36" t="str">
        <f t="shared" si="124"/>
        <v>0.0</v>
      </c>
      <c r="AM218" s="36" t="str">
        <f t="shared" si="124"/>
        <v>0.0</v>
      </c>
      <c r="AN218" s="36" t="str">
        <f t="shared" si="124"/>
        <v>0.0</v>
      </c>
    </row>
    <row r="219" spans="2:40">
      <c r="B219" s="70"/>
      <c r="C219" s="70"/>
      <c r="D219" s="70"/>
      <c r="E219" s="70"/>
      <c r="F219" s="70"/>
      <c r="G219" s="70"/>
      <c r="H219" s="70"/>
      <c r="I219" s="70"/>
      <c r="J219" s="70"/>
      <c r="K219" s="70"/>
      <c r="L219" s="70"/>
      <c r="M219" s="70"/>
      <c r="R219" s="25" t="s">
        <v>48</v>
      </c>
      <c r="T219" s="36">
        <f t="shared" si="123"/>
        <v>4.2</v>
      </c>
      <c r="U219" s="36" t="str">
        <f t="shared" si="123"/>
        <v>0.0</v>
      </c>
      <c r="V219" s="36" t="str">
        <f t="shared" si="123"/>
        <v>0.0</v>
      </c>
      <c r="W219" s="36" t="str">
        <f t="shared" si="123"/>
        <v>0.0</v>
      </c>
      <c r="X219" s="36" t="str">
        <f t="shared" si="123"/>
        <v>0.0</v>
      </c>
      <c r="Y219" s="36" t="str">
        <f t="shared" si="123"/>
        <v>0.0</v>
      </c>
      <c r="Z219" s="36" t="str">
        <f t="shared" si="123"/>
        <v>0.0</v>
      </c>
      <c r="AA219" s="36" t="str">
        <f t="shared" si="123"/>
        <v>0.0</v>
      </c>
      <c r="AB219" s="36">
        <f t="shared" si="123"/>
        <v>3.6</v>
      </c>
      <c r="AC219" s="36" t="str">
        <f t="shared" si="123"/>
        <v>0.0</v>
      </c>
      <c r="AD219" s="36" t="str">
        <f t="shared" si="124"/>
        <v>0.0</v>
      </c>
      <c r="AE219" s="36" t="str">
        <f t="shared" si="124"/>
        <v>0.0</v>
      </c>
      <c r="AF219" s="36" t="str">
        <f t="shared" si="124"/>
        <v>0.0</v>
      </c>
      <c r="AG219" s="36" t="str">
        <f t="shared" si="124"/>
        <v>0.0</v>
      </c>
      <c r="AH219" s="36" t="str">
        <f t="shared" si="124"/>
        <v>0.0</v>
      </c>
      <c r="AI219" s="36" t="str">
        <f t="shared" si="124"/>
        <v>0.0</v>
      </c>
      <c r="AJ219" s="36" t="str">
        <f t="shared" si="124"/>
        <v>0.0</v>
      </c>
      <c r="AK219" s="36" t="str">
        <f t="shared" si="124"/>
        <v>0.0</v>
      </c>
      <c r="AL219" s="36" t="str">
        <f t="shared" si="124"/>
        <v>0.0</v>
      </c>
      <c r="AM219" s="36" t="str">
        <f t="shared" si="124"/>
        <v>0.0</v>
      </c>
      <c r="AN219" s="36" t="str">
        <f t="shared" si="124"/>
        <v>0.0</v>
      </c>
    </row>
    <row r="220" spans="2:40">
      <c r="B220" s="70"/>
      <c r="C220" s="70"/>
      <c r="D220" s="70"/>
      <c r="E220" s="70"/>
      <c r="F220" s="70"/>
      <c r="G220" s="70"/>
      <c r="H220" s="70"/>
      <c r="I220" s="70"/>
      <c r="J220" s="70"/>
      <c r="K220" s="70"/>
      <c r="L220" s="70"/>
      <c r="M220" s="70"/>
      <c r="R220" s="25" t="s">
        <v>45</v>
      </c>
      <c r="T220" s="36" t="str">
        <f t="shared" si="123"/>
        <v>0.0</v>
      </c>
      <c r="U220" s="36">
        <f t="shared" si="123"/>
        <v>3.8</v>
      </c>
      <c r="V220" s="36">
        <f t="shared" si="123"/>
        <v>4</v>
      </c>
      <c r="W220" s="36">
        <f t="shared" si="123"/>
        <v>10</v>
      </c>
      <c r="X220" s="36" t="str">
        <f t="shared" si="123"/>
        <v>0.0</v>
      </c>
      <c r="Y220" s="36">
        <f t="shared" si="123"/>
        <v>4.8</v>
      </c>
      <c r="Z220" s="36" t="str">
        <f t="shared" si="123"/>
        <v>0.0</v>
      </c>
      <c r="AA220" s="36" t="str">
        <f t="shared" si="123"/>
        <v>0.0</v>
      </c>
      <c r="AB220" s="36">
        <f t="shared" si="123"/>
        <v>3.6</v>
      </c>
      <c r="AC220" s="36" t="str">
        <f t="shared" si="123"/>
        <v>0.0</v>
      </c>
      <c r="AD220" s="36">
        <f t="shared" si="124"/>
        <v>6.1</v>
      </c>
      <c r="AE220" s="36" t="str">
        <f t="shared" si="124"/>
        <v>0.0</v>
      </c>
      <c r="AF220" s="36" t="str">
        <f t="shared" si="124"/>
        <v>0.0</v>
      </c>
      <c r="AG220" s="36" t="str">
        <f t="shared" si="124"/>
        <v>0.0</v>
      </c>
      <c r="AH220" s="36" t="str">
        <f t="shared" si="124"/>
        <v>0.0</v>
      </c>
      <c r="AI220" s="36" t="str">
        <f t="shared" si="124"/>
        <v>0.0</v>
      </c>
      <c r="AJ220" s="36" t="str">
        <f t="shared" si="124"/>
        <v>0.0</v>
      </c>
      <c r="AK220" s="36" t="str">
        <f t="shared" si="124"/>
        <v>0.0</v>
      </c>
      <c r="AL220" s="36" t="str">
        <f t="shared" si="124"/>
        <v>0.0</v>
      </c>
      <c r="AM220" s="36">
        <f t="shared" si="124"/>
        <v>5</v>
      </c>
      <c r="AN220" s="36" t="str">
        <f t="shared" si="124"/>
        <v>0.0</v>
      </c>
    </row>
    <row r="221" spans="2:40">
      <c r="B221" s="70"/>
      <c r="C221" s="70"/>
      <c r="D221" s="70"/>
      <c r="E221" s="70"/>
      <c r="F221" s="70"/>
      <c r="G221" s="70"/>
      <c r="H221" s="70"/>
      <c r="I221" s="70"/>
      <c r="J221" s="70"/>
      <c r="K221" s="70"/>
      <c r="L221" s="70"/>
      <c r="M221" s="70"/>
      <c r="O221" s="26"/>
      <c r="P221" s="26"/>
      <c r="Q221" s="28"/>
      <c r="R221" s="28"/>
      <c r="S221" s="38"/>
      <c r="T221" s="38"/>
      <c r="U221" s="38"/>
      <c r="V221" s="38"/>
      <c r="W221" s="38"/>
      <c r="X221" s="38"/>
      <c r="Y221" s="38"/>
      <c r="Z221" s="38"/>
      <c r="AA221" s="38"/>
      <c r="AB221" s="38"/>
      <c r="AC221" s="38"/>
      <c r="AD221" s="38"/>
      <c r="AE221" s="38"/>
      <c r="AF221" s="38"/>
      <c r="AG221" s="38"/>
      <c r="AH221" s="38"/>
      <c r="AI221" s="38"/>
      <c r="AJ221" s="38"/>
      <c r="AK221" s="38"/>
      <c r="AL221" s="38"/>
      <c r="AM221" s="20"/>
      <c r="AN221" s="38"/>
    </row>
    <row r="222" spans="2:40">
      <c r="B222" s="70"/>
      <c r="C222" s="70"/>
      <c r="D222" s="70"/>
      <c r="E222" s="70"/>
      <c r="F222" s="70"/>
      <c r="G222" s="70"/>
      <c r="H222" s="70"/>
      <c r="I222" s="70"/>
      <c r="J222" s="70"/>
      <c r="K222" s="70"/>
      <c r="L222" s="70"/>
      <c r="M222" s="70"/>
      <c r="O222" s="22" t="s">
        <v>4</v>
      </c>
      <c r="P222" s="22"/>
      <c r="Q222" s="120"/>
      <c r="R222" s="120"/>
      <c r="S222" s="49"/>
      <c r="T222" s="49"/>
      <c r="U222" s="49"/>
      <c r="V222" s="49"/>
      <c r="W222" s="49"/>
      <c r="X222" s="49"/>
      <c r="Y222" s="49"/>
      <c r="Z222" s="49"/>
      <c r="AA222" s="49"/>
      <c r="AB222" s="49"/>
      <c r="AC222" s="49"/>
      <c r="AD222" s="49"/>
      <c r="AE222" s="49"/>
      <c r="AF222" s="49"/>
      <c r="AG222" s="49"/>
      <c r="AH222" s="49"/>
      <c r="AI222" s="49"/>
      <c r="AJ222" s="49"/>
      <c r="AK222" s="49"/>
      <c r="AL222" s="49"/>
      <c r="AN222" s="49"/>
    </row>
    <row r="223" spans="2:40">
      <c r="B223" s="70"/>
      <c r="C223" s="70"/>
      <c r="D223" s="70"/>
      <c r="E223" s="70"/>
      <c r="F223" s="70"/>
      <c r="G223" s="70"/>
      <c r="H223" s="70"/>
      <c r="I223" s="70"/>
      <c r="J223" s="70"/>
      <c r="K223" s="70"/>
      <c r="L223" s="70"/>
      <c r="M223" s="70"/>
      <c r="O223" s="22"/>
      <c r="P223" s="22"/>
      <c r="Q223" s="120"/>
      <c r="R223" s="120"/>
      <c r="S223" s="49"/>
      <c r="T223" s="49"/>
      <c r="U223" s="49"/>
      <c r="V223" s="49"/>
      <c r="W223" s="49"/>
      <c r="X223" s="49"/>
      <c r="Y223" s="49"/>
      <c r="Z223" s="49"/>
      <c r="AA223" s="49"/>
      <c r="AB223" s="49"/>
      <c r="AC223" s="49"/>
      <c r="AD223" s="49"/>
      <c r="AE223" s="49"/>
      <c r="AF223" s="49"/>
      <c r="AG223" s="49"/>
      <c r="AH223" s="49"/>
      <c r="AI223" s="49"/>
      <c r="AJ223" s="49"/>
      <c r="AK223" s="49"/>
      <c r="AL223" s="49"/>
      <c r="AN223" s="49"/>
    </row>
    <row r="224" spans="2:40">
      <c r="B224" s="70"/>
      <c r="C224" s="70"/>
      <c r="D224" s="70"/>
      <c r="E224" s="70"/>
      <c r="F224" s="70"/>
      <c r="G224" s="70"/>
      <c r="H224" s="70"/>
      <c r="I224" s="70"/>
      <c r="J224" s="70"/>
      <c r="K224" s="70"/>
      <c r="L224" s="70"/>
      <c r="M224" s="70"/>
      <c r="O224" s="22" t="s">
        <v>1</v>
      </c>
      <c r="P224" s="22" t="s">
        <v>37</v>
      </c>
      <c r="Q224" s="120"/>
      <c r="R224" s="120" t="s">
        <v>50</v>
      </c>
      <c r="S224" s="12"/>
      <c r="T224" s="113">
        <v>1996</v>
      </c>
      <c r="U224" s="113">
        <v>1997</v>
      </c>
      <c r="V224" s="113">
        <v>1998</v>
      </c>
      <c r="W224" s="113">
        <v>1999</v>
      </c>
      <c r="X224" s="113">
        <v>2000</v>
      </c>
      <c r="Y224" s="113">
        <v>2001</v>
      </c>
      <c r="Z224" s="113">
        <v>2002</v>
      </c>
      <c r="AA224" s="113">
        <v>2003</v>
      </c>
      <c r="AB224" s="113">
        <v>2004</v>
      </c>
      <c r="AC224" s="113">
        <v>2005</v>
      </c>
      <c r="AD224" s="113">
        <v>2006</v>
      </c>
      <c r="AE224" s="113">
        <v>2007</v>
      </c>
      <c r="AF224" s="113">
        <v>2008</v>
      </c>
      <c r="AG224" s="113">
        <v>2009</v>
      </c>
      <c r="AH224" s="113">
        <v>2010</v>
      </c>
      <c r="AI224" s="113">
        <v>2011</v>
      </c>
      <c r="AJ224" s="113">
        <v>2012</v>
      </c>
      <c r="AK224" s="113">
        <v>2013</v>
      </c>
      <c r="AL224" s="113">
        <v>2014</v>
      </c>
      <c r="AM224" s="113">
        <v>2015</v>
      </c>
      <c r="AN224" s="113">
        <v>2016</v>
      </c>
    </row>
    <row r="225" spans="2:40">
      <c r="B225" s="70"/>
      <c r="C225" s="70"/>
      <c r="D225" s="70"/>
      <c r="E225" s="70"/>
      <c r="F225" s="70"/>
      <c r="G225" s="70"/>
      <c r="H225" s="70"/>
      <c r="I225" s="70"/>
      <c r="J225" s="70"/>
      <c r="K225" s="70"/>
      <c r="L225" s="70"/>
      <c r="M225" s="70"/>
      <c r="R225" s="25"/>
      <c r="S225" s="12"/>
      <c r="T225" s="36"/>
      <c r="U225" s="36"/>
      <c r="V225" s="36"/>
      <c r="W225" s="36"/>
      <c r="X225" s="36"/>
      <c r="Y225" s="36"/>
      <c r="Z225" s="36"/>
      <c r="AA225" s="36"/>
      <c r="AB225" s="36"/>
      <c r="AC225" s="36"/>
      <c r="AD225" s="36"/>
      <c r="AE225" s="36"/>
      <c r="AF225" s="36"/>
      <c r="AG225" s="36"/>
      <c r="AH225" s="36"/>
      <c r="AI225" s="36"/>
      <c r="AJ225" s="36"/>
      <c r="AK225" s="36"/>
      <c r="AL225" s="36"/>
      <c r="AM225" s="36"/>
      <c r="AN225" s="36"/>
    </row>
    <row r="226" spans="2:40">
      <c r="B226" s="70"/>
      <c r="C226" s="70"/>
      <c r="D226" s="70"/>
      <c r="E226" s="70"/>
      <c r="F226" s="70"/>
      <c r="G226" s="70"/>
      <c r="H226" s="70"/>
      <c r="I226" s="70"/>
      <c r="J226" s="70"/>
      <c r="K226" s="70"/>
      <c r="L226" s="70"/>
      <c r="M226" s="70"/>
      <c r="O226" s="24" t="s">
        <v>0</v>
      </c>
      <c r="P226" s="24" t="s">
        <v>9</v>
      </c>
      <c r="Q226" s="25" t="s">
        <v>51</v>
      </c>
      <c r="R226" s="25" t="s">
        <v>43</v>
      </c>
      <c r="S226" s="12"/>
      <c r="T226" s="36">
        <f t="shared" ref="T226:AC233" si="125">IFERROR(VLOOKUP(T$193&amp;"AllSex"&amp;"Non-Maori"&amp;19&amp;$R226,Methodstable,9,FALSE),"0.0")</f>
        <v>37</v>
      </c>
      <c r="U226" s="36">
        <f t="shared" si="125"/>
        <v>35.5</v>
      </c>
      <c r="V226" s="36">
        <f t="shared" si="125"/>
        <v>37.799999999999997</v>
      </c>
      <c r="W226" s="36">
        <f t="shared" si="125"/>
        <v>41.9</v>
      </c>
      <c r="X226" s="36">
        <f t="shared" si="125"/>
        <v>41.2</v>
      </c>
      <c r="Y226" s="36">
        <f t="shared" si="125"/>
        <v>41.7</v>
      </c>
      <c r="Z226" s="36">
        <f t="shared" si="125"/>
        <v>41.3</v>
      </c>
      <c r="AA226" s="36">
        <f t="shared" si="125"/>
        <v>41.8</v>
      </c>
      <c r="AB226" s="36">
        <f t="shared" si="125"/>
        <v>46.5</v>
      </c>
      <c r="AC226" s="36">
        <f t="shared" si="125"/>
        <v>43.2</v>
      </c>
      <c r="AD226" s="36">
        <f t="shared" ref="AD226:AN233" si="126">IFERROR(VLOOKUP(AD$193&amp;"AllSex"&amp;"Non-Maori"&amp;19&amp;$R226,Methodstable,9,FALSE),"0.0")</f>
        <v>49.3</v>
      </c>
      <c r="AE226" s="36">
        <f t="shared" si="126"/>
        <v>52.7</v>
      </c>
      <c r="AF226" s="36">
        <f t="shared" si="126"/>
        <v>49.7</v>
      </c>
      <c r="AG226" s="36">
        <f t="shared" si="126"/>
        <v>54.1</v>
      </c>
      <c r="AH226" s="36">
        <f t="shared" si="126"/>
        <v>54.4</v>
      </c>
      <c r="AI226" s="36">
        <f t="shared" si="126"/>
        <v>53.9</v>
      </c>
      <c r="AJ226" s="36">
        <f t="shared" si="126"/>
        <v>55</v>
      </c>
      <c r="AK226" s="36">
        <f t="shared" si="126"/>
        <v>51.1</v>
      </c>
      <c r="AL226" s="36">
        <f t="shared" si="126"/>
        <v>55.9</v>
      </c>
      <c r="AM226" s="36">
        <f t="shared" si="126"/>
        <v>53.9</v>
      </c>
      <c r="AN226" s="36">
        <f t="shared" si="126"/>
        <v>59.2</v>
      </c>
    </row>
    <row r="227" spans="2:40">
      <c r="B227" s="70"/>
      <c r="C227" s="70"/>
      <c r="D227" s="76" t="s">
        <v>90</v>
      </c>
      <c r="E227" s="70"/>
      <c r="F227" s="70"/>
      <c r="G227" s="70"/>
      <c r="H227" s="70"/>
      <c r="I227" s="76" t="s">
        <v>93</v>
      </c>
      <c r="J227" s="70"/>
      <c r="K227" s="70"/>
      <c r="L227" s="70"/>
      <c r="M227" s="70"/>
      <c r="R227" s="25" t="s">
        <v>46</v>
      </c>
      <c r="S227" s="12"/>
      <c r="T227" s="36">
        <f t="shared" si="125"/>
        <v>33.200000000000003</v>
      </c>
      <c r="U227" s="36">
        <f t="shared" si="125"/>
        <v>32.700000000000003</v>
      </c>
      <c r="V227" s="36">
        <f t="shared" si="125"/>
        <v>26.8</v>
      </c>
      <c r="W227" s="36">
        <f t="shared" si="125"/>
        <v>25.6</v>
      </c>
      <c r="X227" s="36">
        <f t="shared" si="125"/>
        <v>28</v>
      </c>
      <c r="Y227" s="36">
        <f t="shared" si="125"/>
        <v>23.3</v>
      </c>
      <c r="Z227" s="36">
        <f t="shared" si="125"/>
        <v>23.3</v>
      </c>
      <c r="AA227" s="36">
        <f t="shared" si="125"/>
        <v>22.3</v>
      </c>
      <c r="AB227" s="36">
        <f t="shared" si="125"/>
        <v>24</v>
      </c>
      <c r="AC227" s="36">
        <f t="shared" si="125"/>
        <v>24.1</v>
      </c>
      <c r="AD227" s="36">
        <f t="shared" si="126"/>
        <v>19.2</v>
      </c>
      <c r="AE227" s="36">
        <f t="shared" si="126"/>
        <v>16.3</v>
      </c>
      <c r="AF227" s="36">
        <f t="shared" si="126"/>
        <v>16.899999999999999</v>
      </c>
      <c r="AG227" s="36">
        <f t="shared" si="126"/>
        <v>11</v>
      </c>
      <c r="AH227" s="36">
        <f t="shared" si="126"/>
        <v>13.2</v>
      </c>
      <c r="AI227" s="36">
        <f t="shared" si="126"/>
        <v>11.3</v>
      </c>
      <c r="AJ227" s="36">
        <f t="shared" si="126"/>
        <v>9.5</v>
      </c>
      <c r="AK227" s="36">
        <f t="shared" si="126"/>
        <v>9.8000000000000007</v>
      </c>
      <c r="AL227" s="36">
        <f t="shared" si="126"/>
        <v>9.4</v>
      </c>
      <c r="AM227" s="36">
        <f t="shared" si="126"/>
        <v>10</v>
      </c>
      <c r="AN227" s="36">
        <f t="shared" si="126"/>
        <v>9.8000000000000007</v>
      </c>
    </row>
    <row r="228" spans="2:40">
      <c r="B228" s="70"/>
      <c r="C228" s="70"/>
      <c r="D228" s="70"/>
      <c r="E228" s="70"/>
      <c r="F228" s="70"/>
      <c r="G228" s="70"/>
      <c r="H228" s="70"/>
      <c r="I228" s="70"/>
      <c r="J228" s="70"/>
      <c r="K228" s="70"/>
      <c r="L228" s="70"/>
      <c r="M228" s="70"/>
      <c r="R228" s="25" t="s">
        <v>47</v>
      </c>
      <c r="S228" s="12"/>
      <c r="T228" s="36">
        <f t="shared" si="125"/>
        <v>10.8</v>
      </c>
      <c r="U228" s="36">
        <f t="shared" si="125"/>
        <v>10.5</v>
      </c>
      <c r="V228" s="36">
        <f t="shared" si="125"/>
        <v>11.6</v>
      </c>
      <c r="W228" s="36">
        <f t="shared" si="125"/>
        <v>10.8</v>
      </c>
      <c r="X228" s="36">
        <f t="shared" si="125"/>
        <v>8.4</v>
      </c>
      <c r="Y228" s="36">
        <f t="shared" si="125"/>
        <v>11.7</v>
      </c>
      <c r="Z228" s="36">
        <f t="shared" si="125"/>
        <v>10.8</v>
      </c>
      <c r="AA228" s="36">
        <f t="shared" si="125"/>
        <v>13.1</v>
      </c>
      <c r="AB228" s="36">
        <f t="shared" si="125"/>
        <v>10.4</v>
      </c>
      <c r="AC228" s="36">
        <f t="shared" si="125"/>
        <v>11.7</v>
      </c>
      <c r="AD228" s="36">
        <f t="shared" si="126"/>
        <v>10.6</v>
      </c>
      <c r="AE228" s="36">
        <f t="shared" si="126"/>
        <v>9.6999999999999993</v>
      </c>
      <c r="AF228" s="36">
        <f t="shared" si="126"/>
        <v>12.1</v>
      </c>
      <c r="AG228" s="36">
        <f t="shared" si="126"/>
        <v>12.8</v>
      </c>
      <c r="AH228" s="36">
        <f t="shared" si="126"/>
        <v>13</v>
      </c>
      <c r="AI228" s="36">
        <f t="shared" si="126"/>
        <v>14.1</v>
      </c>
      <c r="AJ228" s="36">
        <f t="shared" si="126"/>
        <v>14.4</v>
      </c>
      <c r="AK228" s="36">
        <f t="shared" si="126"/>
        <v>15.4</v>
      </c>
      <c r="AL228" s="36">
        <f t="shared" si="126"/>
        <v>14.4</v>
      </c>
      <c r="AM228" s="36">
        <f t="shared" si="126"/>
        <v>12.6</v>
      </c>
      <c r="AN228" s="36">
        <f t="shared" si="126"/>
        <v>9.5</v>
      </c>
    </row>
    <row r="229" spans="2:40">
      <c r="B229" s="70"/>
      <c r="C229" s="70"/>
      <c r="D229" s="70"/>
      <c r="E229" s="70"/>
      <c r="F229" s="70"/>
      <c r="G229" s="70"/>
      <c r="H229" s="70"/>
      <c r="I229" s="70"/>
      <c r="J229" s="70"/>
      <c r="K229" s="70"/>
      <c r="L229" s="70"/>
      <c r="M229" s="70"/>
      <c r="R229" s="25" t="s">
        <v>42</v>
      </c>
      <c r="S229" s="12"/>
      <c r="T229" s="36">
        <f t="shared" si="125"/>
        <v>9.6999999999999993</v>
      </c>
      <c r="U229" s="36">
        <f t="shared" si="125"/>
        <v>10.5</v>
      </c>
      <c r="V229" s="36">
        <f t="shared" si="125"/>
        <v>13.3</v>
      </c>
      <c r="W229" s="36">
        <f t="shared" si="125"/>
        <v>10.3</v>
      </c>
      <c r="X229" s="36">
        <f t="shared" si="125"/>
        <v>8.6999999999999993</v>
      </c>
      <c r="Y229" s="36">
        <f t="shared" si="125"/>
        <v>11</v>
      </c>
      <c r="Z229" s="36">
        <f t="shared" si="125"/>
        <v>11.5</v>
      </c>
      <c r="AA229" s="36">
        <f t="shared" si="125"/>
        <v>8.6999999999999993</v>
      </c>
      <c r="AB229" s="36">
        <f t="shared" si="125"/>
        <v>9.1</v>
      </c>
      <c r="AC229" s="36">
        <f t="shared" si="125"/>
        <v>9</v>
      </c>
      <c r="AD229" s="36">
        <f t="shared" si="126"/>
        <v>10.1</v>
      </c>
      <c r="AE229" s="36">
        <f t="shared" si="126"/>
        <v>10.4</v>
      </c>
      <c r="AF229" s="36">
        <f t="shared" si="126"/>
        <v>9</v>
      </c>
      <c r="AG229" s="36">
        <f t="shared" si="126"/>
        <v>11.7</v>
      </c>
      <c r="AH229" s="36">
        <f t="shared" si="126"/>
        <v>8.8000000000000007</v>
      </c>
      <c r="AI229" s="36">
        <f t="shared" si="126"/>
        <v>8.9</v>
      </c>
      <c r="AJ229" s="36">
        <f t="shared" si="126"/>
        <v>9.6999999999999993</v>
      </c>
      <c r="AK229" s="36">
        <f t="shared" si="126"/>
        <v>11.2</v>
      </c>
      <c r="AL229" s="36">
        <f t="shared" si="126"/>
        <v>9.6</v>
      </c>
      <c r="AM229" s="36">
        <f t="shared" si="126"/>
        <v>9.6999999999999993</v>
      </c>
      <c r="AN229" s="36">
        <f t="shared" si="126"/>
        <v>7.4</v>
      </c>
    </row>
    <row r="230" spans="2:40">
      <c r="B230" s="70"/>
      <c r="C230" s="70"/>
      <c r="D230" s="70"/>
      <c r="E230" s="70"/>
      <c r="F230" s="70"/>
      <c r="G230" s="70"/>
      <c r="H230" s="70"/>
      <c r="I230" s="70"/>
      <c r="J230" s="70"/>
      <c r="K230" s="70"/>
      <c r="L230" s="70"/>
      <c r="M230" s="70"/>
      <c r="R230" s="25" t="s">
        <v>44</v>
      </c>
      <c r="S230" s="12"/>
      <c r="T230" s="36">
        <f t="shared" si="125"/>
        <v>2.5</v>
      </c>
      <c r="U230" s="36">
        <f t="shared" si="125"/>
        <v>2.2000000000000002</v>
      </c>
      <c r="V230" s="36">
        <f t="shared" si="125"/>
        <v>3</v>
      </c>
      <c r="W230" s="36">
        <f t="shared" si="125"/>
        <v>3.4</v>
      </c>
      <c r="X230" s="36">
        <f t="shared" si="125"/>
        <v>3.7</v>
      </c>
      <c r="Y230" s="36">
        <f t="shared" si="125"/>
        <v>4.2</v>
      </c>
      <c r="Z230" s="36">
        <f t="shared" si="125"/>
        <v>4.5999999999999996</v>
      </c>
      <c r="AA230" s="36">
        <f t="shared" si="125"/>
        <v>2.5</v>
      </c>
      <c r="AB230" s="36">
        <f t="shared" si="125"/>
        <v>2.6</v>
      </c>
      <c r="AC230" s="36">
        <f t="shared" si="125"/>
        <v>3.2</v>
      </c>
      <c r="AD230" s="36">
        <f t="shared" si="126"/>
        <v>2.2000000000000002</v>
      </c>
      <c r="AE230" s="36">
        <f t="shared" si="126"/>
        <v>3</v>
      </c>
      <c r="AF230" s="36">
        <f t="shared" si="126"/>
        <v>3.2</v>
      </c>
      <c r="AG230" s="36">
        <f t="shared" si="126"/>
        <v>3.3</v>
      </c>
      <c r="AH230" s="36">
        <f t="shared" si="126"/>
        <v>2.8</v>
      </c>
      <c r="AI230" s="36">
        <f t="shared" si="126"/>
        <v>2.6</v>
      </c>
      <c r="AJ230" s="36">
        <f t="shared" si="126"/>
        <v>3.5</v>
      </c>
      <c r="AK230" s="36">
        <f t="shared" si="126"/>
        <v>2.9</v>
      </c>
      <c r="AL230" s="36">
        <f t="shared" si="126"/>
        <v>3.4</v>
      </c>
      <c r="AM230" s="36">
        <f t="shared" si="126"/>
        <v>4.4000000000000004</v>
      </c>
      <c r="AN230" s="36">
        <f t="shared" si="126"/>
        <v>4.8</v>
      </c>
    </row>
    <row r="231" spans="2:40">
      <c r="B231" s="70"/>
      <c r="C231" s="70"/>
      <c r="D231" s="70"/>
      <c r="E231" s="70"/>
      <c r="F231" s="70"/>
      <c r="G231" s="70"/>
      <c r="H231" s="70"/>
      <c r="I231" s="70"/>
      <c r="J231" s="70"/>
      <c r="K231" s="70"/>
      <c r="L231" s="70"/>
      <c r="M231" s="70"/>
      <c r="R231" s="25" t="s">
        <v>49</v>
      </c>
      <c r="S231" s="12"/>
      <c r="T231" s="36">
        <f t="shared" si="125"/>
        <v>2.5</v>
      </c>
      <c r="U231" s="36">
        <f t="shared" si="125"/>
        <v>3.3</v>
      </c>
      <c r="V231" s="36">
        <f t="shared" si="125"/>
        <v>2.1</v>
      </c>
      <c r="W231" s="36">
        <f t="shared" si="125"/>
        <v>3.7</v>
      </c>
      <c r="X231" s="36">
        <f t="shared" si="125"/>
        <v>3.7</v>
      </c>
      <c r="Y231" s="36">
        <f t="shared" si="125"/>
        <v>1.6</v>
      </c>
      <c r="Z231" s="36">
        <f t="shared" si="125"/>
        <v>3.3</v>
      </c>
      <c r="AA231" s="36">
        <f t="shared" si="125"/>
        <v>3</v>
      </c>
      <c r="AB231" s="36">
        <f t="shared" si="125"/>
        <v>2.6</v>
      </c>
      <c r="AC231" s="36">
        <f t="shared" si="125"/>
        <v>3.2</v>
      </c>
      <c r="AD231" s="36">
        <f t="shared" si="126"/>
        <v>1.9</v>
      </c>
      <c r="AE231" s="36">
        <f t="shared" si="126"/>
        <v>2.2000000000000002</v>
      </c>
      <c r="AF231" s="36">
        <f t="shared" si="126"/>
        <v>1.9</v>
      </c>
      <c r="AG231" s="36">
        <f t="shared" si="126"/>
        <v>1.4</v>
      </c>
      <c r="AH231" s="36">
        <f t="shared" si="126"/>
        <v>2.1</v>
      </c>
      <c r="AI231" s="36">
        <f t="shared" si="126"/>
        <v>3.7</v>
      </c>
      <c r="AJ231" s="36">
        <f t="shared" si="126"/>
        <v>1.2</v>
      </c>
      <c r="AK231" s="36">
        <f t="shared" si="126"/>
        <v>3.7</v>
      </c>
      <c r="AL231" s="36">
        <f t="shared" si="126"/>
        <v>2.2000000000000002</v>
      </c>
      <c r="AM231" s="36">
        <f t="shared" si="126"/>
        <v>2.4</v>
      </c>
      <c r="AN231" s="36">
        <f t="shared" si="126"/>
        <v>2.9</v>
      </c>
    </row>
    <row r="232" spans="2:40">
      <c r="B232" s="70"/>
      <c r="C232" s="70"/>
      <c r="D232" s="70"/>
      <c r="E232" s="70"/>
      <c r="F232" s="70"/>
      <c r="G232" s="70"/>
      <c r="H232" s="70"/>
      <c r="I232" s="70"/>
      <c r="J232" s="70"/>
      <c r="K232" s="70"/>
      <c r="L232" s="70"/>
      <c r="M232" s="70"/>
      <c r="R232" s="25" t="s">
        <v>48</v>
      </c>
      <c r="S232" s="12"/>
      <c r="T232" s="36">
        <f t="shared" si="125"/>
        <v>0.9</v>
      </c>
      <c r="U232" s="36">
        <f t="shared" si="125"/>
        <v>2.9</v>
      </c>
      <c r="V232" s="36">
        <f t="shared" si="125"/>
        <v>1.5</v>
      </c>
      <c r="W232" s="36">
        <f t="shared" si="125"/>
        <v>1.8</v>
      </c>
      <c r="X232" s="36">
        <f t="shared" si="125"/>
        <v>2.9</v>
      </c>
      <c r="Y232" s="36">
        <f t="shared" si="125"/>
        <v>1.9</v>
      </c>
      <c r="Z232" s="36">
        <f t="shared" si="125"/>
        <v>1</v>
      </c>
      <c r="AA232" s="36">
        <f t="shared" si="125"/>
        <v>3.9</v>
      </c>
      <c r="AB232" s="36">
        <f t="shared" si="125"/>
        <v>0.8</v>
      </c>
      <c r="AC232" s="36">
        <f t="shared" si="125"/>
        <v>2.7</v>
      </c>
      <c r="AD232" s="36">
        <f t="shared" si="126"/>
        <v>2.4</v>
      </c>
      <c r="AE232" s="36">
        <f t="shared" si="126"/>
        <v>1.5</v>
      </c>
      <c r="AF232" s="36">
        <f t="shared" si="126"/>
        <v>3</v>
      </c>
      <c r="AG232" s="36">
        <f t="shared" si="126"/>
        <v>2.2999999999999998</v>
      </c>
      <c r="AH232" s="36">
        <f t="shared" si="126"/>
        <v>1.9</v>
      </c>
      <c r="AI232" s="36">
        <f t="shared" si="126"/>
        <v>1.6</v>
      </c>
      <c r="AJ232" s="36">
        <f t="shared" si="126"/>
        <v>2.8</v>
      </c>
      <c r="AK232" s="36">
        <f t="shared" si="126"/>
        <v>2</v>
      </c>
      <c r="AL232" s="36">
        <f t="shared" si="126"/>
        <v>2.4</v>
      </c>
      <c r="AM232" s="36">
        <f t="shared" si="126"/>
        <v>1.9</v>
      </c>
      <c r="AN232" s="36">
        <f t="shared" si="126"/>
        <v>2.1</v>
      </c>
    </row>
    <row r="233" spans="2:40">
      <c r="B233" s="70"/>
      <c r="C233" s="70"/>
      <c r="D233" s="70"/>
      <c r="E233" s="70"/>
      <c r="F233" s="70"/>
      <c r="G233" s="70"/>
      <c r="H233" s="70"/>
      <c r="I233" s="70"/>
      <c r="J233" s="70"/>
      <c r="K233" s="70"/>
      <c r="L233" s="70"/>
      <c r="M233" s="70"/>
      <c r="R233" s="25" t="s">
        <v>45</v>
      </c>
      <c r="S233" s="12"/>
      <c r="T233" s="36">
        <f t="shared" si="125"/>
        <v>3.4</v>
      </c>
      <c r="U233" s="36">
        <f t="shared" si="125"/>
        <v>2.4</v>
      </c>
      <c r="V233" s="36">
        <f t="shared" si="125"/>
        <v>3.9</v>
      </c>
      <c r="W233" s="36">
        <f t="shared" si="125"/>
        <v>2.5</v>
      </c>
      <c r="X233" s="36">
        <f t="shared" si="125"/>
        <v>3.4</v>
      </c>
      <c r="Y233" s="36">
        <f t="shared" si="125"/>
        <v>4.7</v>
      </c>
      <c r="Z233" s="36">
        <f t="shared" si="125"/>
        <v>4.0999999999999996</v>
      </c>
      <c r="AA233" s="36">
        <f t="shared" si="125"/>
        <v>4.5999999999999996</v>
      </c>
      <c r="AB233" s="36">
        <f t="shared" si="125"/>
        <v>3.9</v>
      </c>
      <c r="AC233" s="36">
        <f t="shared" si="125"/>
        <v>2.9</v>
      </c>
      <c r="AD233" s="36">
        <f t="shared" si="126"/>
        <v>4.3</v>
      </c>
      <c r="AE233" s="36">
        <f t="shared" si="126"/>
        <v>4.2</v>
      </c>
      <c r="AF233" s="36">
        <f t="shared" si="126"/>
        <v>4.2</v>
      </c>
      <c r="AG233" s="36">
        <f t="shared" si="126"/>
        <v>3.5</v>
      </c>
      <c r="AH233" s="36">
        <f t="shared" si="126"/>
        <v>3.9</v>
      </c>
      <c r="AI233" s="36">
        <f t="shared" si="126"/>
        <v>3.9</v>
      </c>
      <c r="AJ233" s="36">
        <f t="shared" si="126"/>
        <v>3.9</v>
      </c>
      <c r="AK233" s="36">
        <f t="shared" si="126"/>
        <v>3.9</v>
      </c>
      <c r="AL233" s="36">
        <f t="shared" si="126"/>
        <v>2.9</v>
      </c>
      <c r="AM233" s="36">
        <f t="shared" si="126"/>
        <v>5.0999999999999996</v>
      </c>
      <c r="AN233" s="36">
        <f t="shared" si="126"/>
        <v>4.3</v>
      </c>
    </row>
    <row r="234" spans="2:40">
      <c r="B234" s="70"/>
      <c r="C234" s="70"/>
      <c r="D234" s="70"/>
      <c r="E234" s="70"/>
      <c r="F234" s="70"/>
      <c r="G234" s="70"/>
      <c r="H234" s="70"/>
      <c r="I234" s="70"/>
      <c r="J234" s="70"/>
      <c r="K234" s="70"/>
      <c r="L234" s="70"/>
      <c r="M234" s="70"/>
      <c r="O234" s="26"/>
      <c r="P234" s="26"/>
      <c r="Q234" s="28"/>
      <c r="R234" s="28"/>
      <c r="S234" s="20"/>
      <c r="T234" s="38"/>
      <c r="U234" s="38"/>
      <c r="V234" s="38"/>
      <c r="W234" s="38"/>
      <c r="X234" s="38"/>
      <c r="Y234" s="38"/>
      <c r="Z234" s="38"/>
      <c r="AA234" s="38"/>
      <c r="AB234" s="38"/>
      <c r="AC234" s="38"/>
      <c r="AD234" s="38"/>
      <c r="AE234" s="38"/>
      <c r="AF234" s="38"/>
      <c r="AG234" s="38"/>
      <c r="AH234" s="38"/>
      <c r="AI234" s="38"/>
      <c r="AJ234" s="38"/>
      <c r="AK234" s="38"/>
      <c r="AL234" s="38"/>
      <c r="AM234" s="38"/>
      <c r="AN234" s="38"/>
    </row>
    <row r="235" spans="2:40">
      <c r="B235" s="70"/>
      <c r="C235" s="70"/>
      <c r="D235" s="70"/>
      <c r="E235" s="70"/>
      <c r="F235" s="70"/>
      <c r="G235" s="70"/>
      <c r="H235" s="70"/>
      <c r="I235" s="70"/>
      <c r="J235" s="70"/>
      <c r="K235" s="70"/>
      <c r="L235" s="70"/>
      <c r="M235" s="70"/>
      <c r="O235" s="24" t="s">
        <v>20</v>
      </c>
      <c r="P235" s="24" t="s">
        <v>9</v>
      </c>
      <c r="Q235" s="25" t="s">
        <v>51</v>
      </c>
      <c r="R235" s="25" t="s">
        <v>43</v>
      </c>
      <c r="S235" s="12"/>
      <c r="T235" s="36">
        <f t="shared" ref="T235:AC242" si="127">IFERROR(VLOOKUP(T$193&amp;"Male"&amp;"Non-Maori"&amp;19&amp;$R235,Methodstable,9,FALSE),"0.0")</f>
        <v>38.799999999999997</v>
      </c>
      <c r="U235" s="36">
        <f t="shared" si="127"/>
        <v>35.700000000000003</v>
      </c>
      <c r="V235" s="36">
        <f t="shared" si="127"/>
        <v>36.9</v>
      </c>
      <c r="W235" s="36">
        <f t="shared" si="127"/>
        <v>42.5</v>
      </c>
      <c r="X235" s="36">
        <f t="shared" si="127"/>
        <v>43.6</v>
      </c>
      <c r="Y235" s="36">
        <f t="shared" si="127"/>
        <v>43.1</v>
      </c>
      <c r="Z235" s="36">
        <f t="shared" si="127"/>
        <v>41.2</v>
      </c>
      <c r="AA235" s="36">
        <f t="shared" si="127"/>
        <v>43.1</v>
      </c>
      <c r="AB235" s="36">
        <f t="shared" si="127"/>
        <v>47.2</v>
      </c>
      <c r="AC235" s="36">
        <f t="shared" si="127"/>
        <v>44.9</v>
      </c>
      <c r="AD235" s="36">
        <f t="shared" ref="AD235:AN242" si="128">IFERROR(VLOOKUP(AD$193&amp;"Male"&amp;"Non-Maori"&amp;19&amp;$R235,Methodstable,9,FALSE),"0.0")</f>
        <v>49.7</v>
      </c>
      <c r="AE235" s="36">
        <f t="shared" si="128"/>
        <v>57</v>
      </c>
      <c r="AF235" s="36">
        <f t="shared" si="128"/>
        <v>50.2</v>
      </c>
      <c r="AG235" s="36">
        <f t="shared" si="128"/>
        <v>56.5</v>
      </c>
      <c r="AH235" s="36">
        <f t="shared" si="128"/>
        <v>55.9</v>
      </c>
      <c r="AI235" s="36">
        <f t="shared" si="128"/>
        <v>56.4</v>
      </c>
      <c r="AJ235" s="36">
        <f t="shared" si="128"/>
        <v>57</v>
      </c>
      <c r="AK235" s="36">
        <f t="shared" si="128"/>
        <v>53</v>
      </c>
      <c r="AL235" s="36">
        <f t="shared" si="128"/>
        <v>58.8</v>
      </c>
      <c r="AM235" s="36">
        <f t="shared" si="128"/>
        <v>56.5</v>
      </c>
      <c r="AN235" s="36">
        <f t="shared" si="128"/>
        <v>60.8</v>
      </c>
    </row>
    <row r="236" spans="2:40">
      <c r="B236" s="70"/>
      <c r="C236" s="70"/>
      <c r="D236" s="70"/>
      <c r="E236" s="70"/>
      <c r="F236" s="70"/>
      <c r="G236" s="70"/>
      <c r="H236" s="70"/>
      <c r="I236" s="70"/>
      <c r="J236" s="70"/>
      <c r="K236" s="70"/>
      <c r="L236" s="70"/>
      <c r="M236" s="70"/>
      <c r="R236" s="25" t="s">
        <v>46</v>
      </c>
      <c r="S236" s="12"/>
      <c r="T236" s="36">
        <f t="shared" si="127"/>
        <v>32.9</v>
      </c>
      <c r="U236" s="36">
        <f t="shared" si="127"/>
        <v>35.700000000000003</v>
      </c>
      <c r="V236" s="36">
        <f t="shared" si="127"/>
        <v>28.5</v>
      </c>
      <c r="W236" s="36">
        <f t="shared" si="127"/>
        <v>28</v>
      </c>
      <c r="X236" s="36">
        <f t="shared" si="127"/>
        <v>27.4</v>
      </c>
      <c r="Y236" s="36">
        <f t="shared" si="127"/>
        <v>24.7</v>
      </c>
      <c r="Z236" s="36">
        <f t="shared" si="127"/>
        <v>24.3</v>
      </c>
      <c r="AA236" s="36">
        <f t="shared" si="127"/>
        <v>22.7</v>
      </c>
      <c r="AB236" s="36">
        <f t="shared" si="127"/>
        <v>26.4</v>
      </c>
      <c r="AC236" s="36">
        <f t="shared" si="127"/>
        <v>25.6</v>
      </c>
      <c r="AD236" s="36">
        <f t="shared" si="128"/>
        <v>20.5</v>
      </c>
      <c r="AE236" s="36">
        <f t="shared" si="128"/>
        <v>15</v>
      </c>
      <c r="AF236" s="36">
        <f t="shared" si="128"/>
        <v>19.5</v>
      </c>
      <c r="AG236" s="36">
        <f t="shared" si="128"/>
        <v>11</v>
      </c>
      <c r="AH236" s="36">
        <f t="shared" si="128"/>
        <v>14.9</v>
      </c>
      <c r="AI236" s="36">
        <f t="shared" si="128"/>
        <v>12.8</v>
      </c>
      <c r="AJ236" s="36">
        <f t="shared" si="128"/>
        <v>10.8</v>
      </c>
      <c r="AK236" s="36">
        <f t="shared" si="128"/>
        <v>11.7</v>
      </c>
      <c r="AL236" s="36">
        <f t="shared" si="128"/>
        <v>9.6</v>
      </c>
      <c r="AM236" s="36">
        <f t="shared" si="128"/>
        <v>10.7</v>
      </c>
      <c r="AN236" s="36">
        <f t="shared" si="128"/>
        <v>9.9</v>
      </c>
    </row>
    <row r="237" spans="2:40">
      <c r="B237" s="70"/>
      <c r="C237" s="70"/>
      <c r="D237" s="70"/>
      <c r="E237" s="70"/>
      <c r="F237" s="70"/>
      <c r="G237" s="70"/>
      <c r="H237" s="70"/>
      <c r="I237" s="70"/>
      <c r="J237" s="70"/>
      <c r="K237" s="70"/>
      <c r="L237" s="70"/>
      <c r="M237" s="70"/>
      <c r="R237" s="25" t="s">
        <v>47</v>
      </c>
      <c r="S237" s="12"/>
      <c r="T237" s="36">
        <f t="shared" si="127"/>
        <v>7.3</v>
      </c>
      <c r="U237" s="36">
        <f t="shared" si="127"/>
        <v>5.5</v>
      </c>
      <c r="V237" s="36">
        <f t="shared" si="127"/>
        <v>7.8</v>
      </c>
      <c r="W237" s="36">
        <f t="shared" si="127"/>
        <v>5.5</v>
      </c>
      <c r="X237" s="36">
        <f t="shared" si="127"/>
        <v>5.5</v>
      </c>
      <c r="Y237" s="36">
        <f t="shared" si="127"/>
        <v>7.8</v>
      </c>
      <c r="Z237" s="36">
        <f t="shared" si="127"/>
        <v>8.1</v>
      </c>
      <c r="AA237" s="36">
        <f t="shared" si="127"/>
        <v>9.9</v>
      </c>
      <c r="AB237" s="36">
        <f t="shared" si="127"/>
        <v>6.4</v>
      </c>
      <c r="AC237" s="36">
        <f t="shared" si="127"/>
        <v>8.5</v>
      </c>
      <c r="AD237" s="36">
        <f t="shared" si="128"/>
        <v>6.7</v>
      </c>
      <c r="AE237" s="36">
        <f t="shared" si="128"/>
        <v>5.2</v>
      </c>
      <c r="AF237" s="36">
        <f t="shared" si="128"/>
        <v>6.2</v>
      </c>
      <c r="AG237" s="36">
        <f t="shared" si="128"/>
        <v>8.9</v>
      </c>
      <c r="AH237" s="36">
        <f t="shared" si="128"/>
        <v>7.6</v>
      </c>
      <c r="AI237" s="36">
        <f t="shared" si="128"/>
        <v>9.8000000000000007</v>
      </c>
      <c r="AJ237" s="36">
        <f t="shared" si="128"/>
        <v>8.6999999999999993</v>
      </c>
      <c r="AK237" s="36">
        <f t="shared" si="128"/>
        <v>10</v>
      </c>
      <c r="AL237" s="36">
        <f t="shared" si="128"/>
        <v>9.6</v>
      </c>
      <c r="AM237" s="36">
        <f t="shared" si="128"/>
        <v>6.5</v>
      </c>
      <c r="AN237" s="36">
        <f t="shared" si="128"/>
        <v>4.8</v>
      </c>
    </row>
    <row r="238" spans="2:40">
      <c r="B238" s="70"/>
      <c r="C238" s="70"/>
      <c r="D238" s="70"/>
      <c r="E238" s="70"/>
      <c r="F238" s="70"/>
      <c r="G238" s="70"/>
      <c r="H238" s="70"/>
      <c r="I238" s="70"/>
      <c r="J238" s="70"/>
      <c r="K238" s="70"/>
      <c r="L238" s="70"/>
      <c r="M238" s="70"/>
      <c r="R238" s="25" t="s">
        <v>42</v>
      </c>
      <c r="S238" s="12"/>
      <c r="T238" s="36">
        <f t="shared" si="127"/>
        <v>12.1</v>
      </c>
      <c r="U238" s="36">
        <f t="shared" si="127"/>
        <v>12.5</v>
      </c>
      <c r="V238" s="36">
        <f t="shared" si="127"/>
        <v>17</v>
      </c>
      <c r="W238" s="36">
        <f t="shared" si="127"/>
        <v>12.6</v>
      </c>
      <c r="X238" s="36">
        <f t="shared" si="127"/>
        <v>10.1</v>
      </c>
      <c r="Y238" s="36">
        <f t="shared" si="127"/>
        <v>13.9</v>
      </c>
      <c r="Z238" s="36">
        <f t="shared" si="127"/>
        <v>14.2</v>
      </c>
      <c r="AA238" s="36">
        <f t="shared" si="127"/>
        <v>10.9</v>
      </c>
      <c r="AB238" s="36">
        <f t="shared" si="127"/>
        <v>11</v>
      </c>
      <c r="AC238" s="36">
        <f t="shared" si="127"/>
        <v>11.5</v>
      </c>
      <c r="AD238" s="36">
        <f t="shared" si="128"/>
        <v>11.5</v>
      </c>
      <c r="AE238" s="36">
        <f t="shared" si="128"/>
        <v>12.4</v>
      </c>
      <c r="AF238" s="36">
        <f t="shared" si="128"/>
        <v>11.8</v>
      </c>
      <c r="AG238" s="36">
        <f t="shared" si="128"/>
        <v>14.9</v>
      </c>
      <c r="AH238" s="36">
        <f t="shared" si="128"/>
        <v>11.7</v>
      </c>
      <c r="AI238" s="36">
        <f t="shared" si="128"/>
        <v>10.8</v>
      </c>
      <c r="AJ238" s="36">
        <f t="shared" si="128"/>
        <v>12.4</v>
      </c>
      <c r="AK238" s="36">
        <f t="shared" si="128"/>
        <v>15</v>
      </c>
      <c r="AL238" s="36">
        <f t="shared" si="128"/>
        <v>11.8</v>
      </c>
      <c r="AM238" s="36">
        <f t="shared" si="128"/>
        <v>12</v>
      </c>
      <c r="AN238" s="36">
        <f t="shared" si="128"/>
        <v>9.9</v>
      </c>
    </row>
    <row r="239" spans="2:40">
      <c r="B239" s="70"/>
      <c r="C239" s="60" t="s">
        <v>100</v>
      </c>
      <c r="D239" s="70"/>
      <c r="E239" s="70"/>
      <c r="F239" s="70"/>
      <c r="G239" s="70"/>
      <c r="H239" s="70"/>
      <c r="I239" s="70"/>
      <c r="J239" s="70"/>
      <c r="K239" s="70"/>
      <c r="L239" s="70"/>
      <c r="M239" s="70"/>
      <c r="R239" s="25" t="s">
        <v>44</v>
      </c>
      <c r="S239" s="12"/>
      <c r="T239" s="36">
        <f t="shared" si="127"/>
        <v>2.8</v>
      </c>
      <c r="U239" s="36">
        <f t="shared" si="127"/>
        <v>2.5</v>
      </c>
      <c r="V239" s="36">
        <f t="shared" si="127"/>
        <v>2.5</v>
      </c>
      <c r="W239" s="36">
        <f t="shared" si="127"/>
        <v>3.4</v>
      </c>
      <c r="X239" s="36">
        <f t="shared" si="127"/>
        <v>3.3</v>
      </c>
      <c r="Y239" s="36">
        <f t="shared" si="127"/>
        <v>3</v>
      </c>
      <c r="Z239" s="36">
        <f t="shared" si="127"/>
        <v>4.0999999999999996</v>
      </c>
      <c r="AA239" s="36">
        <f t="shared" si="127"/>
        <v>1.6</v>
      </c>
      <c r="AB239" s="36">
        <f t="shared" si="127"/>
        <v>2.2999999999999998</v>
      </c>
      <c r="AC239" s="36">
        <f t="shared" si="127"/>
        <v>3.3</v>
      </c>
      <c r="AD239" s="36">
        <f t="shared" si="128"/>
        <v>1.9</v>
      </c>
      <c r="AE239" s="36">
        <f t="shared" si="128"/>
        <v>2.9</v>
      </c>
      <c r="AF239" s="36">
        <f t="shared" si="128"/>
        <v>3.7</v>
      </c>
      <c r="AG239" s="36">
        <f t="shared" si="128"/>
        <v>2.7</v>
      </c>
      <c r="AH239" s="36">
        <f t="shared" si="128"/>
        <v>3.2</v>
      </c>
      <c r="AI239" s="36">
        <f t="shared" si="128"/>
        <v>2.7</v>
      </c>
      <c r="AJ239" s="36">
        <f t="shared" si="128"/>
        <v>2.8</v>
      </c>
      <c r="AK239" s="36">
        <f t="shared" si="128"/>
        <v>2.2999999999999998</v>
      </c>
      <c r="AL239" s="36">
        <f t="shared" si="128"/>
        <v>3.5</v>
      </c>
      <c r="AM239" s="36">
        <f t="shared" si="128"/>
        <v>4.9000000000000004</v>
      </c>
      <c r="AN239" s="36">
        <f t="shared" si="128"/>
        <v>4.8</v>
      </c>
    </row>
    <row r="240" spans="2:40">
      <c r="B240" s="70"/>
      <c r="C240" s="70"/>
      <c r="D240" s="70"/>
      <c r="E240" s="70"/>
      <c r="F240" s="70"/>
      <c r="G240" s="70"/>
      <c r="H240" s="70"/>
      <c r="I240" s="70"/>
      <c r="J240" s="70"/>
      <c r="K240" s="70"/>
      <c r="L240" s="70"/>
      <c r="M240" s="70"/>
      <c r="R240" s="25" t="s">
        <v>49</v>
      </c>
      <c r="S240" s="12"/>
      <c r="T240" s="36">
        <f t="shared" si="127"/>
        <v>2.2000000000000002</v>
      </c>
      <c r="U240" s="36">
        <f t="shared" si="127"/>
        <v>2.8</v>
      </c>
      <c r="V240" s="36">
        <f t="shared" si="127"/>
        <v>2</v>
      </c>
      <c r="W240" s="36">
        <f t="shared" si="127"/>
        <v>3.4</v>
      </c>
      <c r="X240" s="36">
        <f t="shared" si="127"/>
        <v>3.6</v>
      </c>
      <c r="Y240" s="36">
        <f t="shared" si="127"/>
        <v>0.6</v>
      </c>
      <c r="Z240" s="36">
        <f t="shared" si="127"/>
        <v>2.7</v>
      </c>
      <c r="AA240" s="36">
        <f t="shared" si="127"/>
        <v>1.9</v>
      </c>
      <c r="AB240" s="36">
        <f t="shared" si="127"/>
        <v>2.7</v>
      </c>
      <c r="AC240" s="36">
        <f t="shared" si="127"/>
        <v>1.3</v>
      </c>
      <c r="AD240" s="36">
        <f t="shared" si="128"/>
        <v>1.9</v>
      </c>
      <c r="AE240" s="36">
        <f t="shared" si="128"/>
        <v>1.6</v>
      </c>
      <c r="AF240" s="36">
        <f t="shared" si="128"/>
        <v>1.5</v>
      </c>
      <c r="AG240" s="36">
        <f t="shared" si="128"/>
        <v>0.9</v>
      </c>
      <c r="AH240" s="36">
        <f t="shared" si="128"/>
        <v>1.3</v>
      </c>
      <c r="AI240" s="36">
        <f t="shared" si="128"/>
        <v>2.4</v>
      </c>
      <c r="AJ240" s="36">
        <f t="shared" si="128"/>
        <v>0.9</v>
      </c>
      <c r="AK240" s="36">
        <f t="shared" si="128"/>
        <v>2.2999999999999998</v>
      </c>
      <c r="AL240" s="36">
        <f t="shared" si="128"/>
        <v>2.2000000000000002</v>
      </c>
      <c r="AM240" s="36">
        <f t="shared" si="128"/>
        <v>1.9</v>
      </c>
      <c r="AN240" s="36">
        <f t="shared" si="128"/>
        <v>2.9</v>
      </c>
    </row>
    <row r="241" spans="15:40">
      <c r="R241" s="25" t="s">
        <v>48</v>
      </c>
      <c r="S241" s="12"/>
      <c r="T241" s="36">
        <f t="shared" si="127"/>
        <v>0.8</v>
      </c>
      <c r="U241" s="36">
        <f t="shared" si="127"/>
        <v>2.8</v>
      </c>
      <c r="V241" s="36">
        <f t="shared" si="127"/>
        <v>1.7</v>
      </c>
      <c r="W241" s="36">
        <f t="shared" si="127"/>
        <v>1.8</v>
      </c>
      <c r="X241" s="36">
        <f t="shared" si="127"/>
        <v>2.9</v>
      </c>
      <c r="Y241" s="36">
        <f t="shared" si="127"/>
        <v>2.1</v>
      </c>
      <c r="Z241" s="36">
        <f t="shared" si="127"/>
        <v>1.4</v>
      </c>
      <c r="AA241" s="36">
        <f t="shared" si="127"/>
        <v>4.2</v>
      </c>
      <c r="AB241" s="36">
        <f t="shared" si="127"/>
        <v>0.7</v>
      </c>
      <c r="AC241" s="36">
        <f t="shared" si="127"/>
        <v>2.6</v>
      </c>
      <c r="AD241" s="36">
        <f t="shared" si="128"/>
        <v>2.9</v>
      </c>
      <c r="AE241" s="36">
        <f t="shared" si="128"/>
        <v>2</v>
      </c>
      <c r="AF241" s="36">
        <f t="shared" si="128"/>
        <v>3.4</v>
      </c>
      <c r="AG241" s="36">
        <f t="shared" si="128"/>
        <v>2.4</v>
      </c>
      <c r="AH241" s="36">
        <f t="shared" si="128"/>
        <v>1.9</v>
      </c>
      <c r="AI241" s="36">
        <f t="shared" si="128"/>
        <v>1.7</v>
      </c>
      <c r="AJ241" s="36">
        <f t="shared" si="128"/>
        <v>3.7</v>
      </c>
      <c r="AK241" s="36">
        <f t="shared" si="128"/>
        <v>2.2999999999999998</v>
      </c>
      <c r="AL241" s="36">
        <f t="shared" si="128"/>
        <v>1.3</v>
      </c>
      <c r="AM241" s="36">
        <f t="shared" si="128"/>
        <v>2.6</v>
      </c>
      <c r="AN241" s="36">
        <f t="shared" si="128"/>
        <v>2.5</v>
      </c>
    </row>
    <row r="242" spans="15:40">
      <c r="R242" s="25" t="s">
        <v>45</v>
      </c>
      <c r="S242" s="12"/>
      <c r="T242" s="36">
        <f t="shared" si="127"/>
        <v>3.1</v>
      </c>
      <c r="U242" s="36">
        <f t="shared" si="127"/>
        <v>2.5</v>
      </c>
      <c r="V242" s="36">
        <f t="shared" si="127"/>
        <v>3.6</v>
      </c>
      <c r="W242" s="36">
        <f t="shared" si="127"/>
        <v>2.8</v>
      </c>
      <c r="X242" s="36">
        <f t="shared" si="127"/>
        <v>3.6</v>
      </c>
      <c r="Y242" s="36">
        <f t="shared" si="127"/>
        <v>4.8</v>
      </c>
      <c r="Z242" s="36">
        <f t="shared" si="127"/>
        <v>4.0999999999999996</v>
      </c>
      <c r="AA242" s="36">
        <f t="shared" si="127"/>
        <v>5.8</v>
      </c>
      <c r="AB242" s="36">
        <f t="shared" si="127"/>
        <v>3.3</v>
      </c>
      <c r="AC242" s="36">
        <f t="shared" si="127"/>
        <v>2.2999999999999998</v>
      </c>
      <c r="AD242" s="36">
        <f t="shared" si="128"/>
        <v>4.8</v>
      </c>
      <c r="AE242" s="36">
        <f t="shared" si="128"/>
        <v>3.9</v>
      </c>
      <c r="AF242" s="36">
        <f t="shared" si="128"/>
        <v>3.7</v>
      </c>
      <c r="AG242" s="36">
        <f t="shared" si="128"/>
        <v>2.7</v>
      </c>
      <c r="AH242" s="36">
        <f t="shared" si="128"/>
        <v>3.5</v>
      </c>
      <c r="AI242" s="36">
        <f t="shared" si="128"/>
        <v>3.4</v>
      </c>
      <c r="AJ242" s="36">
        <f t="shared" si="128"/>
        <v>3.7</v>
      </c>
      <c r="AK242" s="36">
        <f t="shared" si="128"/>
        <v>3.3</v>
      </c>
      <c r="AL242" s="36">
        <f t="shared" si="128"/>
        <v>3.2</v>
      </c>
      <c r="AM242" s="36">
        <f t="shared" si="128"/>
        <v>4.9000000000000004</v>
      </c>
      <c r="AN242" s="36">
        <f t="shared" si="128"/>
        <v>4.5</v>
      </c>
    </row>
    <row r="243" spans="15:40">
      <c r="O243" s="26"/>
      <c r="P243" s="26"/>
      <c r="Q243" s="28"/>
      <c r="R243" s="28"/>
      <c r="S243" s="20"/>
      <c r="T243" s="38"/>
      <c r="U243" s="38"/>
      <c r="V243" s="38"/>
      <c r="W243" s="38"/>
      <c r="X243" s="38"/>
      <c r="Y243" s="38"/>
      <c r="Z243" s="38"/>
      <c r="AA243" s="38"/>
      <c r="AB243" s="38"/>
      <c r="AC243" s="38"/>
      <c r="AD243" s="38"/>
      <c r="AE243" s="38"/>
      <c r="AF243" s="38"/>
      <c r="AG243" s="38"/>
      <c r="AH243" s="38"/>
      <c r="AI243" s="38"/>
      <c r="AJ243" s="38"/>
      <c r="AK243" s="38"/>
      <c r="AL243" s="38"/>
      <c r="AM243" s="38"/>
      <c r="AN243" s="38"/>
    </row>
    <row r="244" spans="15:40">
      <c r="O244" s="24" t="s">
        <v>8</v>
      </c>
      <c r="P244" s="24" t="s">
        <v>9</v>
      </c>
      <c r="Q244" s="25" t="s">
        <v>51</v>
      </c>
      <c r="R244" s="25" t="s">
        <v>43</v>
      </c>
      <c r="S244" s="12"/>
      <c r="T244" s="36">
        <f t="shared" ref="T244:AC251" si="129">IFERROR(VLOOKUP(T$193&amp;"Female"&amp;"Non-Maori"&amp;19&amp;$R244,Methodstable,9,FALSE),"0.0")</f>
        <v>29.9</v>
      </c>
      <c r="U244" s="36">
        <f t="shared" si="129"/>
        <v>34.700000000000003</v>
      </c>
      <c r="V244" s="36">
        <f t="shared" si="129"/>
        <v>40.700000000000003</v>
      </c>
      <c r="W244" s="36">
        <f t="shared" si="129"/>
        <v>40.200000000000003</v>
      </c>
      <c r="X244" s="36">
        <f t="shared" si="129"/>
        <v>30.6</v>
      </c>
      <c r="Y244" s="36">
        <f t="shared" si="129"/>
        <v>37.1</v>
      </c>
      <c r="Z244" s="36">
        <f t="shared" si="129"/>
        <v>41.5</v>
      </c>
      <c r="AA244" s="36">
        <f t="shared" si="129"/>
        <v>38.5</v>
      </c>
      <c r="AB244" s="36">
        <f t="shared" si="129"/>
        <v>44</v>
      </c>
      <c r="AC244" s="36">
        <f t="shared" si="129"/>
        <v>38.1</v>
      </c>
      <c r="AD244" s="36">
        <f t="shared" ref="AD244:AN251" si="130">IFERROR(VLOOKUP(AD$193&amp;"Female"&amp;"Non-Maori"&amp;19&amp;$R244,Methodstable,9,FALSE),"0.0")</f>
        <v>48.1</v>
      </c>
      <c r="AE244" s="36">
        <f t="shared" si="130"/>
        <v>39.200000000000003</v>
      </c>
      <c r="AF244" s="36">
        <f t="shared" si="130"/>
        <v>48.1</v>
      </c>
      <c r="AG244" s="36">
        <f t="shared" si="130"/>
        <v>45.2</v>
      </c>
      <c r="AH244" s="36">
        <f t="shared" si="130"/>
        <v>50.4</v>
      </c>
      <c r="AI244" s="36">
        <f t="shared" si="130"/>
        <v>45.3</v>
      </c>
      <c r="AJ244" s="36">
        <f t="shared" si="130"/>
        <v>49.1</v>
      </c>
      <c r="AK244" s="36">
        <f t="shared" si="130"/>
        <v>45.9</v>
      </c>
      <c r="AL244" s="36">
        <f t="shared" si="130"/>
        <v>47.1</v>
      </c>
      <c r="AM244" s="36">
        <f t="shared" si="130"/>
        <v>46.2</v>
      </c>
      <c r="AN244" s="36">
        <f t="shared" si="130"/>
        <v>54.3</v>
      </c>
    </row>
    <row r="245" spans="15:40">
      <c r="R245" s="25" t="s">
        <v>46</v>
      </c>
      <c r="S245" s="12"/>
      <c r="T245" s="36">
        <f t="shared" si="129"/>
        <v>34.5</v>
      </c>
      <c r="U245" s="36">
        <f t="shared" si="129"/>
        <v>21.1</v>
      </c>
      <c r="V245" s="36">
        <f t="shared" si="129"/>
        <v>21.3</v>
      </c>
      <c r="W245" s="36">
        <f t="shared" si="129"/>
        <v>18.8</v>
      </c>
      <c r="X245" s="36">
        <f t="shared" si="129"/>
        <v>30.6</v>
      </c>
      <c r="Y245" s="36">
        <f t="shared" si="129"/>
        <v>18.600000000000001</v>
      </c>
      <c r="Z245" s="36">
        <f t="shared" si="129"/>
        <v>20.2</v>
      </c>
      <c r="AA245" s="36">
        <f t="shared" si="129"/>
        <v>21.3</v>
      </c>
      <c r="AB245" s="36">
        <f t="shared" si="129"/>
        <v>15.5</v>
      </c>
      <c r="AC245" s="36">
        <f t="shared" si="129"/>
        <v>20</v>
      </c>
      <c r="AD245" s="36">
        <f t="shared" si="130"/>
        <v>15.4</v>
      </c>
      <c r="AE245" s="36">
        <f t="shared" si="130"/>
        <v>20.6</v>
      </c>
      <c r="AF245" s="36">
        <f t="shared" si="130"/>
        <v>9.3000000000000007</v>
      </c>
      <c r="AG245" s="36">
        <f t="shared" si="130"/>
        <v>10.8</v>
      </c>
      <c r="AH245" s="36">
        <f t="shared" si="130"/>
        <v>8.5</v>
      </c>
      <c r="AI245" s="36">
        <f t="shared" si="130"/>
        <v>5.8</v>
      </c>
      <c r="AJ245" s="36">
        <f t="shared" si="130"/>
        <v>5.6</v>
      </c>
      <c r="AK245" s="36">
        <f t="shared" si="130"/>
        <v>4.5999999999999996</v>
      </c>
      <c r="AL245" s="36">
        <f t="shared" si="130"/>
        <v>8.6999999999999993</v>
      </c>
      <c r="AM245" s="36">
        <f t="shared" si="130"/>
        <v>7.7</v>
      </c>
      <c r="AN245" s="36">
        <f t="shared" si="130"/>
        <v>9.5</v>
      </c>
    </row>
    <row r="246" spans="15:40">
      <c r="R246" s="25" t="s">
        <v>47</v>
      </c>
      <c r="S246" s="12"/>
      <c r="T246" s="36">
        <f t="shared" si="129"/>
        <v>25.3</v>
      </c>
      <c r="U246" s="36">
        <f t="shared" si="129"/>
        <v>29.5</v>
      </c>
      <c r="V246" s="36">
        <f t="shared" si="129"/>
        <v>24.1</v>
      </c>
      <c r="W246" s="36">
        <f t="shared" si="129"/>
        <v>25.9</v>
      </c>
      <c r="X246" s="36">
        <f t="shared" si="129"/>
        <v>20.8</v>
      </c>
      <c r="Y246" s="36">
        <f t="shared" si="129"/>
        <v>24.7</v>
      </c>
      <c r="Z246" s="36">
        <f t="shared" si="129"/>
        <v>19.100000000000001</v>
      </c>
      <c r="AA246" s="36">
        <f t="shared" si="129"/>
        <v>21.3</v>
      </c>
      <c r="AB246" s="36">
        <f t="shared" si="129"/>
        <v>25</v>
      </c>
      <c r="AC246" s="36">
        <f t="shared" si="129"/>
        <v>21</v>
      </c>
      <c r="AD246" s="36">
        <f t="shared" si="130"/>
        <v>22.1</v>
      </c>
      <c r="AE246" s="36">
        <f t="shared" si="130"/>
        <v>23.7</v>
      </c>
      <c r="AF246" s="36">
        <f t="shared" si="130"/>
        <v>29.6</v>
      </c>
      <c r="AG246" s="36">
        <f t="shared" si="130"/>
        <v>26.9</v>
      </c>
      <c r="AH246" s="36">
        <f t="shared" si="130"/>
        <v>27.4</v>
      </c>
      <c r="AI246" s="36">
        <f t="shared" si="130"/>
        <v>29.1</v>
      </c>
      <c r="AJ246" s="36">
        <f t="shared" si="130"/>
        <v>31.5</v>
      </c>
      <c r="AK246" s="36">
        <f t="shared" si="130"/>
        <v>30.3</v>
      </c>
      <c r="AL246" s="36">
        <f t="shared" si="130"/>
        <v>28.8</v>
      </c>
      <c r="AM246" s="36">
        <f t="shared" si="130"/>
        <v>30.8</v>
      </c>
      <c r="AN246" s="36">
        <f t="shared" si="130"/>
        <v>23.8</v>
      </c>
    </row>
    <row r="247" spans="15:40">
      <c r="R247" s="25" t="s">
        <v>42</v>
      </c>
      <c r="S247" s="12"/>
      <c r="T247" s="36" t="str">
        <f t="shared" si="129"/>
        <v>0.0</v>
      </c>
      <c r="U247" s="36">
        <f t="shared" si="129"/>
        <v>3.2</v>
      </c>
      <c r="V247" s="36">
        <f t="shared" si="129"/>
        <v>0.9</v>
      </c>
      <c r="W247" s="36">
        <f t="shared" si="129"/>
        <v>3.6</v>
      </c>
      <c r="X247" s="36">
        <f t="shared" si="129"/>
        <v>2.8</v>
      </c>
      <c r="Y247" s="36">
        <f t="shared" si="129"/>
        <v>1</v>
      </c>
      <c r="Z247" s="36">
        <f t="shared" si="129"/>
        <v>3.2</v>
      </c>
      <c r="AA247" s="36">
        <f t="shared" si="129"/>
        <v>3.3</v>
      </c>
      <c r="AB247" s="36">
        <f t="shared" si="129"/>
        <v>2.4</v>
      </c>
      <c r="AC247" s="36">
        <f t="shared" si="129"/>
        <v>1.9</v>
      </c>
      <c r="AD247" s="36">
        <f t="shared" si="130"/>
        <v>5.8</v>
      </c>
      <c r="AE247" s="36">
        <f t="shared" si="130"/>
        <v>4.0999999999999996</v>
      </c>
      <c r="AF247" s="36">
        <f t="shared" si="130"/>
        <v>0.9</v>
      </c>
      <c r="AG247" s="36" t="str">
        <f t="shared" si="130"/>
        <v>0.0</v>
      </c>
      <c r="AH247" s="36">
        <f t="shared" si="130"/>
        <v>0.9</v>
      </c>
      <c r="AI247" s="36">
        <f t="shared" si="130"/>
        <v>2.2999999999999998</v>
      </c>
      <c r="AJ247" s="36">
        <f t="shared" si="130"/>
        <v>1.9</v>
      </c>
      <c r="AK247" s="36">
        <f t="shared" si="130"/>
        <v>0.9</v>
      </c>
      <c r="AL247" s="36">
        <f t="shared" si="130"/>
        <v>2.9</v>
      </c>
      <c r="AM247" s="36">
        <f t="shared" si="130"/>
        <v>2.9</v>
      </c>
      <c r="AN247" s="36" t="str">
        <f t="shared" si="130"/>
        <v>0.0</v>
      </c>
    </row>
    <row r="248" spans="15:40">
      <c r="R248" s="25" t="s">
        <v>44</v>
      </c>
      <c r="S248" s="12"/>
      <c r="T248" s="36">
        <f t="shared" si="129"/>
        <v>1.1000000000000001</v>
      </c>
      <c r="U248" s="36">
        <f t="shared" si="129"/>
        <v>1.1000000000000001</v>
      </c>
      <c r="V248" s="36">
        <f t="shared" si="129"/>
        <v>4.5999999999999996</v>
      </c>
      <c r="W248" s="36">
        <f t="shared" si="129"/>
        <v>3.6</v>
      </c>
      <c r="X248" s="36">
        <f t="shared" si="129"/>
        <v>5.6</v>
      </c>
      <c r="Y248" s="36">
        <f t="shared" si="129"/>
        <v>8.1999999999999993</v>
      </c>
      <c r="Z248" s="36">
        <f t="shared" si="129"/>
        <v>6.4</v>
      </c>
      <c r="AA248" s="36">
        <f t="shared" si="129"/>
        <v>4.9000000000000004</v>
      </c>
      <c r="AB248" s="36">
        <f t="shared" si="129"/>
        <v>3.6</v>
      </c>
      <c r="AC248" s="36">
        <f t="shared" si="129"/>
        <v>2.9</v>
      </c>
      <c r="AD248" s="36">
        <f t="shared" si="130"/>
        <v>2.9</v>
      </c>
      <c r="AE248" s="36">
        <f t="shared" si="130"/>
        <v>3.1</v>
      </c>
      <c r="AF248" s="36">
        <f t="shared" si="130"/>
        <v>1.9</v>
      </c>
      <c r="AG248" s="36">
        <f t="shared" si="130"/>
        <v>5.4</v>
      </c>
      <c r="AH248" s="36">
        <f t="shared" si="130"/>
        <v>1.7</v>
      </c>
      <c r="AI248" s="36">
        <f t="shared" si="130"/>
        <v>2.2999999999999998</v>
      </c>
      <c r="AJ248" s="36">
        <f t="shared" si="130"/>
        <v>5.6</v>
      </c>
      <c r="AK248" s="36">
        <f t="shared" si="130"/>
        <v>4.5999999999999996</v>
      </c>
      <c r="AL248" s="36">
        <f t="shared" si="130"/>
        <v>2.9</v>
      </c>
      <c r="AM248" s="36">
        <f t="shared" si="130"/>
        <v>2.9</v>
      </c>
      <c r="AN248" s="36">
        <f t="shared" si="130"/>
        <v>4.8</v>
      </c>
    </row>
    <row r="249" spans="15:40">
      <c r="R249" s="25" t="s">
        <v>49</v>
      </c>
      <c r="S249" s="12"/>
      <c r="T249" s="36">
        <f t="shared" si="129"/>
        <v>3.4</v>
      </c>
      <c r="U249" s="36">
        <f t="shared" si="129"/>
        <v>5.3</v>
      </c>
      <c r="V249" s="36">
        <f t="shared" si="129"/>
        <v>2.8</v>
      </c>
      <c r="W249" s="36">
        <f t="shared" si="129"/>
        <v>4.5</v>
      </c>
      <c r="X249" s="36">
        <f t="shared" si="129"/>
        <v>4.2</v>
      </c>
      <c r="Y249" s="36">
        <f t="shared" si="129"/>
        <v>5.2</v>
      </c>
      <c r="Z249" s="36">
        <f t="shared" si="129"/>
        <v>5.3</v>
      </c>
      <c r="AA249" s="36">
        <f t="shared" si="129"/>
        <v>5.7</v>
      </c>
      <c r="AB249" s="36">
        <f t="shared" si="129"/>
        <v>2.4</v>
      </c>
      <c r="AC249" s="36">
        <f t="shared" si="129"/>
        <v>8.6</v>
      </c>
      <c r="AD249" s="36">
        <f t="shared" si="130"/>
        <v>1.9</v>
      </c>
      <c r="AE249" s="36">
        <f t="shared" si="130"/>
        <v>4.0999999999999996</v>
      </c>
      <c r="AF249" s="36">
        <f t="shared" si="130"/>
        <v>2.8</v>
      </c>
      <c r="AG249" s="36">
        <f t="shared" si="130"/>
        <v>3.2</v>
      </c>
      <c r="AH249" s="36">
        <f t="shared" si="130"/>
        <v>4.3</v>
      </c>
      <c r="AI249" s="36">
        <f t="shared" si="130"/>
        <v>8.1</v>
      </c>
      <c r="AJ249" s="36">
        <f t="shared" si="130"/>
        <v>1.9</v>
      </c>
      <c r="AK249" s="36">
        <f t="shared" si="130"/>
        <v>7.3</v>
      </c>
      <c r="AL249" s="36">
        <f t="shared" si="130"/>
        <v>1.9</v>
      </c>
      <c r="AM249" s="36">
        <f t="shared" si="130"/>
        <v>3.8</v>
      </c>
      <c r="AN249" s="36">
        <f t="shared" si="130"/>
        <v>2.9</v>
      </c>
    </row>
    <row r="250" spans="15:40">
      <c r="R250" s="25" t="s">
        <v>48</v>
      </c>
      <c r="S250" s="12"/>
      <c r="T250" s="36">
        <f t="shared" si="129"/>
        <v>1.1000000000000001</v>
      </c>
      <c r="U250" s="36">
        <f t="shared" si="129"/>
        <v>3.2</v>
      </c>
      <c r="V250" s="36">
        <f t="shared" si="129"/>
        <v>0.9</v>
      </c>
      <c r="W250" s="36">
        <f t="shared" si="129"/>
        <v>1.8</v>
      </c>
      <c r="X250" s="36">
        <f t="shared" si="129"/>
        <v>2.8</v>
      </c>
      <c r="Y250" s="36">
        <f t="shared" si="129"/>
        <v>1</v>
      </c>
      <c r="Z250" s="36" t="str">
        <f t="shared" si="129"/>
        <v>0.0</v>
      </c>
      <c r="AA250" s="36">
        <f t="shared" si="129"/>
        <v>3.3</v>
      </c>
      <c r="AB250" s="36">
        <f t="shared" si="129"/>
        <v>1.2</v>
      </c>
      <c r="AC250" s="36">
        <f t="shared" si="129"/>
        <v>2.9</v>
      </c>
      <c r="AD250" s="36">
        <f t="shared" si="130"/>
        <v>1</v>
      </c>
      <c r="AE250" s="36" t="str">
        <f t="shared" si="130"/>
        <v>0.0</v>
      </c>
      <c r="AF250" s="36">
        <f t="shared" si="130"/>
        <v>1.9</v>
      </c>
      <c r="AG250" s="36">
        <f t="shared" si="130"/>
        <v>2.2000000000000002</v>
      </c>
      <c r="AH250" s="36">
        <f t="shared" si="130"/>
        <v>1.7</v>
      </c>
      <c r="AI250" s="36">
        <f t="shared" si="130"/>
        <v>1.2</v>
      </c>
      <c r="AJ250" s="36" t="str">
        <f t="shared" si="130"/>
        <v>0.0</v>
      </c>
      <c r="AK250" s="36">
        <f t="shared" si="130"/>
        <v>0.9</v>
      </c>
      <c r="AL250" s="36">
        <f t="shared" si="130"/>
        <v>5.8</v>
      </c>
      <c r="AM250" s="36" t="str">
        <f t="shared" si="130"/>
        <v>0.0</v>
      </c>
      <c r="AN250" s="36">
        <f t="shared" si="130"/>
        <v>1</v>
      </c>
    </row>
    <row r="251" spans="15:40">
      <c r="R251" s="25" t="s">
        <v>45</v>
      </c>
      <c r="S251" s="12"/>
      <c r="T251" s="36">
        <f t="shared" si="129"/>
        <v>4.5999999999999996</v>
      </c>
      <c r="U251" s="36">
        <f t="shared" si="129"/>
        <v>2.1</v>
      </c>
      <c r="V251" s="36">
        <f t="shared" si="129"/>
        <v>4.5999999999999996</v>
      </c>
      <c r="W251" s="36">
        <f t="shared" si="129"/>
        <v>1.8</v>
      </c>
      <c r="X251" s="36">
        <f t="shared" si="129"/>
        <v>2.8</v>
      </c>
      <c r="Y251" s="36">
        <f t="shared" si="129"/>
        <v>4.0999999999999996</v>
      </c>
      <c r="Z251" s="36">
        <f t="shared" si="129"/>
        <v>4.3</v>
      </c>
      <c r="AA251" s="36">
        <f t="shared" si="129"/>
        <v>1.6</v>
      </c>
      <c r="AB251" s="36">
        <f t="shared" si="129"/>
        <v>6</v>
      </c>
      <c r="AC251" s="36">
        <f t="shared" si="129"/>
        <v>4.8</v>
      </c>
      <c r="AD251" s="36">
        <f t="shared" si="130"/>
        <v>2.9</v>
      </c>
      <c r="AE251" s="36">
        <f t="shared" si="130"/>
        <v>5.2</v>
      </c>
      <c r="AF251" s="36">
        <f t="shared" si="130"/>
        <v>5.6</v>
      </c>
      <c r="AG251" s="36">
        <f t="shared" si="130"/>
        <v>6.5</v>
      </c>
      <c r="AH251" s="36">
        <f t="shared" si="130"/>
        <v>5.0999999999999996</v>
      </c>
      <c r="AI251" s="36">
        <f t="shared" si="130"/>
        <v>5.8</v>
      </c>
      <c r="AJ251" s="36">
        <f t="shared" si="130"/>
        <v>4.5999999999999996</v>
      </c>
      <c r="AK251" s="36">
        <f t="shared" si="130"/>
        <v>5.5</v>
      </c>
      <c r="AL251" s="36">
        <f t="shared" si="130"/>
        <v>1.9</v>
      </c>
      <c r="AM251" s="36">
        <f t="shared" si="130"/>
        <v>5.8</v>
      </c>
      <c r="AN251" s="36">
        <f t="shared" si="130"/>
        <v>3.8</v>
      </c>
    </row>
    <row r="252" spans="15:40">
      <c r="O252" s="50" t="s">
        <v>100</v>
      </c>
      <c r="P252" s="12"/>
      <c r="Q252" s="44"/>
      <c r="R252" s="44"/>
      <c r="S252" s="37"/>
      <c r="T252" s="37"/>
      <c r="U252" s="37"/>
      <c r="V252" s="37"/>
      <c r="W252" s="37"/>
      <c r="X252" s="37"/>
      <c r="Y252" s="37"/>
      <c r="Z252" s="37"/>
      <c r="AA252" s="37"/>
      <c r="AB252" s="37"/>
      <c r="AC252" s="37"/>
      <c r="AD252" s="37"/>
      <c r="AE252" s="37"/>
      <c r="AF252" s="37"/>
      <c r="AG252" s="37"/>
      <c r="AH252" s="37"/>
      <c r="AI252" s="37"/>
      <c r="AJ252" s="37"/>
      <c r="AK252" s="37"/>
      <c r="AN252" s="230"/>
    </row>
    <row r="253" spans="15:40">
      <c r="O253" s="26"/>
      <c r="P253" s="26"/>
      <c r="Q253" s="28"/>
      <c r="R253" s="28"/>
      <c r="S253" s="123"/>
      <c r="T253" s="123"/>
      <c r="U253" s="123"/>
      <c r="V253" s="123"/>
      <c r="W253" s="123"/>
      <c r="X253" s="123"/>
      <c r="Y253" s="123"/>
      <c r="Z253" s="123"/>
      <c r="AA253" s="123"/>
      <c r="AB253" s="123"/>
      <c r="AC253" s="123"/>
      <c r="AD253" s="123"/>
      <c r="AE253" s="123"/>
      <c r="AF253" s="123"/>
      <c r="AG253" s="123"/>
      <c r="AH253" s="123"/>
      <c r="AI253" s="123"/>
      <c r="AJ253" s="123"/>
      <c r="AK253" s="123"/>
      <c r="AL253" s="42"/>
      <c r="AM253" s="20"/>
    </row>
    <row r="254" spans="15:40">
      <c r="O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row>
    <row r="255" spans="15:40">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row>
    <row r="256" spans="15:40">
      <c r="P256" s="12"/>
    </row>
  </sheetData>
  <mergeCells count="14">
    <mergeCell ref="O44:AD44"/>
    <mergeCell ref="C4:N4"/>
    <mergeCell ref="C125:L125"/>
    <mergeCell ref="C193:L193"/>
    <mergeCell ref="C80:L80"/>
    <mergeCell ref="C52:L52"/>
    <mergeCell ref="C152:L153"/>
    <mergeCell ref="D107:L107"/>
    <mergeCell ref="C173:L173"/>
    <mergeCell ref="D166:K166"/>
    <mergeCell ref="C129:L129"/>
    <mergeCell ref="C53:L53"/>
    <mergeCell ref="O37:P37"/>
    <mergeCell ref="O190:AN190"/>
  </mergeCells>
  <hyperlinks>
    <hyperlink ref="N187" location="'MĀORI NON-MĀORI'!A1" display="Back to top" xr:uid="{00000000-0004-0000-0400-000000000000}"/>
    <hyperlink ref="O1" location="'Key findings'!A1" display="Back to Key Findings" xr:uid="{00000000-0004-0000-0400-000001000000}"/>
    <hyperlink ref="O3" location="'Māori Non-Māori'!A208" display="See Māori/Non-Māori by methods used" xr:uid="{00000000-0004-0000-0400-000002000000}"/>
    <hyperlink ref="O2" location="'Māori Non-Māori'!A140" display="See Māori/Non-Māori by deprivation" xr:uid="{00000000-0004-0000-0400-000003000000}"/>
    <hyperlink ref="N126" location="'MĀORI NON-MĀORI'!A1" display="Back to top" xr:uid="{00000000-0004-0000-0400-000004000000}"/>
  </hyperlinks>
  <pageMargins left="0.7" right="0.7" top="0.75" bottom="0.75" header="0.3" footer="0.3"/>
  <pageSetup paperSize="9" scale="41" fitToHeight="0" orientation="landscape" r:id="rId1"/>
  <rowBreaks count="3" manualBreakCount="3">
    <brk id="77" max="40" man="1"/>
    <brk id="121" max="40" man="1"/>
    <brk id="188" max="4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CD84"/>
  <sheetViews>
    <sheetView showGridLines="0" zoomScaleNormal="100" workbookViewId="0">
      <pane xSplit="17" topLeftCell="R1" activePane="topRight" state="frozen"/>
      <selection activeCell="G24" sqref="G24"/>
      <selection pane="topRight" activeCell="BE1" sqref="BE1:CD1048576"/>
    </sheetView>
  </sheetViews>
  <sheetFormatPr defaultRowHeight="12.75" customHeight="1"/>
  <cols>
    <col min="1" max="1" width="4.7109375" style="9" customWidth="1"/>
    <col min="2" max="2" width="2.140625" style="9" customWidth="1"/>
    <col min="3" max="3" width="6.42578125" style="9" customWidth="1"/>
    <col min="4" max="4" width="12.28515625" style="9" customWidth="1"/>
    <col min="5" max="10" width="9.140625" style="9"/>
    <col min="11" max="11" width="9.140625" style="9" customWidth="1"/>
    <col min="12" max="12" width="2.85546875" style="10" customWidth="1"/>
    <col min="13" max="13" width="6.7109375" style="11" customWidth="1"/>
    <col min="14" max="14" width="12.7109375" style="11" customWidth="1"/>
    <col min="15" max="15" width="14.5703125" style="11" customWidth="1"/>
    <col min="16" max="16" width="10.28515625" style="11" customWidth="1"/>
    <col min="17" max="17" width="8.5703125" style="11" customWidth="1"/>
    <col min="18" max="24" width="5.7109375" style="11" customWidth="1"/>
    <col min="25" max="35" width="5.7109375" style="10" customWidth="1"/>
    <col min="36" max="38" width="5.7109375" style="9" customWidth="1"/>
    <col min="39" max="56" width="9.140625" style="9"/>
    <col min="57" max="82" width="9.140625" style="583"/>
    <col min="83" max="16384" width="9.140625" style="9"/>
  </cols>
  <sheetData>
    <row r="1" spans="2:81" ht="12.75" customHeight="1">
      <c r="I1" s="8"/>
      <c r="J1" s="8"/>
      <c r="K1" s="8"/>
      <c r="O1" s="126" t="s">
        <v>371</v>
      </c>
    </row>
    <row r="2" spans="2:81" ht="25.5" customHeight="1">
      <c r="C2" s="114" t="s">
        <v>298</v>
      </c>
      <c r="I2" s="8"/>
      <c r="J2" s="8"/>
      <c r="K2" s="8"/>
      <c r="N2" s="12"/>
    </row>
    <row r="3" spans="2:81" ht="6.75" customHeight="1">
      <c r="C3" s="114"/>
      <c r="I3" s="8"/>
      <c r="J3" s="8"/>
      <c r="K3" s="8"/>
      <c r="N3" s="12"/>
      <c r="O3" s="126"/>
    </row>
    <row r="4" spans="2:81" ht="28.5" customHeight="1">
      <c r="C4" s="668" t="s">
        <v>519</v>
      </c>
      <c r="D4" s="635"/>
      <c r="E4" s="635"/>
      <c r="F4" s="635"/>
      <c r="G4" s="635"/>
      <c r="H4" s="635"/>
      <c r="I4" s="635"/>
      <c r="J4" s="635"/>
      <c r="K4" s="635"/>
      <c r="L4" s="635"/>
      <c r="M4" s="635"/>
      <c r="N4" s="12"/>
      <c r="O4" s="9"/>
    </row>
    <row r="5" spans="2:81" ht="15" customHeight="1">
      <c r="B5" s="8"/>
      <c r="C5" s="196" t="s">
        <v>435</v>
      </c>
      <c r="D5" s="8"/>
      <c r="E5" s="8"/>
      <c r="F5" s="8"/>
      <c r="G5" s="8"/>
      <c r="H5" s="8"/>
      <c r="I5" s="8"/>
      <c r="J5" s="8"/>
      <c r="K5" s="8"/>
      <c r="L5" s="8"/>
      <c r="M5" s="8"/>
      <c r="N5" s="12"/>
      <c r="O5" s="9"/>
    </row>
    <row r="6" spans="2:81" ht="12.75" customHeight="1">
      <c r="O6" s="127" t="s">
        <v>501</v>
      </c>
    </row>
    <row r="7" spans="2:81" ht="12.75" customHeight="1">
      <c r="B7" s="77"/>
      <c r="C7" s="57"/>
      <c r="D7" s="57"/>
      <c r="E7" s="57"/>
      <c r="F7" s="57"/>
      <c r="G7" s="57"/>
      <c r="H7" s="57"/>
      <c r="I7" s="57"/>
      <c r="J7" s="57"/>
      <c r="K7" s="57"/>
      <c r="L7" s="57"/>
      <c r="M7" s="57"/>
      <c r="Y7" s="11"/>
      <c r="Z7" s="11"/>
      <c r="AJ7" s="10"/>
      <c r="AK7" s="10"/>
      <c r="AL7" s="10"/>
    </row>
    <row r="8" spans="2:81" ht="12.75" customHeight="1">
      <c r="B8" s="77"/>
      <c r="C8" s="92" t="s">
        <v>494</v>
      </c>
      <c r="D8" s="57"/>
      <c r="E8" s="58"/>
      <c r="F8" s="58"/>
      <c r="G8" s="58"/>
      <c r="H8" s="58"/>
      <c r="I8" s="58"/>
      <c r="J8" s="58"/>
      <c r="K8" s="58"/>
      <c r="L8" s="62"/>
      <c r="M8" s="62"/>
      <c r="O8" s="13" t="s">
        <v>1</v>
      </c>
      <c r="P8" s="13" t="s">
        <v>37</v>
      </c>
      <c r="R8" s="13">
        <v>1996</v>
      </c>
      <c r="S8" s="13">
        <v>1997</v>
      </c>
      <c r="T8" s="13">
        <v>1998</v>
      </c>
      <c r="U8" s="13">
        <v>1999</v>
      </c>
      <c r="V8" s="13">
        <v>2000</v>
      </c>
      <c r="W8" s="13">
        <v>2001</v>
      </c>
      <c r="X8" s="13">
        <v>2002</v>
      </c>
      <c r="Y8" s="13">
        <v>2003</v>
      </c>
      <c r="Z8" s="13">
        <v>2004</v>
      </c>
      <c r="AA8" s="13">
        <v>2005</v>
      </c>
      <c r="AB8" s="13">
        <v>2006</v>
      </c>
      <c r="AC8" s="13">
        <v>2007</v>
      </c>
      <c r="AD8" s="13">
        <v>2008</v>
      </c>
      <c r="AE8" s="13">
        <v>2009</v>
      </c>
      <c r="AF8" s="13">
        <v>2010</v>
      </c>
      <c r="AG8" s="13">
        <v>2011</v>
      </c>
      <c r="AH8" s="13">
        <v>2012</v>
      </c>
      <c r="AI8" s="13">
        <v>2013</v>
      </c>
      <c r="AJ8" s="13">
        <v>2014</v>
      </c>
      <c r="AK8" s="13">
        <v>2015</v>
      </c>
      <c r="AL8" s="13">
        <v>2016</v>
      </c>
      <c r="BF8" s="583" t="s">
        <v>1</v>
      </c>
      <c r="BI8" s="583">
        <v>1996</v>
      </c>
      <c r="BJ8" s="583">
        <v>1997</v>
      </c>
      <c r="BK8" s="583">
        <v>1998</v>
      </c>
      <c r="BL8" s="583">
        <v>1999</v>
      </c>
      <c r="BM8" s="583">
        <v>2000</v>
      </c>
      <c r="BN8" s="583">
        <v>2001</v>
      </c>
      <c r="BO8" s="583">
        <v>2002</v>
      </c>
      <c r="BP8" s="583">
        <v>2003</v>
      </c>
      <c r="BQ8" s="583">
        <v>2004</v>
      </c>
      <c r="BR8" s="583">
        <v>2005</v>
      </c>
      <c r="BS8" s="583">
        <v>2006</v>
      </c>
      <c r="BT8" s="583">
        <v>2007</v>
      </c>
      <c r="BU8" s="583">
        <v>2008</v>
      </c>
      <c r="BV8" s="583">
        <v>2009</v>
      </c>
      <c r="BW8" s="583">
        <v>2010</v>
      </c>
      <c r="BX8" s="583">
        <v>2011</v>
      </c>
      <c r="BY8" s="583">
        <v>2012</v>
      </c>
      <c r="BZ8" s="583">
        <v>2013</v>
      </c>
      <c r="CA8" s="583">
        <v>2014</v>
      </c>
      <c r="CB8" s="583">
        <v>2015</v>
      </c>
      <c r="CC8" s="583">
        <v>2016</v>
      </c>
    </row>
    <row r="9" spans="2:81" ht="12.75" customHeight="1">
      <c r="B9" s="77"/>
      <c r="C9" s="57"/>
      <c r="D9" s="57"/>
      <c r="E9" s="58"/>
      <c r="F9" s="58"/>
      <c r="G9" s="58"/>
      <c r="H9" s="58"/>
      <c r="I9" s="58"/>
      <c r="J9" s="58"/>
      <c r="K9" s="58"/>
      <c r="L9" s="62"/>
      <c r="M9" s="62"/>
      <c r="AL9" s="10"/>
      <c r="BF9" s="583" t="s">
        <v>20</v>
      </c>
      <c r="BG9" s="583" t="s">
        <v>15</v>
      </c>
      <c r="BI9" s="584">
        <f t="shared" ref="BI9:CC9" si="0">VLOOKUP(BI$8&amp;"Male"&amp;"AllEth"&amp;19,agesextable,7,FALSE)</f>
        <v>22.945293453419598</v>
      </c>
      <c r="BJ9" s="584">
        <f t="shared" si="0"/>
        <v>23.553351547621599</v>
      </c>
      <c r="BK9" s="584">
        <f t="shared" si="0"/>
        <v>23.5842826835054</v>
      </c>
      <c r="BL9" s="584">
        <f t="shared" si="0"/>
        <v>20.2680561278816</v>
      </c>
      <c r="BM9" s="584">
        <f t="shared" si="0"/>
        <v>19.947436156558702</v>
      </c>
      <c r="BN9" s="584">
        <f t="shared" si="0"/>
        <v>20.356398349177098</v>
      </c>
      <c r="BO9" s="584">
        <f t="shared" si="0"/>
        <v>18.167720892576899</v>
      </c>
      <c r="BP9" s="584">
        <f t="shared" si="0"/>
        <v>18.574084657112099</v>
      </c>
      <c r="BQ9" s="584">
        <f t="shared" si="0"/>
        <v>18.725315817265901</v>
      </c>
      <c r="BR9" s="584">
        <f t="shared" si="0"/>
        <v>18.722380905625801</v>
      </c>
      <c r="BS9" s="584">
        <f t="shared" si="0"/>
        <v>18.521171460464299</v>
      </c>
      <c r="BT9" s="584">
        <f t="shared" si="0"/>
        <v>17.981880281474702</v>
      </c>
      <c r="BU9" s="584">
        <f t="shared" si="0"/>
        <v>17.700121249097698</v>
      </c>
      <c r="BV9" s="584">
        <f t="shared" si="0"/>
        <v>18.249471294450601</v>
      </c>
      <c r="BW9" s="584">
        <f t="shared" si="0"/>
        <v>17.638688314312301</v>
      </c>
      <c r="BX9" s="584">
        <f t="shared" si="0"/>
        <v>17.402217133944198</v>
      </c>
      <c r="BY9" s="584">
        <f t="shared" si="0"/>
        <v>18.558588062938799</v>
      </c>
      <c r="BZ9" s="584">
        <f t="shared" si="0"/>
        <v>15.8972409761442</v>
      </c>
      <c r="CA9" s="584">
        <f t="shared" si="0"/>
        <v>16.4366760918771</v>
      </c>
      <c r="CB9" s="584">
        <f t="shared" si="0"/>
        <v>16.433078219363999</v>
      </c>
      <c r="CC9" s="584">
        <f t="shared" si="0"/>
        <v>16.990960917875199</v>
      </c>
    </row>
    <row r="10" spans="2:81" ht="12.75" customHeight="1">
      <c r="B10" s="77"/>
      <c r="C10" s="57"/>
      <c r="D10" s="57"/>
      <c r="E10" s="58"/>
      <c r="F10" s="58"/>
      <c r="G10" s="58"/>
      <c r="H10" s="58"/>
      <c r="I10" s="58"/>
      <c r="J10" s="58"/>
      <c r="K10" s="58"/>
      <c r="L10" s="62"/>
      <c r="M10" s="62"/>
      <c r="O10" s="11" t="s">
        <v>0</v>
      </c>
      <c r="P10" s="19" t="s">
        <v>9</v>
      </c>
      <c r="Q10" s="11" t="s">
        <v>21</v>
      </c>
      <c r="R10" s="11">
        <f t="shared" ref="R10:AL10" si="1">VLOOKUP(R$8&amp;"AllSex"&amp;"AllEth"&amp;19,agesextable,6,FALSE)</f>
        <v>540</v>
      </c>
      <c r="S10" s="11">
        <f t="shared" si="1"/>
        <v>562</v>
      </c>
      <c r="T10" s="11">
        <f t="shared" si="1"/>
        <v>578</v>
      </c>
      <c r="U10" s="11">
        <f t="shared" si="1"/>
        <v>516</v>
      </c>
      <c r="V10" s="11">
        <f t="shared" si="1"/>
        <v>459</v>
      </c>
      <c r="W10" s="11">
        <f t="shared" si="1"/>
        <v>508</v>
      </c>
      <c r="X10" s="11">
        <f t="shared" si="1"/>
        <v>470</v>
      </c>
      <c r="Y10" s="11">
        <f t="shared" si="1"/>
        <v>522</v>
      </c>
      <c r="Z10" s="11">
        <f t="shared" si="1"/>
        <v>494</v>
      </c>
      <c r="AA10" s="11">
        <f t="shared" si="1"/>
        <v>515</v>
      </c>
      <c r="AB10" s="11">
        <f t="shared" si="1"/>
        <v>524</v>
      </c>
      <c r="AC10" s="11">
        <f t="shared" si="1"/>
        <v>501</v>
      </c>
      <c r="AD10" s="11">
        <f t="shared" si="1"/>
        <v>518</v>
      </c>
      <c r="AE10" s="11">
        <f t="shared" si="1"/>
        <v>512</v>
      </c>
      <c r="AF10" s="11">
        <f t="shared" si="1"/>
        <v>534</v>
      </c>
      <c r="AG10" s="11">
        <f t="shared" si="1"/>
        <v>495</v>
      </c>
      <c r="AH10" s="11">
        <f t="shared" si="1"/>
        <v>549</v>
      </c>
      <c r="AI10" s="11">
        <f t="shared" si="1"/>
        <v>513</v>
      </c>
      <c r="AJ10" s="11">
        <f t="shared" si="1"/>
        <v>510</v>
      </c>
      <c r="AK10" s="11">
        <f t="shared" si="1"/>
        <v>530</v>
      </c>
      <c r="AL10" s="11">
        <f t="shared" si="1"/>
        <v>554</v>
      </c>
      <c r="BG10" s="583" t="s">
        <v>16</v>
      </c>
      <c r="BI10" s="583">
        <f t="shared" ref="BI10:CC10" si="2">VLOOKUP(BI$8&amp;"Male"&amp;"AllEth"&amp;19,agesextable,8,FALSE)</f>
        <v>2.2000000000000002</v>
      </c>
      <c r="BJ10" s="583">
        <f t="shared" si="2"/>
        <v>2.2000000000000002</v>
      </c>
      <c r="BK10" s="583">
        <f t="shared" si="2"/>
        <v>2.2000000000000002</v>
      </c>
      <c r="BL10" s="583">
        <f t="shared" si="2"/>
        <v>2</v>
      </c>
      <c r="BM10" s="583">
        <f t="shared" si="2"/>
        <v>2</v>
      </c>
      <c r="BN10" s="583">
        <f t="shared" si="2"/>
        <v>2</v>
      </c>
      <c r="BO10" s="583">
        <f t="shared" si="2"/>
        <v>1.9</v>
      </c>
      <c r="BP10" s="583">
        <f t="shared" si="2"/>
        <v>1.9</v>
      </c>
      <c r="BQ10" s="583">
        <f t="shared" si="2"/>
        <v>1.9</v>
      </c>
      <c r="BR10" s="583">
        <f t="shared" si="2"/>
        <v>1.9</v>
      </c>
      <c r="BS10" s="583">
        <f t="shared" si="2"/>
        <v>1.8</v>
      </c>
      <c r="BT10" s="583">
        <f t="shared" si="2"/>
        <v>1.8</v>
      </c>
      <c r="BU10" s="583">
        <f t="shared" si="2"/>
        <v>1.8</v>
      </c>
      <c r="BV10" s="583">
        <f t="shared" si="2"/>
        <v>1.8</v>
      </c>
      <c r="BW10" s="583">
        <f t="shared" si="2"/>
        <v>1.8</v>
      </c>
      <c r="BX10" s="583">
        <f t="shared" si="2"/>
        <v>1.8</v>
      </c>
      <c r="BY10" s="583">
        <f t="shared" si="2"/>
        <v>1.8</v>
      </c>
      <c r="BZ10" s="583">
        <f t="shared" si="2"/>
        <v>1.6</v>
      </c>
      <c r="CA10" s="583">
        <f t="shared" si="2"/>
        <v>1.7</v>
      </c>
      <c r="CB10" s="583">
        <f t="shared" si="2"/>
        <v>1.6</v>
      </c>
      <c r="CC10" s="583">
        <f t="shared" si="2"/>
        <v>1.6</v>
      </c>
    </row>
    <row r="11" spans="2:81" ht="12.75" customHeight="1">
      <c r="B11" s="77"/>
      <c r="C11" s="57"/>
      <c r="D11" s="57"/>
      <c r="E11" s="58"/>
      <c r="F11" s="58"/>
      <c r="G11" s="58"/>
      <c r="H11" s="58"/>
      <c r="I11" s="58"/>
      <c r="J11" s="58"/>
      <c r="K11" s="58"/>
      <c r="L11" s="61"/>
      <c r="M11" s="62"/>
      <c r="O11" s="11" t="s">
        <v>20</v>
      </c>
      <c r="P11" s="19"/>
      <c r="R11" s="11">
        <f t="shared" ref="R11:AL11" si="3">VLOOKUP(R$8&amp;"Male"&amp;"AllEth"&amp;19,agesextable,6,FALSE)</f>
        <v>429</v>
      </c>
      <c r="S11" s="11">
        <f t="shared" si="3"/>
        <v>441</v>
      </c>
      <c r="T11" s="11">
        <f t="shared" si="3"/>
        <v>445</v>
      </c>
      <c r="U11" s="11">
        <f t="shared" si="3"/>
        <v>384</v>
      </c>
      <c r="V11" s="11">
        <f t="shared" si="3"/>
        <v>376</v>
      </c>
      <c r="W11" s="11">
        <f t="shared" si="3"/>
        <v>390</v>
      </c>
      <c r="X11" s="11">
        <f t="shared" si="3"/>
        <v>356</v>
      </c>
      <c r="Y11" s="11">
        <f t="shared" si="3"/>
        <v>380</v>
      </c>
      <c r="Z11" s="11">
        <f t="shared" si="3"/>
        <v>382</v>
      </c>
      <c r="AA11" s="11">
        <f t="shared" si="3"/>
        <v>383</v>
      </c>
      <c r="AB11" s="11">
        <f t="shared" si="3"/>
        <v>387</v>
      </c>
      <c r="AC11" s="11">
        <f t="shared" si="3"/>
        <v>381</v>
      </c>
      <c r="AD11" s="11">
        <f t="shared" si="3"/>
        <v>379</v>
      </c>
      <c r="AE11" s="11">
        <f t="shared" si="3"/>
        <v>394</v>
      </c>
      <c r="AF11" s="11">
        <f t="shared" si="3"/>
        <v>387</v>
      </c>
      <c r="AG11" s="11">
        <f t="shared" si="3"/>
        <v>377</v>
      </c>
      <c r="AH11" s="11">
        <f t="shared" si="3"/>
        <v>404</v>
      </c>
      <c r="AI11" s="11">
        <f t="shared" si="3"/>
        <v>365</v>
      </c>
      <c r="AJ11" s="11">
        <f t="shared" si="3"/>
        <v>379</v>
      </c>
      <c r="AK11" s="11">
        <f t="shared" si="3"/>
        <v>386</v>
      </c>
      <c r="AL11" s="11">
        <f t="shared" si="3"/>
        <v>412</v>
      </c>
      <c r="BF11" s="583" t="s">
        <v>8</v>
      </c>
      <c r="BG11" s="583" t="s">
        <v>15</v>
      </c>
      <c r="BI11" s="584">
        <f t="shared" ref="BI11:CC11" si="4">VLOOKUP(BI$8&amp;"Female"&amp;"AllEth"&amp;19,agesextable,7,FALSE)</f>
        <v>5.8886653384406102</v>
      </c>
      <c r="BJ11" s="584">
        <f t="shared" si="4"/>
        <v>6.2967087648044799</v>
      </c>
      <c r="BK11" s="584">
        <f t="shared" si="4"/>
        <v>6.7999900162587199</v>
      </c>
      <c r="BL11" s="584">
        <f t="shared" si="4"/>
        <v>6.7167156494892</v>
      </c>
      <c r="BM11" s="584">
        <f t="shared" si="4"/>
        <v>4.1665204234231998</v>
      </c>
      <c r="BN11" s="584">
        <f t="shared" si="4"/>
        <v>5.8286706673737303</v>
      </c>
      <c r="BO11" s="584">
        <f t="shared" si="4"/>
        <v>5.6012768971608997</v>
      </c>
      <c r="BP11" s="584">
        <f t="shared" si="4"/>
        <v>6.6355676799870498</v>
      </c>
      <c r="BQ11" s="584">
        <f t="shared" si="4"/>
        <v>5.3216551470799702</v>
      </c>
      <c r="BR11" s="584">
        <f t="shared" si="4"/>
        <v>5.9861646575977696</v>
      </c>
      <c r="BS11" s="584">
        <f t="shared" si="4"/>
        <v>6.2050827070238999</v>
      </c>
      <c r="BT11" s="584">
        <f t="shared" si="4"/>
        <v>5.16144825407138</v>
      </c>
      <c r="BU11" s="584">
        <f t="shared" si="4"/>
        <v>6.26512973729122</v>
      </c>
      <c r="BV11" s="584">
        <f t="shared" si="4"/>
        <v>5.08858477285475</v>
      </c>
      <c r="BW11" s="584">
        <f t="shared" si="4"/>
        <v>6.5442717734968303</v>
      </c>
      <c r="BX11" s="584">
        <f t="shared" si="4"/>
        <v>5.2036444183005299</v>
      </c>
      <c r="BY11" s="584">
        <f t="shared" si="4"/>
        <v>6.37288192291782</v>
      </c>
      <c r="BZ11" s="584">
        <f t="shared" si="4"/>
        <v>6.4674511523826501</v>
      </c>
      <c r="CA11" s="584">
        <f t="shared" si="4"/>
        <v>5.4860225639845002</v>
      </c>
      <c r="CB11" s="584">
        <f t="shared" si="4"/>
        <v>6.0611481326862204</v>
      </c>
      <c r="CC11" s="584">
        <f t="shared" si="4"/>
        <v>5.8550315461954598</v>
      </c>
    </row>
    <row r="12" spans="2:81" ht="12.75" customHeight="1">
      <c r="B12" s="77"/>
      <c r="C12" s="57"/>
      <c r="D12" s="57"/>
      <c r="E12" s="58"/>
      <c r="F12" s="58"/>
      <c r="G12" s="58"/>
      <c r="H12" s="58"/>
      <c r="I12" s="58"/>
      <c r="J12" s="58"/>
      <c r="K12" s="58"/>
      <c r="L12" s="61"/>
      <c r="M12" s="62"/>
      <c r="O12" s="11" t="s">
        <v>8</v>
      </c>
      <c r="P12" s="19"/>
      <c r="R12" s="11">
        <f t="shared" ref="R12:AL12" si="5">VLOOKUP(R$8&amp;"Female"&amp;"AllEth"&amp;19,agesextable,6,FALSE)</f>
        <v>111</v>
      </c>
      <c r="S12" s="11">
        <f t="shared" si="5"/>
        <v>121</v>
      </c>
      <c r="T12" s="11">
        <f t="shared" si="5"/>
        <v>133</v>
      </c>
      <c r="U12" s="11">
        <f t="shared" si="5"/>
        <v>132</v>
      </c>
      <c r="V12" s="11">
        <f t="shared" si="5"/>
        <v>83</v>
      </c>
      <c r="W12" s="11">
        <f t="shared" si="5"/>
        <v>118</v>
      </c>
      <c r="X12" s="11">
        <f t="shared" si="5"/>
        <v>114</v>
      </c>
      <c r="Y12" s="11">
        <f t="shared" si="5"/>
        <v>142</v>
      </c>
      <c r="Z12" s="11">
        <f t="shared" si="5"/>
        <v>112</v>
      </c>
      <c r="AA12" s="11">
        <f t="shared" si="5"/>
        <v>132</v>
      </c>
      <c r="AB12" s="11">
        <f t="shared" si="5"/>
        <v>137</v>
      </c>
      <c r="AC12" s="11">
        <f t="shared" si="5"/>
        <v>120</v>
      </c>
      <c r="AD12" s="11">
        <f t="shared" si="5"/>
        <v>139</v>
      </c>
      <c r="AE12" s="11">
        <f t="shared" si="5"/>
        <v>118</v>
      </c>
      <c r="AF12" s="11">
        <f t="shared" si="5"/>
        <v>147</v>
      </c>
      <c r="AG12" s="11">
        <f t="shared" si="5"/>
        <v>118</v>
      </c>
      <c r="AH12" s="11">
        <f t="shared" si="5"/>
        <v>145</v>
      </c>
      <c r="AI12" s="11">
        <f t="shared" si="5"/>
        <v>148</v>
      </c>
      <c r="AJ12" s="11">
        <f t="shared" si="5"/>
        <v>131</v>
      </c>
      <c r="AK12" s="11">
        <f t="shared" si="5"/>
        <v>144</v>
      </c>
      <c r="AL12" s="11">
        <f t="shared" si="5"/>
        <v>142</v>
      </c>
      <c r="BG12" s="583" t="s">
        <v>16</v>
      </c>
      <c r="BI12" s="583">
        <f t="shared" ref="BI12:CC12" si="6">VLOOKUP(BI$8&amp;"Female"&amp;"AllEth"&amp;19,agesextable,8,FALSE)</f>
        <v>1.1000000000000001</v>
      </c>
      <c r="BJ12" s="583">
        <f t="shared" si="6"/>
        <v>1.1000000000000001</v>
      </c>
      <c r="BK12" s="583">
        <f t="shared" si="6"/>
        <v>1.2</v>
      </c>
      <c r="BL12" s="583">
        <f t="shared" si="6"/>
        <v>1.1000000000000001</v>
      </c>
      <c r="BM12" s="583">
        <f t="shared" si="6"/>
        <v>0.9</v>
      </c>
      <c r="BN12" s="583">
        <f t="shared" si="6"/>
        <v>1.1000000000000001</v>
      </c>
      <c r="BO12" s="583">
        <f t="shared" si="6"/>
        <v>1</v>
      </c>
      <c r="BP12" s="583">
        <f t="shared" si="6"/>
        <v>1.1000000000000001</v>
      </c>
      <c r="BQ12" s="583">
        <f t="shared" si="6"/>
        <v>1</v>
      </c>
      <c r="BR12" s="583">
        <f t="shared" si="6"/>
        <v>1</v>
      </c>
      <c r="BS12" s="583">
        <f t="shared" si="6"/>
        <v>1</v>
      </c>
      <c r="BT12" s="583">
        <f t="shared" si="6"/>
        <v>0.9</v>
      </c>
      <c r="BU12" s="583">
        <f t="shared" si="6"/>
        <v>1</v>
      </c>
      <c r="BV12" s="583">
        <f t="shared" si="6"/>
        <v>0.9</v>
      </c>
      <c r="BW12" s="583">
        <f t="shared" si="6"/>
        <v>1.1000000000000001</v>
      </c>
      <c r="BX12" s="583">
        <f t="shared" si="6"/>
        <v>0.9</v>
      </c>
      <c r="BY12" s="583">
        <f t="shared" si="6"/>
        <v>1</v>
      </c>
      <c r="BZ12" s="583">
        <f t="shared" si="6"/>
        <v>1</v>
      </c>
      <c r="CA12" s="583">
        <f t="shared" si="6"/>
        <v>0.9</v>
      </c>
      <c r="CB12" s="583">
        <f t="shared" si="6"/>
        <v>1</v>
      </c>
      <c r="CC12" s="583">
        <f t="shared" si="6"/>
        <v>1</v>
      </c>
    </row>
    <row r="13" spans="2:81" ht="12.75" customHeight="1">
      <c r="B13" s="77"/>
      <c r="C13" s="57"/>
      <c r="D13" s="57"/>
      <c r="E13" s="58"/>
      <c r="F13" s="58"/>
      <c r="G13" s="58"/>
      <c r="H13" s="58"/>
      <c r="I13" s="58"/>
      <c r="J13" s="58"/>
      <c r="K13" s="58"/>
      <c r="L13" s="61"/>
      <c r="M13" s="62"/>
      <c r="N13" s="498"/>
      <c r="O13" s="16"/>
      <c r="P13" s="364"/>
      <c r="Q13" s="16"/>
      <c r="R13" s="16"/>
      <c r="S13" s="16"/>
      <c r="T13" s="16"/>
      <c r="U13" s="16"/>
      <c r="V13" s="16"/>
      <c r="W13" s="16"/>
      <c r="X13" s="16"/>
      <c r="Y13" s="16"/>
      <c r="Z13" s="16"/>
      <c r="AA13" s="16"/>
      <c r="AB13" s="16"/>
      <c r="AC13" s="16"/>
      <c r="AD13" s="16"/>
      <c r="AE13" s="16"/>
      <c r="AF13" s="16"/>
      <c r="AG13" s="16"/>
      <c r="AH13" s="16"/>
      <c r="AI13" s="16"/>
      <c r="AJ13" s="15"/>
      <c r="AK13" s="15"/>
      <c r="AL13" s="16"/>
      <c r="AM13" s="64"/>
      <c r="AN13" s="64"/>
    </row>
    <row r="14" spans="2:81" ht="12.75" customHeight="1">
      <c r="B14" s="77"/>
      <c r="C14" s="57"/>
      <c r="D14" s="57"/>
      <c r="E14" s="58"/>
      <c r="F14" s="58"/>
      <c r="G14" s="58"/>
      <c r="H14" s="58"/>
      <c r="I14" s="58"/>
      <c r="J14" s="58"/>
      <c r="K14" s="58"/>
      <c r="L14" s="61"/>
      <c r="M14" s="62"/>
      <c r="N14" s="523"/>
      <c r="O14" s="11" t="s">
        <v>0</v>
      </c>
      <c r="P14" s="19" t="s">
        <v>9</v>
      </c>
      <c r="Q14" s="11" t="s">
        <v>22</v>
      </c>
      <c r="R14" s="14">
        <f t="shared" ref="R14:AL14" si="7">VLOOKUP(R$8&amp;"AllSex"&amp;"AllEth"&amp;19,agesextable,7,FALSE)</f>
        <v>14.1955765609588</v>
      </c>
      <c r="S14" s="14">
        <f t="shared" si="7"/>
        <v>14.7420910684024</v>
      </c>
      <c r="T14" s="14">
        <f t="shared" si="7"/>
        <v>15.019333169925099</v>
      </c>
      <c r="U14" s="14">
        <f t="shared" si="7"/>
        <v>13.312991012512001</v>
      </c>
      <c r="V14" s="14">
        <f t="shared" si="7"/>
        <v>11.849825329552701</v>
      </c>
      <c r="W14" s="14">
        <f t="shared" si="7"/>
        <v>12.883752602379101</v>
      </c>
      <c r="X14" s="14">
        <f t="shared" si="7"/>
        <v>11.6928074680746</v>
      </c>
      <c r="Y14" s="14">
        <f t="shared" si="7"/>
        <v>12.438164727895</v>
      </c>
      <c r="Z14" s="14">
        <f t="shared" si="7"/>
        <v>11.7975245433749</v>
      </c>
      <c r="AA14" s="14">
        <f t="shared" si="7"/>
        <v>12.193157353861301</v>
      </c>
      <c r="AB14" s="14">
        <f t="shared" si="7"/>
        <v>12.199561585611701</v>
      </c>
      <c r="AC14" s="14">
        <f t="shared" si="7"/>
        <v>11.3776715520784</v>
      </c>
      <c r="AD14" s="14">
        <f t="shared" si="7"/>
        <v>11.809655272717</v>
      </c>
      <c r="AE14" s="14">
        <f t="shared" si="7"/>
        <v>11.484055558810701</v>
      </c>
      <c r="AF14" s="14">
        <f t="shared" si="7"/>
        <v>11.9073434349195</v>
      </c>
      <c r="AG14" s="14">
        <f t="shared" si="7"/>
        <v>11.144714822415599</v>
      </c>
      <c r="AH14" s="14">
        <f t="shared" si="7"/>
        <v>12.308740005230501</v>
      </c>
      <c r="AI14" s="14">
        <f t="shared" si="7"/>
        <v>11.0080199296969</v>
      </c>
      <c r="AJ14" s="14">
        <f t="shared" si="7"/>
        <v>10.808867367895701</v>
      </c>
      <c r="AK14" s="14">
        <f t="shared" si="7"/>
        <v>11.101919255474099</v>
      </c>
      <c r="AL14" s="14">
        <f t="shared" si="7"/>
        <v>11.3314970522047</v>
      </c>
      <c r="AM14" s="63"/>
      <c r="AN14" s="63"/>
    </row>
    <row r="15" spans="2:81" ht="12.75" customHeight="1">
      <c r="B15" s="77"/>
      <c r="C15" s="57"/>
      <c r="D15" s="57"/>
      <c r="E15" s="58"/>
      <c r="F15" s="58"/>
      <c r="G15" s="58"/>
      <c r="H15" s="58"/>
      <c r="I15" s="58"/>
      <c r="J15" s="58"/>
      <c r="K15" s="58"/>
      <c r="L15" s="61"/>
      <c r="M15" s="62"/>
      <c r="N15" s="523"/>
      <c r="O15" s="11" t="s">
        <v>20</v>
      </c>
      <c r="P15" s="19"/>
      <c r="R15" s="14">
        <f t="shared" ref="R15:AL15" si="8">VLOOKUP(R$8&amp;"Male"&amp;"AllEth"&amp;19,agesextable,7,FALSE)</f>
        <v>22.945293453419598</v>
      </c>
      <c r="S15" s="14">
        <f t="shared" si="8"/>
        <v>23.553351547621599</v>
      </c>
      <c r="T15" s="14">
        <f t="shared" si="8"/>
        <v>23.5842826835054</v>
      </c>
      <c r="U15" s="14">
        <f t="shared" si="8"/>
        <v>20.2680561278816</v>
      </c>
      <c r="V15" s="14">
        <f t="shared" si="8"/>
        <v>19.947436156558702</v>
      </c>
      <c r="W15" s="14">
        <f t="shared" si="8"/>
        <v>20.356398349177098</v>
      </c>
      <c r="X15" s="14">
        <f t="shared" si="8"/>
        <v>18.167720892576899</v>
      </c>
      <c r="Y15" s="14">
        <f t="shared" si="8"/>
        <v>18.574084657112099</v>
      </c>
      <c r="Z15" s="14">
        <f t="shared" si="8"/>
        <v>18.725315817265901</v>
      </c>
      <c r="AA15" s="14">
        <f t="shared" si="8"/>
        <v>18.722380905625801</v>
      </c>
      <c r="AB15" s="14">
        <f t="shared" si="8"/>
        <v>18.521171460464299</v>
      </c>
      <c r="AC15" s="14">
        <f t="shared" si="8"/>
        <v>17.981880281474702</v>
      </c>
      <c r="AD15" s="14">
        <f t="shared" si="8"/>
        <v>17.700121249097698</v>
      </c>
      <c r="AE15" s="14">
        <f t="shared" si="8"/>
        <v>18.249471294450601</v>
      </c>
      <c r="AF15" s="14">
        <f t="shared" si="8"/>
        <v>17.638688314312301</v>
      </c>
      <c r="AG15" s="14">
        <f t="shared" si="8"/>
        <v>17.402217133944198</v>
      </c>
      <c r="AH15" s="14">
        <f t="shared" si="8"/>
        <v>18.558588062938799</v>
      </c>
      <c r="AI15" s="14">
        <f t="shared" si="8"/>
        <v>15.8972409761442</v>
      </c>
      <c r="AJ15" s="14">
        <f t="shared" si="8"/>
        <v>16.4366760918771</v>
      </c>
      <c r="AK15" s="14">
        <f t="shared" si="8"/>
        <v>16.433078219363999</v>
      </c>
      <c r="AL15" s="14">
        <f t="shared" si="8"/>
        <v>16.990960917875199</v>
      </c>
      <c r="AM15" s="63"/>
      <c r="AN15" s="63"/>
    </row>
    <row r="16" spans="2:81" ht="12.75" customHeight="1">
      <c r="B16" s="77"/>
      <c r="C16" s="57"/>
      <c r="D16" s="57"/>
      <c r="E16" s="58"/>
      <c r="F16" s="58"/>
      <c r="G16" s="58"/>
      <c r="H16" s="58"/>
      <c r="I16" s="58"/>
      <c r="J16" s="58"/>
      <c r="K16" s="58"/>
      <c r="L16" s="57"/>
      <c r="M16" s="62"/>
      <c r="N16" s="523"/>
      <c r="O16" s="11" t="s">
        <v>8</v>
      </c>
      <c r="P16" s="19"/>
      <c r="R16" s="14">
        <f t="shared" ref="R16:AL16" si="9">VLOOKUP(R$8&amp;"Female"&amp;"AllEth"&amp;19,agesextable,7,FALSE)</f>
        <v>5.8886653384406102</v>
      </c>
      <c r="S16" s="14">
        <f t="shared" si="9"/>
        <v>6.2967087648044799</v>
      </c>
      <c r="T16" s="14">
        <f t="shared" si="9"/>
        <v>6.7999900162587199</v>
      </c>
      <c r="U16" s="14">
        <f t="shared" si="9"/>
        <v>6.7167156494892</v>
      </c>
      <c r="V16" s="14">
        <f t="shared" si="9"/>
        <v>4.1665204234231998</v>
      </c>
      <c r="W16" s="14">
        <f t="shared" si="9"/>
        <v>5.8286706673737303</v>
      </c>
      <c r="X16" s="14">
        <f t="shared" si="9"/>
        <v>5.6012768971608997</v>
      </c>
      <c r="Y16" s="14">
        <f t="shared" si="9"/>
        <v>6.6355676799870498</v>
      </c>
      <c r="Z16" s="14">
        <f t="shared" si="9"/>
        <v>5.3216551470799702</v>
      </c>
      <c r="AA16" s="14">
        <f t="shared" si="9"/>
        <v>5.9861646575977696</v>
      </c>
      <c r="AB16" s="14">
        <f t="shared" si="9"/>
        <v>6.2050827070238999</v>
      </c>
      <c r="AC16" s="14">
        <f t="shared" si="9"/>
        <v>5.16144825407138</v>
      </c>
      <c r="AD16" s="14">
        <f t="shared" si="9"/>
        <v>6.26512973729122</v>
      </c>
      <c r="AE16" s="14">
        <f t="shared" si="9"/>
        <v>5.08858477285475</v>
      </c>
      <c r="AF16" s="14">
        <f t="shared" si="9"/>
        <v>6.5442717734968303</v>
      </c>
      <c r="AG16" s="14">
        <f t="shared" si="9"/>
        <v>5.2036444183005299</v>
      </c>
      <c r="AH16" s="14">
        <f t="shared" si="9"/>
        <v>6.37288192291782</v>
      </c>
      <c r="AI16" s="14">
        <f t="shared" si="9"/>
        <v>6.4674511523826501</v>
      </c>
      <c r="AJ16" s="14">
        <f t="shared" si="9"/>
        <v>5.4860225639845002</v>
      </c>
      <c r="AK16" s="14">
        <f t="shared" si="9"/>
        <v>6.0611481326862204</v>
      </c>
      <c r="AL16" s="14">
        <f t="shared" si="9"/>
        <v>5.8550315461954598</v>
      </c>
    </row>
    <row r="17" spans="2:38" ht="12.75" customHeight="1">
      <c r="B17" s="77"/>
      <c r="C17" s="57"/>
      <c r="D17" s="57"/>
      <c r="E17" s="58"/>
      <c r="F17" s="58"/>
      <c r="G17" s="58"/>
      <c r="H17" s="58"/>
      <c r="I17" s="58"/>
      <c r="J17" s="58"/>
      <c r="K17" s="58"/>
      <c r="L17" s="61"/>
      <c r="M17" s="62"/>
      <c r="O17" s="16"/>
      <c r="P17" s="364"/>
      <c r="Q17" s="16"/>
      <c r="R17" s="16"/>
      <c r="S17" s="16"/>
      <c r="T17" s="16"/>
      <c r="U17" s="16"/>
      <c r="V17" s="16"/>
      <c r="W17" s="16"/>
      <c r="X17" s="16"/>
      <c r="Y17" s="16"/>
      <c r="Z17" s="16"/>
      <c r="AA17" s="16"/>
      <c r="AB17" s="16"/>
      <c r="AC17" s="16"/>
      <c r="AD17" s="16"/>
      <c r="AE17" s="16"/>
      <c r="AF17" s="16"/>
      <c r="AG17" s="16"/>
      <c r="AH17" s="16"/>
      <c r="AI17" s="16"/>
      <c r="AJ17" s="16"/>
      <c r="AK17" s="16"/>
      <c r="AL17" s="16"/>
    </row>
    <row r="18" spans="2:38" ht="12.75" customHeight="1">
      <c r="B18" s="77"/>
      <c r="C18" s="57"/>
      <c r="D18" s="57"/>
      <c r="E18" s="58"/>
      <c r="F18" s="58"/>
      <c r="G18" s="58"/>
      <c r="H18" s="58"/>
      <c r="I18" s="58"/>
      <c r="J18" s="58"/>
      <c r="K18" s="58"/>
      <c r="L18" s="61"/>
      <c r="M18" s="62"/>
      <c r="O18" s="11" t="s">
        <v>137</v>
      </c>
      <c r="P18" s="19" t="s">
        <v>138</v>
      </c>
      <c r="Q18" s="11" t="s">
        <v>110</v>
      </c>
      <c r="R18" s="14">
        <f>R15/R16</f>
        <v>3.8965185037151033</v>
      </c>
      <c r="S18" s="14">
        <f t="shared" ref="S18:AK18" si="10">S15/S16</f>
        <v>3.740581377889558</v>
      </c>
      <c r="T18" s="14">
        <f t="shared" si="10"/>
        <v>3.4682819573434043</v>
      </c>
      <c r="U18" s="14">
        <f t="shared" si="10"/>
        <v>3.0175545885172266</v>
      </c>
      <c r="V18" s="14">
        <f t="shared" si="10"/>
        <v>4.7875527129109692</v>
      </c>
      <c r="W18" s="14">
        <f t="shared" si="10"/>
        <v>3.4924598610662696</v>
      </c>
      <c r="X18" s="14">
        <f t="shared" si="10"/>
        <v>3.2434963002428088</v>
      </c>
      <c r="Y18" s="14">
        <f t="shared" si="10"/>
        <v>2.7991704030284787</v>
      </c>
      <c r="Z18" s="14">
        <f t="shared" si="10"/>
        <v>3.5187014753371635</v>
      </c>
      <c r="AA18" s="14">
        <f t="shared" si="10"/>
        <v>3.1276087405753117</v>
      </c>
      <c r="AB18" s="14">
        <f t="shared" si="10"/>
        <v>2.9848387741067639</v>
      </c>
      <c r="AC18" s="14">
        <f t="shared" si="10"/>
        <v>3.4838827004204664</v>
      </c>
      <c r="AD18" s="14">
        <f t="shared" si="10"/>
        <v>2.8251803220838791</v>
      </c>
      <c r="AE18" s="14">
        <f t="shared" si="10"/>
        <v>3.5863549707972053</v>
      </c>
      <c r="AF18" s="14">
        <f t="shared" si="10"/>
        <v>2.6952866452988613</v>
      </c>
      <c r="AG18" s="14">
        <f t="shared" si="10"/>
        <v>3.3442364110704603</v>
      </c>
      <c r="AH18" s="14">
        <f t="shared" si="10"/>
        <v>2.9121186124913736</v>
      </c>
      <c r="AI18" s="14">
        <f t="shared" si="10"/>
        <v>2.4580380433623463</v>
      </c>
      <c r="AJ18" s="14">
        <f t="shared" si="10"/>
        <v>2.9961007086961624</v>
      </c>
      <c r="AK18" s="14">
        <f t="shared" si="10"/>
        <v>2.711215409955849</v>
      </c>
      <c r="AL18" s="14">
        <f t="shared" ref="AL18" si="11">AL15/AL16</f>
        <v>2.9019418228268563</v>
      </c>
    </row>
    <row r="19" spans="2:38" ht="12.75" customHeight="1">
      <c r="B19" s="77"/>
      <c r="C19" s="57"/>
      <c r="D19" s="57"/>
      <c r="E19" s="58"/>
      <c r="F19" s="58"/>
      <c r="G19" s="58"/>
      <c r="H19" s="58"/>
      <c r="I19" s="58"/>
      <c r="J19" s="58"/>
      <c r="K19" s="58"/>
      <c r="L19" s="61"/>
      <c r="M19" s="62"/>
      <c r="AL19" s="10"/>
    </row>
    <row r="20" spans="2:38" ht="12.75" customHeight="1">
      <c r="B20" s="77"/>
      <c r="C20" s="57"/>
      <c r="D20" s="57"/>
      <c r="E20" s="58"/>
      <c r="F20" s="58"/>
      <c r="G20" s="58"/>
      <c r="H20" s="58"/>
      <c r="I20" s="58"/>
      <c r="J20" s="58"/>
      <c r="K20" s="58"/>
      <c r="L20" s="61"/>
      <c r="M20" s="62"/>
      <c r="O20" s="289" t="s">
        <v>143</v>
      </c>
      <c r="P20" s="289" t="s">
        <v>106</v>
      </c>
      <c r="Q20" s="290"/>
      <c r="R20" s="290"/>
      <c r="S20" s="325"/>
      <c r="T20" s="111"/>
      <c r="U20" s="111"/>
      <c r="V20" s="111"/>
      <c r="W20" s="111"/>
      <c r="X20" s="111"/>
      <c r="Y20" s="111"/>
      <c r="Z20" s="111"/>
      <c r="AA20" s="111"/>
      <c r="AB20" s="111"/>
      <c r="AC20" s="111"/>
      <c r="AD20" s="111"/>
      <c r="AE20" s="111"/>
      <c r="AF20" s="111"/>
      <c r="AG20" s="111"/>
      <c r="AH20" s="111"/>
      <c r="AI20" s="111"/>
      <c r="AJ20" s="111"/>
      <c r="AK20" s="111"/>
      <c r="AL20" s="10"/>
    </row>
    <row r="21" spans="2:38" ht="12.75" customHeight="1">
      <c r="B21" s="77"/>
      <c r="C21" s="59" t="s">
        <v>99</v>
      </c>
      <c r="D21" s="59" t="s">
        <v>106</v>
      </c>
      <c r="E21" s="58"/>
      <c r="F21" s="58"/>
      <c r="G21" s="58"/>
      <c r="H21" s="58"/>
      <c r="I21" s="58"/>
      <c r="J21" s="58"/>
      <c r="K21" s="58"/>
      <c r="L21" s="61"/>
      <c r="M21" s="62"/>
      <c r="O21" s="289" t="s">
        <v>145</v>
      </c>
      <c r="P21" s="289" t="s">
        <v>144</v>
      </c>
      <c r="Q21" s="232"/>
      <c r="R21" s="232"/>
      <c r="S21" s="325"/>
      <c r="T21" s="111"/>
      <c r="U21" s="111"/>
      <c r="V21" s="111"/>
      <c r="W21" s="111"/>
      <c r="X21" s="111"/>
      <c r="Y21" s="111"/>
      <c r="Z21" s="111"/>
      <c r="AA21" s="111"/>
      <c r="AB21" s="111"/>
      <c r="AC21" s="111"/>
      <c r="AD21" s="111"/>
      <c r="AE21" s="111"/>
      <c r="AF21" s="111"/>
      <c r="AG21" s="111"/>
      <c r="AH21" s="111"/>
      <c r="AI21" s="111"/>
      <c r="AJ21" s="111"/>
      <c r="AK21" s="111"/>
      <c r="AL21" s="470"/>
    </row>
    <row r="22" spans="2:38" ht="12.75" customHeight="1">
      <c r="B22" s="77"/>
      <c r="C22" s="57"/>
      <c r="D22" s="59" t="s">
        <v>246</v>
      </c>
      <c r="E22" s="57"/>
      <c r="F22" s="57"/>
      <c r="G22" s="58"/>
      <c r="H22" s="58"/>
      <c r="I22" s="58"/>
      <c r="J22" s="58"/>
      <c r="K22" s="58"/>
      <c r="L22" s="61"/>
      <c r="M22" s="62"/>
      <c r="O22" s="15"/>
      <c r="P22" s="15"/>
      <c r="Q22" s="15"/>
      <c r="R22" s="15"/>
      <c r="S22" s="15"/>
      <c r="T22" s="15"/>
      <c r="U22" s="15"/>
      <c r="V22" s="15"/>
      <c r="W22" s="15"/>
      <c r="X22" s="15"/>
      <c r="Y22" s="15"/>
      <c r="Z22" s="15"/>
      <c r="AA22" s="15"/>
      <c r="AB22" s="15"/>
      <c r="AC22" s="15"/>
      <c r="AD22" s="15"/>
      <c r="AE22" s="15"/>
      <c r="AF22" s="15"/>
      <c r="AG22" s="15"/>
      <c r="AH22" s="15"/>
      <c r="AI22" s="15"/>
      <c r="AJ22" s="15"/>
      <c r="AK22" s="15"/>
      <c r="AL22" s="10"/>
    </row>
    <row r="23" spans="2:38" ht="12.75" customHeight="1">
      <c r="B23" s="77"/>
      <c r="C23" s="78" t="s">
        <v>145</v>
      </c>
      <c r="D23" s="78" t="s">
        <v>144</v>
      </c>
      <c r="E23" s="77"/>
      <c r="F23" s="77"/>
      <c r="G23" s="79"/>
      <c r="H23" s="79"/>
      <c r="I23" s="79"/>
      <c r="J23" s="79"/>
      <c r="K23" s="79"/>
      <c r="L23" s="82"/>
      <c r="M23" s="83"/>
      <c r="AL23" s="10"/>
    </row>
    <row r="24" spans="2:38" ht="12.75" customHeight="1">
      <c r="B24" s="79"/>
      <c r="C24" s="79"/>
      <c r="D24" s="79"/>
      <c r="E24" s="79"/>
      <c r="F24" s="79"/>
      <c r="G24" s="79"/>
      <c r="H24" s="79"/>
      <c r="I24" s="79"/>
      <c r="J24" s="79"/>
      <c r="K24" s="79"/>
      <c r="L24" s="79"/>
      <c r="M24" s="79"/>
      <c r="Y24" s="11"/>
      <c r="Z24" s="11"/>
      <c r="AJ24" s="10"/>
      <c r="AK24" s="10"/>
      <c r="AL24" s="10"/>
    </row>
    <row r="25" spans="2:38" ht="12.75" customHeight="1">
      <c r="C25" s="51"/>
      <c r="G25" s="8"/>
      <c r="H25" s="8"/>
      <c r="I25" s="8"/>
      <c r="J25" s="8"/>
      <c r="K25" s="8"/>
      <c r="O25" s="127" t="s">
        <v>518</v>
      </c>
      <c r="Y25" s="11"/>
      <c r="Z25" s="11"/>
      <c r="AJ25" s="10"/>
      <c r="AK25" s="10"/>
      <c r="AL25" s="10"/>
    </row>
    <row r="26" spans="2:38" ht="12.75" customHeight="1">
      <c r="B26" s="77"/>
      <c r="C26" s="78"/>
      <c r="D26" s="77"/>
      <c r="E26" s="77"/>
      <c r="F26" s="77"/>
      <c r="G26" s="79"/>
      <c r="H26" s="79"/>
      <c r="I26" s="79"/>
      <c r="J26" s="79"/>
      <c r="K26" s="79"/>
      <c r="L26" s="82"/>
      <c r="M26" s="83"/>
      <c r="O26" s="9"/>
      <c r="P26" s="9"/>
      <c r="Q26" s="9"/>
      <c r="R26" s="9"/>
      <c r="S26" s="9"/>
      <c r="T26" s="9"/>
      <c r="U26" s="9"/>
      <c r="V26" s="9"/>
      <c r="W26" s="9"/>
      <c r="X26" s="9"/>
      <c r="Y26" s="9"/>
      <c r="Z26" s="9"/>
      <c r="AA26" s="9"/>
      <c r="AB26" s="9"/>
      <c r="AC26" s="9"/>
      <c r="AD26" s="9"/>
      <c r="AE26" s="9"/>
      <c r="AF26" s="9"/>
      <c r="AG26" s="9"/>
      <c r="AH26" s="9"/>
      <c r="AI26" s="9"/>
    </row>
    <row r="27" spans="2:38" ht="12.75" customHeight="1">
      <c r="B27" s="77"/>
      <c r="C27" s="88" t="s">
        <v>516</v>
      </c>
      <c r="D27" s="77"/>
      <c r="E27" s="79"/>
      <c r="F27" s="79"/>
      <c r="G27" s="79"/>
      <c r="H27" s="79"/>
      <c r="I27" s="79"/>
      <c r="J27" s="79"/>
      <c r="K27" s="79"/>
      <c r="L27" s="82"/>
      <c r="M27" s="83"/>
      <c r="O27" s="13" t="s">
        <v>1</v>
      </c>
      <c r="P27" s="13" t="s">
        <v>37</v>
      </c>
      <c r="Q27" s="13"/>
      <c r="R27" s="13">
        <v>1996</v>
      </c>
      <c r="S27" s="13">
        <v>1997</v>
      </c>
      <c r="T27" s="13">
        <v>1998</v>
      </c>
      <c r="U27" s="13">
        <v>1999</v>
      </c>
      <c r="V27" s="13">
        <v>2000</v>
      </c>
      <c r="W27" s="13">
        <v>2001</v>
      </c>
      <c r="X27" s="13">
        <v>2002</v>
      </c>
      <c r="Y27" s="13">
        <v>2003</v>
      </c>
      <c r="Z27" s="13">
        <v>2004</v>
      </c>
      <c r="AA27" s="13">
        <v>2005</v>
      </c>
      <c r="AB27" s="13">
        <v>2006</v>
      </c>
      <c r="AC27" s="13">
        <v>2007</v>
      </c>
      <c r="AD27" s="13">
        <v>2008</v>
      </c>
      <c r="AE27" s="13">
        <v>2009</v>
      </c>
      <c r="AF27" s="13">
        <v>2010</v>
      </c>
      <c r="AG27" s="13">
        <v>2011</v>
      </c>
      <c r="AH27" s="13">
        <v>2012</v>
      </c>
      <c r="AI27" s="13">
        <v>2013</v>
      </c>
      <c r="AJ27" s="13">
        <v>2014</v>
      </c>
      <c r="AK27" s="13">
        <v>2015</v>
      </c>
      <c r="AL27" s="13">
        <v>2016</v>
      </c>
    </row>
    <row r="28" spans="2:38" ht="12.75" customHeight="1">
      <c r="B28" s="77"/>
      <c r="C28" s="77"/>
      <c r="D28" s="77"/>
      <c r="E28" s="79"/>
      <c r="F28" s="79"/>
      <c r="G28" s="79"/>
      <c r="H28" s="79"/>
      <c r="I28" s="79"/>
      <c r="J28" s="79"/>
      <c r="K28" s="79"/>
      <c r="L28" s="82"/>
      <c r="M28" s="83"/>
      <c r="O28" s="19"/>
      <c r="AL28" s="10"/>
    </row>
    <row r="29" spans="2:38" ht="12.75" customHeight="1">
      <c r="B29" s="77"/>
      <c r="C29" s="77"/>
      <c r="D29" s="77"/>
      <c r="E29" s="79"/>
      <c r="F29" s="79"/>
      <c r="G29" s="79"/>
      <c r="H29" s="79"/>
      <c r="I29" s="79"/>
      <c r="J29" s="79"/>
      <c r="K29" s="79"/>
      <c r="L29" s="82"/>
      <c r="M29" s="83"/>
      <c r="O29" s="19" t="s">
        <v>0</v>
      </c>
      <c r="P29" s="357" t="s">
        <v>150</v>
      </c>
      <c r="Q29" s="19" t="s">
        <v>21</v>
      </c>
      <c r="R29" s="11">
        <f t="shared" ref="R29:AL29" si="12">VLOOKUP(R$8&amp;"AllSex"&amp;"AllEth"&amp;22,agesextable,6,FALSE)</f>
        <v>143</v>
      </c>
      <c r="S29" s="11">
        <f t="shared" si="12"/>
        <v>142</v>
      </c>
      <c r="T29" s="11">
        <f t="shared" si="12"/>
        <v>139</v>
      </c>
      <c r="U29" s="11">
        <f t="shared" si="12"/>
        <v>119</v>
      </c>
      <c r="V29" s="11">
        <f t="shared" si="12"/>
        <v>96</v>
      </c>
      <c r="W29" s="11">
        <f t="shared" si="12"/>
        <v>110</v>
      </c>
      <c r="X29" s="11">
        <f t="shared" si="12"/>
        <v>96</v>
      </c>
      <c r="Y29" s="11">
        <f t="shared" si="12"/>
        <v>98</v>
      </c>
      <c r="Z29" s="11">
        <f t="shared" si="12"/>
        <v>114</v>
      </c>
      <c r="AA29" s="11">
        <f t="shared" si="12"/>
        <v>109</v>
      </c>
      <c r="AB29" s="11">
        <f t="shared" si="12"/>
        <v>119</v>
      </c>
      <c r="AC29" s="11">
        <f t="shared" si="12"/>
        <v>94</v>
      </c>
      <c r="AD29" s="11">
        <f t="shared" si="12"/>
        <v>121</v>
      </c>
      <c r="AE29" s="11">
        <f t="shared" si="12"/>
        <v>116</v>
      </c>
      <c r="AF29" s="11">
        <f t="shared" si="12"/>
        <v>111</v>
      </c>
      <c r="AG29" s="11">
        <f t="shared" si="12"/>
        <v>131</v>
      </c>
      <c r="AH29" s="11">
        <f t="shared" si="12"/>
        <v>148</v>
      </c>
      <c r="AI29" s="11">
        <f t="shared" si="12"/>
        <v>111</v>
      </c>
      <c r="AJ29" s="11">
        <f t="shared" si="12"/>
        <v>89</v>
      </c>
      <c r="AK29" s="11">
        <f t="shared" si="12"/>
        <v>111</v>
      </c>
      <c r="AL29" s="11">
        <f t="shared" si="12"/>
        <v>112</v>
      </c>
    </row>
    <row r="30" spans="2:38" ht="12.75" customHeight="1">
      <c r="B30" s="77"/>
      <c r="C30" s="77"/>
      <c r="D30" s="77"/>
      <c r="E30" s="79"/>
      <c r="F30" s="79"/>
      <c r="G30" s="79"/>
      <c r="H30" s="79"/>
      <c r="I30" s="79"/>
      <c r="J30" s="79"/>
      <c r="K30" s="79"/>
      <c r="L30" s="82"/>
      <c r="M30" s="83"/>
      <c r="O30" s="19"/>
      <c r="P30" s="357" t="s">
        <v>35</v>
      </c>
      <c r="Q30" s="19"/>
      <c r="R30" s="11">
        <f t="shared" ref="R30:AL30" si="13">VLOOKUP(R$8&amp;"AllSex"&amp;"AllEth"&amp;23,agesextable,6,FALSE)</f>
        <v>222</v>
      </c>
      <c r="S30" s="11">
        <f t="shared" si="13"/>
        <v>256</v>
      </c>
      <c r="T30" s="11">
        <f t="shared" si="13"/>
        <v>249</v>
      </c>
      <c r="U30" s="11">
        <f t="shared" si="13"/>
        <v>235</v>
      </c>
      <c r="V30" s="11">
        <f t="shared" si="13"/>
        <v>209</v>
      </c>
      <c r="W30" s="11">
        <f t="shared" si="13"/>
        <v>239</v>
      </c>
      <c r="X30" s="11">
        <f t="shared" si="13"/>
        <v>213</v>
      </c>
      <c r="Y30" s="11">
        <f t="shared" si="13"/>
        <v>217</v>
      </c>
      <c r="Z30" s="11">
        <f t="shared" si="13"/>
        <v>201</v>
      </c>
      <c r="AA30" s="11">
        <f t="shared" si="13"/>
        <v>219</v>
      </c>
      <c r="AB30" s="11">
        <f t="shared" si="13"/>
        <v>207</v>
      </c>
      <c r="AC30" s="11">
        <f t="shared" si="13"/>
        <v>213</v>
      </c>
      <c r="AD30" s="11">
        <f t="shared" si="13"/>
        <v>182</v>
      </c>
      <c r="AE30" s="11">
        <f t="shared" si="13"/>
        <v>173</v>
      </c>
      <c r="AF30" s="11">
        <f t="shared" si="13"/>
        <v>199</v>
      </c>
      <c r="AG30" s="11">
        <f t="shared" si="13"/>
        <v>163</v>
      </c>
      <c r="AH30" s="11">
        <f t="shared" si="13"/>
        <v>186</v>
      </c>
      <c r="AI30" s="11">
        <f t="shared" si="13"/>
        <v>161</v>
      </c>
      <c r="AJ30" s="11">
        <f t="shared" si="13"/>
        <v>190</v>
      </c>
      <c r="AK30" s="11">
        <f t="shared" si="13"/>
        <v>173</v>
      </c>
      <c r="AL30" s="11">
        <f t="shared" si="13"/>
        <v>200</v>
      </c>
    </row>
    <row r="31" spans="2:38" ht="12.75" customHeight="1">
      <c r="B31" s="77"/>
      <c r="C31" s="77"/>
      <c r="D31" s="77"/>
      <c r="E31" s="79"/>
      <c r="F31" s="79"/>
      <c r="G31" s="79"/>
      <c r="H31" s="79"/>
      <c r="I31" s="79"/>
      <c r="J31" s="79"/>
      <c r="K31" s="79"/>
      <c r="L31" s="82"/>
      <c r="M31" s="83"/>
      <c r="O31" s="19"/>
      <c r="P31" s="357" t="s">
        <v>36</v>
      </c>
      <c r="Q31" s="19"/>
      <c r="R31" s="11">
        <f t="shared" ref="R31:AL31" si="14">VLOOKUP(R$8&amp;"AllSex"&amp;"AllEth"&amp;24,agesextable,6,FALSE)</f>
        <v>102</v>
      </c>
      <c r="S31" s="11">
        <f t="shared" si="14"/>
        <v>102</v>
      </c>
      <c r="T31" s="11">
        <f t="shared" si="14"/>
        <v>114</v>
      </c>
      <c r="U31" s="11">
        <f t="shared" si="14"/>
        <v>104</v>
      </c>
      <c r="V31" s="11">
        <f t="shared" si="14"/>
        <v>103</v>
      </c>
      <c r="W31" s="11">
        <f t="shared" si="14"/>
        <v>92</v>
      </c>
      <c r="X31" s="11">
        <f t="shared" si="14"/>
        <v>113</v>
      </c>
      <c r="Y31" s="11">
        <f t="shared" si="14"/>
        <v>135</v>
      </c>
      <c r="Z31" s="11">
        <f t="shared" si="14"/>
        <v>118</v>
      </c>
      <c r="AA31" s="11">
        <f t="shared" si="14"/>
        <v>136</v>
      </c>
      <c r="AB31" s="11">
        <f t="shared" si="14"/>
        <v>141</v>
      </c>
      <c r="AC31" s="11">
        <f t="shared" si="14"/>
        <v>142</v>
      </c>
      <c r="AD31" s="11">
        <f t="shared" si="14"/>
        <v>159</v>
      </c>
      <c r="AE31" s="11">
        <f t="shared" si="14"/>
        <v>159</v>
      </c>
      <c r="AF31" s="11">
        <f t="shared" si="14"/>
        <v>161</v>
      </c>
      <c r="AG31" s="11">
        <f t="shared" si="14"/>
        <v>150</v>
      </c>
      <c r="AH31" s="11">
        <f t="shared" si="14"/>
        <v>147</v>
      </c>
      <c r="AI31" s="11">
        <f t="shared" si="14"/>
        <v>183</v>
      </c>
      <c r="AJ31" s="11">
        <f t="shared" si="14"/>
        <v>165</v>
      </c>
      <c r="AK31" s="11">
        <f t="shared" si="14"/>
        <v>172</v>
      </c>
      <c r="AL31" s="11">
        <f t="shared" si="14"/>
        <v>171</v>
      </c>
    </row>
    <row r="32" spans="2:38" ht="12.75" customHeight="1">
      <c r="B32" s="77"/>
      <c r="C32" s="77"/>
      <c r="D32" s="77"/>
      <c r="E32" s="79"/>
      <c r="F32" s="79"/>
      <c r="G32" s="79"/>
      <c r="H32" s="79"/>
      <c r="I32" s="79"/>
      <c r="J32" s="79"/>
      <c r="K32" s="79"/>
      <c r="L32" s="82"/>
      <c r="M32" s="83"/>
      <c r="O32" s="19"/>
      <c r="P32" s="357" t="s">
        <v>26</v>
      </c>
      <c r="Q32" s="19"/>
      <c r="R32" s="11">
        <f t="shared" ref="R32:AL32" si="15">VLOOKUP(R$8&amp;"AllSex"&amp;"AllEth"&amp;25,agesextable,6,FALSE)</f>
        <v>66</v>
      </c>
      <c r="S32" s="11">
        <f t="shared" si="15"/>
        <v>54</v>
      </c>
      <c r="T32" s="11">
        <f t="shared" si="15"/>
        <v>64</v>
      </c>
      <c r="U32" s="11">
        <f t="shared" si="15"/>
        <v>52</v>
      </c>
      <c r="V32" s="11">
        <f t="shared" si="15"/>
        <v>47</v>
      </c>
      <c r="W32" s="11">
        <f t="shared" si="15"/>
        <v>64</v>
      </c>
      <c r="X32" s="11">
        <f t="shared" si="15"/>
        <v>48</v>
      </c>
      <c r="Y32" s="11">
        <f t="shared" si="15"/>
        <v>67</v>
      </c>
      <c r="Z32" s="11">
        <f t="shared" si="15"/>
        <v>55</v>
      </c>
      <c r="AA32" s="11">
        <f t="shared" si="15"/>
        <v>48</v>
      </c>
      <c r="AB32" s="11">
        <f t="shared" si="15"/>
        <v>51</v>
      </c>
      <c r="AC32" s="11">
        <f t="shared" si="15"/>
        <v>50</v>
      </c>
      <c r="AD32" s="11">
        <f t="shared" si="15"/>
        <v>51</v>
      </c>
      <c r="AE32" s="11">
        <f t="shared" si="15"/>
        <v>54</v>
      </c>
      <c r="AF32" s="11">
        <f t="shared" si="15"/>
        <v>57</v>
      </c>
      <c r="AG32" s="11">
        <f t="shared" si="15"/>
        <v>45</v>
      </c>
      <c r="AH32" s="11">
        <f t="shared" si="15"/>
        <v>57</v>
      </c>
      <c r="AI32" s="11">
        <f t="shared" si="15"/>
        <v>56</v>
      </c>
      <c r="AJ32" s="11">
        <f t="shared" si="15"/>
        <v>60</v>
      </c>
      <c r="AK32" s="11">
        <f t="shared" si="15"/>
        <v>65</v>
      </c>
      <c r="AL32" s="11">
        <f t="shared" si="15"/>
        <v>63</v>
      </c>
    </row>
    <row r="33" spans="2:61" ht="12.75" customHeight="1">
      <c r="B33" s="77"/>
      <c r="C33" s="77"/>
      <c r="D33" s="77"/>
      <c r="E33" s="79"/>
      <c r="F33" s="79"/>
      <c r="G33" s="79"/>
      <c r="H33" s="79"/>
      <c r="I33" s="79"/>
      <c r="J33" s="77"/>
      <c r="K33" s="77"/>
      <c r="L33" s="82"/>
      <c r="M33" s="83"/>
      <c r="O33" s="364"/>
      <c r="P33" s="358"/>
      <c r="Q33" s="363"/>
      <c r="R33" s="17"/>
      <c r="S33" s="17"/>
      <c r="T33" s="17"/>
      <c r="U33" s="17"/>
      <c r="V33" s="17"/>
      <c r="W33" s="17"/>
      <c r="X33" s="17"/>
      <c r="Y33" s="17"/>
      <c r="Z33" s="17"/>
      <c r="AA33" s="17"/>
      <c r="AB33" s="17"/>
      <c r="AC33" s="17"/>
      <c r="AD33" s="17"/>
      <c r="AE33" s="17"/>
      <c r="AF33" s="17"/>
      <c r="AG33" s="17"/>
      <c r="AH33" s="17"/>
      <c r="AI33" s="17"/>
      <c r="AJ33" s="17"/>
      <c r="AK33" s="17"/>
      <c r="AL33" s="17"/>
    </row>
    <row r="34" spans="2:61" ht="12.75" customHeight="1">
      <c r="B34" s="77"/>
      <c r="C34" s="77"/>
      <c r="D34" s="77"/>
      <c r="E34" s="79"/>
      <c r="F34" s="79"/>
      <c r="G34" s="79"/>
      <c r="H34" s="79"/>
      <c r="I34" s="79"/>
      <c r="J34" s="79"/>
      <c r="K34" s="79"/>
      <c r="L34" s="83"/>
      <c r="M34" s="83"/>
      <c r="O34" s="19" t="s">
        <v>20</v>
      </c>
      <c r="P34" s="359" t="s">
        <v>150</v>
      </c>
      <c r="Q34" s="18" t="s">
        <v>21</v>
      </c>
      <c r="R34" s="11">
        <f t="shared" ref="R34:AL34" si="16">VLOOKUP(R$8&amp;"Male"&amp;"AllEth"&amp;22,agesextable,6,FALSE)</f>
        <v>105</v>
      </c>
      <c r="S34" s="11">
        <f t="shared" si="16"/>
        <v>113</v>
      </c>
      <c r="T34" s="11">
        <f t="shared" si="16"/>
        <v>104</v>
      </c>
      <c r="U34" s="11">
        <f t="shared" si="16"/>
        <v>82</v>
      </c>
      <c r="V34" s="11">
        <f t="shared" si="16"/>
        <v>81</v>
      </c>
      <c r="W34" s="11">
        <f t="shared" si="16"/>
        <v>87</v>
      </c>
      <c r="X34" s="11">
        <f t="shared" si="16"/>
        <v>66</v>
      </c>
      <c r="Y34" s="11">
        <f t="shared" si="16"/>
        <v>67</v>
      </c>
      <c r="Z34" s="11">
        <f t="shared" si="16"/>
        <v>83</v>
      </c>
      <c r="AA34" s="11">
        <f t="shared" si="16"/>
        <v>84</v>
      </c>
      <c r="AB34" s="11">
        <f t="shared" si="16"/>
        <v>95</v>
      </c>
      <c r="AC34" s="11">
        <f t="shared" si="16"/>
        <v>71</v>
      </c>
      <c r="AD34" s="11">
        <f t="shared" si="16"/>
        <v>83</v>
      </c>
      <c r="AE34" s="11">
        <f t="shared" si="16"/>
        <v>95</v>
      </c>
      <c r="AF34" s="11">
        <f t="shared" si="16"/>
        <v>77</v>
      </c>
      <c r="AG34" s="11">
        <f t="shared" si="16"/>
        <v>96</v>
      </c>
      <c r="AH34" s="11">
        <f t="shared" si="16"/>
        <v>107</v>
      </c>
      <c r="AI34" s="11">
        <f t="shared" si="16"/>
        <v>73</v>
      </c>
      <c r="AJ34" s="11">
        <f t="shared" si="16"/>
        <v>68</v>
      </c>
      <c r="AK34" s="11">
        <f t="shared" si="16"/>
        <v>70</v>
      </c>
      <c r="AL34" s="11">
        <f t="shared" si="16"/>
        <v>86</v>
      </c>
    </row>
    <row r="35" spans="2:61" ht="12.75" customHeight="1">
      <c r="B35" s="77"/>
      <c r="C35" s="77"/>
      <c r="D35" s="77"/>
      <c r="E35" s="79"/>
      <c r="F35" s="79"/>
      <c r="G35" s="79"/>
      <c r="H35" s="79"/>
      <c r="I35" s="79"/>
      <c r="J35" s="79"/>
      <c r="K35" s="79"/>
      <c r="L35" s="83"/>
      <c r="M35" s="83"/>
      <c r="O35" s="19"/>
      <c r="P35" s="357" t="s">
        <v>35</v>
      </c>
      <c r="Q35" s="19"/>
      <c r="R35" s="11">
        <f t="shared" ref="R35:AL35" si="17">VLOOKUP(R$8&amp;"Male"&amp;"AllEth"&amp;23,agesextable,6,FALSE)</f>
        <v>188</v>
      </c>
      <c r="S35" s="11">
        <f t="shared" si="17"/>
        <v>201</v>
      </c>
      <c r="T35" s="11">
        <f t="shared" si="17"/>
        <v>195</v>
      </c>
      <c r="U35" s="11">
        <f t="shared" si="17"/>
        <v>180</v>
      </c>
      <c r="V35" s="11">
        <f t="shared" si="17"/>
        <v>171</v>
      </c>
      <c r="W35" s="11">
        <f t="shared" si="17"/>
        <v>189</v>
      </c>
      <c r="X35" s="11">
        <f t="shared" si="17"/>
        <v>166</v>
      </c>
      <c r="Y35" s="11">
        <f t="shared" si="17"/>
        <v>163</v>
      </c>
      <c r="Z35" s="11">
        <f t="shared" si="17"/>
        <v>161</v>
      </c>
      <c r="AA35" s="11">
        <f t="shared" si="17"/>
        <v>161</v>
      </c>
      <c r="AB35" s="11">
        <f t="shared" si="17"/>
        <v>147</v>
      </c>
      <c r="AC35" s="11">
        <f t="shared" si="17"/>
        <v>165</v>
      </c>
      <c r="AD35" s="11">
        <f t="shared" si="17"/>
        <v>133</v>
      </c>
      <c r="AE35" s="11">
        <f t="shared" si="17"/>
        <v>132</v>
      </c>
      <c r="AF35" s="11">
        <f t="shared" si="17"/>
        <v>146</v>
      </c>
      <c r="AG35" s="11">
        <f t="shared" si="17"/>
        <v>130</v>
      </c>
      <c r="AH35" s="11">
        <f t="shared" si="17"/>
        <v>143</v>
      </c>
      <c r="AI35" s="11">
        <f t="shared" si="17"/>
        <v>114</v>
      </c>
      <c r="AJ35" s="11">
        <f t="shared" si="17"/>
        <v>140</v>
      </c>
      <c r="AK35" s="11">
        <f t="shared" si="17"/>
        <v>137</v>
      </c>
      <c r="AL35" s="11">
        <f t="shared" si="17"/>
        <v>143</v>
      </c>
    </row>
    <row r="36" spans="2:61" ht="12.75" customHeight="1">
      <c r="B36" s="77"/>
      <c r="C36" s="77"/>
      <c r="D36" s="77"/>
      <c r="E36" s="79"/>
      <c r="F36" s="79"/>
      <c r="G36" s="79"/>
      <c r="H36" s="79"/>
      <c r="I36" s="79"/>
      <c r="J36" s="79"/>
      <c r="K36" s="79"/>
      <c r="L36" s="83"/>
      <c r="M36" s="83"/>
      <c r="O36" s="19"/>
      <c r="P36" s="359" t="s">
        <v>36</v>
      </c>
      <c r="Q36" s="19"/>
      <c r="R36" s="11">
        <f t="shared" ref="R36:AL36" si="18">VLOOKUP(R$8&amp;"Male"&amp;"AllEth"&amp;24,agesextable,6,FALSE)</f>
        <v>80</v>
      </c>
      <c r="S36" s="11">
        <f t="shared" si="18"/>
        <v>76</v>
      </c>
      <c r="T36" s="11">
        <f t="shared" si="18"/>
        <v>90</v>
      </c>
      <c r="U36" s="11">
        <f t="shared" si="18"/>
        <v>83</v>
      </c>
      <c r="V36" s="11">
        <f t="shared" si="18"/>
        <v>80</v>
      </c>
      <c r="W36" s="11">
        <f t="shared" si="18"/>
        <v>65</v>
      </c>
      <c r="X36" s="11">
        <f t="shared" si="18"/>
        <v>88</v>
      </c>
      <c r="Y36" s="11">
        <f t="shared" si="18"/>
        <v>100</v>
      </c>
      <c r="Z36" s="11">
        <f t="shared" si="18"/>
        <v>88</v>
      </c>
      <c r="AA36" s="11">
        <f t="shared" si="18"/>
        <v>105</v>
      </c>
      <c r="AB36" s="11">
        <f t="shared" si="18"/>
        <v>110</v>
      </c>
      <c r="AC36" s="11">
        <f t="shared" si="18"/>
        <v>102</v>
      </c>
      <c r="AD36" s="11">
        <f t="shared" si="18"/>
        <v>125</v>
      </c>
      <c r="AE36" s="11">
        <f t="shared" si="18"/>
        <v>120</v>
      </c>
      <c r="AF36" s="11">
        <f t="shared" si="18"/>
        <v>118</v>
      </c>
      <c r="AG36" s="11">
        <f t="shared" si="18"/>
        <v>117</v>
      </c>
      <c r="AH36" s="11">
        <f t="shared" si="18"/>
        <v>105</v>
      </c>
      <c r="AI36" s="11">
        <f t="shared" si="18"/>
        <v>130</v>
      </c>
      <c r="AJ36" s="11">
        <f t="shared" si="18"/>
        <v>120</v>
      </c>
      <c r="AK36" s="11">
        <f t="shared" si="18"/>
        <v>125</v>
      </c>
      <c r="AL36" s="11">
        <f t="shared" si="18"/>
        <v>127</v>
      </c>
    </row>
    <row r="37" spans="2:61" ht="12.75" customHeight="1">
      <c r="B37" s="77"/>
      <c r="C37" s="77"/>
      <c r="D37" s="77"/>
      <c r="E37" s="79"/>
      <c r="F37" s="79"/>
      <c r="G37" s="79"/>
      <c r="H37" s="79"/>
      <c r="I37" s="79"/>
      <c r="J37" s="79"/>
      <c r="K37" s="79"/>
      <c r="L37" s="83"/>
      <c r="M37" s="83"/>
      <c r="O37" s="19"/>
      <c r="P37" s="357" t="s">
        <v>26</v>
      </c>
      <c r="Q37" s="19"/>
      <c r="R37" s="11">
        <f t="shared" ref="R37:AL37" si="19">VLOOKUP(R$8&amp;"Male"&amp;"AllEth"&amp;25,agesextable,6,FALSE)</f>
        <v>53</v>
      </c>
      <c r="S37" s="11">
        <f t="shared" si="19"/>
        <v>46</v>
      </c>
      <c r="T37" s="11">
        <f t="shared" si="19"/>
        <v>48</v>
      </c>
      <c r="U37" s="11">
        <f t="shared" si="19"/>
        <v>36</v>
      </c>
      <c r="V37" s="11">
        <f t="shared" si="19"/>
        <v>41</v>
      </c>
      <c r="W37" s="11">
        <f t="shared" si="19"/>
        <v>48</v>
      </c>
      <c r="X37" s="11">
        <f t="shared" si="19"/>
        <v>36</v>
      </c>
      <c r="Y37" s="11">
        <f t="shared" si="19"/>
        <v>46</v>
      </c>
      <c r="Z37" s="11">
        <f t="shared" si="19"/>
        <v>46</v>
      </c>
      <c r="AA37" s="11">
        <f t="shared" si="19"/>
        <v>32</v>
      </c>
      <c r="AB37" s="11">
        <f t="shared" si="19"/>
        <v>33</v>
      </c>
      <c r="AC37" s="11">
        <f t="shared" si="19"/>
        <v>42</v>
      </c>
      <c r="AD37" s="11">
        <f t="shared" si="19"/>
        <v>36</v>
      </c>
      <c r="AE37" s="11">
        <f t="shared" si="19"/>
        <v>41</v>
      </c>
      <c r="AF37" s="11">
        <f t="shared" si="19"/>
        <v>43</v>
      </c>
      <c r="AG37" s="11">
        <f t="shared" si="19"/>
        <v>31</v>
      </c>
      <c r="AH37" s="11">
        <f t="shared" si="19"/>
        <v>43</v>
      </c>
      <c r="AI37" s="11">
        <f t="shared" si="19"/>
        <v>48</v>
      </c>
      <c r="AJ37" s="11">
        <f t="shared" si="19"/>
        <v>49</v>
      </c>
      <c r="AK37" s="11">
        <f t="shared" si="19"/>
        <v>49</v>
      </c>
      <c r="AL37" s="11">
        <f t="shared" si="19"/>
        <v>51</v>
      </c>
    </row>
    <row r="38" spans="2:61" ht="12.75" customHeight="1">
      <c r="B38" s="77"/>
      <c r="C38" s="77"/>
      <c r="D38" s="77"/>
      <c r="E38" s="79"/>
      <c r="F38" s="79"/>
      <c r="G38" s="79"/>
      <c r="H38" s="79"/>
      <c r="I38" s="79"/>
      <c r="J38" s="79"/>
      <c r="K38" s="79"/>
      <c r="L38" s="83"/>
      <c r="M38" s="83"/>
      <c r="O38" s="364"/>
      <c r="P38" s="360"/>
      <c r="Q38" s="364"/>
      <c r="R38" s="16"/>
      <c r="S38" s="16"/>
      <c r="T38" s="16"/>
      <c r="U38" s="16"/>
      <c r="V38" s="16"/>
      <c r="W38" s="16"/>
      <c r="X38" s="16"/>
      <c r="Y38" s="16"/>
      <c r="Z38" s="16"/>
      <c r="AA38" s="16"/>
      <c r="AB38" s="16"/>
      <c r="AC38" s="16"/>
      <c r="AD38" s="16"/>
      <c r="AE38" s="16"/>
      <c r="AF38" s="16"/>
      <c r="AG38" s="16"/>
      <c r="AH38" s="16"/>
      <c r="AI38" s="16"/>
      <c r="AJ38" s="16"/>
      <c r="AK38" s="16"/>
      <c r="AL38" s="16"/>
    </row>
    <row r="39" spans="2:61" ht="12.75" customHeight="1">
      <c r="B39" s="77"/>
      <c r="C39" s="77"/>
      <c r="D39" s="77"/>
      <c r="E39" s="79"/>
      <c r="F39" s="79"/>
      <c r="G39" s="79"/>
      <c r="H39" s="79"/>
      <c r="I39" s="79"/>
      <c r="J39" s="79"/>
      <c r="K39" s="79"/>
      <c r="L39" s="83"/>
      <c r="M39" s="83"/>
      <c r="O39" s="19" t="s">
        <v>8</v>
      </c>
      <c r="P39" s="359" t="s">
        <v>150</v>
      </c>
      <c r="Q39" s="19" t="s">
        <v>21</v>
      </c>
      <c r="R39" s="11">
        <f t="shared" ref="R39:AL39" si="20">VLOOKUP(R$8&amp;"Female"&amp;"AllEth"&amp;22,agesextable,6,FALSE)</f>
        <v>38</v>
      </c>
      <c r="S39" s="11">
        <f t="shared" si="20"/>
        <v>29</v>
      </c>
      <c r="T39" s="11">
        <f t="shared" si="20"/>
        <v>35</v>
      </c>
      <c r="U39" s="11">
        <f t="shared" si="20"/>
        <v>37</v>
      </c>
      <c r="V39" s="11">
        <f t="shared" si="20"/>
        <v>15</v>
      </c>
      <c r="W39" s="11">
        <f t="shared" si="20"/>
        <v>23</v>
      </c>
      <c r="X39" s="11">
        <f t="shared" si="20"/>
        <v>30</v>
      </c>
      <c r="Y39" s="11">
        <f t="shared" si="20"/>
        <v>31</v>
      </c>
      <c r="Z39" s="11">
        <f t="shared" si="20"/>
        <v>31</v>
      </c>
      <c r="AA39" s="11">
        <f t="shared" si="20"/>
        <v>25</v>
      </c>
      <c r="AB39" s="11">
        <f t="shared" si="20"/>
        <v>24</v>
      </c>
      <c r="AC39" s="11">
        <f t="shared" si="20"/>
        <v>23</v>
      </c>
      <c r="AD39" s="11">
        <f t="shared" si="20"/>
        <v>38</v>
      </c>
      <c r="AE39" s="11">
        <f t="shared" si="20"/>
        <v>21</v>
      </c>
      <c r="AF39" s="11">
        <f t="shared" si="20"/>
        <v>34</v>
      </c>
      <c r="AG39" s="11">
        <f t="shared" si="20"/>
        <v>35</v>
      </c>
      <c r="AH39" s="11">
        <f t="shared" si="20"/>
        <v>41</v>
      </c>
      <c r="AI39" s="11">
        <f t="shared" si="20"/>
        <v>38</v>
      </c>
      <c r="AJ39" s="11">
        <f t="shared" si="20"/>
        <v>21</v>
      </c>
      <c r="AK39" s="11">
        <f t="shared" si="20"/>
        <v>41</v>
      </c>
      <c r="AL39" s="11">
        <f t="shared" si="20"/>
        <v>26</v>
      </c>
    </row>
    <row r="40" spans="2:61" ht="12.75" customHeight="1">
      <c r="B40" s="77"/>
      <c r="C40" s="78" t="s">
        <v>99</v>
      </c>
      <c r="D40" s="78" t="s">
        <v>101</v>
      </c>
      <c r="E40" s="79"/>
      <c r="F40" s="79"/>
      <c r="G40" s="79"/>
      <c r="H40" s="79"/>
      <c r="I40" s="79"/>
      <c r="J40" s="79"/>
      <c r="K40" s="79"/>
      <c r="L40" s="83"/>
      <c r="M40" s="83"/>
      <c r="O40" s="19"/>
      <c r="P40" s="357" t="s">
        <v>35</v>
      </c>
      <c r="Q40" s="19"/>
      <c r="R40" s="11">
        <f t="shared" ref="R40:AL40" si="21">VLOOKUP(R$8&amp;"Female"&amp;"AllEth"&amp;23,agesextable,6,FALSE)</f>
        <v>34</v>
      </c>
      <c r="S40" s="11">
        <f t="shared" si="21"/>
        <v>55</v>
      </c>
      <c r="T40" s="11">
        <f t="shared" si="21"/>
        <v>54</v>
      </c>
      <c r="U40" s="11">
        <f t="shared" si="21"/>
        <v>55</v>
      </c>
      <c r="V40" s="11">
        <f t="shared" si="21"/>
        <v>38</v>
      </c>
      <c r="W40" s="11">
        <f t="shared" si="21"/>
        <v>50</v>
      </c>
      <c r="X40" s="11">
        <f t="shared" si="21"/>
        <v>47</v>
      </c>
      <c r="Y40" s="11">
        <f t="shared" si="21"/>
        <v>54</v>
      </c>
      <c r="Z40" s="11">
        <f t="shared" si="21"/>
        <v>40</v>
      </c>
      <c r="AA40" s="11">
        <f t="shared" si="21"/>
        <v>58</v>
      </c>
      <c r="AB40" s="11">
        <f t="shared" si="21"/>
        <v>60</v>
      </c>
      <c r="AC40" s="11">
        <f t="shared" si="21"/>
        <v>48</v>
      </c>
      <c r="AD40" s="11">
        <f t="shared" si="21"/>
        <v>49</v>
      </c>
      <c r="AE40" s="11">
        <f t="shared" si="21"/>
        <v>41</v>
      </c>
      <c r="AF40" s="11">
        <f t="shared" si="21"/>
        <v>53</v>
      </c>
      <c r="AG40" s="11">
        <f t="shared" si="21"/>
        <v>33</v>
      </c>
      <c r="AH40" s="11">
        <f t="shared" si="21"/>
        <v>43</v>
      </c>
      <c r="AI40" s="11">
        <f t="shared" si="21"/>
        <v>47</v>
      </c>
      <c r="AJ40" s="11">
        <f t="shared" si="21"/>
        <v>50</v>
      </c>
      <c r="AK40" s="11">
        <f t="shared" si="21"/>
        <v>36</v>
      </c>
      <c r="AL40" s="11">
        <f t="shared" si="21"/>
        <v>57</v>
      </c>
    </row>
    <row r="41" spans="2:61" ht="12.75" customHeight="1">
      <c r="B41" s="77"/>
      <c r="C41" s="78" t="s">
        <v>141</v>
      </c>
      <c r="D41" s="78" t="s">
        <v>144</v>
      </c>
      <c r="E41" s="77"/>
      <c r="F41" s="77"/>
      <c r="G41" s="79"/>
      <c r="H41" s="79"/>
      <c r="I41" s="79"/>
      <c r="J41" s="79"/>
      <c r="K41" s="79"/>
      <c r="L41" s="83"/>
      <c r="M41" s="83"/>
      <c r="O41" s="19"/>
      <c r="P41" s="359" t="s">
        <v>36</v>
      </c>
      <c r="Q41" s="18"/>
      <c r="R41" s="11">
        <f t="shared" ref="R41:AL41" si="22">VLOOKUP(R$8&amp;"Female"&amp;"AllEth"&amp;24,agesextable,6,FALSE)</f>
        <v>22</v>
      </c>
      <c r="S41" s="11">
        <f t="shared" si="22"/>
        <v>26</v>
      </c>
      <c r="T41" s="11">
        <f t="shared" si="22"/>
        <v>24</v>
      </c>
      <c r="U41" s="11">
        <f t="shared" si="22"/>
        <v>21</v>
      </c>
      <c r="V41" s="11">
        <f t="shared" si="22"/>
        <v>23</v>
      </c>
      <c r="W41" s="11">
        <f t="shared" si="22"/>
        <v>27</v>
      </c>
      <c r="X41" s="11">
        <f t="shared" si="22"/>
        <v>25</v>
      </c>
      <c r="Y41" s="11">
        <f t="shared" si="22"/>
        <v>35</v>
      </c>
      <c r="Z41" s="11">
        <f t="shared" si="22"/>
        <v>30</v>
      </c>
      <c r="AA41" s="11">
        <f t="shared" si="22"/>
        <v>31</v>
      </c>
      <c r="AB41" s="11">
        <f t="shared" si="22"/>
        <v>31</v>
      </c>
      <c r="AC41" s="11">
        <f t="shared" si="22"/>
        <v>40</v>
      </c>
      <c r="AD41" s="11">
        <f t="shared" si="22"/>
        <v>34</v>
      </c>
      <c r="AE41" s="11">
        <f t="shared" si="22"/>
        <v>39</v>
      </c>
      <c r="AF41" s="11">
        <f t="shared" si="22"/>
        <v>43</v>
      </c>
      <c r="AG41" s="11">
        <f t="shared" si="22"/>
        <v>33</v>
      </c>
      <c r="AH41" s="11">
        <f t="shared" si="22"/>
        <v>42</v>
      </c>
      <c r="AI41" s="11">
        <f t="shared" si="22"/>
        <v>53</v>
      </c>
      <c r="AJ41" s="11">
        <f t="shared" si="22"/>
        <v>45</v>
      </c>
      <c r="AK41" s="11">
        <f t="shared" si="22"/>
        <v>47</v>
      </c>
      <c r="AL41" s="11">
        <f t="shared" si="22"/>
        <v>44</v>
      </c>
    </row>
    <row r="42" spans="2:61" ht="12.75" customHeight="1">
      <c r="B42" s="77"/>
      <c r="C42" s="77"/>
      <c r="D42" s="77"/>
      <c r="E42" s="77"/>
      <c r="F42" s="77"/>
      <c r="G42" s="79"/>
      <c r="H42" s="77"/>
      <c r="I42" s="77"/>
      <c r="J42" s="77"/>
      <c r="K42" s="77"/>
      <c r="L42" s="82"/>
      <c r="M42" s="83"/>
      <c r="O42" s="19"/>
      <c r="P42" s="357" t="s">
        <v>26</v>
      </c>
      <c r="Q42" s="19"/>
      <c r="R42" s="11">
        <f t="shared" ref="R42:AL42" si="23">VLOOKUP(R$8&amp;"Female"&amp;"AllEth"&amp;25,agesextable,6,FALSE)</f>
        <v>13</v>
      </c>
      <c r="S42" s="11">
        <f t="shared" si="23"/>
        <v>8</v>
      </c>
      <c r="T42" s="11">
        <f t="shared" si="23"/>
        <v>16</v>
      </c>
      <c r="U42" s="11">
        <f t="shared" si="23"/>
        <v>16</v>
      </c>
      <c r="V42" s="11">
        <f t="shared" si="23"/>
        <v>6</v>
      </c>
      <c r="W42" s="11">
        <f t="shared" si="23"/>
        <v>16</v>
      </c>
      <c r="X42" s="11">
        <f t="shared" si="23"/>
        <v>12</v>
      </c>
      <c r="Y42" s="11">
        <f t="shared" si="23"/>
        <v>21</v>
      </c>
      <c r="Z42" s="11">
        <f t="shared" si="23"/>
        <v>9</v>
      </c>
      <c r="AA42" s="11">
        <f t="shared" si="23"/>
        <v>16</v>
      </c>
      <c r="AB42" s="11">
        <f t="shared" si="23"/>
        <v>18</v>
      </c>
      <c r="AC42" s="11">
        <f t="shared" si="23"/>
        <v>8</v>
      </c>
      <c r="AD42" s="11">
        <f t="shared" si="23"/>
        <v>15</v>
      </c>
      <c r="AE42" s="11">
        <f t="shared" si="23"/>
        <v>13</v>
      </c>
      <c r="AF42" s="11">
        <f t="shared" si="23"/>
        <v>14</v>
      </c>
      <c r="AG42" s="11">
        <f t="shared" si="23"/>
        <v>14</v>
      </c>
      <c r="AH42" s="11">
        <f t="shared" si="23"/>
        <v>14</v>
      </c>
      <c r="AI42" s="11">
        <f t="shared" si="23"/>
        <v>8</v>
      </c>
      <c r="AJ42" s="11">
        <f t="shared" si="23"/>
        <v>11</v>
      </c>
      <c r="AK42" s="11">
        <f t="shared" si="23"/>
        <v>16</v>
      </c>
      <c r="AL42" s="11">
        <f t="shared" si="23"/>
        <v>12</v>
      </c>
    </row>
    <row r="43" spans="2:61" ht="12.75" customHeight="1">
      <c r="N43" s="485"/>
      <c r="O43" s="364"/>
      <c r="P43" s="360"/>
      <c r="Q43" s="364"/>
      <c r="R43" s="16"/>
      <c r="S43" s="16"/>
      <c r="T43" s="16"/>
      <c r="U43" s="16"/>
      <c r="V43" s="16"/>
      <c r="W43" s="16"/>
      <c r="X43" s="16"/>
      <c r="Y43" s="16"/>
      <c r="Z43" s="16"/>
      <c r="AA43" s="16"/>
      <c r="AB43" s="16"/>
      <c r="AC43" s="16"/>
      <c r="AD43" s="16"/>
      <c r="AE43" s="16"/>
      <c r="AF43" s="16"/>
      <c r="AG43" s="16"/>
      <c r="AH43" s="16"/>
      <c r="AI43" s="16"/>
      <c r="AJ43" s="16"/>
      <c r="AK43" s="16"/>
      <c r="AL43" s="16"/>
      <c r="AM43" s="64"/>
      <c r="AN43" s="66"/>
    </row>
    <row r="44" spans="2:61" ht="12.75" customHeight="1">
      <c r="B44" s="77"/>
      <c r="C44" s="77"/>
      <c r="D44" s="77"/>
      <c r="E44" s="77"/>
      <c r="F44" s="77"/>
      <c r="G44" s="77"/>
      <c r="H44" s="77"/>
      <c r="I44" s="77"/>
      <c r="J44" s="79"/>
      <c r="K44" s="79"/>
      <c r="L44" s="83"/>
      <c r="M44" s="83"/>
      <c r="N44" s="483"/>
      <c r="O44" s="19" t="s">
        <v>0</v>
      </c>
      <c r="P44" s="357" t="s">
        <v>150</v>
      </c>
      <c r="Q44" s="19" t="s">
        <v>22</v>
      </c>
      <c r="R44" s="14">
        <f t="shared" ref="R44:AL44" si="24">VLOOKUP(R$8&amp;"AllSex"&amp;"AllEth"&amp;22,agesextable,7,FALSE)</f>
        <v>25.939160877215301</v>
      </c>
      <c r="S44" s="14">
        <f t="shared" si="24"/>
        <v>26.072267920093999</v>
      </c>
      <c r="T44" s="14">
        <f t="shared" si="24"/>
        <v>25.885507840142999</v>
      </c>
      <c r="U44" s="14">
        <f t="shared" si="24"/>
        <v>22.429977004561401</v>
      </c>
      <c r="V44" s="14">
        <f t="shared" si="24"/>
        <v>18.1519087866583</v>
      </c>
      <c r="W44" s="14">
        <f t="shared" si="24"/>
        <v>20.573822616242101</v>
      </c>
      <c r="X44" s="14">
        <f t="shared" si="24"/>
        <v>17.376823661441598</v>
      </c>
      <c r="Y44" s="14">
        <f t="shared" si="24"/>
        <v>17.088949727099902</v>
      </c>
      <c r="Z44" s="14">
        <f t="shared" si="24"/>
        <v>19.449941991401101</v>
      </c>
      <c r="AA44" s="14">
        <f t="shared" si="24"/>
        <v>18.311326143197899</v>
      </c>
      <c r="AB44" s="14">
        <f t="shared" si="24"/>
        <v>19.688621961913299</v>
      </c>
      <c r="AC44" s="14">
        <f t="shared" si="24"/>
        <v>15.499274502044599</v>
      </c>
      <c r="AD44" s="14">
        <f t="shared" si="24"/>
        <v>19.949549074242</v>
      </c>
      <c r="AE44" s="14">
        <f t="shared" si="24"/>
        <v>19.004554539794899</v>
      </c>
      <c r="AF44" s="14">
        <f t="shared" si="24"/>
        <v>17.966397979994198</v>
      </c>
      <c r="AG44" s="14">
        <f t="shared" si="24"/>
        <v>21.036742034943501</v>
      </c>
      <c r="AH44" s="14">
        <f t="shared" si="24"/>
        <v>23.7019954517793</v>
      </c>
      <c r="AI44" s="14">
        <f t="shared" si="24"/>
        <v>17.659692944077602</v>
      </c>
      <c r="AJ44" s="14">
        <f t="shared" si="24"/>
        <v>13.8953942232631</v>
      </c>
      <c r="AK44" s="14">
        <f t="shared" si="24"/>
        <v>16.906299500426499</v>
      </c>
      <c r="AL44" s="14">
        <f t="shared" si="24"/>
        <v>16.765212184716699</v>
      </c>
      <c r="AM44" s="65"/>
      <c r="AN44" s="65"/>
    </row>
    <row r="45" spans="2:61" ht="12.75" customHeight="1">
      <c r="B45" s="77"/>
      <c r="C45" s="88" t="s">
        <v>517</v>
      </c>
      <c r="D45" s="77"/>
      <c r="E45" s="77"/>
      <c r="F45" s="77"/>
      <c r="G45" s="77"/>
      <c r="H45" s="77"/>
      <c r="I45" s="77"/>
      <c r="J45" s="77"/>
      <c r="K45" s="77"/>
      <c r="L45" s="77"/>
      <c r="M45" s="83"/>
      <c r="N45" s="483"/>
      <c r="O45" s="19"/>
      <c r="P45" s="357" t="s">
        <v>35</v>
      </c>
      <c r="Q45" s="19"/>
      <c r="R45" s="14">
        <f t="shared" ref="R45:AL45" si="25">VLOOKUP(R$8&amp;"AllSex"&amp;"AllEth"&amp;23,agesextable,7,FALSE)</f>
        <v>19.3440451709595</v>
      </c>
      <c r="S45" s="14">
        <f t="shared" si="25"/>
        <v>21.971419988842602</v>
      </c>
      <c r="T45" s="14">
        <f t="shared" si="25"/>
        <v>21.256978947907601</v>
      </c>
      <c r="U45" s="14">
        <f t="shared" si="25"/>
        <v>20.093713660305099</v>
      </c>
      <c r="V45" s="14">
        <f t="shared" si="25"/>
        <v>17.950391644908599</v>
      </c>
      <c r="W45" s="14">
        <f t="shared" si="25"/>
        <v>20.687267376438999</v>
      </c>
      <c r="X45" s="14">
        <f t="shared" si="25"/>
        <v>18.3301492229049</v>
      </c>
      <c r="Y45" s="14">
        <f t="shared" si="25"/>
        <v>18.4775204359673</v>
      </c>
      <c r="Z45" s="14">
        <f t="shared" si="25"/>
        <v>17.0137125444388</v>
      </c>
      <c r="AA45" s="14">
        <f t="shared" si="25"/>
        <v>18.5221208251224</v>
      </c>
      <c r="AB45" s="14">
        <f t="shared" si="25"/>
        <v>17.510023854235399</v>
      </c>
      <c r="AC45" s="14">
        <f t="shared" si="25"/>
        <v>18.0761233928799</v>
      </c>
      <c r="AD45" s="14">
        <f t="shared" si="25"/>
        <v>15.5447937752496</v>
      </c>
      <c r="AE45" s="14">
        <f t="shared" si="25"/>
        <v>14.832724591457</v>
      </c>
      <c r="AF45" s="14">
        <f t="shared" si="25"/>
        <v>17.109007591584799</v>
      </c>
      <c r="AG45" s="14">
        <f t="shared" si="25"/>
        <v>14.112065383017001</v>
      </c>
      <c r="AH45" s="14">
        <f t="shared" si="25"/>
        <v>16.230649749559301</v>
      </c>
      <c r="AI45" s="14">
        <f t="shared" si="25"/>
        <v>14.073795641494099</v>
      </c>
      <c r="AJ45" s="14">
        <f t="shared" si="25"/>
        <v>16.415679565934902</v>
      </c>
      <c r="AK45" s="14">
        <f t="shared" si="25"/>
        <v>14.6091421140189</v>
      </c>
      <c r="AL45" s="14">
        <f t="shared" si="25"/>
        <v>16.400029520053099</v>
      </c>
      <c r="AM45" s="65"/>
      <c r="AN45" s="65"/>
      <c r="AP45" s="8"/>
      <c r="AQ45" s="8"/>
      <c r="AR45" s="8"/>
      <c r="AS45" s="8"/>
      <c r="AT45" s="8"/>
      <c r="AU45" s="8"/>
      <c r="AV45" s="8"/>
      <c r="AW45" s="8"/>
      <c r="AX45" s="8"/>
      <c r="AY45" s="8"/>
      <c r="AZ45" s="8"/>
      <c r="BA45" s="8"/>
      <c r="BB45" s="8"/>
      <c r="BC45" s="8"/>
      <c r="BD45" s="8"/>
      <c r="BE45" s="597"/>
      <c r="BF45" s="597"/>
      <c r="BG45" s="597"/>
      <c r="BH45" s="597"/>
      <c r="BI45" s="597"/>
    </row>
    <row r="46" spans="2:61" ht="12.75" customHeight="1">
      <c r="B46" s="77"/>
      <c r="C46" s="77"/>
      <c r="D46" s="77"/>
      <c r="E46" s="77"/>
      <c r="F46" s="77"/>
      <c r="G46" s="77"/>
      <c r="H46" s="77"/>
      <c r="I46" s="77"/>
      <c r="J46" s="77"/>
      <c r="K46" s="77"/>
      <c r="L46" s="93"/>
      <c r="M46" s="83"/>
      <c r="N46" s="483"/>
      <c r="O46" s="19"/>
      <c r="P46" s="357" t="s">
        <v>36</v>
      </c>
      <c r="Q46" s="19"/>
      <c r="R46" s="14">
        <f t="shared" ref="R46:AL46" si="26">VLOOKUP(R$8&amp;"AllSex"&amp;"AllEth"&amp;24,agesextable,7,FALSE)</f>
        <v>13.689805121597701</v>
      </c>
      <c r="S46" s="14">
        <f t="shared" si="26"/>
        <v>13.2947524829905</v>
      </c>
      <c r="T46" s="14">
        <f t="shared" si="26"/>
        <v>14.4382385348987</v>
      </c>
      <c r="U46" s="14">
        <f t="shared" si="26"/>
        <v>12.805358550039401</v>
      </c>
      <c r="V46" s="14">
        <f t="shared" si="26"/>
        <v>12.338580224729901</v>
      </c>
      <c r="W46" s="14">
        <f t="shared" si="26"/>
        <v>10.7217359889053</v>
      </c>
      <c r="X46" s="14">
        <f t="shared" si="26"/>
        <v>12.760575468076</v>
      </c>
      <c r="Y46" s="14">
        <f t="shared" si="26"/>
        <v>14.759744164434499</v>
      </c>
      <c r="Z46" s="14">
        <f t="shared" si="26"/>
        <v>12.500662111340599</v>
      </c>
      <c r="AA46" s="14">
        <f t="shared" si="26"/>
        <v>13.998970663921799</v>
      </c>
      <c r="AB46" s="14">
        <f t="shared" si="26"/>
        <v>14.119060731988201</v>
      </c>
      <c r="AC46" s="14">
        <f t="shared" si="26"/>
        <v>13.8509559110417</v>
      </c>
      <c r="AD46" s="14">
        <f t="shared" si="26"/>
        <v>15.090829710901501</v>
      </c>
      <c r="AE46" s="14">
        <f t="shared" si="26"/>
        <v>14.740238068750701</v>
      </c>
      <c r="AF46" s="14">
        <f t="shared" si="26"/>
        <v>14.628650347998301</v>
      </c>
      <c r="AG46" s="14">
        <f t="shared" si="26"/>
        <v>13.4247409025006</v>
      </c>
      <c r="AH46" s="14">
        <f t="shared" si="26"/>
        <v>13.0385034991086</v>
      </c>
      <c r="AI46" s="14">
        <f t="shared" si="26"/>
        <v>16.0695468914647</v>
      </c>
      <c r="AJ46" s="14">
        <f t="shared" si="26"/>
        <v>14.301067813063399</v>
      </c>
      <c r="AK46" s="14">
        <f t="shared" si="26"/>
        <v>14.701608629502401</v>
      </c>
      <c r="AL46" s="14">
        <f t="shared" si="26"/>
        <v>14.3873996668181</v>
      </c>
      <c r="AM46" s="65"/>
      <c r="AN46" s="65"/>
      <c r="AO46" s="8"/>
      <c r="AP46" s="11"/>
      <c r="AQ46" s="11"/>
      <c r="AR46" s="11"/>
      <c r="AS46" s="11"/>
      <c r="AT46" s="11"/>
      <c r="AU46" s="11"/>
      <c r="AV46" s="11"/>
      <c r="AW46" s="11"/>
      <c r="AX46" s="11"/>
      <c r="AY46" s="11"/>
      <c r="AZ46" s="11"/>
      <c r="BA46" s="11"/>
      <c r="BB46" s="11"/>
      <c r="BC46" s="11"/>
      <c r="BD46" s="11"/>
      <c r="BE46" s="598"/>
      <c r="BF46" s="598"/>
      <c r="BG46" s="598"/>
      <c r="BH46" s="598"/>
      <c r="BI46" s="597"/>
    </row>
    <row r="47" spans="2:61" ht="12.75" customHeight="1">
      <c r="B47" s="77"/>
      <c r="C47" s="77"/>
      <c r="D47" s="77"/>
      <c r="E47" s="77"/>
      <c r="F47" s="77"/>
      <c r="G47" s="77"/>
      <c r="H47" s="77"/>
      <c r="I47" s="77"/>
      <c r="J47" s="77"/>
      <c r="K47" s="77"/>
      <c r="L47" s="77"/>
      <c r="M47" s="83"/>
      <c r="N47" s="483"/>
      <c r="O47" s="19"/>
      <c r="P47" s="357" t="s">
        <v>26</v>
      </c>
      <c r="Q47" s="19"/>
      <c r="R47" s="14">
        <f t="shared" ref="R47:AL47" si="27">VLOOKUP(R$8&amp;"AllSex"&amp;"AllEth"&amp;25,agesextable,7,FALSE)</f>
        <v>15.353121801433</v>
      </c>
      <c r="S47" s="14">
        <f t="shared" si="27"/>
        <v>12.387594053954899</v>
      </c>
      <c r="T47" s="14">
        <f t="shared" si="27"/>
        <v>14.481603837625</v>
      </c>
      <c r="U47" s="14">
        <f t="shared" si="27"/>
        <v>11.6169965595818</v>
      </c>
      <c r="V47" s="14">
        <f t="shared" si="27"/>
        <v>10.364979600838</v>
      </c>
      <c r="W47" s="14">
        <f t="shared" si="27"/>
        <v>13.900653765122399</v>
      </c>
      <c r="X47" s="14">
        <f t="shared" si="27"/>
        <v>10.268697586856099</v>
      </c>
      <c r="Y47" s="14">
        <f t="shared" si="27"/>
        <v>14.086283744008099</v>
      </c>
      <c r="Z47" s="14">
        <f t="shared" si="27"/>
        <v>11.345820612261701</v>
      </c>
      <c r="AA47" s="14">
        <f t="shared" si="27"/>
        <v>9.6622247272434496</v>
      </c>
      <c r="AB47" s="14">
        <f t="shared" si="27"/>
        <v>9.97125931139656</v>
      </c>
      <c r="AC47" s="14">
        <f t="shared" si="27"/>
        <v>9.5254424568021197</v>
      </c>
      <c r="AD47" s="14">
        <f t="shared" si="27"/>
        <v>9.5243431004538106</v>
      </c>
      <c r="AE47" s="14">
        <f t="shared" si="27"/>
        <v>9.8484433988072393</v>
      </c>
      <c r="AF47" s="14">
        <f t="shared" si="27"/>
        <v>10.1162481142959</v>
      </c>
      <c r="AG47" s="14">
        <f t="shared" si="27"/>
        <v>7.7496684864036398</v>
      </c>
      <c r="AH47" s="14">
        <f t="shared" si="27"/>
        <v>9.4530498523997508</v>
      </c>
      <c r="AI47" s="14">
        <f t="shared" si="27"/>
        <v>8.9415446518385995</v>
      </c>
      <c r="AJ47" s="14">
        <f t="shared" si="27"/>
        <v>9.2238158926347804</v>
      </c>
      <c r="AK47" s="14">
        <f t="shared" si="27"/>
        <v>9.6410560664491296</v>
      </c>
      <c r="AL47" s="14">
        <f t="shared" si="27"/>
        <v>9.0194562556371594</v>
      </c>
      <c r="AM47" s="65"/>
      <c r="AN47" s="65"/>
      <c r="AO47" s="11"/>
    </row>
    <row r="48" spans="2:61" ht="12.75" customHeight="1">
      <c r="B48" s="77"/>
      <c r="C48" s="77"/>
      <c r="D48" s="77"/>
      <c r="E48" s="77"/>
      <c r="F48" s="77"/>
      <c r="G48" s="77"/>
      <c r="H48" s="77"/>
      <c r="I48" s="77"/>
      <c r="J48" s="77"/>
      <c r="K48" s="77"/>
      <c r="L48" s="103"/>
      <c r="M48" s="83"/>
      <c r="O48" s="364"/>
      <c r="P48" s="360"/>
      <c r="Q48" s="364"/>
      <c r="R48" s="16"/>
      <c r="S48" s="16"/>
      <c r="T48" s="16"/>
      <c r="U48" s="16"/>
      <c r="V48" s="16"/>
      <c r="W48" s="16"/>
      <c r="X48" s="16"/>
      <c r="Y48" s="16"/>
      <c r="Z48" s="16"/>
      <c r="AA48" s="16"/>
      <c r="AB48" s="16"/>
      <c r="AC48" s="16"/>
      <c r="AD48" s="16"/>
      <c r="AE48" s="16"/>
      <c r="AF48" s="16"/>
      <c r="AG48" s="16"/>
      <c r="AH48" s="16"/>
      <c r="AI48" s="16"/>
      <c r="AJ48" s="16"/>
      <c r="AK48" s="16"/>
      <c r="AL48" s="16"/>
      <c r="AM48" s="65"/>
      <c r="AN48" s="65"/>
    </row>
    <row r="49" spans="2:40" ht="12.75" customHeight="1">
      <c r="B49" s="77"/>
      <c r="C49" s="77"/>
      <c r="D49" s="77"/>
      <c r="E49" s="77"/>
      <c r="F49" s="77"/>
      <c r="G49" s="77"/>
      <c r="H49" s="77"/>
      <c r="I49" s="77"/>
      <c r="J49" s="77"/>
      <c r="K49" s="77"/>
      <c r="L49" s="93"/>
      <c r="M49" s="83"/>
      <c r="N49" s="483"/>
      <c r="O49" s="19" t="s">
        <v>20</v>
      </c>
      <c r="P49" s="359" t="s">
        <v>150</v>
      </c>
      <c r="Q49" s="19" t="s">
        <v>22</v>
      </c>
      <c r="R49" s="14">
        <f t="shared" ref="R49:AL49" si="28">VLOOKUP(R$8&amp;"Male"&amp;"AllEth"&amp;22,agesextable,7,FALSE)</f>
        <v>37.722292078318702</v>
      </c>
      <c r="S49" s="14">
        <f t="shared" si="28"/>
        <v>41.037187681580498</v>
      </c>
      <c r="T49" s="14">
        <f t="shared" si="28"/>
        <v>38.3282966020491</v>
      </c>
      <c r="U49" s="14">
        <f t="shared" si="28"/>
        <v>30.613006794594199</v>
      </c>
      <c r="V49" s="14">
        <f t="shared" si="28"/>
        <v>30.326856115916001</v>
      </c>
      <c r="W49" s="14">
        <f t="shared" si="28"/>
        <v>32.200755052187397</v>
      </c>
      <c r="X49" s="14">
        <f t="shared" si="28"/>
        <v>23.606838829673102</v>
      </c>
      <c r="Y49" s="14">
        <f t="shared" si="28"/>
        <v>23.062889401397499</v>
      </c>
      <c r="Z49" s="14">
        <f t="shared" si="28"/>
        <v>27.974384900573</v>
      </c>
      <c r="AA49" s="14">
        <f t="shared" si="28"/>
        <v>27.9273887891482</v>
      </c>
      <c r="AB49" s="14">
        <f t="shared" si="28"/>
        <v>31.150604977538801</v>
      </c>
      <c r="AC49" s="14">
        <f t="shared" si="28"/>
        <v>23.2421107764829</v>
      </c>
      <c r="AD49" s="14">
        <f t="shared" si="28"/>
        <v>27.1899364476184</v>
      </c>
      <c r="AE49" s="14">
        <f t="shared" si="28"/>
        <v>30.900338277387501</v>
      </c>
      <c r="AF49" s="14">
        <f t="shared" si="28"/>
        <v>24.6945255123312</v>
      </c>
      <c r="AG49" s="14">
        <f t="shared" si="28"/>
        <v>30.454920373072799</v>
      </c>
      <c r="AH49" s="14">
        <f t="shared" si="28"/>
        <v>33.785917271866097</v>
      </c>
      <c r="AI49" s="14">
        <f t="shared" si="28"/>
        <v>22.8189178206371</v>
      </c>
      <c r="AJ49" s="14">
        <f t="shared" si="28"/>
        <v>20.7096086493071</v>
      </c>
      <c r="AK49" s="14">
        <f t="shared" si="28"/>
        <v>20.629494282683002</v>
      </c>
      <c r="AL49" s="14">
        <f t="shared" si="28"/>
        <v>24.838262476894599</v>
      </c>
      <c r="AM49" s="65"/>
      <c r="AN49" s="65"/>
    </row>
    <row r="50" spans="2:40" ht="12.75" customHeight="1">
      <c r="B50" s="77"/>
      <c r="C50" s="77"/>
      <c r="D50" s="77"/>
      <c r="E50" s="77"/>
      <c r="F50" s="77"/>
      <c r="G50" s="77"/>
      <c r="H50" s="77"/>
      <c r="I50" s="77"/>
      <c r="J50" s="77"/>
      <c r="K50" s="77"/>
      <c r="L50" s="93"/>
      <c r="M50" s="83"/>
      <c r="N50" s="483"/>
      <c r="O50" s="19"/>
      <c r="P50" s="357" t="s">
        <v>35</v>
      </c>
      <c r="Q50" s="365"/>
      <c r="R50" s="14">
        <f t="shared" ref="R50:AL50" si="29">VLOOKUP(R$8&amp;"Male"&amp;"AllEth"&amp;23,agesextable,7,FALSE)</f>
        <v>33.369424377429503</v>
      </c>
      <c r="S50" s="14">
        <f t="shared" si="29"/>
        <v>35.230399803691299</v>
      </c>
      <c r="T50" s="14">
        <f t="shared" si="29"/>
        <v>34.094485435535198</v>
      </c>
      <c r="U50" s="14">
        <f t="shared" si="29"/>
        <v>31.6316668131096</v>
      </c>
      <c r="V50" s="14">
        <f t="shared" si="29"/>
        <v>30.2703085447239</v>
      </c>
      <c r="W50" s="14">
        <f t="shared" si="29"/>
        <v>33.795865817895702</v>
      </c>
      <c r="X50" s="14">
        <f t="shared" si="29"/>
        <v>29.545778157482602</v>
      </c>
      <c r="Y50" s="14">
        <f t="shared" si="29"/>
        <v>28.730567208375899</v>
      </c>
      <c r="Z50" s="14">
        <f t="shared" si="29"/>
        <v>28.260487976127799</v>
      </c>
      <c r="AA50" s="14">
        <f t="shared" si="29"/>
        <v>28.278854091651599</v>
      </c>
      <c r="AB50" s="14">
        <f t="shared" si="29"/>
        <v>25.852972212451601</v>
      </c>
      <c r="AC50" s="14">
        <f t="shared" si="29"/>
        <v>29.127756103588901</v>
      </c>
      <c r="AD50" s="14">
        <f t="shared" si="29"/>
        <v>23.638140940193701</v>
      </c>
      <c r="AE50" s="14">
        <f t="shared" si="29"/>
        <v>23.565116486655398</v>
      </c>
      <c r="AF50" s="14">
        <f t="shared" si="29"/>
        <v>26.170033519152501</v>
      </c>
      <c r="AG50" s="14">
        <f t="shared" si="29"/>
        <v>23.499213680157599</v>
      </c>
      <c r="AH50" s="14">
        <f t="shared" si="29"/>
        <v>26.0701524101218</v>
      </c>
      <c r="AI50" s="14">
        <f t="shared" si="29"/>
        <v>20.807476089654699</v>
      </c>
      <c r="AJ50" s="14">
        <f t="shared" si="29"/>
        <v>25.150453606395399</v>
      </c>
      <c r="AK50" s="14">
        <f t="shared" si="29"/>
        <v>23.9192681053146</v>
      </c>
      <c r="AL50" s="14">
        <f t="shared" si="29"/>
        <v>24.103696461981901</v>
      </c>
      <c r="AM50" s="65"/>
      <c r="AN50" s="65"/>
    </row>
    <row r="51" spans="2:40" ht="12.75" customHeight="1">
      <c r="B51" s="77"/>
      <c r="C51" s="77"/>
      <c r="D51" s="77"/>
      <c r="E51" s="77"/>
      <c r="F51" s="77"/>
      <c r="G51" s="77"/>
      <c r="H51" s="77"/>
      <c r="I51" s="77"/>
      <c r="J51" s="77"/>
      <c r="K51" s="77"/>
      <c r="L51" s="103"/>
      <c r="M51" s="83"/>
      <c r="N51" s="483"/>
      <c r="O51" s="19"/>
      <c r="P51" s="359" t="s">
        <v>36</v>
      </c>
      <c r="Q51" s="365"/>
      <c r="R51" s="14">
        <f t="shared" ref="R51:AL51" si="30">VLOOKUP(R$8&amp;"Male"&amp;"AllEth"&amp;24,agesextable,7,FALSE)</f>
        <v>21.494975549465298</v>
      </c>
      <c r="S51" s="14">
        <f t="shared" si="30"/>
        <v>19.856303069889002</v>
      </c>
      <c r="T51" s="14">
        <f t="shared" si="30"/>
        <v>22.886786695148</v>
      </c>
      <c r="U51" s="14">
        <f t="shared" si="30"/>
        <v>20.56338726061</v>
      </c>
      <c r="V51" s="14">
        <f t="shared" si="30"/>
        <v>19.333011116481401</v>
      </c>
      <c r="W51" s="14">
        <f t="shared" si="30"/>
        <v>15.3052814994467</v>
      </c>
      <c r="X51" s="14">
        <f t="shared" si="30"/>
        <v>20.089030932541899</v>
      </c>
      <c r="Y51" s="14">
        <f t="shared" si="30"/>
        <v>22.124383282816002</v>
      </c>
      <c r="Z51" s="14">
        <f t="shared" si="30"/>
        <v>18.883714941739399</v>
      </c>
      <c r="AA51" s="14">
        <f t="shared" si="30"/>
        <v>21.927992648901501</v>
      </c>
      <c r="AB51" s="14">
        <f t="shared" si="30"/>
        <v>22.397328609533101</v>
      </c>
      <c r="AC51" s="14">
        <f t="shared" si="30"/>
        <v>20.267853594563402</v>
      </c>
      <c r="AD51" s="14">
        <f t="shared" si="30"/>
        <v>24.221050999845001</v>
      </c>
      <c r="AE51" s="14">
        <f t="shared" si="30"/>
        <v>22.752265746463902</v>
      </c>
      <c r="AF51" s="14">
        <f t="shared" si="30"/>
        <v>21.966566141703002</v>
      </c>
      <c r="AG51" s="14">
        <f t="shared" si="30"/>
        <v>21.4970786021387</v>
      </c>
      <c r="AH51" s="14">
        <f t="shared" si="30"/>
        <v>19.170029028901101</v>
      </c>
      <c r="AI51" s="14">
        <f t="shared" si="30"/>
        <v>23.546885471571699</v>
      </c>
      <c r="AJ51" s="14">
        <f t="shared" si="30"/>
        <v>21.489971346704898</v>
      </c>
      <c r="AK51" s="14">
        <f t="shared" si="30"/>
        <v>22.1094150733148</v>
      </c>
      <c r="AL51" s="14">
        <f t="shared" si="30"/>
        <v>22.152064328199401</v>
      </c>
      <c r="AM51" s="65"/>
      <c r="AN51" s="65"/>
    </row>
    <row r="52" spans="2:40" ht="12.75" customHeight="1">
      <c r="B52" s="77"/>
      <c r="C52" s="77"/>
      <c r="D52" s="77"/>
      <c r="E52" s="77"/>
      <c r="F52" s="77"/>
      <c r="G52" s="77"/>
      <c r="H52" s="77"/>
      <c r="I52" s="77"/>
      <c r="J52" s="77"/>
      <c r="K52" s="77"/>
      <c r="L52" s="77"/>
      <c r="M52" s="83"/>
      <c r="N52" s="483"/>
      <c r="O52" s="19"/>
      <c r="P52" s="357" t="s">
        <v>26</v>
      </c>
      <c r="Q52" s="365"/>
      <c r="R52" s="14">
        <f t="shared" ref="R52:AL52" si="31">VLOOKUP(R$8&amp;"Male"&amp;"AllEth"&amp;25,agesextable,7,FALSE)</f>
        <v>28.5529576554251</v>
      </c>
      <c r="S52" s="14">
        <f t="shared" si="31"/>
        <v>24.361826077745999</v>
      </c>
      <c r="T52" s="14">
        <f t="shared" si="31"/>
        <v>25.019546520719299</v>
      </c>
      <c r="U52" s="14">
        <f t="shared" si="31"/>
        <v>18.4729064039409</v>
      </c>
      <c r="V52" s="14">
        <f t="shared" si="31"/>
        <v>20.708116571544</v>
      </c>
      <c r="W52" s="14">
        <f t="shared" si="31"/>
        <v>23.830801310694099</v>
      </c>
      <c r="X52" s="14">
        <f t="shared" si="31"/>
        <v>17.5378769425635</v>
      </c>
      <c r="Y52" s="14">
        <f t="shared" si="31"/>
        <v>21.930870083432701</v>
      </c>
      <c r="Z52" s="14">
        <f t="shared" si="31"/>
        <v>21.446221269056799</v>
      </c>
      <c r="AA52" s="14">
        <f t="shared" si="31"/>
        <v>14.4783277531445</v>
      </c>
      <c r="AB52" s="14">
        <f t="shared" si="31"/>
        <v>14.4167758846658</v>
      </c>
      <c r="AC52" s="14">
        <f t="shared" si="31"/>
        <v>17.793594306049801</v>
      </c>
      <c r="AD52" s="14">
        <f t="shared" si="31"/>
        <v>14.890800794176</v>
      </c>
      <c r="AE52" s="14">
        <f t="shared" si="31"/>
        <v>16.489703989704001</v>
      </c>
      <c r="AF52" s="14">
        <f t="shared" si="31"/>
        <v>16.766093500214399</v>
      </c>
      <c r="AG52" s="14">
        <f t="shared" si="31"/>
        <v>11.676082862523501</v>
      </c>
      <c r="AH52" s="14">
        <f t="shared" si="31"/>
        <v>15.527389593038</v>
      </c>
      <c r="AI52" s="14">
        <f t="shared" si="31"/>
        <v>16.625103906899401</v>
      </c>
      <c r="AJ52" s="14">
        <f t="shared" si="31"/>
        <v>16.2817743811264</v>
      </c>
      <c r="AK52" s="14">
        <f t="shared" si="31"/>
        <v>15.671474717753499</v>
      </c>
      <c r="AL52" s="14">
        <f t="shared" si="31"/>
        <v>15.698103915291799</v>
      </c>
      <c r="AM52" s="65"/>
      <c r="AN52" s="65"/>
    </row>
    <row r="53" spans="2:40" ht="12.75" customHeight="1">
      <c r="B53" s="77"/>
      <c r="C53" s="77"/>
      <c r="D53" s="77"/>
      <c r="E53" s="77"/>
      <c r="F53" s="77"/>
      <c r="G53" s="77"/>
      <c r="H53" s="77"/>
      <c r="I53" s="77"/>
      <c r="J53" s="77"/>
      <c r="K53" s="77"/>
      <c r="L53" s="103"/>
      <c r="M53" s="83"/>
      <c r="O53" s="364"/>
      <c r="P53" s="360"/>
      <c r="Q53" s="363"/>
      <c r="R53" s="16"/>
      <c r="S53" s="16"/>
      <c r="T53" s="16"/>
      <c r="U53" s="16"/>
      <c r="V53" s="16"/>
      <c r="W53" s="16"/>
      <c r="X53" s="16"/>
      <c r="Y53" s="16"/>
      <c r="Z53" s="16"/>
      <c r="AA53" s="16"/>
      <c r="AB53" s="16"/>
      <c r="AC53" s="16"/>
      <c r="AD53" s="16"/>
      <c r="AE53" s="16"/>
      <c r="AF53" s="16"/>
      <c r="AG53" s="16"/>
      <c r="AH53" s="16"/>
      <c r="AI53" s="16"/>
      <c r="AJ53" s="16"/>
      <c r="AK53" s="16"/>
      <c r="AL53" s="16"/>
      <c r="AM53" s="65"/>
      <c r="AN53" s="65"/>
    </row>
    <row r="54" spans="2:40" ht="12.75" customHeight="1">
      <c r="B54" s="77"/>
      <c r="C54" s="77"/>
      <c r="D54" s="77"/>
      <c r="E54" s="77"/>
      <c r="F54" s="77"/>
      <c r="G54" s="77"/>
      <c r="H54" s="77"/>
      <c r="I54" s="77"/>
      <c r="J54" s="77"/>
      <c r="K54" s="77"/>
      <c r="L54" s="93"/>
      <c r="M54" s="83"/>
      <c r="N54" s="483"/>
      <c r="O54" s="19" t="s">
        <v>8</v>
      </c>
      <c r="P54" s="359" t="s">
        <v>150</v>
      </c>
      <c r="Q54" s="19" t="s">
        <v>22</v>
      </c>
      <c r="R54" s="14">
        <f t="shared" ref="R54:AL54" si="32">VLOOKUP(R$8&amp;"Female"&amp;"AllEth"&amp;22,agesextable,7,FALSE)</f>
        <v>13.922473803766399</v>
      </c>
      <c r="S54" s="14">
        <f t="shared" si="32"/>
        <v>10.7694592988711</v>
      </c>
      <c r="T54" s="14">
        <f t="shared" si="32"/>
        <v>13.1757265472067</v>
      </c>
      <c r="U54" s="14">
        <f t="shared" si="32"/>
        <v>14.0861156584307</v>
      </c>
      <c r="V54" s="14">
        <f t="shared" si="32"/>
        <v>5.7297834141869401</v>
      </c>
      <c r="W54" s="14">
        <f t="shared" si="32"/>
        <v>8.6963097398669102</v>
      </c>
      <c r="X54" s="14">
        <f t="shared" si="32"/>
        <v>10.994246344413099</v>
      </c>
      <c r="Y54" s="14">
        <f t="shared" si="32"/>
        <v>10.955612100650299</v>
      </c>
      <c r="Z54" s="14">
        <f t="shared" si="32"/>
        <v>10.711447427525</v>
      </c>
      <c r="AA54" s="14">
        <f t="shared" si="32"/>
        <v>8.4895408856289105</v>
      </c>
      <c r="AB54" s="14">
        <f t="shared" si="32"/>
        <v>8.01496126102057</v>
      </c>
      <c r="AC54" s="14">
        <f t="shared" si="32"/>
        <v>7.64119601328904</v>
      </c>
      <c r="AD54" s="14">
        <f t="shared" si="32"/>
        <v>12.6132704882663</v>
      </c>
      <c r="AE54" s="14">
        <f t="shared" si="32"/>
        <v>6.9318369367882502</v>
      </c>
      <c r="AF54" s="14">
        <f t="shared" si="32"/>
        <v>11.1103849421606</v>
      </c>
      <c r="AG54" s="14">
        <f t="shared" si="32"/>
        <v>11.381743683132299</v>
      </c>
      <c r="AH54" s="14">
        <f t="shared" si="32"/>
        <v>13.3238008579228</v>
      </c>
      <c r="AI54" s="14">
        <f t="shared" si="32"/>
        <v>12.3120787973043</v>
      </c>
      <c r="AJ54" s="14">
        <f t="shared" si="32"/>
        <v>6.7275348390197003</v>
      </c>
      <c r="AK54" s="14">
        <f t="shared" si="32"/>
        <v>12.9239692346488</v>
      </c>
      <c r="AL54" s="14">
        <f t="shared" si="32"/>
        <v>8.07930145116684</v>
      </c>
      <c r="AM54" s="65"/>
      <c r="AN54" s="65"/>
    </row>
    <row r="55" spans="2:40" ht="12.75" customHeight="1">
      <c r="B55" s="77"/>
      <c r="C55" s="77"/>
      <c r="D55" s="77"/>
      <c r="E55" s="77"/>
      <c r="F55" s="77"/>
      <c r="G55" s="77"/>
      <c r="H55" s="77"/>
      <c r="I55" s="77"/>
      <c r="J55" s="77"/>
      <c r="K55" s="77"/>
      <c r="L55" s="103"/>
      <c r="M55" s="83"/>
      <c r="N55" s="483"/>
      <c r="O55" s="365"/>
      <c r="P55" s="357" t="s">
        <v>35</v>
      </c>
      <c r="Q55" s="365"/>
      <c r="R55" s="14">
        <f t="shared" ref="R55:AL55" si="33">VLOOKUP(R$8&amp;"Female"&amp;"AllEth"&amp;23,agesextable,7,FALSE)</f>
        <v>5.8194266153187799</v>
      </c>
      <c r="S55" s="14">
        <f t="shared" si="33"/>
        <v>9.2497603471182792</v>
      </c>
      <c r="T55" s="14">
        <f t="shared" si="33"/>
        <v>9.0082575694386495</v>
      </c>
      <c r="U55" s="14">
        <f t="shared" si="33"/>
        <v>9.1593391953104195</v>
      </c>
      <c r="V55" s="14">
        <f t="shared" si="33"/>
        <v>6.3395672411204398</v>
      </c>
      <c r="W55" s="14">
        <f t="shared" si="33"/>
        <v>8.3884172734288498</v>
      </c>
      <c r="X55" s="14">
        <f t="shared" si="33"/>
        <v>7.8309840381219002</v>
      </c>
      <c r="Y55" s="14">
        <f t="shared" si="33"/>
        <v>8.8953315981945806</v>
      </c>
      <c r="Z55" s="14">
        <f t="shared" si="33"/>
        <v>6.5392600827216398</v>
      </c>
      <c r="AA55" s="14">
        <f t="shared" si="33"/>
        <v>9.4612009200202305</v>
      </c>
      <c r="AB55" s="14">
        <f t="shared" si="33"/>
        <v>9.7785165990319296</v>
      </c>
      <c r="AC55" s="14">
        <f t="shared" si="33"/>
        <v>7.8448036347590202</v>
      </c>
      <c r="AD55" s="14">
        <f t="shared" si="33"/>
        <v>8.05722272465675</v>
      </c>
      <c r="AE55" s="14">
        <f t="shared" si="33"/>
        <v>6.7636675574911704</v>
      </c>
      <c r="AF55" s="14">
        <f t="shared" si="33"/>
        <v>8.7568567840856506</v>
      </c>
      <c r="AG55" s="14">
        <f t="shared" si="33"/>
        <v>5.4831848996410999</v>
      </c>
      <c r="AH55" s="14">
        <f t="shared" si="33"/>
        <v>7.1972550004184503</v>
      </c>
      <c r="AI55" s="14">
        <f t="shared" si="33"/>
        <v>7.8847153953262099</v>
      </c>
      <c r="AJ55" s="14">
        <f t="shared" si="33"/>
        <v>8.3223755388738194</v>
      </c>
      <c r="AK55" s="14">
        <f t="shared" si="33"/>
        <v>5.8878367106618903</v>
      </c>
      <c r="AL55" s="14">
        <f t="shared" si="33"/>
        <v>9.1020870926017601</v>
      </c>
      <c r="AM55" s="65"/>
      <c r="AN55" s="65"/>
    </row>
    <row r="56" spans="2:40" ht="12.75" customHeight="1">
      <c r="B56" s="77"/>
      <c r="C56" s="77"/>
      <c r="D56" s="77"/>
      <c r="E56" s="77"/>
      <c r="F56" s="77"/>
      <c r="G56" s="77"/>
      <c r="H56" s="77"/>
      <c r="I56" s="77"/>
      <c r="J56" s="77"/>
      <c r="K56" s="77"/>
      <c r="L56" s="93"/>
      <c r="M56" s="83"/>
      <c r="N56" s="483"/>
      <c r="O56" s="19"/>
      <c r="P56" s="359" t="s">
        <v>36</v>
      </c>
      <c r="Q56" s="19"/>
      <c r="R56" s="14">
        <f t="shared" ref="R56:AL56" si="34">VLOOKUP(R$8&amp;"Female"&amp;"AllEth"&amp;24,agesextable,7,FALSE)</f>
        <v>5.8997050147492596</v>
      </c>
      <c r="S56" s="14">
        <f t="shared" si="34"/>
        <v>6.7625562462610898</v>
      </c>
      <c r="T56" s="14">
        <f t="shared" si="34"/>
        <v>6.05540697381036</v>
      </c>
      <c r="U56" s="14">
        <f t="shared" si="34"/>
        <v>5.1403813673414396</v>
      </c>
      <c r="V56" s="14">
        <f t="shared" si="34"/>
        <v>5.4634424438215596</v>
      </c>
      <c r="W56" s="14">
        <f t="shared" si="34"/>
        <v>6.2302420564413801</v>
      </c>
      <c r="X56" s="14">
        <f t="shared" si="34"/>
        <v>5.5867170216094202</v>
      </c>
      <c r="Y56" s="14">
        <f t="shared" si="34"/>
        <v>7.5651140170755404</v>
      </c>
      <c r="Z56" s="14">
        <f t="shared" si="34"/>
        <v>6.2768071974055903</v>
      </c>
      <c r="AA56" s="14">
        <f t="shared" si="34"/>
        <v>6.2923720212722802</v>
      </c>
      <c r="AB56" s="14">
        <f t="shared" si="34"/>
        <v>6.1083743842364502</v>
      </c>
      <c r="AC56" s="14">
        <f t="shared" si="34"/>
        <v>7.6637161359543198</v>
      </c>
      <c r="AD56" s="14">
        <f t="shared" si="34"/>
        <v>6.3251106894370697</v>
      </c>
      <c r="AE56" s="14">
        <f t="shared" si="34"/>
        <v>7.0749582758870897</v>
      </c>
      <c r="AF56" s="14">
        <f t="shared" si="34"/>
        <v>7.6322328718494896</v>
      </c>
      <c r="AG56" s="14">
        <f t="shared" si="34"/>
        <v>5.7582578652567697</v>
      </c>
      <c r="AH56" s="14">
        <f t="shared" si="34"/>
        <v>7.2452517724990901</v>
      </c>
      <c r="AI56" s="14">
        <f t="shared" si="34"/>
        <v>9.0334236675700108</v>
      </c>
      <c r="AJ56" s="14">
        <f t="shared" si="34"/>
        <v>7.5585789871504199</v>
      </c>
      <c r="AK56" s="14">
        <f t="shared" si="34"/>
        <v>7.7741204492449203</v>
      </c>
      <c r="AL56" s="14">
        <f t="shared" si="34"/>
        <v>7.1517968889683496</v>
      </c>
      <c r="AM56" s="65"/>
      <c r="AN56" s="65"/>
    </row>
    <row r="57" spans="2:40" ht="12.75" customHeight="1">
      <c r="B57" s="77"/>
      <c r="C57" s="77"/>
      <c r="D57" s="77"/>
      <c r="E57" s="77"/>
      <c r="F57" s="77"/>
      <c r="G57" s="77"/>
      <c r="H57" s="77"/>
      <c r="I57" s="77"/>
      <c r="J57" s="77"/>
      <c r="K57" s="77"/>
      <c r="L57" s="103"/>
      <c r="M57" s="83"/>
      <c r="N57" s="483"/>
      <c r="O57" s="19"/>
      <c r="P57" s="357" t="s">
        <v>26</v>
      </c>
      <c r="Q57" s="19"/>
      <c r="R57" s="14">
        <f t="shared" ref="R57:AL57" si="35">VLOOKUP(R$8&amp;"Female"&amp;"AllEth"&amp;25,agesextable,7,FALSE)</f>
        <v>5.3219797764768497</v>
      </c>
      <c r="S57" s="14">
        <f t="shared" si="35"/>
        <v>3.2375556454876602</v>
      </c>
      <c r="T57" s="14">
        <f t="shared" si="35"/>
        <v>6.3979526551503501</v>
      </c>
      <c r="U57" s="14">
        <f t="shared" si="35"/>
        <v>6.3303659742828904</v>
      </c>
      <c r="V57" s="14">
        <f t="shared" si="35"/>
        <v>2.3488881929220198</v>
      </c>
      <c r="W57" s="14">
        <f t="shared" si="35"/>
        <v>6.1773676692019599</v>
      </c>
      <c r="X57" s="14">
        <f t="shared" si="35"/>
        <v>4.5754375262134399</v>
      </c>
      <c r="Y57" s="14">
        <f t="shared" si="35"/>
        <v>7.8982999849556199</v>
      </c>
      <c r="Z57" s="14">
        <f t="shared" si="35"/>
        <v>3.33123588851464</v>
      </c>
      <c r="AA57" s="14">
        <f t="shared" si="35"/>
        <v>5.8025676361790097</v>
      </c>
      <c r="AB57" s="14">
        <f t="shared" si="35"/>
        <v>6.3701029833315603</v>
      </c>
      <c r="AC57" s="14">
        <f t="shared" si="35"/>
        <v>2.7696036004846798</v>
      </c>
      <c r="AD57" s="14">
        <f t="shared" si="35"/>
        <v>5.1070784106772003</v>
      </c>
      <c r="AE57" s="14">
        <f t="shared" si="35"/>
        <v>4.3381052491073504</v>
      </c>
      <c r="AF57" s="14">
        <f t="shared" si="35"/>
        <v>4.5607062579405104</v>
      </c>
      <c r="AG57" s="14">
        <f t="shared" si="35"/>
        <v>4.4406381831446096</v>
      </c>
      <c r="AH57" s="14">
        <f t="shared" si="35"/>
        <v>4.2935565982764397</v>
      </c>
      <c r="AI57" s="14">
        <f t="shared" si="35"/>
        <v>2.36987883994431</v>
      </c>
      <c r="AJ57" s="14">
        <f t="shared" si="35"/>
        <v>3.1469931910511</v>
      </c>
      <c r="AK57" s="14">
        <f t="shared" si="35"/>
        <v>4.42575791104227</v>
      </c>
      <c r="AL57" s="14">
        <f t="shared" si="35"/>
        <v>3.2110459982339199</v>
      </c>
      <c r="AM57" s="65"/>
      <c r="AN57" s="65"/>
    </row>
    <row r="58" spans="2:40" ht="12.75" customHeight="1">
      <c r="B58" s="77"/>
      <c r="C58" s="77"/>
      <c r="D58" s="77"/>
      <c r="E58" s="77"/>
      <c r="F58" s="77"/>
      <c r="G58" s="77"/>
      <c r="H58" s="77"/>
      <c r="I58" s="77"/>
      <c r="J58" s="77"/>
      <c r="K58" s="77"/>
      <c r="L58" s="103"/>
      <c r="M58" s="83"/>
      <c r="O58" s="366"/>
      <c r="P58" s="361"/>
      <c r="Q58" s="366"/>
      <c r="R58" s="15"/>
      <c r="S58" s="15"/>
      <c r="T58" s="15"/>
      <c r="U58" s="15"/>
      <c r="V58" s="15"/>
      <c r="W58" s="15"/>
      <c r="X58" s="15"/>
      <c r="Y58" s="15"/>
      <c r="Z58" s="15"/>
      <c r="AA58" s="15"/>
      <c r="AB58" s="15"/>
      <c r="AC58" s="15"/>
      <c r="AD58" s="15"/>
      <c r="AE58" s="15"/>
      <c r="AF58" s="15"/>
      <c r="AG58" s="15"/>
      <c r="AH58" s="15"/>
      <c r="AI58" s="15"/>
      <c r="AJ58" s="15"/>
      <c r="AK58" s="15"/>
      <c r="AL58" s="15"/>
    </row>
    <row r="59" spans="2:40" ht="12.75" customHeight="1">
      <c r="B59" s="77"/>
      <c r="C59" s="77"/>
      <c r="D59" s="77"/>
      <c r="E59" s="77"/>
      <c r="F59" s="77"/>
      <c r="G59" s="77"/>
      <c r="H59" s="77"/>
      <c r="I59" s="77"/>
      <c r="J59" s="77"/>
      <c r="K59" s="77"/>
      <c r="L59" s="93"/>
      <c r="M59" s="83"/>
      <c r="O59" s="18" t="s">
        <v>137</v>
      </c>
      <c r="P59" s="362" t="s">
        <v>150</v>
      </c>
      <c r="Q59" s="18" t="s">
        <v>110</v>
      </c>
      <c r="R59" s="14">
        <f t="shared" ref="R59:AJ59" si="36">R49/R54</f>
        <v>2.7094532631200798</v>
      </c>
      <c r="S59" s="14">
        <f t="shared" si="36"/>
        <v>3.8105151375503308</v>
      </c>
      <c r="T59" s="14">
        <f t="shared" si="36"/>
        <v>2.9090082026766737</v>
      </c>
      <c r="U59" s="14">
        <f t="shared" si="36"/>
        <v>2.173275268847588</v>
      </c>
      <c r="V59" s="14">
        <f t="shared" si="36"/>
        <v>5.2928451083904369</v>
      </c>
      <c r="W59" s="14">
        <f t="shared" si="36"/>
        <v>3.7028068244358789</v>
      </c>
      <c r="X59" s="14">
        <f t="shared" si="36"/>
        <v>2.147199370484298</v>
      </c>
      <c r="Y59" s="14">
        <f t="shared" si="36"/>
        <v>2.1051210274256187</v>
      </c>
      <c r="Z59" s="14">
        <f t="shared" si="36"/>
        <v>2.6116344303467112</v>
      </c>
      <c r="AA59" s="14">
        <f t="shared" si="36"/>
        <v>3.2896229802513428</v>
      </c>
      <c r="AB59" s="14">
        <f t="shared" si="36"/>
        <v>3.8865571476975918</v>
      </c>
      <c r="AC59" s="14">
        <f t="shared" si="36"/>
        <v>3.0416849320527608</v>
      </c>
      <c r="AD59" s="14">
        <f t="shared" si="36"/>
        <v>2.1556610930457949</v>
      </c>
      <c r="AE59" s="14">
        <f t="shared" si="36"/>
        <v>4.4577416576831155</v>
      </c>
      <c r="AF59" s="14">
        <f t="shared" si="36"/>
        <v>2.222652558024595</v>
      </c>
      <c r="AG59" s="14">
        <f t="shared" si="36"/>
        <v>2.675769303978166</v>
      </c>
      <c r="AH59" s="14">
        <f t="shared" si="36"/>
        <v>2.5357566982679574</v>
      </c>
      <c r="AI59" s="14">
        <f t="shared" si="36"/>
        <v>1.8533765253056411</v>
      </c>
      <c r="AJ59" s="14">
        <f t="shared" si="36"/>
        <v>3.0783353999434349</v>
      </c>
      <c r="AK59" s="14">
        <f>AK49/AK54</f>
        <v>1.5962196990825315</v>
      </c>
      <c r="AL59" s="14">
        <f t="shared" ref="AL59" si="37">AL49/AL54</f>
        <v>3.0743081721882493</v>
      </c>
    </row>
    <row r="60" spans="2:40" ht="12.75" customHeight="1">
      <c r="B60" s="77"/>
      <c r="C60" s="77"/>
      <c r="D60" s="77"/>
      <c r="E60" s="77"/>
      <c r="F60" s="77"/>
      <c r="G60" s="77"/>
      <c r="H60" s="77"/>
      <c r="I60" s="77"/>
      <c r="J60" s="77"/>
      <c r="K60" s="77"/>
      <c r="L60" s="103"/>
      <c r="M60" s="83"/>
      <c r="O60" s="10"/>
      <c r="P60" s="362" t="s">
        <v>35</v>
      </c>
      <c r="Q60" s="9"/>
      <c r="R60" s="14">
        <f t="shared" ref="R60:AK60" si="38">R50/R55</f>
        <v>5.734142997798001</v>
      </c>
      <c r="S60" s="14">
        <f t="shared" si="38"/>
        <v>3.8087905504132515</v>
      </c>
      <c r="T60" s="14">
        <f t="shared" si="38"/>
        <v>3.7848035730243668</v>
      </c>
      <c r="U60" s="14">
        <f t="shared" si="38"/>
        <v>3.4534878705338272</v>
      </c>
      <c r="V60" s="14">
        <f t="shared" si="38"/>
        <v>4.7748225381034048</v>
      </c>
      <c r="W60" s="14">
        <f t="shared" si="38"/>
        <v>4.0288727558829827</v>
      </c>
      <c r="X60" s="14">
        <f t="shared" si="38"/>
        <v>3.7729330073527447</v>
      </c>
      <c r="Y60" s="14">
        <f t="shared" si="38"/>
        <v>3.2298478017623458</v>
      </c>
      <c r="Z60" s="14">
        <f t="shared" si="38"/>
        <v>4.3216644725294033</v>
      </c>
      <c r="AA60" s="14">
        <f t="shared" si="38"/>
        <v>2.9889286075526162</v>
      </c>
      <c r="AB60" s="14">
        <f t="shared" si="38"/>
        <v>2.6438542033063621</v>
      </c>
      <c r="AC60" s="14">
        <f t="shared" si="38"/>
        <v>3.713000026479778</v>
      </c>
      <c r="AD60" s="14">
        <f t="shared" si="38"/>
        <v>2.9337827373017942</v>
      </c>
      <c r="AE60" s="14">
        <f t="shared" si="38"/>
        <v>3.4840737346050679</v>
      </c>
      <c r="AF60" s="14">
        <f t="shared" si="38"/>
        <v>2.9885190730437476</v>
      </c>
      <c r="AG60" s="14">
        <f t="shared" si="38"/>
        <v>4.2856868973533491</v>
      </c>
      <c r="AH60" s="14">
        <f t="shared" si="38"/>
        <v>3.6222354784714552</v>
      </c>
      <c r="AI60" s="14">
        <f t="shared" si="38"/>
        <v>2.6389634941026103</v>
      </c>
      <c r="AJ60" s="14">
        <f t="shared" si="38"/>
        <v>3.0220282044372571</v>
      </c>
      <c r="AK60" s="14">
        <f t="shared" si="38"/>
        <v>4.0624883604534743</v>
      </c>
      <c r="AL60" s="14">
        <f t="shared" ref="AL60" si="39">AL50/AL55</f>
        <v>2.6481504974363026</v>
      </c>
    </row>
    <row r="61" spans="2:40" ht="12.75" customHeight="1">
      <c r="B61" s="77"/>
      <c r="C61" s="77"/>
      <c r="D61" s="77"/>
      <c r="E61" s="77"/>
      <c r="F61" s="77"/>
      <c r="G61" s="77"/>
      <c r="H61" s="77"/>
      <c r="I61" s="77"/>
      <c r="J61" s="77"/>
      <c r="K61" s="77"/>
      <c r="L61" s="93"/>
      <c r="M61" s="83"/>
      <c r="O61" s="10"/>
      <c r="P61" s="362" t="s">
        <v>36</v>
      </c>
      <c r="Q61" s="9"/>
      <c r="R61" s="14">
        <f t="shared" ref="R61:AK61" si="40">R51/R56</f>
        <v>3.6433983556343699</v>
      </c>
      <c r="S61" s="14">
        <f t="shared" si="40"/>
        <v>2.9362126312616237</v>
      </c>
      <c r="T61" s="14">
        <f t="shared" si="40"/>
        <v>3.7795620994812356</v>
      </c>
      <c r="U61" s="14">
        <f t="shared" si="40"/>
        <v>4.0003621893223853</v>
      </c>
      <c r="V61" s="14">
        <f t="shared" si="40"/>
        <v>3.5386134868766694</v>
      </c>
      <c r="W61" s="14">
        <f t="shared" si="40"/>
        <v>2.4566110531167458</v>
      </c>
      <c r="X61" s="14">
        <f t="shared" si="40"/>
        <v>3.5958561808012703</v>
      </c>
      <c r="Y61" s="14">
        <f t="shared" si="40"/>
        <v>2.9245274073699505</v>
      </c>
      <c r="Z61" s="14">
        <f t="shared" si="40"/>
        <v>3.0084905188014468</v>
      </c>
      <c r="AA61" s="14">
        <f t="shared" si="40"/>
        <v>3.4848531801315508</v>
      </c>
      <c r="AB61" s="14">
        <f t="shared" si="40"/>
        <v>3.6666594417219529</v>
      </c>
      <c r="AC61" s="14">
        <f t="shared" si="40"/>
        <v>2.6446508762866072</v>
      </c>
      <c r="AD61" s="14">
        <f t="shared" si="40"/>
        <v>3.8293481630754922</v>
      </c>
      <c r="AE61" s="14">
        <f t="shared" si="40"/>
        <v>3.2158869154053238</v>
      </c>
      <c r="AF61" s="14">
        <f t="shared" si="40"/>
        <v>2.87813101493848</v>
      </c>
      <c r="AG61" s="14">
        <f t="shared" si="40"/>
        <v>3.7332608412423212</v>
      </c>
      <c r="AH61" s="14">
        <f t="shared" si="40"/>
        <v>2.6458747923246873</v>
      </c>
      <c r="AI61" s="14">
        <f t="shared" si="40"/>
        <v>2.6066402217029867</v>
      </c>
      <c r="AJ61" s="14">
        <f t="shared" si="40"/>
        <v>2.8431232091690566</v>
      </c>
      <c r="AK61" s="14">
        <f t="shared" si="40"/>
        <v>2.843976398058282</v>
      </c>
      <c r="AL61" s="14">
        <f t="shared" ref="AL61" si="41">AL51/AL56</f>
        <v>3.0974123946904828</v>
      </c>
    </row>
    <row r="62" spans="2:40" ht="12.75" customHeight="1">
      <c r="B62" s="77"/>
      <c r="C62" s="77"/>
      <c r="D62" s="77"/>
      <c r="E62" s="77"/>
      <c r="F62" s="77"/>
      <c r="G62" s="77"/>
      <c r="H62" s="77"/>
      <c r="I62" s="77"/>
      <c r="J62" s="77"/>
      <c r="K62" s="77"/>
      <c r="L62" s="93"/>
      <c r="M62" s="83"/>
      <c r="O62" s="10"/>
      <c r="P62" s="362" t="s">
        <v>26</v>
      </c>
      <c r="Q62" s="9"/>
      <c r="R62" s="14">
        <f t="shared" ref="R62:AK62" si="42">R52/R57</f>
        <v>5.3651007434543763</v>
      </c>
      <c r="S62" s="14">
        <f t="shared" si="42"/>
        <v>7.5247590297637874</v>
      </c>
      <c r="T62" s="14">
        <f t="shared" si="42"/>
        <v>3.9105551211884277</v>
      </c>
      <c r="U62" s="14">
        <f t="shared" si="42"/>
        <v>2.9181419334975383</v>
      </c>
      <c r="V62" s="14">
        <f t="shared" si="42"/>
        <v>8.8161354950586546</v>
      </c>
      <c r="W62" s="14">
        <f t="shared" si="42"/>
        <v>3.8577599046767999</v>
      </c>
      <c r="X62" s="14">
        <f t="shared" si="42"/>
        <v>3.833049154771778</v>
      </c>
      <c r="Y62" s="14">
        <f t="shared" si="42"/>
        <v>2.7766570179919459</v>
      </c>
      <c r="Z62" s="14">
        <f t="shared" si="42"/>
        <v>6.4379173336234148</v>
      </c>
      <c r="AA62" s="14">
        <f t="shared" si="42"/>
        <v>2.4951588091575401</v>
      </c>
      <c r="AB62" s="14">
        <f t="shared" si="42"/>
        <v>2.2631935342944542</v>
      </c>
      <c r="AC62" s="14">
        <f t="shared" si="42"/>
        <v>6.4245996441281079</v>
      </c>
      <c r="AD62" s="14">
        <f t="shared" si="42"/>
        <v>2.9157180675049545</v>
      </c>
      <c r="AE62" s="14">
        <f t="shared" si="42"/>
        <v>3.8011304573804607</v>
      </c>
      <c r="AF62" s="14">
        <f t="shared" si="42"/>
        <v>3.6762055155434425</v>
      </c>
      <c r="AG62" s="14">
        <f t="shared" si="42"/>
        <v>2.6293704600484151</v>
      </c>
      <c r="AH62" s="14">
        <f t="shared" si="42"/>
        <v>3.6164399461442183</v>
      </c>
      <c r="AI62" s="14">
        <f t="shared" si="42"/>
        <v>7.0151704073150318</v>
      </c>
      <c r="AJ62" s="14">
        <f t="shared" si="42"/>
        <v>5.1737558337990128</v>
      </c>
      <c r="AK62" s="14">
        <f t="shared" si="42"/>
        <v>3.5409697124764001</v>
      </c>
      <c r="AL62" s="14">
        <f t="shared" ref="AL62" si="43">AL52/AL57</f>
        <v>4.8887820118197558</v>
      </c>
    </row>
    <row r="63" spans="2:40" ht="12.75" customHeight="1">
      <c r="B63" s="77"/>
      <c r="C63" s="77"/>
      <c r="D63" s="77"/>
      <c r="E63" s="77"/>
      <c r="F63" s="77"/>
      <c r="G63" s="77"/>
      <c r="H63" s="77"/>
      <c r="I63" s="77"/>
      <c r="J63" s="77"/>
      <c r="K63" s="77"/>
      <c r="L63" s="103"/>
      <c r="M63" s="83"/>
      <c r="O63" s="289"/>
      <c r="P63" s="289"/>
      <c r="Q63" s="290"/>
      <c r="Y63" s="11"/>
      <c r="Z63" s="11"/>
      <c r="AA63" s="11"/>
      <c r="AB63" s="11"/>
      <c r="AC63" s="11"/>
      <c r="AD63" s="11"/>
      <c r="AE63" s="11"/>
      <c r="AF63" s="11"/>
      <c r="AG63" s="11"/>
      <c r="AH63" s="11"/>
      <c r="AI63" s="11"/>
      <c r="AJ63" s="11"/>
      <c r="AK63" s="8"/>
    </row>
    <row r="64" spans="2:40" ht="12.75" customHeight="1">
      <c r="B64" s="77"/>
      <c r="C64" s="77"/>
      <c r="D64" s="77"/>
      <c r="E64" s="77"/>
      <c r="F64" s="77"/>
      <c r="G64" s="77"/>
      <c r="H64" s="77"/>
      <c r="I64" s="77"/>
      <c r="J64" s="77"/>
      <c r="K64" s="77"/>
      <c r="L64" s="93"/>
      <c r="M64" s="83"/>
      <c r="O64" s="289" t="s">
        <v>140</v>
      </c>
      <c r="P64" s="289" t="s">
        <v>101</v>
      </c>
      <c r="Q64" s="232"/>
      <c r="R64" s="9"/>
      <c r="S64" s="9"/>
      <c r="T64" s="9"/>
      <c r="U64" s="9"/>
      <c r="V64" s="9"/>
      <c r="W64" s="9"/>
      <c r="X64" s="9"/>
      <c r="Y64" s="9"/>
      <c r="Z64" s="9"/>
      <c r="AA64" s="9"/>
      <c r="AB64" s="9"/>
      <c r="AC64" s="9"/>
      <c r="AD64" s="9"/>
      <c r="AE64" s="9"/>
      <c r="AF64" s="9"/>
      <c r="AG64" s="9"/>
      <c r="AH64" s="9"/>
      <c r="AI64" s="9"/>
      <c r="AL64" s="8"/>
    </row>
    <row r="65" spans="2:38" ht="12.75" customHeight="1">
      <c r="B65" s="77"/>
      <c r="C65" s="77"/>
      <c r="D65" s="77"/>
      <c r="E65" s="77"/>
      <c r="F65" s="77"/>
      <c r="G65" s="77"/>
      <c r="H65" s="77"/>
      <c r="I65" s="77"/>
      <c r="J65" s="77"/>
      <c r="K65" s="77"/>
      <c r="L65" s="103"/>
      <c r="M65" s="83"/>
      <c r="O65" s="289"/>
      <c r="P65" s="576" t="s">
        <v>663</v>
      </c>
      <c r="R65" s="8"/>
      <c r="S65" s="8"/>
      <c r="T65" s="8"/>
      <c r="U65" s="8"/>
      <c r="V65" s="8"/>
      <c r="W65" s="8"/>
      <c r="X65" s="8"/>
      <c r="Y65" s="8"/>
      <c r="Z65" s="8"/>
      <c r="AA65" s="8"/>
      <c r="AB65" s="8"/>
      <c r="AC65" s="8"/>
      <c r="AD65" s="8"/>
      <c r="AE65" s="8"/>
      <c r="AF65" s="8"/>
      <c r="AG65" s="8"/>
      <c r="AH65" s="8"/>
      <c r="AI65" s="8"/>
      <c r="AJ65" s="8"/>
      <c r="AK65" s="8"/>
      <c r="AL65" s="8"/>
    </row>
    <row r="66" spans="2:38" ht="12.75" customHeight="1">
      <c r="B66" s="77"/>
      <c r="C66" s="77"/>
      <c r="D66" s="77"/>
      <c r="E66" s="77"/>
      <c r="F66" s="77"/>
      <c r="G66" s="77"/>
      <c r="H66" s="77"/>
      <c r="I66" s="77"/>
      <c r="J66" s="77"/>
      <c r="K66" s="77"/>
      <c r="L66" s="93"/>
      <c r="M66" s="83"/>
      <c r="O66" s="575" t="s">
        <v>141</v>
      </c>
      <c r="P66" s="577" t="s">
        <v>144</v>
      </c>
      <c r="Q66" s="471"/>
      <c r="R66" s="471"/>
      <c r="S66" s="471"/>
      <c r="T66" s="471"/>
      <c r="U66" s="471"/>
      <c r="V66" s="471"/>
      <c r="W66" s="471"/>
      <c r="X66" s="471"/>
      <c r="Y66" s="471"/>
      <c r="Z66" s="471"/>
      <c r="AA66" s="471"/>
      <c r="AB66" s="471"/>
      <c r="AC66" s="471"/>
      <c r="AD66" s="471"/>
      <c r="AE66" s="471"/>
      <c r="AF66" s="471"/>
      <c r="AG66" s="471"/>
      <c r="AH66" s="471"/>
      <c r="AI66" s="471"/>
      <c r="AJ66" s="471"/>
      <c r="AK66" s="471"/>
      <c r="AL66" s="471"/>
    </row>
    <row r="67" spans="2:38" ht="12.75" customHeight="1">
      <c r="B67" s="77"/>
      <c r="C67" s="77"/>
      <c r="D67" s="77"/>
      <c r="E67" s="77"/>
      <c r="F67" s="77"/>
      <c r="G67" s="77"/>
      <c r="H67" s="77"/>
      <c r="I67" s="77"/>
      <c r="J67" s="77"/>
      <c r="K67" s="77"/>
      <c r="L67" s="93"/>
      <c r="M67" s="83"/>
      <c r="P67" s="9"/>
      <c r="Q67" s="9"/>
      <c r="R67" s="9"/>
      <c r="S67" s="9"/>
      <c r="T67" s="9"/>
      <c r="U67" s="9"/>
      <c r="V67" s="9"/>
      <c r="W67" s="9"/>
      <c r="X67" s="9"/>
      <c r="Y67" s="9"/>
      <c r="Z67" s="9"/>
      <c r="AA67" s="9"/>
      <c r="AB67" s="9"/>
      <c r="AC67" s="9"/>
      <c r="AD67" s="9"/>
      <c r="AE67" s="9"/>
      <c r="AF67" s="9"/>
      <c r="AG67" s="9"/>
      <c r="AH67" s="9"/>
      <c r="AI67" s="9"/>
    </row>
    <row r="68" spans="2:38" ht="12.75" customHeight="1">
      <c r="B68" s="77"/>
      <c r="C68" s="77"/>
      <c r="D68" s="77"/>
      <c r="E68" s="77"/>
      <c r="F68" s="77"/>
      <c r="G68" s="77"/>
      <c r="H68" s="77"/>
      <c r="I68" s="77"/>
      <c r="J68" s="77"/>
      <c r="K68" s="77"/>
      <c r="L68" s="103"/>
      <c r="M68" s="83"/>
      <c r="O68" s="9"/>
      <c r="Y68" s="11"/>
      <c r="AJ68" s="10"/>
    </row>
    <row r="69" spans="2:38" ht="12.75" customHeight="1">
      <c r="B69" s="77"/>
      <c r="C69" s="77"/>
      <c r="D69" s="77"/>
      <c r="E69" s="77"/>
      <c r="F69" s="77"/>
      <c r="G69" s="77"/>
      <c r="H69" s="77"/>
      <c r="I69" s="77"/>
      <c r="J69" s="77"/>
      <c r="K69" s="77"/>
      <c r="L69" s="93"/>
      <c r="M69" s="83"/>
      <c r="O69" s="9"/>
      <c r="Y69" s="11"/>
      <c r="AJ69" s="10"/>
    </row>
    <row r="70" spans="2:38" ht="12.75" customHeight="1">
      <c r="B70" s="77"/>
      <c r="C70" s="77"/>
      <c r="D70" s="77"/>
      <c r="E70" s="77"/>
      <c r="F70" s="77"/>
      <c r="G70" s="77"/>
      <c r="H70" s="77"/>
      <c r="I70" s="77"/>
      <c r="J70" s="77"/>
      <c r="K70" s="77"/>
      <c r="L70" s="103"/>
      <c r="M70" s="83"/>
      <c r="Y70" s="11"/>
      <c r="AJ70" s="10"/>
    </row>
    <row r="71" spans="2:38" ht="12.75" customHeight="1">
      <c r="B71" s="77"/>
      <c r="C71" s="77"/>
      <c r="D71" s="77"/>
      <c r="E71" s="77"/>
      <c r="F71" s="77"/>
      <c r="G71" s="77"/>
      <c r="H71" s="77"/>
      <c r="I71" s="77"/>
      <c r="J71" s="77"/>
      <c r="K71" s="77"/>
      <c r="L71" s="93"/>
      <c r="M71" s="83"/>
      <c r="Y71" s="11"/>
      <c r="AJ71" s="10"/>
    </row>
    <row r="72" spans="2:38" ht="12.75" customHeight="1">
      <c r="B72" s="77"/>
      <c r="C72" s="77"/>
      <c r="D72" s="77"/>
      <c r="E72" s="77"/>
      <c r="F72" s="77"/>
      <c r="G72" s="77"/>
      <c r="H72" s="77"/>
      <c r="I72" s="77"/>
      <c r="J72" s="77"/>
      <c r="K72" s="77"/>
      <c r="L72" s="103"/>
      <c r="M72" s="83"/>
      <c r="Y72" s="11"/>
      <c r="AJ72" s="10"/>
    </row>
    <row r="73" spans="2:38" ht="12.75" customHeight="1">
      <c r="B73" s="77"/>
      <c r="C73" s="78" t="s">
        <v>99</v>
      </c>
      <c r="D73" s="78" t="s">
        <v>101</v>
      </c>
      <c r="E73" s="79"/>
      <c r="F73" s="79"/>
      <c r="G73" s="77"/>
      <c r="H73" s="77"/>
      <c r="I73" s="77"/>
      <c r="J73" s="77"/>
      <c r="K73" s="77"/>
      <c r="L73" s="103"/>
      <c r="M73" s="83"/>
      <c r="Y73" s="11"/>
      <c r="AJ73" s="10"/>
    </row>
    <row r="74" spans="2:38" ht="12.75" customHeight="1">
      <c r="B74" s="77"/>
      <c r="C74" s="77"/>
      <c r="D74" s="78" t="s">
        <v>432</v>
      </c>
      <c r="E74" s="77"/>
      <c r="F74" s="77"/>
      <c r="G74" s="77"/>
      <c r="H74" s="77"/>
      <c r="I74" s="77"/>
      <c r="J74" s="77"/>
      <c r="K74" s="77"/>
      <c r="L74" s="103"/>
      <c r="M74" s="83"/>
    </row>
    <row r="75" spans="2:38" ht="12.75" customHeight="1">
      <c r="B75" s="77"/>
      <c r="C75" s="78" t="s">
        <v>644</v>
      </c>
      <c r="D75" s="77"/>
      <c r="E75" s="77"/>
      <c r="F75" s="77"/>
      <c r="G75" s="77"/>
      <c r="H75" s="77"/>
      <c r="I75" s="77"/>
      <c r="J75" s="77"/>
      <c r="K75" s="77"/>
      <c r="L75" s="103"/>
      <c r="M75" s="83"/>
    </row>
    <row r="76" spans="2:38" ht="12.75" customHeight="1">
      <c r="B76" s="77"/>
      <c r="C76" s="77"/>
      <c r="D76" s="77"/>
      <c r="E76" s="77"/>
      <c r="F76" s="77"/>
      <c r="G76" s="77"/>
      <c r="H76" s="77"/>
      <c r="I76" s="77"/>
      <c r="J76" s="77"/>
      <c r="K76" s="77"/>
      <c r="L76" s="103"/>
      <c r="M76" s="83"/>
    </row>
    <row r="77" spans="2:38" ht="12.75" customHeight="1">
      <c r="C77" s="8"/>
      <c r="D77" s="8"/>
      <c r="E77" s="8"/>
      <c r="F77" s="8"/>
      <c r="G77" s="8"/>
      <c r="H77" s="8"/>
      <c r="I77" s="8"/>
      <c r="J77" s="8"/>
      <c r="K77" s="8"/>
    </row>
    <row r="78" spans="2:38" ht="12.75" customHeight="1">
      <c r="C78" s="8"/>
      <c r="D78" s="8"/>
      <c r="E78" s="8"/>
      <c r="F78" s="8"/>
      <c r="G78" s="8"/>
      <c r="H78" s="8"/>
      <c r="I78" s="8"/>
      <c r="J78" s="8"/>
      <c r="K78" s="8"/>
    </row>
    <row r="79" spans="2:38" ht="12.75" customHeight="1">
      <c r="C79" s="8"/>
      <c r="D79" s="8"/>
      <c r="E79" s="8"/>
      <c r="F79" s="8"/>
      <c r="G79" s="8"/>
      <c r="H79" s="8"/>
      <c r="I79" s="8"/>
      <c r="J79" s="8"/>
      <c r="K79" s="8"/>
    </row>
    <row r="80" spans="2:38" ht="12.75" customHeight="1">
      <c r="C80" s="8"/>
      <c r="D80" s="8"/>
      <c r="E80" s="8"/>
      <c r="F80" s="8"/>
      <c r="G80" s="8"/>
      <c r="H80" s="8"/>
      <c r="I80" s="8"/>
      <c r="J80" s="8"/>
      <c r="K80" s="8"/>
    </row>
    <row r="81" spans="3:11" ht="12.75" customHeight="1">
      <c r="C81" s="8"/>
      <c r="D81" s="8"/>
      <c r="E81" s="8"/>
      <c r="F81" s="8"/>
      <c r="G81" s="8"/>
      <c r="H81" s="8"/>
      <c r="I81" s="8"/>
      <c r="J81" s="8"/>
      <c r="K81" s="8"/>
    </row>
    <row r="82" spans="3:11" ht="12.75" customHeight="1">
      <c r="C82" s="8"/>
      <c r="D82" s="8"/>
      <c r="E82" s="8"/>
      <c r="F82" s="8"/>
      <c r="G82" s="8"/>
      <c r="H82" s="8"/>
      <c r="I82" s="8"/>
      <c r="J82" s="8"/>
      <c r="K82" s="8"/>
    </row>
    <row r="83" spans="3:11" ht="12.75" customHeight="1">
      <c r="C83" s="8"/>
      <c r="D83" s="8"/>
      <c r="E83" s="8"/>
      <c r="F83" s="8"/>
      <c r="G83" s="8"/>
      <c r="H83" s="8"/>
      <c r="I83" s="8"/>
      <c r="J83" s="8"/>
      <c r="K83" s="8"/>
    </row>
    <row r="84" spans="3:11" ht="12.75" customHeight="1">
      <c r="C84" s="8"/>
      <c r="D84" s="8"/>
      <c r="E84" s="8"/>
      <c r="F84" s="8"/>
      <c r="G84" s="8"/>
      <c r="H84" s="8"/>
      <c r="I84" s="8"/>
      <c r="J84" s="8"/>
      <c r="K84" s="8"/>
    </row>
  </sheetData>
  <mergeCells count="1">
    <mergeCell ref="C4:M4"/>
  </mergeCells>
  <hyperlinks>
    <hyperlink ref="O1" location="'Key findings'!A1" display="Back to Key Findings" xr:uid="{00000000-0004-0000-0500-000000000000}"/>
  </hyperlinks>
  <pageMargins left="0.19685039370078741" right="0.19685039370078741" top="0.19685039370078741" bottom="0.19685039370078741" header="0.31496062992125984" footer="0.31496062992125984"/>
  <pageSetup paperSize="9" scale="55"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J159"/>
  <sheetViews>
    <sheetView showGridLines="0" zoomScaleNormal="100" workbookViewId="0">
      <selection activeCell="L43" sqref="L43"/>
    </sheetView>
  </sheetViews>
  <sheetFormatPr defaultRowHeight="12.75"/>
  <cols>
    <col min="1" max="1" width="4.7109375" style="12" customWidth="1"/>
    <col min="2" max="2" width="2" style="12" customWidth="1"/>
    <col min="3" max="3" width="8" style="12" customWidth="1"/>
    <col min="4" max="8" width="9.140625" style="12"/>
    <col min="9" max="9" width="16" style="12" customWidth="1"/>
    <col min="10" max="10" width="15.5703125" style="12" customWidth="1"/>
    <col min="11" max="11" width="7.5703125" style="12" customWidth="1"/>
    <col min="12" max="12" width="14.7109375" style="12" customWidth="1"/>
    <col min="13" max="13" width="13.5703125" style="12" customWidth="1"/>
    <col min="14" max="14" width="9.140625" style="12" customWidth="1"/>
    <col min="15" max="15" width="9.5703125" style="12" customWidth="1"/>
    <col min="16" max="22" width="6.7109375" style="12" customWidth="1"/>
    <col min="23" max="23" width="6.85546875" style="12" customWidth="1"/>
    <col min="24" max="24" width="6.28515625" style="12" customWidth="1"/>
    <col min="25" max="26" width="6.5703125" style="12" customWidth="1"/>
    <col min="27" max="16384" width="9.140625" style="12"/>
  </cols>
  <sheetData>
    <row r="1" spans="2:26">
      <c r="M1" s="126" t="s">
        <v>371</v>
      </c>
    </row>
    <row r="2" spans="2:26" ht="23.25">
      <c r="C2" s="115" t="s">
        <v>152</v>
      </c>
      <c r="M2" s="126" t="s">
        <v>357</v>
      </c>
    </row>
    <row r="3" spans="2:26" ht="17.25" customHeight="1">
      <c r="C3" s="115"/>
      <c r="M3" s="126" t="s">
        <v>358</v>
      </c>
    </row>
    <row r="4" spans="2:26" ht="66" customHeight="1">
      <c r="C4" s="656" t="s">
        <v>520</v>
      </c>
      <c r="D4" s="658"/>
      <c r="E4" s="658"/>
      <c r="F4" s="658"/>
      <c r="G4" s="658"/>
      <c r="H4" s="658"/>
      <c r="I4" s="658"/>
      <c r="J4" s="658"/>
      <c r="K4" s="658"/>
    </row>
    <row r="6" spans="2:26">
      <c r="B6" s="70"/>
      <c r="C6" s="70"/>
      <c r="D6" s="70"/>
      <c r="E6" s="70"/>
      <c r="F6" s="70"/>
      <c r="G6" s="70"/>
      <c r="H6" s="70"/>
      <c r="I6" s="70"/>
      <c r="J6" s="70"/>
      <c r="K6" s="70"/>
      <c r="M6" s="669" t="s">
        <v>527</v>
      </c>
      <c r="N6" s="658"/>
      <c r="O6" s="658"/>
      <c r="P6" s="658"/>
      <c r="Q6" s="658"/>
      <c r="R6" s="658"/>
      <c r="S6" s="658"/>
      <c r="T6" s="658"/>
      <c r="U6" s="658"/>
      <c r="V6" s="658"/>
      <c r="W6" s="658"/>
      <c r="X6" s="658"/>
      <c r="Y6" s="658"/>
      <c r="Z6" s="658"/>
    </row>
    <row r="7" spans="2:26" ht="15">
      <c r="B7" s="70"/>
      <c r="C7" s="91" t="s">
        <v>522</v>
      </c>
      <c r="D7" s="70"/>
      <c r="E7" s="70"/>
      <c r="F7" s="70"/>
      <c r="G7" s="70"/>
      <c r="H7" s="70"/>
      <c r="I7" s="70"/>
      <c r="J7" s="70"/>
      <c r="K7" s="70"/>
      <c r="M7" s="658"/>
      <c r="N7" s="658"/>
      <c r="O7" s="658"/>
      <c r="P7" s="658"/>
      <c r="Q7" s="658"/>
      <c r="R7" s="658"/>
      <c r="S7" s="658"/>
      <c r="T7" s="658"/>
      <c r="U7" s="658"/>
      <c r="V7" s="658"/>
      <c r="W7" s="658"/>
      <c r="X7" s="658"/>
      <c r="Y7" s="658"/>
      <c r="Z7" s="658"/>
    </row>
    <row r="8" spans="2:26">
      <c r="B8" s="70"/>
      <c r="C8" s="70"/>
      <c r="D8" s="70"/>
      <c r="E8" s="70"/>
      <c r="F8" s="70"/>
      <c r="G8" s="70"/>
      <c r="H8" s="70"/>
      <c r="I8" s="70"/>
      <c r="J8" s="70"/>
      <c r="K8" s="70"/>
      <c r="N8" s="11"/>
      <c r="O8" s="11"/>
      <c r="P8" s="11"/>
      <c r="Q8" s="11"/>
      <c r="R8" s="11"/>
      <c r="S8" s="11"/>
      <c r="T8" s="10"/>
      <c r="U8" s="10"/>
      <c r="V8" s="10"/>
      <c r="W8" s="10"/>
      <c r="X8" s="10"/>
      <c r="Y8" s="10"/>
    </row>
    <row r="9" spans="2:26">
      <c r="B9" s="70"/>
      <c r="C9" s="70"/>
      <c r="D9" s="70"/>
      <c r="E9" s="70"/>
      <c r="F9" s="70"/>
      <c r="G9" s="70"/>
      <c r="H9" s="70"/>
      <c r="I9" s="70"/>
      <c r="J9" s="70"/>
      <c r="K9" s="70"/>
      <c r="M9" s="13" t="s">
        <v>1</v>
      </c>
      <c r="N9" s="13" t="s">
        <v>38</v>
      </c>
      <c r="O9" s="13"/>
      <c r="P9" s="13">
        <v>2007</v>
      </c>
      <c r="Q9" s="13">
        <v>2008</v>
      </c>
      <c r="R9" s="13">
        <v>2009</v>
      </c>
      <c r="S9" s="13">
        <v>2010</v>
      </c>
      <c r="T9" s="13">
        <v>2011</v>
      </c>
      <c r="U9" s="13">
        <v>2012</v>
      </c>
      <c r="V9" s="13">
        <v>2013</v>
      </c>
      <c r="W9" s="13">
        <v>2014</v>
      </c>
      <c r="X9" s="13">
        <v>2015</v>
      </c>
      <c r="Y9" s="13">
        <v>2016</v>
      </c>
    </row>
    <row r="10" spans="2:26" ht="12.75" customHeight="1">
      <c r="B10" s="70"/>
      <c r="C10" s="70"/>
      <c r="D10" s="70"/>
      <c r="E10" s="70"/>
      <c r="F10" s="70"/>
      <c r="G10" s="70"/>
      <c r="H10" s="70"/>
      <c r="I10" s="70"/>
      <c r="J10" s="70"/>
      <c r="K10" s="70"/>
      <c r="M10" s="24"/>
      <c r="N10" s="11"/>
      <c r="O10" s="24"/>
      <c r="P10" s="24"/>
      <c r="Q10" s="24"/>
      <c r="R10" s="24"/>
      <c r="S10" s="24"/>
      <c r="T10" s="24"/>
      <c r="U10" s="24"/>
      <c r="V10" s="24"/>
      <c r="W10" s="24"/>
      <c r="X10" s="24"/>
      <c r="Y10" s="24"/>
    </row>
    <row r="11" spans="2:26">
      <c r="B11" s="70"/>
      <c r="C11" s="70"/>
      <c r="D11" s="70"/>
      <c r="E11" s="70"/>
      <c r="F11" s="70"/>
      <c r="G11" s="70"/>
      <c r="H11" s="70"/>
      <c r="I11" s="70"/>
      <c r="J11" s="70"/>
      <c r="K11" s="70"/>
      <c r="M11" s="52" t="s">
        <v>0</v>
      </c>
      <c r="N11" s="18">
        <v>1</v>
      </c>
      <c r="O11" s="25" t="s">
        <v>21</v>
      </c>
      <c r="P11" s="11">
        <f t="shared" ref="P11:Y11" si="0">VLOOKUP(P$9&amp;"AllSex"&amp;"AllEth"&amp;19&amp;1,deptable,7,FALSE)</f>
        <v>69</v>
      </c>
      <c r="Q11" s="11">
        <f t="shared" si="0"/>
        <v>83</v>
      </c>
      <c r="R11" s="11">
        <f t="shared" si="0"/>
        <v>74</v>
      </c>
      <c r="S11" s="11">
        <f t="shared" si="0"/>
        <v>90</v>
      </c>
      <c r="T11" s="11">
        <f t="shared" si="0"/>
        <v>75</v>
      </c>
      <c r="U11" s="11">
        <f t="shared" si="0"/>
        <v>52</v>
      </c>
      <c r="V11" s="11">
        <f t="shared" si="0"/>
        <v>72</v>
      </c>
      <c r="W11" s="11">
        <f t="shared" si="0"/>
        <v>63</v>
      </c>
      <c r="X11" s="11">
        <f t="shared" si="0"/>
        <v>81</v>
      </c>
      <c r="Y11" s="11">
        <f t="shared" si="0"/>
        <v>72</v>
      </c>
    </row>
    <row r="12" spans="2:26">
      <c r="B12" s="70"/>
      <c r="C12" s="70"/>
      <c r="D12" s="70"/>
      <c r="E12" s="70"/>
      <c r="F12" s="70"/>
      <c r="G12" s="70"/>
      <c r="H12" s="70"/>
      <c r="I12" s="70"/>
      <c r="J12" s="70"/>
      <c r="K12" s="70"/>
      <c r="M12" s="11"/>
      <c r="N12" s="19">
        <v>2</v>
      </c>
      <c r="O12" s="24"/>
      <c r="P12" s="11">
        <f t="shared" ref="P12:Y12" si="1">VLOOKUP(P$9&amp;"AllSex"&amp;"AllEth"&amp;19&amp;2,deptable,7,FALSE)</f>
        <v>74</v>
      </c>
      <c r="Q12" s="11">
        <f t="shared" si="1"/>
        <v>85</v>
      </c>
      <c r="R12" s="11">
        <f t="shared" si="1"/>
        <v>89</v>
      </c>
      <c r="S12" s="11">
        <f t="shared" si="1"/>
        <v>88</v>
      </c>
      <c r="T12" s="11">
        <f t="shared" si="1"/>
        <v>76</v>
      </c>
      <c r="U12" s="11">
        <f t="shared" si="1"/>
        <v>87</v>
      </c>
      <c r="V12" s="11">
        <f t="shared" si="1"/>
        <v>83</v>
      </c>
      <c r="W12" s="11">
        <f t="shared" si="1"/>
        <v>72</v>
      </c>
      <c r="X12" s="11">
        <f t="shared" si="1"/>
        <v>94</v>
      </c>
      <c r="Y12" s="11">
        <f t="shared" si="1"/>
        <v>71</v>
      </c>
    </row>
    <row r="13" spans="2:26">
      <c r="B13" s="70"/>
      <c r="C13" s="70"/>
      <c r="D13" s="70"/>
      <c r="E13" s="70"/>
      <c r="F13" s="70"/>
      <c r="G13" s="70"/>
      <c r="H13" s="70"/>
      <c r="I13" s="70"/>
      <c r="J13" s="70"/>
      <c r="K13" s="70"/>
      <c r="M13" s="11"/>
      <c r="N13" s="18">
        <v>3</v>
      </c>
      <c r="O13" s="24"/>
      <c r="P13" s="11">
        <f t="shared" ref="P13:Y13" si="2">VLOOKUP(P$9&amp;"AllSex"&amp;"AllEth"&amp;19&amp;3,deptable,7,FALSE)</f>
        <v>106</v>
      </c>
      <c r="Q13" s="11">
        <f t="shared" si="2"/>
        <v>105</v>
      </c>
      <c r="R13" s="11">
        <f t="shared" si="2"/>
        <v>87</v>
      </c>
      <c r="S13" s="11">
        <f t="shared" si="2"/>
        <v>98</v>
      </c>
      <c r="T13" s="11">
        <f t="shared" si="2"/>
        <v>104</v>
      </c>
      <c r="U13" s="11">
        <f t="shared" si="2"/>
        <v>117</v>
      </c>
      <c r="V13" s="11">
        <f t="shared" si="2"/>
        <v>97</v>
      </c>
      <c r="W13" s="11">
        <f t="shared" si="2"/>
        <v>94</v>
      </c>
      <c r="X13" s="11">
        <f t="shared" si="2"/>
        <v>91</v>
      </c>
      <c r="Y13" s="11">
        <f t="shared" si="2"/>
        <v>107</v>
      </c>
    </row>
    <row r="14" spans="2:26">
      <c r="B14" s="70"/>
      <c r="C14" s="70"/>
      <c r="D14" s="70"/>
      <c r="E14" s="70"/>
      <c r="F14" s="70"/>
      <c r="G14" s="70"/>
      <c r="H14" s="70"/>
      <c r="I14" s="70"/>
      <c r="J14" s="70"/>
      <c r="K14" s="70"/>
      <c r="M14" s="11"/>
      <c r="N14" s="19">
        <v>4</v>
      </c>
      <c r="O14" s="24"/>
      <c r="P14" s="11">
        <f t="shared" ref="P14:Y14" si="3">VLOOKUP(P$9&amp;"AllSex"&amp;"AllEth"&amp;19&amp;4,deptable,7,FALSE)</f>
        <v>109</v>
      </c>
      <c r="Q14" s="11">
        <f t="shared" si="3"/>
        <v>101</v>
      </c>
      <c r="R14" s="11">
        <f t="shared" si="3"/>
        <v>129</v>
      </c>
      <c r="S14" s="11">
        <f t="shared" si="3"/>
        <v>115</v>
      </c>
      <c r="T14" s="11">
        <f t="shared" si="3"/>
        <v>89</v>
      </c>
      <c r="U14" s="11">
        <f t="shared" si="3"/>
        <v>136</v>
      </c>
      <c r="V14" s="11">
        <f t="shared" si="3"/>
        <v>99</v>
      </c>
      <c r="W14" s="11">
        <f t="shared" si="3"/>
        <v>120</v>
      </c>
      <c r="X14" s="11">
        <f t="shared" si="3"/>
        <v>119</v>
      </c>
      <c r="Y14" s="11">
        <f t="shared" si="3"/>
        <v>155</v>
      </c>
    </row>
    <row r="15" spans="2:26">
      <c r="B15" s="70"/>
      <c r="C15" s="70"/>
      <c r="D15" s="70"/>
      <c r="E15" s="70"/>
      <c r="F15" s="70"/>
      <c r="G15" s="70"/>
      <c r="H15" s="70"/>
      <c r="I15" s="70"/>
      <c r="J15" s="70"/>
      <c r="K15" s="70"/>
      <c r="M15" s="11"/>
      <c r="N15" s="19">
        <v>5</v>
      </c>
      <c r="O15" s="24"/>
      <c r="P15" s="11">
        <f t="shared" ref="P15:Y15" si="4">VLOOKUP(P$9&amp;"AllSex"&amp;"AllEth"&amp;19&amp;5,deptable,7,FALSE)</f>
        <v>121</v>
      </c>
      <c r="Q15" s="11">
        <f t="shared" si="4"/>
        <v>119</v>
      </c>
      <c r="R15" s="11">
        <f t="shared" si="4"/>
        <v>128</v>
      </c>
      <c r="S15" s="11">
        <f t="shared" si="4"/>
        <v>125</v>
      </c>
      <c r="T15" s="11">
        <f t="shared" si="4"/>
        <v>137</v>
      </c>
      <c r="U15" s="11">
        <f t="shared" si="4"/>
        <v>136</v>
      </c>
      <c r="V15" s="11">
        <f t="shared" si="4"/>
        <v>134</v>
      </c>
      <c r="W15" s="11">
        <f t="shared" si="4"/>
        <v>142</v>
      </c>
      <c r="X15" s="11">
        <f t="shared" si="4"/>
        <v>138</v>
      </c>
      <c r="Y15" s="11">
        <f t="shared" si="4"/>
        <v>147</v>
      </c>
    </row>
    <row r="16" spans="2:26">
      <c r="B16" s="70"/>
      <c r="C16" s="70"/>
      <c r="D16" s="70"/>
      <c r="E16" s="70"/>
      <c r="F16" s="70"/>
      <c r="G16" s="70"/>
      <c r="H16" s="70"/>
      <c r="I16" s="70"/>
      <c r="J16" s="70"/>
      <c r="K16" s="70"/>
      <c r="M16" s="24"/>
      <c r="N16" s="24" t="s">
        <v>75</v>
      </c>
      <c r="O16" s="24"/>
      <c r="P16" s="11">
        <f t="shared" ref="P16:Y16" si="5">IFERROR(VLOOKUP(P$9&amp;"AllSex"&amp;"AllEth"&amp;9,UnkDep,6,FALSE),0)</f>
        <v>22</v>
      </c>
      <c r="Q16" s="11">
        <f t="shared" si="5"/>
        <v>25</v>
      </c>
      <c r="R16" s="11">
        <f t="shared" si="5"/>
        <v>5</v>
      </c>
      <c r="S16" s="11">
        <f t="shared" si="5"/>
        <v>18</v>
      </c>
      <c r="T16" s="11">
        <f t="shared" si="5"/>
        <v>14</v>
      </c>
      <c r="U16" s="11">
        <f t="shared" si="5"/>
        <v>21</v>
      </c>
      <c r="V16" s="11">
        <f t="shared" si="5"/>
        <v>28</v>
      </c>
      <c r="W16" s="11">
        <f t="shared" si="5"/>
        <v>19</v>
      </c>
      <c r="X16" s="11">
        <f t="shared" si="5"/>
        <v>7</v>
      </c>
      <c r="Y16" s="11">
        <f t="shared" si="5"/>
        <v>2</v>
      </c>
    </row>
    <row r="17" spans="2:62">
      <c r="B17" s="70"/>
      <c r="C17" s="70"/>
      <c r="D17" s="70"/>
      <c r="E17" s="70"/>
      <c r="F17" s="70"/>
      <c r="G17" s="70"/>
      <c r="H17" s="70"/>
      <c r="I17" s="70"/>
      <c r="J17" s="70"/>
      <c r="K17" s="70"/>
      <c r="M17" s="16"/>
      <c r="N17" s="17"/>
      <c r="O17" s="26"/>
      <c r="P17" s="17"/>
      <c r="Q17" s="17"/>
      <c r="R17" s="17"/>
      <c r="S17" s="17"/>
      <c r="T17" s="17"/>
      <c r="U17" s="17"/>
      <c r="V17" s="17"/>
      <c r="W17" s="17"/>
      <c r="X17" s="17"/>
      <c r="Y17" s="17"/>
    </row>
    <row r="18" spans="2:62">
      <c r="B18" s="70"/>
      <c r="C18" s="70"/>
      <c r="D18" s="70"/>
      <c r="E18" s="70"/>
      <c r="F18" s="70"/>
      <c r="G18" s="70"/>
      <c r="H18" s="70"/>
      <c r="I18" s="70"/>
      <c r="J18" s="70"/>
      <c r="K18" s="70"/>
      <c r="M18" s="11" t="s">
        <v>20</v>
      </c>
      <c r="N18" s="18">
        <v>1</v>
      </c>
      <c r="O18" s="24" t="s">
        <v>21</v>
      </c>
      <c r="P18" s="11">
        <f t="shared" ref="P18:Y18" si="6">VLOOKUP(P$9&amp;"Male"&amp;"AllEth"&amp;19&amp;1,deptable,7,FALSE)</f>
        <v>52</v>
      </c>
      <c r="Q18" s="11">
        <f t="shared" si="6"/>
        <v>62</v>
      </c>
      <c r="R18" s="11">
        <f t="shared" si="6"/>
        <v>62</v>
      </c>
      <c r="S18" s="11">
        <f t="shared" si="6"/>
        <v>60</v>
      </c>
      <c r="T18" s="11">
        <f t="shared" si="6"/>
        <v>57</v>
      </c>
      <c r="U18" s="11">
        <f t="shared" si="6"/>
        <v>44</v>
      </c>
      <c r="V18" s="11">
        <f t="shared" si="6"/>
        <v>53</v>
      </c>
      <c r="W18" s="11">
        <f t="shared" si="6"/>
        <v>49</v>
      </c>
      <c r="X18" s="11">
        <f t="shared" si="6"/>
        <v>59</v>
      </c>
      <c r="Y18" s="11">
        <f t="shared" si="6"/>
        <v>54</v>
      </c>
    </row>
    <row r="19" spans="2:62">
      <c r="B19" s="70"/>
      <c r="C19" s="70"/>
      <c r="D19" s="70"/>
      <c r="E19" s="70"/>
      <c r="F19" s="70"/>
      <c r="G19" s="70"/>
      <c r="H19" s="70"/>
      <c r="I19" s="70"/>
      <c r="J19" s="70"/>
      <c r="K19" s="70"/>
      <c r="M19" s="11"/>
      <c r="N19" s="19">
        <v>2</v>
      </c>
      <c r="O19" s="24"/>
      <c r="P19" s="11">
        <f t="shared" ref="P19:Y19" si="7">VLOOKUP(P$9&amp;"Male"&amp;"AllEth"&amp;19&amp;2,deptable,7,FALSE)</f>
        <v>53</v>
      </c>
      <c r="Q19" s="11">
        <f t="shared" si="7"/>
        <v>61</v>
      </c>
      <c r="R19" s="11">
        <f t="shared" si="7"/>
        <v>71</v>
      </c>
      <c r="S19" s="11">
        <f t="shared" si="7"/>
        <v>61</v>
      </c>
      <c r="T19" s="11">
        <f t="shared" si="7"/>
        <v>62</v>
      </c>
      <c r="U19" s="11">
        <f t="shared" si="7"/>
        <v>63</v>
      </c>
      <c r="V19" s="11">
        <f t="shared" si="7"/>
        <v>55</v>
      </c>
      <c r="W19" s="11">
        <f t="shared" si="7"/>
        <v>49</v>
      </c>
      <c r="X19" s="11">
        <f t="shared" si="7"/>
        <v>71</v>
      </c>
      <c r="Y19" s="11">
        <f t="shared" si="7"/>
        <v>61</v>
      </c>
    </row>
    <row r="20" spans="2:62">
      <c r="B20" s="70"/>
      <c r="C20" s="78" t="s">
        <v>140</v>
      </c>
      <c r="D20" s="81" t="s">
        <v>106</v>
      </c>
      <c r="E20" s="106"/>
      <c r="F20" s="106"/>
      <c r="G20" s="106"/>
      <c r="H20" s="70"/>
      <c r="I20" s="70"/>
      <c r="J20" s="70"/>
      <c r="K20" s="70"/>
      <c r="M20" s="11"/>
      <c r="N20" s="18">
        <v>3</v>
      </c>
      <c r="O20" s="24"/>
      <c r="P20" s="11">
        <f t="shared" ref="P20:Y20" si="8">VLOOKUP(P$9&amp;"Male"&amp;"AllEth"&amp;19&amp;3,deptable,7,FALSE)</f>
        <v>81</v>
      </c>
      <c r="Q20" s="11">
        <f t="shared" si="8"/>
        <v>72</v>
      </c>
      <c r="R20" s="11">
        <f t="shared" si="8"/>
        <v>63</v>
      </c>
      <c r="S20" s="11">
        <f t="shared" si="8"/>
        <v>74</v>
      </c>
      <c r="T20" s="11">
        <f t="shared" si="8"/>
        <v>87</v>
      </c>
      <c r="U20" s="11">
        <f t="shared" si="8"/>
        <v>96</v>
      </c>
      <c r="V20" s="11">
        <f t="shared" si="8"/>
        <v>72</v>
      </c>
      <c r="W20" s="11">
        <f t="shared" si="8"/>
        <v>71</v>
      </c>
      <c r="X20" s="11">
        <f t="shared" si="8"/>
        <v>61</v>
      </c>
      <c r="Y20" s="11">
        <f t="shared" si="8"/>
        <v>71</v>
      </c>
    </row>
    <row r="21" spans="2:62">
      <c r="B21" s="70"/>
      <c r="C21" s="81"/>
      <c r="D21" s="81" t="s">
        <v>343</v>
      </c>
      <c r="E21" s="81"/>
      <c r="F21" s="81"/>
      <c r="G21" s="81"/>
      <c r="H21" s="81"/>
      <c r="I21" s="81"/>
      <c r="J21" s="81"/>
      <c r="K21" s="70"/>
      <c r="M21" s="11"/>
      <c r="N21" s="19">
        <v>4</v>
      </c>
      <c r="O21" s="24"/>
      <c r="P21" s="11">
        <f t="shared" ref="P21:Y21" si="9">VLOOKUP(P$9&amp;"Male"&amp;"AllEth"&amp;19&amp;4,deptable,7,FALSE)</f>
        <v>87</v>
      </c>
      <c r="Q21" s="11">
        <f t="shared" si="9"/>
        <v>79</v>
      </c>
      <c r="R21" s="11">
        <f t="shared" si="9"/>
        <v>95</v>
      </c>
      <c r="S21" s="11">
        <f t="shared" si="9"/>
        <v>88</v>
      </c>
      <c r="T21" s="11">
        <f t="shared" si="9"/>
        <v>66</v>
      </c>
      <c r="U21" s="11">
        <f t="shared" si="9"/>
        <v>95</v>
      </c>
      <c r="V21" s="11">
        <f t="shared" si="9"/>
        <v>76</v>
      </c>
      <c r="W21" s="11">
        <f t="shared" si="9"/>
        <v>93</v>
      </c>
      <c r="X21" s="11">
        <f t="shared" si="9"/>
        <v>90</v>
      </c>
      <c r="Y21" s="11">
        <f t="shared" si="9"/>
        <v>120</v>
      </c>
    </row>
    <row r="22" spans="2:62">
      <c r="B22" s="70"/>
      <c r="C22" s="78" t="s">
        <v>145</v>
      </c>
      <c r="D22" s="78" t="s">
        <v>144</v>
      </c>
      <c r="E22" s="78"/>
      <c r="F22" s="78"/>
      <c r="G22" s="78"/>
      <c r="H22" s="70"/>
      <c r="I22" s="70"/>
      <c r="J22" s="70"/>
      <c r="K22" s="70"/>
      <c r="M22" s="11"/>
      <c r="N22" s="19">
        <v>5</v>
      </c>
      <c r="O22" s="24"/>
      <c r="P22" s="11">
        <f t="shared" ref="P22:Y22" si="10">VLOOKUP(P$9&amp;"Male"&amp;"AllEth"&amp;19&amp;5,deptable,7,FALSE)</f>
        <v>91</v>
      </c>
      <c r="Q22" s="11">
        <f t="shared" si="10"/>
        <v>89</v>
      </c>
      <c r="R22" s="11">
        <f t="shared" si="10"/>
        <v>100</v>
      </c>
      <c r="S22" s="11">
        <f t="shared" si="10"/>
        <v>88</v>
      </c>
      <c r="T22" s="11">
        <f t="shared" si="10"/>
        <v>92</v>
      </c>
      <c r="U22" s="11">
        <f t="shared" si="10"/>
        <v>93</v>
      </c>
      <c r="V22" s="11">
        <f t="shared" si="10"/>
        <v>89</v>
      </c>
      <c r="W22" s="11">
        <f t="shared" si="10"/>
        <v>102</v>
      </c>
      <c r="X22" s="11">
        <f t="shared" si="10"/>
        <v>98</v>
      </c>
      <c r="Y22" s="11">
        <f t="shared" si="10"/>
        <v>105</v>
      </c>
    </row>
    <row r="23" spans="2:62">
      <c r="B23" s="70"/>
      <c r="C23" s="70"/>
      <c r="D23" s="70"/>
      <c r="E23" s="70"/>
      <c r="F23" s="70"/>
      <c r="G23" s="70"/>
      <c r="H23" s="70"/>
      <c r="I23" s="70"/>
      <c r="J23" s="70"/>
      <c r="K23" s="70"/>
      <c r="M23" s="11"/>
      <c r="N23" s="19" t="s">
        <v>75</v>
      </c>
      <c r="O23" s="24"/>
      <c r="P23" s="11">
        <f t="shared" ref="P23:Y23" si="11">IFERROR(VLOOKUP(P$9&amp;"Male"&amp;"AllEth"&amp;9,UnkDep,6,FALSE),0)</f>
        <v>17</v>
      </c>
      <c r="Q23" s="11">
        <f t="shared" si="11"/>
        <v>16</v>
      </c>
      <c r="R23" s="11">
        <f t="shared" si="11"/>
        <v>3</v>
      </c>
      <c r="S23" s="11">
        <f t="shared" si="11"/>
        <v>16</v>
      </c>
      <c r="T23" s="11">
        <f t="shared" si="11"/>
        <v>13</v>
      </c>
      <c r="U23" s="11">
        <f t="shared" si="11"/>
        <v>13</v>
      </c>
      <c r="V23" s="11">
        <f t="shared" si="11"/>
        <v>20</v>
      </c>
      <c r="W23" s="11">
        <f t="shared" si="11"/>
        <v>15</v>
      </c>
      <c r="X23" s="11">
        <f t="shared" si="11"/>
        <v>7</v>
      </c>
      <c r="Y23" s="11">
        <f t="shared" si="11"/>
        <v>1</v>
      </c>
    </row>
    <row r="24" spans="2:62">
      <c r="M24" s="16"/>
      <c r="N24" s="16"/>
      <c r="O24" s="26"/>
      <c r="P24" s="16"/>
      <c r="Q24" s="16"/>
      <c r="R24" s="16"/>
      <c r="S24" s="16"/>
      <c r="T24" s="16"/>
      <c r="U24" s="16"/>
      <c r="V24" s="16"/>
      <c r="W24" s="16"/>
      <c r="X24" s="16"/>
      <c r="Y24" s="16"/>
    </row>
    <row r="25" spans="2:62">
      <c r="B25" s="70"/>
      <c r="C25" s="70"/>
      <c r="D25" s="70"/>
      <c r="E25" s="70"/>
      <c r="F25" s="70"/>
      <c r="G25" s="70"/>
      <c r="H25" s="70"/>
      <c r="I25" s="70"/>
      <c r="J25" s="70"/>
      <c r="K25" s="70"/>
      <c r="M25" s="11" t="s">
        <v>8</v>
      </c>
      <c r="N25" s="18">
        <v>1</v>
      </c>
      <c r="O25" s="24" t="s">
        <v>21</v>
      </c>
      <c r="P25" s="11">
        <f t="shared" ref="P25:Y25" si="12">VLOOKUP(P$9&amp;"Female"&amp;"AllEth"&amp;19&amp;1,deptable,7,FALSE)</f>
        <v>17</v>
      </c>
      <c r="Q25" s="11">
        <f t="shared" si="12"/>
        <v>21</v>
      </c>
      <c r="R25" s="11">
        <f t="shared" si="12"/>
        <v>12</v>
      </c>
      <c r="S25" s="11">
        <f t="shared" si="12"/>
        <v>30</v>
      </c>
      <c r="T25" s="11">
        <f t="shared" si="12"/>
        <v>18</v>
      </c>
      <c r="U25" s="11">
        <f t="shared" si="12"/>
        <v>8</v>
      </c>
      <c r="V25" s="11">
        <f t="shared" si="12"/>
        <v>19</v>
      </c>
      <c r="W25" s="11">
        <f t="shared" si="12"/>
        <v>14</v>
      </c>
      <c r="X25" s="11">
        <f t="shared" si="12"/>
        <v>22</v>
      </c>
      <c r="Y25" s="11">
        <f t="shared" si="12"/>
        <v>18</v>
      </c>
    </row>
    <row r="26" spans="2:62" ht="15">
      <c r="B26" s="70"/>
      <c r="C26" s="91" t="s">
        <v>521</v>
      </c>
      <c r="D26" s="70"/>
      <c r="E26" s="70"/>
      <c r="F26" s="70"/>
      <c r="G26" s="70"/>
      <c r="H26" s="70"/>
      <c r="I26" s="70"/>
      <c r="J26" s="70"/>
      <c r="K26" s="70"/>
      <c r="M26" s="11"/>
      <c r="N26" s="19">
        <v>2</v>
      </c>
      <c r="O26" s="24"/>
      <c r="P26" s="11">
        <f t="shared" ref="P26:Y26" si="13">VLOOKUP(P$9&amp;"Female"&amp;"AllEth"&amp;19&amp;2,deptable,7,FALSE)</f>
        <v>21</v>
      </c>
      <c r="Q26" s="11">
        <f t="shared" si="13"/>
        <v>24</v>
      </c>
      <c r="R26" s="11">
        <f t="shared" si="13"/>
        <v>18</v>
      </c>
      <c r="S26" s="11">
        <f t="shared" si="13"/>
        <v>27</v>
      </c>
      <c r="T26" s="11">
        <f t="shared" si="13"/>
        <v>14</v>
      </c>
      <c r="U26" s="11">
        <f t="shared" si="13"/>
        <v>24</v>
      </c>
      <c r="V26" s="11">
        <f t="shared" si="13"/>
        <v>28</v>
      </c>
      <c r="W26" s="11">
        <f t="shared" si="13"/>
        <v>23</v>
      </c>
      <c r="X26" s="11">
        <f t="shared" si="13"/>
        <v>23</v>
      </c>
      <c r="Y26" s="11">
        <f t="shared" si="13"/>
        <v>10</v>
      </c>
      <c r="AS26" s="436"/>
      <c r="AT26" s="436"/>
      <c r="AU26" s="436"/>
      <c r="AV26" s="436"/>
      <c r="AW26" s="436"/>
      <c r="AX26" s="436"/>
      <c r="AY26" s="436"/>
      <c r="AZ26" s="436"/>
      <c r="BA26" s="436"/>
      <c r="BB26" s="436"/>
      <c r="BC26" s="436"/>
      <c r="BD26" s="436"/>
      <c r="BE26" s="436"/>
      <c r="BF26" s="436"/>
      <c r="BG26" s="436"/>
      <c r="BH26" s="436"/>
      <c r="BI26" s="436"/>
      <c r="BJ26" s="436"/>
    </row>
    <row r="27" spans="2:62">
      <c r="B27" s="70"/>
      <c r="C27" s="70"/>
      <c r="D27" s="70"/>
      <c r="E27" s="70"/>
      <c r="F27" s="70"/>
      <c r="G27" s="70"/>
      <c r="H27" s="70"/>
      <c r="I27" s="70"/>
      <c r="J27" s="70"/>
      <c r="K27" s="70"/>
      <c r="M27" s="11"/>
      <c r="N27" s="18">
        <v>3</v>
      </c>
      <c r="O27" s="24"/>
      <c r="P27" s="11">
        <f t="shared" ref="P27:Y27" si="14">VLOOKUP(P$9&amp;"Female"&amp;"AllEth"&amp;19&amp;3,deptable,7,FALSE)</f>
        <v>25</v>
      </c>
      <c r="Q27" s="11">
        <f t="shared" si="14"/>
        <v>33</v>
      </c>
      <c r="R27" s="11">
        <f t="shared" si="14"/>
        <v>24</v>
      </c>
      <c r="S27" s="11">
        <f t="shared" si="14"/>
        <v>24</v>
      </c>
      <c r="T27" s="11">
        <f t="shared" si="14"/>
        <v>17</v>
      </c>
      <c r="U27" s="11">
        <f t="shared" si="14"/>
        <v>21</v>
      </c>
      <c r="V27" s="11">
        <f t="shared" si="14"/>
        <v>25</v>
      </c>
      <c r="W27" s="11">
        <f t="shared" si="14"/>
        <v>23</v>
      </c>
      <c r="X27" s="11">
        <f t="shared" si="14"/>
        <v>30</v>
      </c>
      <c r="Y27" s="11">
        <f t="shared" si="14"/>
        <v>36</v>
      </c>
      <c r="AS27" s="436"/>
      <c r="AT27" s="436"/>
      <c r="AU27" s="436"/>
      <c r="AV27" s="436"/>
      <c r="AW27" s="436"/>
      <c r="AX27" s="436"/>
      <c r="AY27" s="436"/>
      <c r="AZ27" s="436"/>
      <c r="BA27" s="436"/>
      <c r="BB27" s="436"/>
      <c r="BC27" s="436"/>
      <c r="BD27" s="436"/>
      <c r="BE27" s="436"/>
      <c r="BF27" s="436"/>
      <c r="BG27" s="436"/>
      <c r="BH27" s="436"/>
      <c r="BI27" s="436"/>
      <c r="BJ27" s="436"/>
    </row>
    <row r="28" spans="2:62">
      <c r="B28" s="70"/>
      <c r="C28" s="70"/>
      <c r="D28" s="70"/>
      <c r="E28" s="70"/>
      <c r="F28" s="70"/>
      <c r="G28" s="70"/>
      <c r="H28" s="70"/>
      <c r="I28" s="70"/>
      <c r="J28" s="70"/>
      <c r="K28" s="70"/>
      <c r="L28" s="64"/>
      <c r="M28" s="11"/>
      <c r="N28" s="19">
        <v>4</v>
      </c>
      <c r="O28" s="24"/>
      <c r="P28" s="11">
        <f t="shared" ref="P28:Y28" si="15">VLOOKUP(P$9&amp;"Female"&amp;"AllEth"&amp;19&amp;4,deptable,7,FALSE)</f>
        <v>22</v>
      </c>
      <c r="Q28" s="11">
        <f t="shared" si="15"/>
        <v>22</v>
      </c>
      <c r="R28" s="11">
        <f t="shared" si="15"/>
        <v>34</v>
      </c>
      <c r="S28" s="11">
        <f t="shared" si="15"/>
        <v>27</v>
      </c>
      <c r="T28" s="11">
        <f t="shared" si="15"/>
        <v>23</v>
      </c>
      <c r="U28" s="11">
        <f t="shared" si="15"/>
        <v>41</v>
      </c>
      <c r="V28" s="11">
        <f t="shared" si="15"/>
        <v>23</v>
      </c>
      <c r="W28" s="11">
        <f t="shared" si="15"/>
        <v>27</v>
      </c>
      <c r="X28" s="11">
        <f t="shared" si="15"/>
        <v>29</v>
      </c>
      <c r="Y28" s="11">
        <f t="shared" si="15"/>
        <v>35</v>
      </c>
      <c r="AS28" s="436" t="s">
        <v>1</v>
      </c>
      <c r="AT28" s="436" t="s">
        <v>38</v>
      </c>
      <c r="AU28" s="436"/>
      <c r="AV28" s="436">
        <v>2001</v>
      </c>
      <c r="AW28" s="436">
        <v>2002</v>
      </c>
      <c r="AX28" s="436">
        <v>2003</v>
      </c>
      <c r="AY28" s="436">
        <v>2004</v>
      </c>
      <c r="AZ28" s="436">
        <v>2005</v>
      </c>
      <c r="BA28" s="436">
        <v>2006</v>
      </c>
      <c r="BB28" s="436">
        <v>2007</v>
      </c>
      <c r="BC28" s="436">
        <v>2008</v>
      </c>
      <c r="BD28" s="436">
        <v>2009</v>
      </c>
      <c r="BE28" s="436">
        <v>2010</v>
      </c>
      <c r="BF28" s="436">
        <v>2011</v>
      </c>
      <c r="BG28" s="436">
        <v>2012</v>
      </c>
      <c r="BH28" s="436">
        <v>2013</v>
      </c>
      <c r="BI28" s="436">
        <v>2014</v>
      </c>
      <c r="BJ28" s="436">
        <v>2015</v>
      </c>
    </row>
    <row r="29" spans="2:62">
      <c r="B29" s="70"/>
      <c r="C29" s="70"/>
      <c r="D29" s="70"/>
      <c r="E29" s="70"/>
      <c r="F29" s="70"/>
      <c r="G29" s="70"/>
      <c r="H29" s="70"/>
      <c r="I29" s="70"/>
      <c r="J29" s="70"/>
      <c r="K29" s="70"/>
      <c r="M29" s="11"/>
      <c r="N29" s="19">
        <v>5</v>
      </c>
      <c r="O29" s="24"/>
      <c r="P29" s="11">
        <f t="shared" ref="P29:Y29" si="16">VLOOKUP(P$9&amp;"Female"&amp;"AllEth"&amp;19&amp;5,deptable,7,FALSE)</f>
        <v>30</v>
      </c>
      <c r="Q29" s="11">
        <f t="shared" si="16"/>
        <v>30</v>
      </c>
      <c r="R29" s="11">
        <f t="shared" si="16"/>
        <v>28</v>
      </c>
      <c r="S29" s="11">
        <f t="shared" si="16"/>
        <v>37</v>
      </c>
      <c r="T29" s="11">
        <f t="shared" si="16"/>
        <v>45</v>
      </c>
      <c r="U29" s="11">
        <f t="shared" si="16"/>
        <v>43</v>
      </c>
      <c r="V29" s="11">
        <f t="shared" si="16"/>
        <v>45</v>
      </c>
      <c r="W29" s="11">
        <f t="shared" si="16"/>
        <v>40</v>
      </c>
      <c r="X29" s="11">
        <f t="shared" si="16"/>
        <v>40</v>
      </c>
      <c r="Y29" s="11">
        <f t="shared" si="16"/>
        <v>42</v>
      </c>
      <c r="AS29" s="436" t="s">
        <v>0</v>
      </c>
      <c r="AT29" s="436">
        <v>1</v>
      </c>
      <c r="AU29" s="436" t="s">
        <v>22</v>
      </c>
      <c r="AV29" s="437">
        <f t="shared" ref="AV29:BJ29" si="17">VLOOKUP(AV$28&amp;"AllSex"&amp;"AllEth"&amp;19&amp;1,deptable,8,FALSE)</f>
        <v>8.8547779375483593</v>
      </c>
      <c r="AW29" s="437">
        <f t="shared" si="17"/>
        <v>7.4217186427377397</v>
      </c>
      <c r="AX29" s="437">
        <f t="shared" si="17"/>
        <v>7.7190227520079304</v>
      </c>
      <c r="AY29" s="437">
        <f t="shared" si="17"/>
        <v>7.2841075117793102</v>
      </c>
      <c r="AZ29" s="437">
        <f t="shared" si="17"/>
        <v>9.0900800329956297</v>
      </c>
      <c r="BA29" s="437">
        <f t="shared" si="17"/>
        <v>7.7829388850515304</v>
      </c>
      <c r="BB29" s="437">
        <f t="shared" si="17"/>
        <v>7.8368796841505901</v>
      </c>
      <c r="BC29" s="437">
        <f t="shared" si="17"/>
        <v>9.8455520002290502</v>
      </c>
      <c r="BD29" s="437">
        <f t="shared" si="17"/>
        <v>7.9860259733649004</v>
      </c>
      <c r="BE29" s="437">
        <f t="shared" si="17"/>
        <v>10.1349018099747</v>
      </c>
      <c r="BF29" s="437">
        <f t="shared" si="17"/>
        <v>8.0826555842724197</v>
      </c>
      <c r="BG29" s="437">
        <f t="shared" si="17"/>
        <v>5.8150688207643197</v>
      </c>
      <c r="BH29" s="437">
        <f t="shared" si="17"/>
        <v>6.73253886110823</v>
      </c>
      <c r="BI29" s="437">
        <f t="shared" si="17"/>
        <v>6.6139183761554001</v>
      </c>
      <c r="BJ29" s="437">
        <f t="shared" si="17"/>
        <v>8.0896312487476205</v>
      </c>
    </row>
    <row r="30" spans="2:62">
      <c r="B30" s="70"/>
      <c r="C30" s="70"/>
      <c r="D30" s="70"/>
      <c r="E30" s="70"/>
      <c r="F30" s="70"/>
      <c r="G30" s="70"/>
      <c r="H30" s="70"/>
      <c r="I30" s="70"/>
      <c r="J30" s="70"/>
      <c r="K30" s="70"/>
      <c r="M30" s="11"/>
      <c r="N30" s="19" t="s">
        <v>75</v>
      </c>
      <c r="O30" s="24"/>
      <c r="P30" s="11">
        <f t="shared" ref="P30:Y30" si="18">IFERROR(VLOOKUP(P$9&amp;"Female"&amp;"AllEth"&amp;9,UnkDep,6,FALSE),0)</f>
        <v>5</v>
      </c>
      <c r="Q30" s="11">
        <f t="shared" si="18"/>
        <v>9</v>
      </c>
      <c r="R30" s="11">
        <f t="shared" si="18"/>
        <v>2</v>
      </c>
      <c r="S30" s="11">
        <f t="shared" si="18"/>
        <v>2</v>
      </c>
      <c r="T30" s="11">
        <f t="shared" si="18"/>
        <v>1</v>
      </c>
      <c r="U30" s="11">
        <f t="shared" si="18"/>
        <v>8</v>
      </c>
      <c r="V30" s="11">
        <f t="shared" si="18"/>
        <v>8</v>
      </c>
      <c r="W30" s="11">
        <f t="shared" si="18"/>
        <v>4</v>
      </c>
      <c r="X30" s="11">
        <f t="shared" si="18"/>
        <v>0</v>
      </c>
      <c r="Y30" s="11">
        <f t="shared" si="18"/>
        <v>1</v>
      </c>
      <c r="AS30" s="436"/>
      <c r="AT30" s="436"/>
      <c r="AU30" s="436" t="s">
        <v>16</v>
      </c>
      <c r="AV30" s="437">
        <f t="shared" ref="AV30:BJ30" si="19">VLOOKUP(AV$28&amp;"AllSex"&amp;"AllEth"&amp;19&amp;1,deptable,9,FALSE)</f>
        <v>2.2000000000000002</v>
      </c>
      <c r="AW30" s="437">
        <f t="shared" si="19"/>
        <v>1.9</v>
      </c>
      <c r="AX30" s="437">
        <f t="shared" si="19"/>
        <v>1.9</v>
      </c>
      <c r="AY30" s="437">
        <f t="shared" si="19"/>
        <v>1.9</v>
      </c>
      <c r="AZ30" s="437">
        <f t="shared" si="19"/>
        <v>2</v>
      </c>
      <c r="BA30" s="437">
        <f t="shared" si="19"/>
        <v>1.9</v>
      </c>
      <c r="BB30" s="437">
        <f t="shared" si="19"/>
        <v>1.8</v>
      </c>
      <c r="BC30" s="437">
        <f t="shared" si="19"/>
        <v>2.1</v>
      </c>
      <c r="BD30" s="437">
        <f t="shared" si="19"/>
        <v>1.8</v>
      </c>
      <c r="BE30" s="437">
        <f t="shared" si="19"/>
        <v>2.1</v>
      </c>
      <c r="BF30" s="437">
        <f t="shared" si="19"/>
        <v>1.8</v>
      </c>
      <c r="BG30" s="437">
        <f t="shared" si="19"/>
        <v>1.6</v>
      </c>
      <c r="BH30" s="437">
        <f t="shared" si="19"/>
        <v>1.6</v>
      </c>
      <c r="BI30" s="437">
        <f t="shared" si="19"/>
        <v>1.6</v>
      </c>
      <c r="BJ30" s="437">
        <f t="shared" si="19"/>
        <v>1.8</v>
      </c>
    </row>
    <row r="31" spans="2:62">
      <c r="B31" s="70"/>
      <c r="C31" s="70"/>
      <c r="D31" s="70"/>
      <c r="E31" s="70"/>
      <c r="F31" s="70"/>
      <c r="G31" s="70"/>
      <c r="H31" s="70"/>
      <c r="I31" s="70"/>
      <c r="J31" s="70"/>
      <c r="K31" s="70"/>
      <c r="M31" s="16"/>
      <c r="N31" s="16"/>
      <c r="O31" s="26"/>
      <c r="P31" s="16"/>
      <c r="Q31" s="16"/>
      <c r="R31" s="16"/>
      <c r="S31" s="16"/>
      <c r="T31" s="16"/>
      <c r="U31" s="16"/>
      <c r="V31" s="16"/>
      <c r="W31" s="16"/>
      <c r="X31" s="16"/>
      <c r="Y31" s="16"/>
      <c r="AS31" s="436"/>
      <c r="AT31" s="436"/>
      <c r="AU31" s="436"/>
      <c r="AV31" s="436"/>
      <c r="AW31" s="436"/>
      <c r="AX31" s="436"/>
      <c r="AY31" s="436"/>
      <c r="AZ31" s="436"/>
      <c r="BA31" s="436"/>
      <c r="BB31" s="436"/>
      <c r="BC31" s="436"/>
      <c r="BD31" s="436"/>
      <c r="BE31" s="436"/>
      <c r="BF31" s="436"/>
      <c r="BG31" s="436"/>
      <c r="BH31" s="436"/>
      <c r="BI31" s="436"/>
      <c r="BJ31" s="436"/>
    </row>
    <row r="32" spans="2:62">
      <c r="B32" s="70"/>
      <c r="C32" s="70"/>
      <c r="D32" s="70"/>
      <c r="E32" s="70"/>
      <c r="F32" s="70"/>
      <c r="G32" s="70"/>
      <c r="H32" s="70"/>
      <c r="I32" s="70"/>
      <c r="J32" s="70"/>
      <c r="K32" s="70"/>
      <c r="M32" s="52" t="s">
        <v>0</v>
      </c>
      <c r="N32" s="18">
        <v>1</v>
      </c>
      <c r="O32" s="24" t="s">
        <v>22</v>
      </c>
      <c r="P32" s="14">
        <f t="shared" ref="P32:Y32" si="20">VLOOKUP(P$9&amp;"AllSex"&amp;"AllEth"&amp;19&amp;1,deptable,8,FALSE)</f>
        <v>7.8368796841505901</v>
      </c>
      <c r="Q32" s="14">
        <f t="shared" si="20"/>
        <v>9.8455520002290502</v>
      </c>
      <c r="R32" s="14">
        <f t="shared" si="20"/>
        <v>7.9860259733649004</v>
      </c>
      <c r="S32" s="14">
        <f t="shared" si="20"/>
        <v>10.1349018099747</v>
      </c>
      <c r="T32" s="14">
        <f t="shared" si="20"/>
        <v>8.0826555842724197</v>
      </c>
      <c r="U32" s="14">
        <f t="shared" si="20"/>
        <v>5.8150688207643197</v>
      </c>
      <c r="V32" s="14">
        <f t="shared" si="20"/>
        <v>6.73253886110823</v>
      </c>
      <c r="W32" s="14">
        <f t="shared" si="20"/>
        <v>6.6139183761554001</v>
      </c>
      <c r="X32" s="14">
        <f t="shared" si="20"/>
        <v>8.0896312487476205</v>
      </c>
      <c r="Y32" s="14">
        <f t="shared" si="20"/>
        <v>6.9981720419792799</v>
      </c>
      <c r="AS32" s="436"/>
      <c r="AT32" s="436">
        <v>5</v>
      </c>
      <c r="AU32" s="436"/>
      <c r="AV32" s="437">
        <f t="shared" ref="AV32:BJ32" si="21">VLOOKUP(AV$28&amp;"AllSex"&amp;"AllEth"&amp;19&amp;5,deptable,8,FALSE)</f>
        <v>14.0699387222214</v>
      </c>
      <c r="AW32" s="437">
        <f t="shared" si="21"/>
        <v>13.354420806045299</v>
      </c>
      <c r="AX32" s="437">
        <f t="shared" si="21"/>
        <v>15.034665493241601</v>
      </c>
      <c r="AY32" s="437">
        <f t="shared" si="21"/>
        <v>15.942288466223999</v>
      </c>
      <c r="AZ32" s="437">
        <f t="shared" si="21"/>
        <v>16.4250668499181</v>
      </c>
      <c r="BA32" s="437">
        <f t="shared" si="21"/>
        <v>18.165153052613999</v>
      </c>
      <c r="BB32" s="437">
        <f t="shared" si="21"/>
        <v>14.712819146531</v>
      </c>
      <c r="BC32" s="437">
        <f t="shared" si="21"/>
        <v>14.0640790028423</v>
      </c>
      <c r="BD32" s="437">
        <f t="shared" si="21"/>
        <v>15.354556077231001</v>
      </c>
      <c r="BE32" s="437">
        <f t="shared" si="21"/>
        <v>14.8468642902606</v>
      </c>
      <c r="BF32" s="437">
        <f t="shared" si="21"/>
        <v>16.064547267627098</v>
      </c>
      <c r="BG32" s="437">
        <f t="shared" si="21"/>
        <v>15.5911311839955</v>
      </c>
      <c r="BH32" s="437">
        <f t="shared" si="21"/>
        <v>15.6036784873721</v>
      </c>
      <c r="BI32" s="437">
        <f t="shared" si="21"/>
        <v>16.0320135548914</v>
      </c>
      <c r="BJ32" s="437">
        <f t="shared" si="21"/>
        <v>15.3504235304689</v>
      </c>
    </row>
    <row r="33" spans="2:62">
      <c r="B33" s="70"/>
      <c r="C33" s="70"/>
      <c r="D33" s="70"/>
      <c r="E33" s="70"/>
      <c r="F33" s="70"/>
      <c r="G33" s="70"/>
      <c r="H33" s="70"/>
      <c r="I33" s="70"/>
      <c r="J33" s="70"/>
      <c r="K33" s="70"/>
      <c r="M33" s="11"/>
      <c r="N33" s="19">
        <v>2</v>
      </c>
      <c r="O33" s="24"/>
      <c r="P33" s="14">
        <f t="shared" ref="P33:Y33" si="22">VLOOKUP(P$9&amp;"AllSex"&amp;"AllEth"&amp;19&amp;2,deptable,8,FALSE)</f>
        <v>7.8887909690839697</v>
      </c>
      <c r="Q33" s="14">
        <f t="shared" si="22"/>
        <v>9.2358257009264193</v>
      </c>
      <c r="R33" s="14">
        <f t="shared" si="22"/>
        <v>9.5258859884151494</v>
      </c>
      <c r="S33" s="14">
        <f t="shared" si="22"/>
        <v>9.4076427688804802</v>
      </c>
      <c r="T33" s="14">
        <f t="shared" si="22"/>
        <v>8.6197586162676494</v>
      </c>
      <c r="U33" s="14">
        <f t="shared" si="22"/>
        <v>9.2460799535926093</v>
      </c>
      <c r="V33" s="14">
        <f t="shared" si="22"/>
        <v>8.3528893937719104</v>
      </c>
      <c r="W33" s="14">
        <f t="shared" si="22"/>
        <v>7.53145948142501</v>
      </c>
      <c r="X33" s="14">
        <f t="shared" si="22"/>
        <v>9.2412333875110004</v>
      </c>
      <c r="Y33" s="14">
        <f t="shared" si="22"/>
        <v>6.81785683314083</v>
      </c>
      <c r="AS33" s="436"/>
      <c r="AT33" s="436"/>
      <c r="AU33" s="436"/>
      <c r="AV33" s="437">
        <f t="shared" ref="AV33:BJ33" si="23">VLOOKUP(AV$28&amp;"AllSex"&amp;"AllEth"&amp;19&amp;5,deptable,9,FALSE)</f>
        <v>2.7</v>
      </c>
      <c r="AW33" s="437">
        <f t="shared" si="23"/>
        <v>2.6</v>
      </c>
      <c r="AX33" s="437">
        <f t="shared" si="23"/>
        <v>2.7</v>
      </c>
      <c r="AY33" s="437">
        <f t="shared" si="23"/>
        <v>2.7</v>
      </c>
      <c r="AZ33" s="437">
        <f t="shared" si="23"/>
        <v>2.8</v>
      </c>
      <c r="BA33" s="437">
        <f t="shared" si="23"/>
        <v>2.9</v>
      </c>
      <c r="BB33" s="437">
        <f t="shared" si="23"/>
        <v>2.6</v>
      </c>
      <c r="BC33" s="437">
        <f t="shared" si="23"/>
        <v>2.5</v>
      </c>
      <c r="BD33" s="437">
        <f t="shared" si="23"/>
        <v>2.7</v>
      </c>
      <c r="BE33" s="437">
        <f t="shared" si="23"/>
        <v>2.6</v>
      </c>
      <c r="BF33" s="437">
        <f t="shared" si="23"/>
        <v>2.7</v>
      </c>
      <c r="BG33" s="437">
        <f t="shared" si="23"/>
        <v>2.6</v>
      </c>
      <c r="BH33" s="437">
        <f t="shared" si="23"/>
        <v>2.6</v>
      </c>
      <c r="BI33" s="437">
        <f t="shared" si="23"/>
        <v>2.6</v>
      </c>
      <c r="BJ33" s="437">
        <f t="shared" si="23"/>
        <v>2.6</v>
      </c>
    </row>
    <row r="34" spans="2:62">
      <c r="B34" s="70"/>
      <c r="C34" s="70"/>
      <c r="D34" s="70"/>
      <c r="E34" s="70"/>
      <c r="F34" s="70"/>
      <c r="G34" s="70"/>
      <c r="H34" s="70"/>
      <c r="I34" s="70"/>
      <c r="J34" s="70"/>
      <c r="K34" s="70"/>
      <c r="M34" s="11"/>
      <c r="N34" s="18">
        <v>3</v>
      </c>
      <c r="O34" s="24"/>
      <c r="P34" s="14">
        <f t="shared" ref="P34:Y34" si="24">VLOOKUP(P$9&amp;"AllSex"&amp;"AllEth"&amp;19&amp;3,deptable,8,FALSE)</f>
        <v>12.2118090894897</v>
      </c>
      <c r="Q34" s="14">
        <f t="shared" si="24"/>
        <v>11.7800727004485</v>
      </c>
      <c r="R34" s="14">
        <f t="shared" si="24"/>
        <v>9.8737223189076193</v>
      </c>
      <c r="S34" s="14">
        <f t="shared" si="24"/>
        <v>10.834254585669999</v>
      </c>
      <c r="T34" s="14">
        <f t="shared" si="24"/>
        <v>11.2842380302409</v>
      </c>
      <c r="U34" s="14">
        <f t="shared" si="24"/>
        <v>13.046970507755301</v>
      </c>
      <c r="V34" s="14">
        <f t="shared" si="24"/>
        <v>9.8841200333031196</v>
      </c>
      <c r="W34" s="14">
        <f t="shared" si="24"/>
        <v>10.115508598999501</v>
      </c>
      <c r="X34" s="14">
        <f t="shared" si="24"/>
        <v>9.4029098009381809</v>
      </c>
      <c r="Y34" s="14">
        <f t="shared" si="24"/>
        <v>10.4222070455105</v>
      </c>
      <c r="AS34" s="436"/>
      <c r="AT34" s="436"/>
      <c r="AU34" s="436"/>
      <c r="AV34" s="436"/>
      <c r="AW34" s="436"/>
      <c r="AX34" s="436"/>
      <c r="AY34" s="436"/>
      <c r="AZ34" s="436"/>
      <c r="BA34" s="436"/>
      <c r="BB34" s="436"/>
      <c r="BC34" s="436"/>
      <c r="BD34" s="436"/>
      <c r="BE34" s="436"/>
      <c r="BF34" s="436"/>
      <c r="BG34" s="436"/>
      <c r="BH34" s="436"/>
      <c r="BI34" s="436"/>
      <c r="BJ34" s="436"/>
    </row>
    <row r="35" spans="2:62">
      <c r="B35" s="70"/>
      <c r="C35" s="70"/>
      <c r="D35" s="70"/>
      <c r="E35" s="70"/>
      <c r="F35" s="70"/>
      <c r="G35" s="70"/>
      <c r="H35" s="70"/>
      <c r="I35" s="70"/>
      <c r="J35" s="70"/>
      <c r="K35" s="70"/>
      <c r="M35" s="11"/>
      <c r="N35" s="19">
        <v>4</v>
      </c>
      <c r="O35" s="24"/>
      <c r="P35" s="14">
        <f t="shared" ref="P35:Y35" si="25">VLOOKUP(P$9&amp;"AllSex"&amp;"AllEth"&amp;19&amp;4,deptable,8,FALSE)</f>
        <v>12.225496208264399</v>
      </c>
      <c r="Q35" s="14">
        <f t="shared" si="25"/>
        <v>11.6112566860872</v>
      </c>
      <c r="R35" s="14">
        <f t="shared" si="25"/>
        <v>14.455050464133199</v>
      </c>
      <c r="S35" s="14">
        <f t="shared" si="25"/>
        <v>12.4646116325319</v>
      </c>
      <c r="T35" s="14">
        <f t="shared" si="25"/>
        <v>10.0472677723016</v>
      </c>
      <c r="U35" s="14">
        <f t="shared" si="25"/>
        <v>15.5604979085784</v>
      </c>
      <c r="V35" s="14">
        <f t="shared" si="25"/>
        <v>11.2169143637633</v>
      </c>
      <c r="W35" s="14">
        <f t="shared" si="25"/>
        <v>12.681549789960799</v>
      </c>
      <c r="X35" s="14">
        <f t="shared" si="25"/>
        <v>12.7057478317943</v>
      </c>
      <c r="Y35" s="14">
        <f t="shared" si="25"/>
        <v>16.4348489088026</v>
      </c>
    </row>
    <row r="36" spans="2:62">
      <c r="B36" s="70"/>
      <c r="C36" s="70"/>
      <c r="D36" s="70"/>
      <c r="E36" s="70"/>
      <c r="F36" s="70"/>
      <c r="G36" s="70"/>
      <c r="H36" s="70"/>
      <c r="I36" s="70"/>
      <c r="J36" s="70"/>
      <c r="K36" s="70"/>
      <c r="M36" s="11"/>
      <c r="N36" s="19">
        <v>5</v>
      </c>
      <c r="O36" s="24"/>
      <c r="P36" s="14">
        <f t="shared" ref="P36:Y36" si="26">VLOOKUP(P$9&amp;"AllSex"&amp;"AllEth"&amp;19&amp;5,deptable,8,FALSE)</f>
        <v>14.712819146531</v>
      </c>
      <c r="Q36" s="14">
        <f t="shared" si="26"/>
        <v>14.0640790028423</v>
      </c>
      <c r="R36" s="14">
        <f t="shared" si="26"/>
        <v>15.354556077231001</v>
      </c>
      <c r="S36" s="14">
        <f t="shared" si="26"/>
        <v>14.8468642902606</v>
      </c>
      <c r="T36" s="14">
        <f t="shared" si="26"/>
        <v>16.064547267627098</v>
      </c>
      <c r="U36" s="14">
        <f t="shared" si="26"/>
        <v>15.5911311839955</v>
      </c>
      <c r="V36" s="14">
        <f t="shared" si="26"/>
        <v>15.6036784873721</v>
      </c>
      <c r="W36" s="14">
        <f t="shared" si="26"/>
        <v>16.0320135548914</v>
      </c>
      <c r="X36" s="14">
        <f t="shared" si="26"/>
        <v>15.3504235304689</v>
      </c>
      <c r="Y36" s="14">
        <f t="shared" si="26"/>
        <v>16.0742810429599</v>
      </c>
    </row>
    <row r="37" spans="2:62">
      <c r="B37" s="70"/>
      <c r="C37" s="70"/>
      <c r="D37" s="70"/>
      <c r="E37" s="70"/>
      <c r="F37" s="70"/>
      <c r="G37" s="70"/>
      <c r="H37" s="70"/>
      <c r="I37" s="70"/>
      <c r="J37" s="70"/>
      <c r="K37" s="70"/>
      <c r="L37" s="64"/>
      <c r="M37" s="16"/>
      <c r="N37" s="17"/>
      <c r="O37" s="26"/>
      <c r="P37" s="21"/>
      <c r="Q37" s="21"/>
      <c r="R37" s="21"/>
      <c r="S37" s="21"/>
      <c r="T37" s="21"/>
      <c r="U37" s="21"/>
      <c r="V37" s="21"/>
      <c r="W37" s="21"/>
      <c r="X37" s="21"/>
      <c r="Y37" s="21"/>
    </row>
    <row r="38" spans="2:62">
      <c r="B38" s="70"/>
      <c r="C38" s="70"/>
      <c r="D38" s="70"/>
      <c r="E38" s="70"/>
      <c r="F38" s="70"/>
      <c r="G38" s="70"/>
      <c r="H38" s="70"/>
      <c r="I38" s="70"/>
      <c r="J38" s="70"/>
      <c r="K38" s="70"/>
      <c r="M38" s="11" t="s">
        <v>20</v>
      </c>
      <c r="N38" s="18">
        <v>1</v>
      </c>
      <c r="O38" s="24" t="s">
        <v>22</v>
      </c>
      <c r="P38" s="14">
        <f t="shared" ref="P38:Y38" si="27">VLOOKUP(P$9&amp;"Male"&amp;"AllEth"&amp;19&amp;1,deptable,8,FALSE)</f>
        <v>12.5941055922708</v>
      </c>
      <c r="Q38" s="14">
        <f t="shared" si="27"/>
        <v>14.8510810707393</v>
      </c>
      <c r="R38" s="14">
        <f t="shared" si="27"/>
        <v>13.672965099776199</v>
      </c>
      <c r="S38" s="14">
        <f t="shared" si="27"/>
        <v>14.145474507651899</v>
      </c>
      <c r="T38" s="14">
        <f t="shared" si="27"/>
        <v>13.239357279649701</v>
      </c>
      <c r="U38" s="14">
        <f t="shared" si="27"/>
        <v>10.046935011885701</v>
      </c>
      <c r="V38" s="14">
        <f t="shared" si="27"/>
        <v>10.1047073133151</v>
      </c>
      <c r="W38" s="14">
        <f t="shared" si="27"/>
        <v>10.623591071432999</v>
      </c>
      <c r="X38" s="14">
        <f t="shared" si="27"/>
        <v>12.2381526035751</v>
      </c>
      <c r="Y38" s="14">
        <f t="shared" si="27"/>
        <v>10.058569821738599</v>
      </c>
    </row>
    <row r="39" spans="2:62">
      <c r="B39" s="70"/>
      <c r="C39" s="78" t="s">
        <v>140</v>
      </c>
      <c r="D39" s="81" t="s">
        <v>106</v>
      </c>
      <c r="E39" s="106"/>
      <c r="F39" s="106"/>
      <c r="G39" s="106"/>
      <c r="H39" s="70"/>
      <c r="I39" s="70"/>
      <c r="J39" s="70"/>
      <c r="K39" s="70"/>
      <c r="M39" s="24"/>
      <c r="N39" s="19">
        <v>2</v>
      </c>
      <c r="O39" s="24"/>
      <c r="P39" s="14">
        <f t="shared" ref="P39:Y39" si="28">VLOOKUP(P$9&amp;"Male"&amp;"AllEth"&amp;19&amp;2,deptable,8,FALSE)</f>
        <v>11.6028861834361</v>
      </c>
      <c r="Q39" s="14">
        <f t="shared" si="28"/>
        <v>13.7450566156518</v>
      </c>
      <c r="R39" s="14">
        <f t="shared" si="28"/>
        <v>15.6322775264307</v>
      </c>
      <c r="S39" s="14">
        <f t="shared" si="28"/>
        <v>12.5788110241902</v>
      </c>
      <c r="T39" s="14">
        <f t="shared" si="28"/>
        <v>14.540831325937299</v>
      </c>
      <c r="U39" s="14">
        <f t="shared" si="28"/>
        <v>13.6769389350941</v>
      </c>
      <c r="V39" s="14">
        <f t="shared" si="28"/>
        <v>11.615740197445501</v>
      </c>
      <c r="W39" s="14">
        <f t="shared" si="28"/>
        <v>10.781463058969599</v>
      </c>
      <c r="X39" s="14">
        <f t="shared" si="28"/>
        <v>13.9128564839435</v>
      </c>
      <c r="Y39" s="14">
        <f t="shared" si="28"/>
        <v>11.818560868545401</v>
      </c>
    </row>
    <row r="40" spans="2:62">
      <c r="B40" s="70"/>
      <c r="C40" s="70"/>
      <c r="D40" s="81" t="s">
        <v>247</v>
      </c>
      <c r="E40" s="78"/>
      <c r="F40" s="78"/>
      <c r="G40" s="78"/>
      <c r="H40" s="70"/>
      <c r="I40" s="70"/>
      <c r="J40" s="70"/>
      <c r="K40" s="70"/>
      <c r="M40" s="11"/>
      <c r="N40" s="18">
        <v>3</v>
      </c>
      <c r="O40" s="24"/>
      <c r="P40" s="14">
        <f t="shared" ref="P40:Y40" si="29">VLOOKUP(P$9&amp;"Male"&amp;"AllEth"&amp;19&amp;3,deptable,8,FALSE)</f>
        <v>18.999903182903601</v>
      </c>
      <c r="Q40" s="14">
        <f t="shared" si="29"/>
        <v>16.2948414480312</v>
      </c>
      <c r="R40" s="14">
        <f t="shared" si="29"/>
        <v>14.769474357958099</v>
      </c>
      <c r="S40" s="14">
        <f t="shared" si="29"/>
        <v>16.768718439865602</v>
      </c>
      <c r="T40" s="14">
        <f t="shared" si="29"/>
        <v>19.0319542103353</v>
      </c>
      <c r="U40" s="14">
        <f t="shared" si="29"/>
        <v>21.841854529688</v>
      </c>
      <c r="V40" s="14">
        <f t="shared" si="29"/>
        <v>14.5565056681946</v>
      </c>
      <c r="W40" s="14">
        <f t="shared" si="29"/>
        <v>15.486617317140601</v>
      </c>
      <c r="X40" s="14">
        <f t="shared" si="29"/>
        <v>13.055623124427999</v>
      </c>
      <c r="Y40" s="14">
        <f t="shared" si="29"/>
        <v>14.0212373132489</v>
      </c>
    </row>
    <row r="41" spans="2:62">
      <c r="B41" s="70"/>
      <c r="C41" s="78" t="s">
        <v>145</v>
      </c>
      <c r="D41" s="78" t="s">
        <v>144</v>
      </c>
      <c r="E41" s="70"/>
      <c r="F41" s="70"/>
      <c r="G41" s="70"/>
      <c r="H41" s="70"/>
      <c r="I41" s="70"/>
      <c r="J41" s="70"/>
      <c r="K41" s="70"/>
      <c r="M41" s="11"/>
      <c r="N41" s="19">
        <v>4</v>
      </c>
      <c r="O41" s="24"/>
      <c r="P41" s="14">
        <f t="shared" ref="P41:Y41" si="30">VLOOKUP(P$9&amp;"Male"&amp;"AllEth"&amp;19&amp;4,deptable,8,FALSE)</f>
        <v>20.099156960381102</v>
      </c>
      <c r="Q41" s="14">
        <f t="shared" si="30"/>
        <v>18.758767968392899</v>
      </c>
      <c r="R41" s="14">
        <f t="shared" si="30"/>
        <v>22.008575617776099</v>
      </c>
      <c r="S41" s="14">
        <f t="shared" si="30"/>
        <v>19.758547312996701</v>
      </c>
      <c r="T41" s="14">
        <f t="shared" si="30"/>
        <v>15.145499660123701</v>
      </c>
      <c r="U41" s="14">
        <f t="shared" si="30"/>
        <v>22.4574835839713</v>
      </c>
      <c r="V41" s="14">
        <f t="shared" si="30"/>
        <v>17.298751296226801</v>
      </c>
      <c r="W41" s="14">
        <f t="shared" si="30"/>
        <v>19.917192811807801</v>
      </c>
      <c r="X41" s="14">
        <f t="shared" si="30"/>
        <v>19.284999089191</v>
      </c>
      <c r="Y41" s="14">
        <f t="shared" si="30"/>
        <v>25.566757306723702</v>
      </c>
    </row>
    <row r="42" spans="2:62">
      <c r="B42" s="70"/>
      <c r="C42" s="70"/>
      <c r="D42" s="70"/>
      <c r="E42" s="70"/>
      <c r="F42" s="70"/>
      <c r="G42" s="70"/>
      <c r="H42" s="70"/>
      <c r="I42" s="70"/>
      <c r="J42" s="70"/>
      <c r="K42" s="70"/>
      <c r="M42" s="11"/>
      <c r="N42" s="19">
        <v>5</v>
      </c>
      <c r="O42" s="24"/>
      <c r="P42" s="14">
        <f t="shared" ref="P42:Y42" si="31">VLOOKUP(P$9&amp;"Male"&amp;"AllEth"&amp;19&amp;5,deptable,8,FALSE)</f>
        <v>23.2431358648392</v>
      </c>
      <c r="Q42" s="14">
        <f t="shared" si="31"/>
        <v>22.000250981121599</v>
      </c>
      <c r="R42" s="14">
        <f t="shared" si="31"/>
        <v>24.881574896415898</v>
      </c>
      <c r="S42" s="14">
        <f t="shared" si="31"/>
        <v>21.9325783022839</v>
      </c>
      <c r="T42" s="14">
        <f t="shared" si="31"/>
        <v>22.542784776259801</v>
      </c>
      <c r="U42" s="14">
        <f t="shared" si="31"/>
        <v>22.331571256110301</v>
      </c>
      <c r="V42" s="14">
        <f t="shared" si="31"/>
        <v>21.510814033369101</v>
      </c>
      <c r="W42" s="14">
        <f t="shared" si="31"/>
        <v>23.8597128321342</v>
      </c>
      <c r="X42" s="14">
        <f t="shared" si="31"/>
        <v>22.636918747205399</v>
      </c>
      <c r="Y42" s="14">
        <f t="shared" si="31"/>
        <v>23.8130206354015</v>
      </c>
    </row>
    <row r="43" spans="2:62">
      <c r="M43" s="16"/>
      <c r="N43" s="17"/>
      <c r="O43" s="26"/>
      <c r="P43" s="21"/>
      <c r="Q43" s="21"/>
      <c r="R43" s="21"/>
      <c r="S43" s="21"/>
      <c r="T43" s="21"/>
      <c r="U43" s="21"/>
      <c r="V43" s="21"/>
      <c r="W43" s="21"/>
      <c r="X43" s="21"/>
      <c r="Y43" s="21"/>
    </row>
    <row r="44" spans="2:62">
      <c r="B44" s="70"/>
      <c r="C44" s="70"/>
      <c r="D44" s="70"/>
      <c r="E44" s="70"/>
      <c r="F44" s="70"/>
      <c r="G44" s="70"/>
      <c r="H44" s="70"/>
      <c r="I44" s="70"/>
      <c r="J44" s="70"/>
      <c r="K44" s="70"/>
      <c r="M44" s="11" t="s">
        <v>8</v>
      </c>
      <c r="N44" s="18">
        <v>1</v>
      </c>
      <c r="O44" s="24" t="s">
        <v>22</v>
      </c>
      <c r="P44" s="14">
        <f t="shared" ref="P44:Y44" si="32">VLOOKUP(P$9&amp;"Female"&amp;"AllEth"&amp;19&amp;1,deptable,8,FALSE)</f>
        <v>3.21939072200857</v>
      </c>
      <c r="Q44" s="14">
        <f t="shared" si="32"/>
        <v>4.8919643634299597</v>
      </c>
      <c r="R44" s="14">
        <f t="shared" si="32"/>
        <v>2.38907362919592</v>
      </c>
      <c r="S44" s="14">
        <f t="shared" si="32"/>
        <v>6.2730726130140999</v>
      </c>
      <c r="T44" s="14">
        <f t="shared" si="32"/>
        <v>3.1724695276464998</v>
      </c>
      <c r="U44" s="14">
        <f t="shared" si="32"/>
        <v>1.6745010318739699</v>
      </c>
      <c r="V44" s="14">
        <f t="shared" si="32"/>
        <v>3.4168305432326198</v>
      </c>
      <c r="W44" s="14">
        <f t="shared" si="32"/>
        <v>2.7543322496102798</v>
      </c>
      <c r="X44" s="14">
        <f t="shared" si="32"/>
        <v>4.0757342154773699</v>
      </c>
      <c r="Y44" s="14">
        <f t="shared" si="32"/>
        <v>3.9704014255408602</v>
      </c>
    </row>
    <row r="45" spans="2:62" ht="15">
      <c r="B45" s="70"/>
      <c r="C45" s="91" t="s">
        <v>523</v>
      </c>
      <c r="D45" s="70"/>
      <c r="E45" s="70"/>
      <c r="F45" s="70"/>
      <c r="G45" s="70"/>
      <c r="H45" s="70"/>
      <c r="I45" s="70"/>
      <c r="J45" s="70"/>
      <c r="K45" s="70"/>
      <c r="M45" s="11"/>
      <c r="N45" s="19">
        <v>2</v>
      </c>
      <c r="O45" s="24"/>
      <c r="P45" s="14">
        <f t="shared" ref="P45:Y45" si="33">VLOOKUP(P$9&amp;"Female"&amp;"AllEth"&amp;19&amp;2,deptable,8,FALSE)</f>
        <v>4.3903552637485497</v>
      </c>
      <c r="Q45" s="14">
        <f t="shared" si="33"/>
        <v>4.92960345088603</v>
      </c>
      <c r="R45" s="14">
        <f t="shared" si="33"/>
        <v>3.6586615219409002</v>
      </c>
      <c r="S45" s="14">
        <f t="shared" si="33"/>
        <v>6.4808380547622102</v>
      </c>
      <c r="T45" s="14">
        <f t="shared" si="33"/>
        <v>2.9406434228190901</v>
      </c>
      <c r="U45" s="14">
        <f t="shared" si="33"/>
        <v>5.1035643666233099</v>
      </c>
      <c r="V45" s="14">
        <f t="shared" si="33"/>
        <v>5.2973793210445397</v>
      </c>
      <c r="W45" s="14">
        <f t="shared" si="33"/>
        <v>4.3764290323286197</v>
      </c>
      <c r="X45" s="14">
        <f t="shared" si="33"/>
        <v>4.7713286172606804</v>
      </c>
      <c r="Y45" s="14">
        <f t="shared" si="33"/>
        <v>1.9696691396442301</v>
      </c>
    </row>
    <row r="46" spans="2:62">
      <c r="B46" s="70"/>
      <c r="C46" s="70"/>
      <c r="D46" s="70"/>
      <c r="E46" s="70"/>
      <c r="F46" s="70"/>
      <c r="G46" s="70"/>
      <c r="H46" s="70"/>
      <c r="I46" s="70"/>
      <c r="J46" s="70"/>
      <c r="K46" s="70"/>
      <c r="M46" s="11"/>
      <c r="N46" s="18">
        <v>3</v>
      </c>
      <c r="O46" s="24"/>
      <c r="P46" s="14">
        <f t="shared" ref="P46:Y46" si="34">VLOOKUP(P$9&amp;"Female"&amp;"AllEth"&amp;19&amp;3,deptable,8,FALSE)</f>
        <v>5.7446892212915204</v>
      </c>
      <c r="Q46" s="14">
        <f t="shared" si="34"/>
        <v>7.5691748656037197</v>
      </c>
      <c r="R46" s="14">
        <f t="shared" si="34"/>
        <v>5.2206184166965404</v>
      </c>
      <c r="S46" s="14">
        <f t="shared" si="34"/>
        <v>5.2396119815643303</v>
      </c>
      <c r="T46" s="14">
        <f t="shared" si="34"/>
        <v>3.8279008266893402</v>
      </c>
      <c r="U46" s="14">
        <f t="shared" si="34"/>
        <v>4.4674700999259302</v>
      </c>
      <c r="V46" s="14">
        <f t="shared" si="34"/>
        <v>5.5756498222800701</v>
      </c>
      <c r="W46" s="14">
        <f t="shared" si="34"/>
        <v>4.9801442476464199</v>
      </c>
      <c r="X46" s="14">
        <f t="shared" si="34"/>
        <v>5.8139183761925199</v>
      </c>
      <c r="Y46" s="14">
        <f t="shared" si="34"/>
        <v>6.86467084851766</v>
      </c>
    </row>
    <row r="47" spans="2:62">
      <c r="B47" s="70"/>
      <c r="C47" s="70"/>
      <c r="D47" s="70"/>
      <c r="E47" s="70"/>
      <c r="F47" s="70"/>
      <c r="G47" s="70"/>
      <c r="H47" s="70"/>
      <c r="I47" s="70"/>
      <c r="J47" s="70"/>
      <c r="K47" s="70"/>
      <c r="M47" s="24"/>
      <c r="N47" s="19">
        <v>4</v>
      </c>
      <c r="O47" s="24"/>
      <c r="P47" s="14">
        <f t="shared" ref="P47:Y47" si="35">VLOOKUP(P$9&amp;"Female"&amp;"AllEth"&amp;19&amp;4,deptable,8,FALSE)</f>
        <v>4.9567640127175396</v>
      </c>
      <c r="Q47" s="14">
        <f t="shared" si="35"/>
        <v>4.8262497491326304</v>
      </c>
      <c r="R47" s="14">
        <f t="shared" si="35"/>
        <v>7.3510824533927499</v>
      </c>
      <c r="S47" s="14">
        <f t="shared" si="35"/>
        <v>5.6067155020755699</v>
      </c>
      <c r="T47" s="14">
        <f t="shared" si="35"/>
        <v>5.1852837425382301</v>
      </c>
      <c r="U47" s="14">
        <f t="shared" si="35"/>
        <v>8.9298192148046898</v>
      </c>
      <c r="V47" s="14">
        <f t="shared" si="35"/>
        <v>5.5573244121361203</v>
      </c>
      <c r="W47" s="14">
        <f t="shared" si="35"/>
        <v>5.8326773788982802</v>
      </c>
      <c r="X47" s="14">
        <f t="shared" si="35"/>
        <v>6.5254443714476604</v>
      </c>
      <c r="Y47" s="14">
        <f t="shared" si="35"/>
        <v>7.4363431783067204</v>
      </c>
    </row>
    <row r="48" spans="2:62">
      <c r="B48" s="70"/>
      <c r="C48" s="70"/>
      <c r="D48" s="70"/>
      <c r="E48" s="70"/>
      <c r="F48" s="70"/>
      <c r="G48" s="70"/>
      <c r="H48" s="70"/>
      <c r="I48" s="70"/>
      <c r="J48" s="70"/>
      <c r="K48" s="70"/>
      <c r="M48" s="11"/>
      <c r="N48" s="19">
        <v>5</v>
      </c>
      <c r="O48" s="24"/>
      <c r="P48" s="14">
        <f t="shared" ref="P48:Y48" si="36">VLOOKUP(P$9&amp;"Female"&amp;"AllEth"&amp;19&amp;5,deptable,8,FALSE)</f>
        <v>6.78604023432323</v>
      </c>
      <c r="Q48" s="14">
        <f t="shared" si="36"/>
        <v>6.8810283175385996</v>
      </c>
      <c r="R48" s="14">
        <f t="shared" si="36"/>
        <v>6.5983231739770396</v>
      </c>
      <c r="S48" s="14">
        <f t="shared" si="36"/>
        <v>8.3546213274244803</v>
      </c>
      <c r="T48" s="14">
        <f t="shared" si="36"/>
        <v>10.1980809872877</v>
      </c>
      <c r="U48" s="14">
        <f t="shared" si="36"/>
        <v>9.4963410912357702</v>
      </c>
      <c r="V48" s="14">
        <f t="shared" si="36"/>
        <v>10.227777888353501</v>
      </c>
      <c r="W48" s="14">
        <f t="shared" si="36"/>
        <v>8.9017753202935292</v>
      </c>
      <c r="X48" s="14">
        <f t="shared" si="36"/>
        <v>8.7248394367418296</v>
      </c>
      <c r="Y48" s="14">
        <f t="shared" si="36"/>
        <v>8.9658136810318094</v>
      </c>
    </row>
    <row r="49" spans="2:25">
      <c r="B49" s="70"/>
      <c r="C49" s="70"/>
      <c r="D49" s="70"/>
      <c r="E49" s="70"/>
      <c r="F49" s="70"/>
      <c r="G49" s="70"/>
      <c r="H49" s="70"/>
      <c r="I49" s="70"/>
      <c r="J49" s="70"/>
      <c r="K49" s="70"/>
      <c r="M49" s="26"/>
      <c r="N49" s="26"/>
      <c r="O49" s="26"/>
      <c r="P49" s="26"/>
      <c r="Q49" s="26"/>
      <c r="R49" s="26"/>
      <c r="S49" s="26"/>
      <c r="T49" s="26"/>
      <c r="U49" s="26"/>
      <c r="V49" s="26"/>
      <c r="W49" s="26"/>
      <c r="X49" s="26"/>
      <c r="Y49" s="26"/>
    </row>
    <row r="50" spans="2:25">
      <c r="B50" s="70"/>
      <c r="C50" s="70"/>
      <c r="D50" s="70"/>
      <c r="E50" s="70"/>
      <c r="F50" s="70"/>
      <c r="G50" s="70"/>
      <c r="H50" s="70"/>
      <c r="I50" s="70"/>
      <c r="J50" s="70"/>
      <c r="K50" s="70"/>
      <c r="M50" s="30" t="s">
        <v>0</v>
      </c>
      <c r="N50" s="354" t="s">
        <v>111</v>
      </c>
      <c r="O50" s="24" t="s">
        <v>110</v>
      </c>
      <c r="P50" s="32">
        <f t="shared" ref="P50:X50" si="37">P36/P32</f>
        <v>1.8773822923792491</v>
      </c>
      <c r="Q50" s="32">
        <f t="shared" si="37"/>
        <v>1.4284703389424085</v>
      </c>
      <c r="R50" s="32">
        <f t="shared" si="37"/>
        <v>1.9226779537709644</v>
      </c>
      <c r="S50" s="32">
        <f t="shared" si="37"/>
        <v>1.464924334604645</v>
      </c>
      <c r="T50" s="32">
        <f t="shared" si="37"/>
        <v>1.9875333175010188</v>
      </c>
      <c r="U50" s="32">
        <f t="shared" si="37"/>
        <v>2.6811602174548703</v>
      </c>
      <c r="V50" s="32">
        <f t="shared" si="37"/>
        <v>2.3176514550119669</v>
      </c>
      <c r="W50" s="32">
        <f t="shared" si="37"/>
        <v>2.4239811626176491</v>
      </c>
      <c r="X50" s="32">
        <f t="shared" si="37"/>
        <v>1.8975430471995054</v>
      </c>
      <c r="Y50" s="32">
        <f t="shared" ref="Y50" si="38">Y36/Y32</f>
        <v>2.2969256752387071</v>
      </c>
    </row>
    <row r="51" spans="2:25" ht="12.75" customHeight="1">
      <c r="B51" s="70"/>
      <c r="C51" s="70"/>
      <c r="D51" s="70"/>
      <c r="E51" s="70"/>
      <c r="F51" s="70"/>
      <c r="G51" s="70"/>
      <c r="H51" s="70"/>
      <c r="I51" s="70"/>
      <c r="J51" s="70"/>
      <c r="K51" s="70"/>
      <c r="M51" s="30" t="s">
        <v>20</v>
      </c>
      <c r="N51" s="354" t="s">
        <v>111</v>
      </c>
      <c r="O51" s="30"/>
      <c r="P51" s="32">
        <f t="shared" ref="P51:X51" si="39">P42/P38</f>
        <v>1.8455566927359952</v>
      </c>
      <c r="Q51" s="32">
        <f t="shared" si="39"/>
        <v>1.481390538259745</v>
      </c>
      <c r="R51" s="32">
        <f t="shared" si="39"/>
        <v>1.8197643828421066</v>
      </c>
      <c r="S51" s="32">
        <f t="shared" si="39"/>
        <v>1.5505014194058757</v>
      </c>
      <c r="T51" s="32">
        <f t="shared" si="39"/>
        <v>1.7027099050276751</v>
      </c>
      <c r="U51" s="32">
        <f t="shared" si="39"/>
        <v>2.2227247642879804</v>
      </c>
      <c r="V51" s="32">
        <f t="shared" si="39"/>
        <v>2.1287914005212234</v>
      </c>
      <c r="W51" s="32">
        <f t="shared" si="39"/>
        <v>2.2459178512897902</v>
      </c>
      <c r="X51" s="32">
        <f t="shared" si="39"/>
        <v>1.8497006435916261</v>
      </c>
      <c r="Y51" s="32">
        <f t="shared" ref="Y51" si="40">Y42/Y38</f>
        <v>2.3674360328977144</v>
      </c>
    </row>
    <row r="52" spans="2:25" ht="12.75" customHeight="1">
      <c r="B52" s="70"/>
      <c r="C52" s="70"/>
      <c r="D52" s="70"/>
      <c r="E52" s="70"/>
      <c r="F52" s="70"/>
      <c r="G52" s="70"/>
      <c r="H52" s="70"/>
      <c r="I52" s="70"/>
      <c r="J52" s="70"/>
      <c r="K52" s="70"/>
      <c r="M52" s="30" t="s">
        <v>8</v>
      </c>
      <c r="N52" s="354" t="s">
        <v>111</v>
      </c>
      <c r="O52" s="30"/>
      <c r="P52" s="32">
        <f t="shared" ref="P52:X52" si="41">P48/P44</f>
        <v>2.1078647546357581</v>
      </c>
      <c r="Q52" s="32">
        <f t="shared" si="41"/>
        <v>1.4065982101132937</v>
      </c>
      <c r="R52" s="32">
        <f t="shared" si="41"/>
        <v>2.7618751859890596</v>
      </c>
      <c r="S52" s="32">
        <f t="shared" si="41"/>
        <v>1.3318228311421112</v>
      </c>
      <c r="T52" s="32">
        <f t="shared" si="41"/>
        <v>3.2145560102048192</v>
      </c>
      <c r="U52" s="32">
        <f t="shared" si="41"/>
        <v>5.6711467538531233</v>
      </c>
      <c r="V52" s="32">
        <f t="shared" si="41"/>
        <v>2.9933523945489933</v>
      </c>
      <c r="W52" s="32">
        <f t="shared" si="41"/>
        <v>3.2319177621193207</v>
      </c>
      <c r="X52" s="32">
        <f t="shared" si="41"/>
        <v>2.1406791943423951</v>
      </c>
      <c r="Y52" s="32">
        <f t="shared" ref="Y52" si="42">Y48/Y44</f>
        <v>2.2581630218436817</v>
      </c>
    </row>
    <row r="53" spans="2:25" ht="12.75" customHeight="1">
      <c r="B53" s="70"/>
      <c r="C53" s="70"/>
      <c r="D53" s="70"/>
      <c r="E53" s="70"/>
      <c r="F53" s="70"/>
      <c r="G53" s="70"/>
      <c r="H53" s="70"/>
      <c r="I53" s="70"/>
      <c r="J53" s="70"/>
      <c r="K53" s="70"/>
    </row>
    <row r="54" spans="2:25" ht="12.75" customHeight="1">
      <c r="B54" s="70"/>
      <c r="C54" s="70"/>
      <c r="D54" s="70"/>
      <c r="E54" s="70"/>
      <c r="F54" s="70"/>
      <c r="G54" s="70"/>
      <c r="H54" s="70"/>
      <c r="I54" s="70"/>
      <c r="J54" s="70"/>
      <c r="K54" s="70"/>
      <c r="M54" s="50" t="s">
        <v>143</v>
      </c>
      <c r="N54" s="50" t="s">
        <v>106</v>
      </c>
      <c r="O54" s="50"/>
      <c r="P54" s="33"/>
      <c r="Q54" s="33"/>
      <c r="R54" s="33"/>
      <c r="S54" s="33"/>
      <c r="T54" s="33"/>
      <c r="U54" s="33"/>
      <c r="V54" s="33"/>
      <c r="W54" s="33"/>
      <c r="X54" s="33"/>
      <c r="Y54" s="33"/>
    </row>
    <row r="55" spans="2:25" ht="12.75" customHeight="1">
      <c r="B55" s="70"/>
      <c r="C55" s="70"/>
      <c r="D55" s="70"/>
      <c r="E55" s="70"/>
      <c r="F55" s="70"/>
      <c r="G55" s="70"/>
      <c r="H55" s="70"/>
      <c r="I55" s="70"/>
      <c r="J55" s="70"/>
      <c r="K55" s="70"/>
      <c r="N55" s="50" t="s">
        <v>343</v>
      </c>
    </row>
    <row r="56" spans="2:25" ht="14.25" customHeight="1">
      <c r="B56" s="70"/>
      <c r="C56" s="70"/>
      <c r="D56" s="70"/>
      <c r="E56" s="70"/>
      <c r="F56" s="70"/>
      <c r="G56" s="70"/>
      <c r="H56" s="70"/>
      <c r="I56" s="70"/>
      <c r="J56" s="70"/>
      <c r="K56" s="70"/>
      <c r="N56" s="50" t="s">
        <v>413</v>
      </c>
    </row>
    <row r="57" spans="2:25">
      <c r="B57" s="70"/>
      <c r="C57" s="81" t="s">
        <v>315</v>
      </c>
      <c r="D57" s="70"/>
      <c r="E57" s="81"/>
      <c r="F57" s="81"/>
      <c r="G57" s="70"/>
      <c r="H57" s="70"/>
      <c r="I57" s="70"/>
      <c r="J57" s="70"/>
      <c r="K57" s="70"/>
      <c r="M57" s="50" t="s">
        <v>141</v>
      </c>
      <c r="N57" s="50" t="s">
        <v>144</v>
      </c>
      <c r="O57" s="50"/>
    </row>
    <row r="58" spans="2:25">
      <c r="B58" s="70"/>
      <c r="C58" s="81" t="s">
        <v>100</v>
      </c>
      <c r="D58" s="81"/>
      <c r="E58" s="81"/>
      <c r="F58" s="81"/>
      <c r="G58" s="70"/>
      <c r="H58" s="70"/>
      <c r="I58" s="70"/>
      <c r="J58" s="70"/>
      <c r="K58" s="70"/>
      <c r="M58" s="20"/>
      <c r="N58" s="20"/>
      <c r="O58" s="20"/>
      <c r="P58" s="20"/>
      <c r="Q58" s="20"/>
      <c r="R58" s="20"/>
      <c r="S58" s="20"/>
      <c r="T58" s="20"/>
      <c r="U58" s="20"/>
      <c r="V58" s="20"/>
      <c r="W58" s="20"/>
      <c r="X58" s="20"/>
      <c r="Y58" s="20"/>
    </row>
    <row r="59" spans="2:25">
      <c r="B59" s="70"/>
      <c r="C59" s="70"/>
      <c r="D59" s="81"/>
      <c r="E59" s="81"/>
      <c r="F59" s="81"/>
      <c r="G59" s="70"/>
      <c r="H59" s="70"/>
      <c r="I59" s="70"/>
      <c r="J59" s="70"/>
      <c r="K59" s="70"/>
    </row>
    <row r="60" spans="2:25">
      <c r="B60" s="174"/>
      <c r="C60" s="174"/>
      <c r="D60" s="190"/>
      <c r="E60" s="190"/>
      <c r="F60" s="190"/>
      <c r="G60" s="174"/>
      <c r="H60" s="174"/>
      <c r="I60" s="174"/>
      <c r="J60" s="174"/>
      <c r="K60" s="174"/>
    </row>
    <row r="62" spans="2:25">
      <c r="B62" s="70"/>
      <c r="C62" s="70"/>
      <c r="D62" s="70"/>
      <c r="E62" s="70"/>
      <c r="F62" s="70"/>
      <c r="G62" s="70"/>
      <c r="H62" s="70"/>
      <c r="I62" s="70"/>
      <c r="J62" s="70"/>
      <c r="K62" s="70"/>
      <c r="M62" s="653" t="s">
        <v>526</v>
      </c>
      <c r="N62" s="635"/>
      <c r="O62" s="635"/>
      <c r="P62" s="635"/>
      <c r="Q62" s="635"/>
      <c r="R62" s="635"/>
      <c r="S62" s="635"/>
      <c r="T62" s="635"/>
      <c r="U62" s="635"/>
      <c r="V62" s="635"/>
      <c r="W62" s="635"/>
      <c r="X62" s="635"/>
      <c r="Y62" s="635"/>
    </row>
    <row r="63" spans="2:25" ht="15">
      <c r="B63" s="70"/>
      <c r="C63" s="91" t="s">
        <v>524</v>
      </c>
      <c r="D63" s="76"/>
      <c r="E63" s="76"/>
      <c r="F63" s="76"/>
      <c r="G63" s="76"/>
      <c r="H63" s="76"/>
      <c r="I63" s="76"/>
      <c r="J63" s="70"/>
      <c r="K63" s="70"/>
      <c r="M63" s="635"/>
      <c r="N63" s="635"/>
      <c r="O63" s="635"/>
      <c r="P63" s="635"/>
      <c r="Q63" s="635"/>
      <c r="R63" s="635"/>
      <c r="S63" s="635"/>
      <c r="T63" s="635"/>
      <c r="U63" s="635"/>
      <c r="V63" s="635"/>
      <c r="W63" s="635"/>
      <c r="X63" s="635"/>
      <c r="Y63" s="635"/>
    </row>
    <row r="64" spans="2:25">
      <c r="B64" s="70"/>
      <c r="C64" s="70"/>
      <c r="D64" s="70"/>
      <c r="E64" s="70"/>
      <c r="F64" s="70"/>
      <c r="G64" s="70"/>
      <c r="H64" s="70"/>
      <c r="I64" s="70"/>
      <c r="J64" s="70"/>
      <c r="K64" s="70"/>
    </row>
    <row r="65" spans="2:25">
      <c r="B65" s="70"/>
      <c r="C65" s="70"/>
      <c r="D65" s="70"/>
      <c r="E65" s="70"/>
      <c r="F65" s="70"/>
      <c r="G65" s="70"/>
      <c r="H65" s="70"/>
      <c r="I65" s="70"/>
      <c r="J65" s="70"/>
      <c r="K65" s="70"/>
      <c r="M65" s="22" t="s">
        <v>37</v>
      </c>
      <c r="N65" s="22" t="s">
        <v>38</v>
      </c>
      <c r="P65" s="13">
        <v>2007</v>
      </c>
      <c r="Q65" s="13">
        <v>2008</v>
      </c>
      <c r="R65" s="13">
        <v>2009</v>
      </c>
      <c r="S65" s="13">
        <v>2010</v>
      </c>
      <c r="T65" s="13">
        <v>2011</v>
      </c>
      <c r="U65" s="13">
        <v>2012</v>
      </c>
      <c r="V65" s="13">
        <v>2013</v>
      </c>
      <c r="W65" s="13">
        <v>2014</v>
      </c>
      <c r="X65" s="13">
        <v>2015</v>
      </c>
      <c r="Y65" s="13">
        <v>2016</v>
      </c>
    </row>
    <row r="66" spans="2:25">
      <c r="B66" s="70"/>
      <c r="C66" s="70"/>
      <c r="D66" s="70"/>
      <c r="E66" s="70"/>
      <c r="F66" s="70"/>
      <c r="G66" s="70"/>
      <c r="H66" s="70"/>
      <c r="I66" s="70"/>
      <c r="J66" s="70"/>
      <c r="K66" s="70"/>
      <c r="L66" s="520"/>
      <c r="M66" s="24"/>
      <c r="N66" s="24"/>
      <c r="P66" s="24"/>
      <c r="Q66" s="24"/>
      <c r="R66" s="24"/>
      <c r="S66" s="24"/>
      <c r="T66" s="24"/>
      <c r="U66" s="24"/>
      <c r="V66" s="24"/>
      <c r="W66" s="24"/>
      <c r="X66" s="24"/>
      <c r="Y66" s="24"/>
    </row>
    <row r="67" spans="2:25" ht="15" customHeight="1">
      <c r="B67" s="70"/>
      <c r="C67" s="70"/>
      <c r="D67" s="70"/>
      <c r="E67" s="70"/>
      <c r="F67" s="70"/>
      <c r="G67" s="70"/>
      <c r="H67" s="70"/>
      <c r="I67" s="70"/>
      <c r="J67" s="70"/>
      <c r="K67" s="70"/>
      <c r="L67" s="521"/>
      <c r="M67" s="24" t="s">
        <v>150</v>
      </c>
      <c r="N67" s="25">
        <v>1</v>
      </c>
      <c r="O67" s="12" t="s">
        <v>21</v>
      </c>
      <c r="P67" s="24">
        <f t="shared" ref="P67:Y67" si="43">VLOOKUP(P$65&amp;"AllSex"&amp;"AllEth"&amp;22&amp;1,deptable,7,FALSE)</f>
        <v>12</v>
      </c>
      <c r="Q67" s="24">
        <f t="shared" si="43"/>
        <v>18</v>
      </c>
      <c r="R67" s="24">
        <f t="shared" si="43"/>
        <v>16</v>
      </c>
      <c r="S67" s="24">
        <f t="shared" si="43"/>
        <v>11</v>
      </c>
      <c r="T67" s="24">
        <f t="shared" si="43"/>
        <v>11</v>
      </c>
      <c r="U67" s="24">
        <f t="shared" si="43"/>
        <v>11</v>
      </c>
      <c r="V67" s="24">
        <f t="shared" si="43"/>
        <v>8</v>
      </c>
      <c r="W67" s="24">
        <f t="shared" si="43"/>
        <v>11</v>
      </c>
      <c r="X67" s="24">
        <f t="shared" si="43"/>
        <v>18</v>
      </c>
      <c r="Y67" s="24">
        <f t="shared" si="43"/>
        <v>16</v>
      </c>
    </row>
    <row r="68" spans="2:25">
      <c r="B68" s="70"/>
      <c r="C68" s="70"/>
      <c r="D68" s="70"/>
      <c r="E68" s="70"/>
      <c r="F68" s="70"/>
      <c r="G68" s="70"/>
      <c r="H68" s="70"/>
      <c r="I68" s="70"/>
      <c r="J68" s="70"/>
      <c r="K68" s="70"/>
      <c r="L68" s="522"/>
      <c r="M68" s="197"/>
      <c r="N68" s="198">
        <v>2</v>
      </c>
      <c r="O68" s="171"/>
      <c r="P68" s="197">
        <f t="shared" ref="P68:Y68" si="44">VLOOKUP(P$65&amp;"AllSex"&amp;"AllEth"&amp;22&amp;2,deptable,7,FALSE)</f>
        <v>11</v>
      </c>
      <c r="Q68" s="197">
        <f t="shared" si="44"/>
        <v>18</v>
      </c>
      <c r="R68" s="197">
        <f t="shared" si="44"/>
        <v>12</v>
      </c>
      <c r="S68" s="197">
        <f t="shared" si="44"/>
        <v>13</v>
      </c>
      <c r="T68" s="197">
        <f t="shared" si="44"/>
        <v>19</v>
      </c>
      <c r="U68" s="197">
        <f t="shared" si="44"/>
        <v>16</v>
      </c>
      <c r="V68" s="197">
        <f t="shared" si="44"/>
        <v>11</v>
      </c>
      <c r="W68" s="197">
        <f t="shared" si="44"/>
        <v>12</v>
      </c>
      <c r="X68" s="197">
        <f t="shared" si="44"/>
        <v>15</v>
      </c>
      <c r="Y68" s="197">
        <f t="shared" si="44"/>
        <v>11</v>
      </c>
    </row>
    <row r="69" spans="2:25">
      <c r="B69" s="70"/>
      <c r="C69" s="70"/>
      <c r="D69" s="70"/>
      <c r="E69" s="70"/>
      <c r="F69" s="70"/>
      <c r="G69" s="70"/>
      <c r="H69" s="70"/>
      <c r="I69" s="70"/>
      <c r="J69" s="70"/>
      <c r="K69" s="70"/>
      <c r="L69" s="521"/>
      <c r="M69" s="197"/>
      <c r="N69" s="198">
        <v>3</v>
      </c>
      <c r="O69" s="171"/>
      <c r="P69" s="197">
        <f t="shared" ref="P69:Y69" si="45">VLOOKUP(P$65&amp;"AllSex"&amp;"AllEth"&amp;22&amp;3,deptable,7,FALSE)</f>
        <v>21</v>
      </c>
      <c r="Q69" s="197">
        <f t="shared" si="45"/>
        <v>20</v>
      </c>
      <c r="R69" s="197">
        <f t="shared" si="45"/>
        <v>22</v>
      </c>
      <c r="S69" s="197">
        <f t="shared" si="45"/>
        <v>19</v>
      </c>
      <c r="T69" s="197">
        <f t="shared" si="45"/>
        <v>25</v>
      </c>
      <c r="U69" s="197">
        <f t="shared" si="45"/>
        <v>30</v>
      </c>
      <c r="V69" s="197">
        <f t="shared" si="45"/>
        <v>17</v>
      </c>
      <c r="W69" s="197">
        <f t="shared" si="45"/>
        <v>18</v>
      </c>
      <c r="X69" s="197">
        <f t="shared" si="45"/>
        <v>14</v>
      </c>
      <c r="Y69" s="197">
        <f t="shared" si="45"/>
        <v>15</v>
      </c>
    </row>
    <row r="70" spans="2:25">
      <c r="B70" s="70"/>
      <c r="C70" s="70"/>
      <c r="D70" s="70"/>
      <c r="E70" s="70"/>
      <c r="F70" s="70"/>
      <c r="G70" s="70"/>
      <c r="H70" s="70"/>
      <c r="I70" s="70"/>
      <c r="J70" s="70"/>
      <c r="K70" s="70"/>
      <c r="L70" s="522"/>
      <c r="M70" s="197"/>
      <c r="N70" s="198">
        <v>4</v>
      </c>
      <c r="O70" s="171"/>
      <c r="P70" s="197">
        <f t="shared" ref="P70:Y70" si="46">VLOOKUP(P$65&amp;"AllSex"&amp;"AllEth"&amp;22&amp;4,deptable,7,FALSE)</f>
        <v>20</v>
      </c>
      <c r="Q70" s="197">
        <f t="shared" si="46"/>
        <v>24</v>
      </c>
      <c r="R70" s="197">
        <f t="shared" si="46"/>
        <v>29</v>
      </c>
      <c r="S70" s="197">
        <f t="shared" si="46"/>
        <v>25</v>
      </c>
      <c r="T70" s="197">
        <f t="shared" si="46"/>
        <v>22</v>
      </c>
      <c r="U70" s="197">
        <f t="shared" si="46"/>
        <v>39</v>
      </c>
      <c r="V70" s="197">
        <f t="shared" si="46"/>
        <v>26</v>
      </c>
      <c r="W70" s="197">
        <f t="shared" si="46"/>
        <v>15</v>
      </c>
      <c r="X70" s="197">
        <f t="shared" si="46"/>
        <v>27</v>
      </c>
      <c r="Y70" s="197">
        <f t="shared" si="46"/>
        <v>43</v>
      </c>
    </row>
    <row r="71" spans="2:25">
      <c r="B71" s="70"/>
      <c r="C71" s="70"/>
      <c r="D71" s="70"/>
      <c r="E71" s="70"/>
      <c r="F71" s="70"/>
      <c r="G71" s="70"/>
      <c r="H71" s="70"/>
      <c r="I71" s="70"/>
      <c r="J71" s="70"/>
      <c r="K71" s="70"/>
      <c r="M71" s="197"/>
      <c r="N71" s="198">
        <v>5</v>
      </c>
      <c r="O71" s="171"/>
      <c r="P71" s="197">
        <f t="shared" ref="P71:Y71" si="47">VLOOKUP(P$65&amp;"AllSex"&amp;"AllEth"&amp;22&amp;5,deptable,7,FALSE)</f>
        <v>27</v>
      </c>
      <c r="Q71" s="197">
        <f t="shared" si="47"/>
        <v>35</v>
      </c>
      <c r="R71" s="197">
        <f t="shared" si="47"/>
        <v>37</v>
      </c>
      <c r="S71" s="197">
        <f t="shared" si="47"/>
        <v>41</v>
      </c>
      <c r="T71" s="197">
        <f t="shared" si="47"/>
        <v>50</v>
      </c>
      <c r="U71" s="197">
        <f t="shared" si="47"/>
        <v>48</v>
      </c>
      <c r="V71" s="197">
        <f t="shared" si="47"/>
        <v>46</v>
      </c>
      <c r="W71" s="197">
        <f t="shared" si="47"/>
        <v>31</v>
      </c>
      <c r="X71" s="197">
        <f t="shared" si="47"/>
        <v>35</v>
      </c>
      <c r="Y71" s="197">
        <f t="shared" si="47"/>
        <v>26</v>
      </c>
    </row>
    <row r="72" spans="2:25" ht="13.5" customHeight="1">
      <c r="B72" s="70"/>
      <c r="C72" s="70"/>
      <c r="D72" s="70"/>
      <c r="E72" s="70"/>
      <c r="F72" s="70"/>
      <c r="G72" s="70"/>
      <c r="H72" s="70"/>
      <c r="I72" s="70"/>
      <c r="J72" s="70"/>
      <c r="K72" s="70"/>
      <c r="M72" s="199"/>
      <c r="N72" s="199"/>
      <c r="O72" s="200"/>
      <c r="P72" s="199"/>
      <c r="Q72" s="199"/>
      <c r="R72" s="199"/>
      <c r="S72" s="199"/>
      <c r="T72" s="199"/>
      <c r="U72" s="199"/>
      <c r="V72" s="199"/>
      <c r="W72" s="199"/>
      <c r="X72" s="199"/>
      <c r="Y72" s="199"/>
    </row>
    <row r="73" spans="2:25" ht="18.75" customHeight="1">
      <c r="B73" s="70"/>
      <c r="C73" s="70"/>
      <c r="D73" s="70"/>
      <c r="E73" s="70"/>
      <c r="F73" s="70"/>
      <c r="G73" s="70"/>
      <c r="H73" s="70"/>
      <c r="I73" s="70"/>
      <c r="J73" s="70"/>
      <c r="K73" s="70"/>
      <c r="M73" s="197" t="s">
        <v>35</v>
      </c>
      <c r="N73" s="198">
        <v>1</v>
      </c>
      <c r="O73" s="171" t="s">
        <v>21</v>
      </c>
      <c r="P73" s="197">
        <f t="shared" ref="P73:Y73" si="48">VLOOKUP(P$65&amp;"AllSex"&amp;"AllEth"&amp;23&amp;1,deptable,7,FALSE)</f>
        <v>28</v>
      </c>
      <c r="Q73" s="197">
        <f t="shared" si="48"/>
        <v>24</v>
      </c>
      <c r="R73" s="197">
        <f t="shared" si="48"/>
        <v>19</v>
      </c>
      <c r="S73" s="197">
        <f t="shared" si="48"/>
        <v>35</v>
      </c>
      <c r="T73" s="197">
        <f t="shared" si="48"/>
        <v>25</v>
      </c>
      <c r="U73" s="197">
        <f t="shared" si="48"/>
        <v>19</v>
      </c>
      <c r="V73" s="197">
        <f t="shared" si="48"/>
        <v>17</v>
      </c>
      <c r="W73" s="197">
        <f t="shared" si="48"/>
        <v>20</v>
      </c>
      <c r="X73" s="197">
        <f t="shared" si="48"/>
        <v>21</v>
      </c>
      <c r="Y73" s="197">
        <f t="shared" si="48"/>
        <v>15</v>
      </c>
    </row>
    <row r="74" spans="2:25">
      <c r="B74" s="70"/>
      <c r="C74" s="70"/>
      <c r="D74" s="70"/>
      <c r="E74" s="70"/>
      <c r="F74" s="70"/>
      <c r="G74" s="70"/>
      <c r="H74" s="70"/>
      <c r="I74" s="70"/>
      <c r="J74" s="70"/>
      <c r="K74" s="70"/>
      <c r="M74" s="197"/>
      <c r="N74" s="198">
        <v>2</v>
      </c>
      <c r="O74" s="171"/>
      <c r="P74" s="197">
        <f t="shared" ref="P74:Y74" si="49">VLOOKUP(P$65&amp;"AllSex"&amp;"AllEth"&amp;23&amp;2,deptable,7,FALSE)</f>
        <v>31</v>
      </c>
      <c r="Q74" s="197">
        <f t="shared" si="49"/>
        <v>26</v>
      </c>
      <c r="R74" s="197">
        <f t="shared" si="49"/>
        <v>31</v>
      </c>
      <c r="S74" s="197">
        <f t="shared" si="49"/>
        <v>33</v>
      </c>
      <c r="T74" s="197">
        <f t="shared" si="49"/>
        <v>24</v>
      </c>
      <c r="U74" s="197">
        <f t="shared" si="49"/>
        <v>27</v>
      </c>
      <c r="V74" s="197">
        <f t="shared" si="49"/>
        <v>26</v>
      </c>
      <c r="W74" s="197">
        <f t="shared" si="49"/>
        <v>25</v>
      </c>
      <c r="X74" s="197">
        <f t="shared" si="49"/>
        <v>29</v>
      </c>
      <c r="Y74" s="197">
        <f t="shared" si="49"/>
        <v>22</v>
      </c>
    </row>
    <row r="75" spans="2:25" ht="18.75" customHeight="1">
      <c r="B75" s="70"/>
      <c r="C75" s="70"/>
      <c r="D75" s="70"/>
      <c r="E75" s="70"/>
      <c r="F75" s="70"/>
      <c r="G75" s="70"/>
      <c r="H75" s="70"/>
      <c r="I75" s="70"/>
      <c r="J75" s="70"/>
      <c r="K75" s="70"/>
      <c r="M75" s="197"/>
      <c r="N75" s="198">
        <v>3</v>
      </c>
      <c r="O75" s="171"/>
      <c r="P75" s="197">
        <f t="shared" ref="P75:Y75" si="50">VLOOKUP(P$65&amp;"AllSex"&amp;"AllEth"&amp;23&amp;3,deptable,7,FALSE)</f>
        <v>43</v>
      </c>
      <c r="Q75" s="197">
        <f t="shared" si="50"/>
        <v>33</v>
      </c>
      <c r="R75" s="197">
        <f t="shared" si="50"/>
        <v>31</v>
      </c>
      <c r="S75" s="197">
        <f t="shared" si="50"/>
        <v>37</v>
      </c>
      <c r="T75" s="197">
        <f t="shared" si="50"/>
        <v>27</v>
      </c>
      <c r="U75" s="197">
        <f t="shared" si="50"/>
        <v>38</v>
      </c>
      <c r="V75" s="197">
        <f t="shared" si="50"/>
        <v>30</v>
      </c>
      <c r="W75" s="197">
        <f t="shared" si="50"/>
        <v>34</v>
      </c>
      <c r="X75" s="197">
        <f t="shared" si="50"/>
        <v>30</v>
      </c>
      <c r="Y75" s="197">
        <f t="shared" si="50"/>
        <v>38</v>
      </c>
    </row>
    <row r="76" spans="2:25">
      <c r="B76" s="70"/>
      <c r="C76" s="70"/>
      <c r="D76" s="70"/>
      <c r="E76" s="70"/>
      <c r="F76" s="70"/>
      <c r="G76" s="70"/>
      <c r="H76" s="70"/>
      <c r="I76" s="70"/>
      <c r="J76" s="70"/>
      <c r="K76" s="70"/>
      <c r="M76" s="197"/>
      <c r="N76" s="198">
        <v>4</v>
      </c>
      <c r="O76" s="171"/>
      <c r="P76" s="197">
        <f t="shared" ref="P76:Y76" si="51">VLOOKUP(P$65&amp;"AllSex"&amp;"AllEth"&amp;23&amp;4,deptable,7,FALSE)</f>
        <v>43</v>
      </c>
      <c r="Q76" s="197">
        <f t="shared" si="51"/>
        <v>40</v>
      </c>
      <c r="R76" s="197">
        <f t="shared" si="51"/>
        <v>41</v>
      </c>
      <c r="S76" s="197">
        <f t="shared" si="51"/>
        <v>41</v>
      </c>
      <c r="T76" s="197">
        <f t="shared" si="51"/>
        <v>33</v>
      </c>
      <c r="U76" s="197">
        <f t="shared" si="51"/>
        <v>48</v>
      </c>
      <c r="V76" s="197">
        <f t="shared" si="51"/>
        <v>32</v>
      </c>
      <c r="W76" s="197">
        <f t="shared" si="51"/>
        <v>47</v>
      </c>
      <c r="X76" s="197">
        <f t="shared" si="51"/>
        <v>38</v>
      </c>
      <c r="Y76" s="197">
        <f t="shared" si="51"/>
        <v>59</v>
      </c>
    </row>
    <row r="77" spans="2:25">
      <c r="B77" s="70"/>
      <c r="C77" s="81" t="s">
        <v>315</v>
      </c>
      <c r="D77" s="81"/>
      <c r="E77" s="81"/>
      <c r="F77" s="81"/>
      <c r="G77" s="70"/>
      <c r="H77" s="70"/>
      <c r="I77" s="70"/>
      <c r="J77" s="70"/>
      <c r="K77" s="70"/>
      <c r="M77" s="197"/>
      <c r="N77" s="198">
        <v>5</v>
      </c>
      <c r="O77" s="171"/>
      <c r="P77" s="197">
        <f t="shared" ref="P77:Y77" si="52">VLOOKUP(P$65&amp;"AllSex"&amp;"AllEth"&amp;23&amp;5,deptable,7,FALSE)</f>
        <v>58</v>
      </c>
      <c r="Q77" s="197">
        <f t="shared" si="52"/>
        <v>51</v>
      </c>
      <c r="R77" s="197">
        <f t="shared" si="52"/>
        <v>51</v>
      </c>
      <c r="S77" s="197">
        <f t="shared" si="52"/>
        <v>46</v>
      </c>
      <c r="T77" s="197">
        <f t="shared" si="52"/>
        <v>52</v>
      </c>
      <c r="U77" s="197">
        <f t="shared" si="52"/>
        <v>44</v>
      </c>
      <c r="V77" s="197">
        <f t="shared" si="52"/>
        <v>46</v>
      </c>
      <c r="W77" s="197">
        <f t="shared" si="52"/>
        <v>58</v>
      </c>
      <c r="X77" s="197">
        <f t="shared" si="52"/>
        <v>53</v>
      </c>
      <c r="Y77" s="197">
        <f t="shared" si="52"/>
        <v>65</v>
      </c>
    </row>
    <row r="78" spans="2:25">
      <c r="B78" s="70"/>
      <c r="C78" s="81" t="s">
        <v>100</v>
      </c>
      <c r="D78" s="81"/>
      <c r="E78" s="81"/>
      <c r="F78" s="81"/>
      <c r="G78" s="70"/>
      <c r="H78" s="70"/>
      <c r="I78" s="70"/>
      <c r="J78" s="70"/>
      <c r="K78" s="70"/>
      <c r="M78" s="199"/>
      <c r="N78" s="199"/>
      <c r="O78" s="200"/>
      <c r="P78" s="199"/>
      <c r="Q78" s="199"/>
      <c r="R78" s="199"/>
      <c r="S78" s="199"/>
      <c r="T78" s="199"/>
      <c r="U78" s="199"/>
      <c r="V78" s="199"/>
      <c r="W78" s="199"/>
      <c r="X78" s="199"/>
      <c r="Y78" s="199"/>
    </row>
    <row r="79" spans="2:25">
      <c r="B79" s="70"/>
      <c r="C79" s="70"/>
      <c r="D79" s="70"/>
      <c r="E79" s="70"/>
      <c r="F79" s="70"/>
      <c r="G79" s="70"/>
      <c r="H79" s="70"/>
      <c r="I79" s="70"/>
      <c r="J79" s="70"/>
      <c r="K79" s="70"/>
      <c r="M79" s="197"/>
      <c r="N79" s="198">
        <v>1</v>
      </c>
      <c r="O79" s="171" t="s">
        <v>21</v>
      </c>
      <c r="P79" s="197">
        <f t="shared" ref="P79:Y79" si="53">VLOOKUP(P$65&amp;"AllSex"&amp;"AllEth"&amp;24&amp;1,deptable,7,FALSE)</f>
        <v>20</v>
      </c>
      <c r="Q79" s="197">
        <f t="shared" si="53"/>
        <v>33</v>
      </c>
      <c r="R79" s="197">
        <f t="shared" si="53"/>
        <v>25</v>
      </c>
      <c r="S79" s="197">
        <f t="shared" si="53"/>
        <v>33</v>
      </c>
      <c r="T79" s="197">
        <f t="shared" si="53"/>
        <v>32</v>
      </c>
      <c r="U79" s="197">
        <f t="shared" si="53"/>
        <v>17</v>
      </c>
      <c r="V79" s="197">
        <f t="shared" si="53"/>
        <v>38</v>
      </c>
      <c r="W79" s="197">
        <f t="shared" si="53"/>
        <v>21</v>
      </c>
      <c r="X79" s="197">
        <f t="shared" si="53"/>
        <v>24</v>
      </c>
      <c r="Y79" s="197">
        <f t="shared" si="53"/>
        <v>28</v>
      </c>
    </row>
    <row r="80" spans="2:25">
      <c r="M80" s="197" t="s">
        <v>36</v>
      </c>
      <c r="N80" s="198">
        <v>2</v>
      </c>
      <c r="O80" s="171"/>
      <c r="P80" s="197">
        <f t="shared" ref="P80:Y80" si="54">VLOOKUP(P$65&amp;"AllSex"&amp;"AllEth"&amp;24&amp;2,deptable,7,FALSE)</f>
        <v>22</v>
      </c>
      <c r="Q80" s="197">
        <f t="shared" si="54"/>
        <v>29</v>
      </c>
      <c r="R80" s="197">
        <f t="shared" si="54"/>
        <v>34</v>
      </c>
      <c r="S80" s="197">
        <f t="shared" si="54"/>
        <v>31</v>
      </c>
      <c r="T80" s="197">
        <f t="shared" si="54"/>
        <v>24</v>
      </c>
      <c r="U80" s="197">
        <f t="shared" si="54"/>
        <v>27</v>
      </c>
      <c r="V80" s="197">
        <f t="shared" si="54"/>
        <v>35</v>
      </c>
      <c r="W80" s="197">
        <f t="shared" si="54"/>
        <v>28</v>
      </c>
      <c r="X80" s="197">
        <f t="shared" si="54"/>
        <v>38</v>
      </c>
      <c r="Y80" s="197">
        <f t="shared" si="54"/>
        <v>26</v>
      </c>
    </row>
    <row r="81" spans="2:26">
      <c r="M81" s="197"/>
      <c r="N81" s="198">
        <v>3</v>
      </c>
      <c r="O81" s="171"/>
      <c r="P81" s="197">
        <f t="shared" ref="P81:Y81" si="55">VLOOKUP(P$65&amp;"AllSex"&amp;"AllEth"&amp;24&amp;3,deptable,7,FALSE)</f>
        <v>34</v>
      </c>
      <c r="Q81" s="197">
        <f t="shared" si="55"/>
        <v>38</v>
      </c>
      <c r="R81" s="197">
        <f t="shared" si="55"/>
        <v>24</v>
      </c>
      <c r="S81" s="197">
        <f t="shared" si="55"/>
        <v>27</v>
      </c>
      <c r="T81" s="197">
        <f t="shared" si="55"/>
        <v>37</v>
      </c>
      <c r="U81" s="197">
        <f t="shared" si="55"/>
        <v>32</v>
      </c>
      <c r="V81" s="197">
        <f t="shared" si="55"/>
        <v>26</v>
      </c>
      <c r="W81" s="197">
        <f t="shared" si="55"/>
        <v>29</v>
      </c>
      <c r="X81" s="197">
        <f t="shared" si="55"/>
        <v>33</v>
      </c>
      <c r="Y81" s="197">
        <f t="shared" si="55"/>
        <v>33</v>
      </c>
      <c r="Z81" s="23"/>
    </row>
    <row r="82" spans="2:26">
      <c r="B82" s="70"/>
      <c r="C82" s="70"/>
      <c r="D82" s="70"/>
      <c r="E82" s="70"/>
      <c r="F82" s="70"/>
      <c r="G82" s="70"/>
      <c r="H82" s="70"/>
      <c r="I82" s="70"/>
      <c r="J82" s="70"/>
      <c r="K82" s="70"/>
      <c r="M82" s="197"/>
      <c r="N82" s="198">
        <v>4</v>
      </c>
      <c r="O82" s="171"/>
      <c r="P82" s="197">
        <f t="shared" ref="P82:Y82" si="56">VLOOKUP(P$65&amp;"AllSex"&amp;"AllEth"&amp;24&amp;4,deptable,7,FALSE)</f>
        <v>31</v>
      </c>
      <c r="Q82" s="197">
        <f t="shared" si="56"/>
        <v>29</v>
      </c>
      <c r="R82" s="197">
        <f t="shared" si="56"/>
        <v>44</v>
      </c>
      <c r="S82" s="197">
        <f t="shared" si="56"/>
        <v>33</v>
      </c>
      <c r="T82" s="197">
        <f t="shared" si="56"/>
        <v>26</v>
      </c>
      <c r="U82" s="197">
        <f t="shared" si="56"/>
        <v>37</v>
      </c>
      <c r="V82" s="197">
        <f t="shared" si="56"/>
        <v>35</v>
      </c>
      <c r="W82" s="197">
        <f t="shared" si="56"/>
        <v>40</v>
      </c>
      <c r="X82" s="197">
        <f t="shared" si="56"/>
        <v>37</v>
      </c>
      <c r="Y82" s="197">
        <f t="shared" si="56"/>
        <v>40</v>
      </c>
    </row>
    <row r="83" spans="2:26" ht="16.5" customHeight="1">
      <c r="B83" s="70"/>
      <c r="C83" s="661" t="s">
        <v>525</v>
      </c>
      <c r="D83" s="658"/>
      <c r="E83" s="658"/>
      <c r="F83" s="658"/>
      <c r="G83" s="658"/>
      <c r="H83" s="658"/>
      <c r="I83" s="658"/>
      <c r="J83" s="658"/>
      <c r="K83" s="658"/>
      <c r="M83" s="197"/>
      <c r="N83" s="198">
        <v>5</v>
      </c>
      <c r="O83" s="171"/>
      <c r="P83" s="197">
        <f t="shared" ref="P83:Y83" si="57">VLOOKUP(P$65&amp;"AllSex"&amp;"AllEth"&amp;24&amp;5,deptable,7,FALSE)</f>
        <v>27</v>
      </c>
      <c r="Q83" s="197">
        <f t="shared" si="57"/>
        <v>21</v>
      </c>
      <c r="R83" s="197">
        <f t="shared" si="57"/>
        <v>29</v>
      </c>
      <c r="S83" s="197">
        <f t="shared" si="57"/>
        <v>31</v>
      </c>
      <c r="T83" s="197">
        <f t="shared" si="57"/>
        <v>25</v>
      </c>
      <c r="U83" s="197">
        <f t="shared" si="57"/>
        <v>29</v>
      </c>
      <c r="V83" s="197">
        <f t="shared" si="57"/>
        <v>37</v>
      </c>
      <c r="W83" s="197">
        <f t="shared" si="57"/>
        <v>38</v>
      </c>
      <c r="X83" s="197">
        <f t="shared" si="57"/>
        <v>37</v>
      </c>
      <c r="Y83" s="197">
        <f t="shared" si="57"/>
        <v>44</v>
      </c>
    </row>
    <row r="84" spans="2:26">
      <c r="B84" s="70"/>
      <c r="C84" s="70"/>
      <c r="D84" s="70"/>
      <c r="E84" s="70"/>
      <c r="F84" s="70"/>
      <c r="G84" s="70"/>
      <c r="H84" s="70"/>
      <c r="I84" s="70"/>
      <c r="J84" s="70"/>
      <c r="K84" s="70"/>
      <c r="M84" s="199"/>
      <c r="N84" s="199"/>
      <c r="O84" s="200"/>
      <c r="P84" s="199"/>
      <c r="Q84" s="199"/>
      <c r="R84" s="199"/>
      <c r="S84" s="199"/>
      <c r="T84" s="199"/>
      <c r="U84" s="199"/>
      <c r="V84" s="199"/>
      <c r="W84" s="199"/>
      <c r="X84" s="199"/>
      <c r="Y84" s="199"/>
    </row>
    <row r="85" spans="2:26">
      <c r="B85" s="70"/>
      <c r="C85" s="70"/>
      <c r="D85" s="70"/>
      <c r="E85" s="438" t="s">
        <v>102</v>
      </c>
      <c r="F85" s="70"/>
      <c r="G85" s="70"/>
      <c r="H85" s="70"/>
      <c r="I85" s="438" t="s">
        <v>103</v>
      </c>
      <c r="J85" s="70"/>
      <c r="K85" s="70"/>
      <c r="M85" s="197"/>
      <c r="N85" s="198">
        <v>1</v>
      </c>
      <c r="O85" s="171" t="s">
        <v>21</v>
      </c>
      <c r="P85" s="197">
        <f t="shared" ref="P85:Y85" si="58">VLOOKUP(P$65&amp;"AllSex"&amp;"AllEth"&amp;25&amp;1,deptable,7,FALSE)</f>
        <v>9</v>
      </c>
      <c r="Q85" s="197">
        <f t="shared" si="58"/>
        <v>8</v>
      </c>
      <c r="R85" s="197">
        <f t="shared" si="58"/>
        <v>13</v>
      </c>
      <c r="S85" s="197">
        <f t="shared" si="58"/>
        <v>11</v>
      </c>
      <c r="T85" s="197">
        <f t="shared" si="58"/>
        <v>7</v>
      </c>
      <c r="U85" s="197">
        <f t="shared" si="58"/>
        <v>5</v>
      </c>
      <c r="V85" s="197">
        <f t="shared" si="58"/>
        <v>9</v>
      </c>
      <c r="W85" s="197">
        <f t="shared" si="58"/>
        <v>10</v>
      </c>
      <c r="X85" s="197">
        <f t="shared" si="58"/>
        <v>18</v>
      </c>
      <c r="Y85" s="197">
        <f t="shared" si="58"/>
        <v>11</v>
      </c>
    </row>
    <row r="86" spans="2:26">
      <c r="B86" s="70"/>
      <c r="C86" s="70"/>
      <c r="D86" s="70"/>
      <c r="E86" s="70"/>
      <c r="F86" s="70"/>
      <c r="G86" s="70"/>
      <c r="H86" s="70"/>
      <c r="I86" s="70"/>
      <c r="J86" s="70"/>
      <c r="K86" s="70"/>
      <c r="M86" s="197" t="s">
        <v>26</v>
      </c>
      <c r="N86" s="198">
        <v>2</v>
      </c>
      <c r="O86" s="171"/>
      <c r="P86" s="197">
        <f t="shared" ref="P86:Y86" si="59">VLOOKUP(P$65&amp;"AllSex"&amp;"AllEth"&amp;25&amp;2,deptable,7,FALSE)</f>
        <v>10</v>
      </c>
      <c r="Q86" s="197">
        <f t="shared" si="59"/>
        <v>12</v>
      </c>
      <c r="R86" s="197">
        <f t="shared" si="59"/>
        <v>9</v>
      </c>
      <c r="S86" s="197">
        <f t="shared" si="59"/>
        <v>11</v>
      </c>
      <c r="T86" s="197">
        <f t="shared" si="59"/>
        <v>8</v>
      </c>
      <c r="U86" s="197">
        <f t="shared" si="59"/>
        <v>14</v>
      </c>
      <c r="V86" s="197">
        <f t="shared" si="59"/>
        <v>11</v>
      </c>
      <c r="W86" s="197">
        <f t="shared" si="59"/>
        <v>7</v>
      </c>
      <c r="X86" s="197">
        <f t="shared" si="59"/>
        <v>12</v>
      </c>
      <c r="Y86" s="197">
        <f t="shared" si="59"/>
        <v>11</v>
      </c>
    </row>
    <row r="87" spans="2:26">
      <c r="B87" s="70"/>
      <c r="C87" s="70"/>
      <c r="D87" s="70"/>
      <c r="E87" s="70"/>
      <c r="F87" s="70"/>
      <c r="G87" s="70"/>
      <c r="H87" s="70"/>
      <c r="I87" s="70"/>
      <c r="J87" s="70"/>
      <c r="K87" s="70"/>
      <c r="M87" s="197"/>
      <c r="N87" s="198">
        <v>3</v>
      </c>
      <c r="O87" s="171"/>
      <c r="P87" s="197">
        <f t="shared" ref="P87:Y87" si="60">VLOOKUP(P$65&amp;"AllSex"&amp;"AllEth"&amp;25&amp;3,deptable,7,FALSE)</f>
        <v>7</v>
      </c>
      <c r="Q87" s="197">
        <f t="shared" si="60"/>
        <v>12</v>
      </c>
      <c r="R87" s="197">
        <f t="shared" si="60"/>
        <v>9</v>
      </c>
      <c r="S87" s="197">
        <f t="shared" si="60"/>
        <v>14</v>
      </c>
      <c r="T87" s="197">
        <f t="shared" si="60"/>
        <v>13</v>
      </c>
      <c r="U87" s="197">
        <f t="shared" si="60"/>
        <v>16</v>
      </c>
      <c r="V87" s="197">
        <f t="shared" si="60"/>
        <v>24</v>
      </c>
      <c r="W87" s="197">
        <f t="shared" si="60"/>
        <v>12</v>
      </c>
      <c r="X87" s="197">
        <f t="shared" si="60"/>
        <v>11</v>
      </c>
      <c r="Y87" s="197">
        <f t="shared" si="60"/>
        <v>20</v>
      </c>
    </row>
    <row r="88" spans="2:26">
      <c r="B88" s="70"/>
      <c r="C88" s="70"/>
      <c r="D88" s="70"/>
      <c r="E88" s="70"/>
      <c r="F88" s="70"/>
      <c r="G88" s="70"/>
      <c r="H88" s="70"/>
      <c r="I88" s="70"/>
      <c r="J88" s="70"/>
      <c r="K88" s="70"/>
      <c r="M88" s="197"/>
      <c r="N88" s="198">
        <v>4</v>
      </c>
      <c r="O88" s="171"/>
      <c r="P88" s="197">
        <f t="shared" ref="P88:Y88" si="61">VLOOKUP(P$65&amp;"AllSex"&amp;"AllEth"&amp;25&amp;4,deptable,7,FALSE)</f>
        <v>15</v>
      </c>
      <c r="Q88" s="197">
        <f t="shared" si="61"/>
        <v>8</v>
      </c>
      <c r="R88" s="197">
        <f t="shared" si="61"/>
        <v>13</v>
      </c>
      <c r="S88" s="197">
        <f t="shared" si="61"/>
        <v>15</v>
      </c>
      <c r="T88" s="197">
        <f t="shared" si="61"/>
        <v>8</v>
      </c>
      <c r="U88" s="197">
        <f t="shared" si="61"/>
        <v>10</v>
      </c>
      <c r="V88" s="197">
        <f t="shared" si="61"/>
        <v>6</v>
      </c>
      <c r="W88" s="197">
        <f t="shared" si="61"/>
        <v>17</v>
      </c>
      <c r="X88" s="197">
        <f t="shared" si="61"/>
        <v>16</v>
      </c>
      <c r="Y88" s="197">
        <f t="shared" si="61"/>
        <v>11</v>
      </c>
    </row>
    <row r="89" spans="2:26">
      <c r="B89" s="70"/>
      <c r="C89" s="70"/>
      <c r="D89" s="70"/>
      <c r="E89" s="70"/>
      <c r="F89" s="70"/>
      <c r="G89" s="70"/>
      <c r="H89" s="70"/>
      <c r="I89" s="70"/>
      <c r="J89" s="70"/>
      <c r="K89" s="70"/>
      <c r="M89" s="197"/>
      <c r="N89" s="198">
        <v>5</v>
      </c>
      <c r="O89" s="171"/>
      <c r="P89" s="197">
        <f t="shared" ref="P89:Y89" si="62">VLOOKUP(P$65&amp;"AllSex"&amp;"AllEth"&amp;25&amp;5,deptable,7,FALSE)</f>
        <v>8</v>
      </c>
      <c r="Q89" s="197">
        <f t="shared" si="62"/>
        <v>9</v>
      </c>
      <c r="R89" s="197">
        <f t="shared" si="62"/>
        <v>8</v>
      </c>
      <c r="S89" s="197">
        <f t="shared" si="62"/>
        <v>4</v>
      </c>
      <c r="T89" s="197">
        <f t="shared" si="62"/>
        <v>7</v>
      </c>
      <c r="U89" s="197">
        <f t="shared" si="62"/>
        <v>10</v>
      </c>
      <c r="V89" s="197">
        <f t="shared" si="62"/>
        <v>3</v>
      </c>
      <c r="W89" s="197">
        <f t="shared" si="62"/>
        <v>13</v>
      </c>
      <c r="X89" s="197">
        <f t="shared" si="62"/>
        <v>8</v>
      </c>
      <c r="Y89" s="197">
        <f t="shared" si="62"/>
        <v>10</v>
      </c>
    </row>
    <row r="90" spans="2:26">
      <c r="B90" s="70"/>
      <c r="C90" s="70"/>
      <c r="D90" s="70"/>
      <c r="E90" s="70"/>
      <c r="F90" s="70"/>
      <c r="G90" s="70"/>
      <c r="H90" s="70"/>
      <c r="I90" s="70"/>
      <c r="J90" s="70"/>
      <c r="K90" s="70"/>
      <c r="M90" s="199"/>
      <c r="N90" s="199"/>
      <c r="O90" s="200"/>
      <c r="P90" s="199"/>
      <c r="Q90" s="199"/>
      <c r="R90" s="199"/>
      <c r="S90" s="199"/>
      <c r="T90" s="199"/>
      <c r="U90" s="199"/>
      <c r="V90" s="199"/>
      <c r="W90" s="199"/>
      <c r="X90" s="199"/>
      <c r="Y90" s="199"/>
    </row>
    <row r="91" spans="2:26">
      <c r="B91" s="70"/>
      <c r="C91" s="70"/>
      <c r="D91" s="70"/>
      <c r="E91" s="70"/>
      <c r="F91" s="70"/>
      <c r="G91" s="70"/>
      <c r="H91" s="70"/>
      <c r="I91" s="70"/>
      <c r="J91" s="70"/>
      <c r="K91" s="70"/>
      <c r="M91" s="197" t="s">
        <v>150</v>
      </c>
      <c r="N91" s="198">
        <v>1</v>
      </c>
      <c r="O91" s="171" t="s">
        <v>22</v>
      </c>
      <c r="P91" s="201">
        <f t="shared" ref="P91:Y91" si="63">VLOOKUP(P$65&amp;"AllSex"&amp;"AllEth"&amp;22&amp;1,deptable,8,FALSE)</f>
        <v>11.780941947049399</v>
      </c>
      <c r="Q91" s="201">
        <f t="shared" si="63"/>
        <v>17.6573444097845</v>
      </c>
      <c r="R91" s="201">
        <f t="shared" si="63"/>
        <v>15.6176130791048</v>
      </c>
      <c r="S91" s="201">
        <f t="shared" si="63"/>
        <v>10.0563462654691</v>
      </c>
      <c r="T91" s="201">
        <f t="shared" si="63"/>
        <v>9.9989165622484499</v>
      </c>
      <c r="U91" s="201">
        <f t="shared" si="63"/>
        <v>9.9822790655776394</v>
      </c>
      <c r="V91" s="201">
        <f t="shared" si="63"/>
        <v>7.2217854410360403</v>
      </c>
      <c r="W91" s="201">
        <f t="shared" si="63"/>
        <v>9.7656237803958401</v>
      </c>
      <c r="X91" s="201">
        <f t="shared" si="63"/>
        <v>15.6144781512393</v>
      </c>
      <c r="Y91" s="201">
        <f t="shared" si="63"/>
        <v>13.658011362969001</v>
      </c>
    </row>
    <row r="92" spans="2:26">
      <c r="B92" s="70"/>
      <c r="C92" s="70"/>
      <c r="D92" s="70"/>
      <c r="E92" s="70"/>
      <c r="F92" s="70"/>
      <c r="G92" s="70"/>
      <c r="H92" s="70"/>
      <c r="I92" s="70"/>
      <c r="J92" s="70"/>
      <c r="K92" s="70"/>
      <c r="M92" s="197"/>
      <c r="N92" s="198">
        <v>2</v>
      </c>
      <c r="O92" s="171"/>
      <c r="P92" s="201">
        <f t="shared" ref="P92:Y92" si="64">VLOOKUP(P$65&amp;"AllSex"&amp;"AllEth"&amp;22&amp;2,deptable,8,FALSE)</f>
        <v>10.156028828145599</v>
      </c>
      <c r="Q92" s="201">
        <f t="shared" si="64"/>
        <v>16.609489598435299</v>
      </c>
      <c r="R92" s="201">
        <f t="shared" si="64"/>
        <v>11.0101774329999</v>
      </c>
      <c r="S92" s="201">
        <f t="shared" si="64"/>
        <v>11.7754172294279</v>
      </c>
      <c r="T92" s="201">
        <f t="shared" si="64"/>
        <v>17.0852915043818</v>
      </c>
      <c r="U92" s="201">
        <f t="shared" si="64"/>
        <v>14.3523465558831</v>
      </c>
      <c r="V92" s="201">
        <f t="shared" si="64"/>
        <v>9.8086002178118505</v>
      </c>
      <c r="W92" s="201">
        <f t="shared" si="64"/>
        <v>10.508134071104299</v>
      </c>
      <c r="X92" s="201">
        <f t="shared" si="64"/>
        <v>12.816836929314</v>
      </c>
      <c r="Y92" s="201">
        <f t="shared" si="64"/>
        <v>9.2381248361934691</v>
      </c>
    </row>
    <row r="93" spans="2:26">
      <c r="B93" s="70"/>
      <c r="C93" s="70"/>
      <c r="D93" s="70"/>
      <c r="E93" s="70"/>
      <c r="F93" s="70"/>
      <c r="G93" s="70"/>
      <c r="H93" s="70"/>
      <c r="I93" s="70"/>
      <c r="J93" s="70"/>
      <c r="K93" s="70"/>
      <c r="M93" s="197"/>
      <c r="N93" s="198">
        <v>3</v>
      </c>
      <c r="O93" s="171"/>
      <c r="P93" s="201">
        <f t="shared" ref="P93:Y93" si="65">VLOOKUP(P$65&amp;"AllSex"&amp;"AllEth"&amp;22&amp;3,deptable,8,FALSE)</f>
        <v>17.939118145817702</v>
      </c>
      <c r="Q93" s="201">
        <f t="shared" si="65"/>
        <v>17.077779442394402</v>
      </c>
      <c r="R93" s="201">
        <f t="shared" si="65"/>
        <v>18.6698371957295</v>
      </c>
      <c r="S93" s="201">
        <f t="shared" si="65"/>
        <v>16.283162914851601</v>
      </c>
      <c r="T93" s="201">
        <f t="shared" si="65"/>
        <v>21.241494334554901</v>
      </c>
      <c r="U93" s="201">
        <f t="shared" si="65"/>
        <v>25.4102857361258</v>
      </c>
      <c r="V93" s="201">
        <f t="shared" si="65"/>
        <v>14.305039354457501</v>
      </c>
      <c r="W93" s="201">
        <f t="shared" si="65"/>
        <v>14.856473338669799</v>
      </c>
      <c r="X93" s="201">
        <f t="shared" si="65"/>
        <v>11.2618063840156</v>
      </c>
      <c r="Y93" s="201">
        <f t="shared" si="65"/>
        <v>11.847932712490501</v>
      </c>
    </row>
    <row r="94" spans="2:26">
      <c r="B94" s="70"/>
      <c r="C94" s="70"/>
      <c r="D94" s="70"/>
      <c r="E94" s="70"/>
      <c r="F94" s="70"/>
      <c r="G94" s="70"/>
      <c r="H94" s="70"/>
      <c r="I94" s="70"/>
      <c r="J94" s="70"/>
      <c r="K94" s="70"/>
      <c r="M94" s="186"/>
      <c r="N94" s="198">
        <v>4</v>
      </c>
      <c r="O94" s="171"/>
      <c r="P94" s="201">
        <f t="shared" ref="P94:Y94" si="66">VLOOKUP(P$65&amp;"AllSex"&amp;"AllEth"&amp;22&amp;4,deptable,8,FALSE)</f>
        <v>15.5687798971916</v>
      </c>
      <c r="Q94" s="201">
        <f t="shared" si="66"/>
        <v>18.676491685595298</v>
      </c>
      <c r="R94" s="201">
        <f t="shared" si="66"/>
        <v>22.421879796150002</v>
      </c>
      <c r="S94" s="201">
        <f t="shared" si="66"/>
        <v>19.059862588335498</v>
      </c>
      <c r="T94" s="201">
        <f t="shared" si="66"/>
        <v>16.622611796462301</v>
      </c>
      <c r="U94" s="201">
        <f t="shared" si="66"/>
        <v>29.369879840171301</v>
      </c>
      <c r="V94" s="201">
        <f t="shared" si="66"/>
        <v>19.448647880211901</v>
      </c>
      <c r="W94" s="201">
        <f t="shared" si="66"/>
        <v>11.001748481031401</v>
      </c>
      <c r="X94" s="201">
        <f t="shared" si="66"/>
        <v>19.2942432646615</v>
      </c>
      <c r="Y94" s="201">
        <f t="shared" si="66"/>
        <v>30.1635655844998</v>
      </c>
    </row>
    <row r="95" spans="2:26">
      <c r="B95" s="70"/>
      <c r="C95" s="70"/>
      <c r="D95" s="70"/>
      <c r="E95" s="70"/>
      <c r="F95" s="70"/>
      <c r="G95" s="70"/>
      <c r="H95" s="70"/>
      <c r="I95" s="70"/>
      <c r="J95" s="70"/>
      <c r="K95" s="70"/>
      <c r="M95" s="197"/>
      <c r="N95" s="198">
        <v>5</v>
      </c>
      <c r="O95" s="171"/>
      <c r="P95" s="201">
        <f t="shared" ref="P95:Y95" si="67">VLOOKUP(P$65&amp;"AllSex"&amp;"AllEth"&amp;22&amp;5,deptable,8,FALSE)</f>
        <v>18.026957145990401</v>
      </c>
      <c r="Q95" s="201">
        <f t="shared" si="67"/>
        <v>23.3578439517098</v>
      </c>
      <c r="R95" s="201">
        <f t="shared" si="67"/>
        <v>24.542902156326701</v>
      </c>
      <c r="S95" s="201">
        <f t="shared" si="67"/>
        <v>27.469658845595099</v>
      </c>
      <c r="T95" s="201">
        <f t="shared" si="67"/>
        <v>33.218839515595199</v>
      </c>
      <c r="U95" s="201">
        <f t="shared" si="67"/>
        <v>31.7937605176486</v>
      </c>
      <c r="V95" s="201">
        <f t="shared" si="67"/>
        <v>30.272525876177799</v>
      </c>
      <c r="W95" s="201">
        <f t="shared" si="67"/>
        <v>20.013974613699801</v>
      </c>
      <c r="X95" s="201">
        <f t="shared" si="67"/>
        <v>22.026800919296701</v>
      </c>
      <c r="Y95" s="201">
        <f t="shared" si="67"/>
        <v>16.069093561460601</v>
      </c>
    </row>
    <row r="96" spans="2:26">
      <c r="B96" s="70"/>
      <c r="C96" s="76"/>
      <c r="D96" s="70"/>
      <c r="E96" s="70"/>
      <c r="F96" s="70"/>
      <c r="G96" s="70"/>
      <c r="H96" s="70"/>
      <c r="I96" s="70"/>
      <c r="J96" s="70"/>
      <c r="K96" s="70"/>
      <c r="M96" s="199"/>
      <c r="N96" s="202"/>
      <c r="O96" s="200"/>
      <c r="P96" s="203"/>
      <c r="Q96" s="203"/>
      <c r="R96" s="203"/>
      <c r="S96" s="203"/>
      <c r="T96" s="203"/>
      <c r="U96" s="203"/>
      <c r="V96" s="203"/>
      <c r="W96" s="203"/>
      <c r="X96" s="203"/>
      <c r="Y96" s="203"/>
    </row>
    <row r="97" spans="1:25">
      <c r="B97" s="70"/>
      <c r="C97" s="70"/>
      <c r="D97" s="70"/>
      <c r="E97" s="70"/>
      <c r="F97" s="70"/>
      <c r="G97" s="70"/>
      <c r="H97" s="70"/>
      <c r="I97" s="70"/>
      <c r="J97" s="70"/>
      <c r="K97" s="70"/>
      <c r="M97" s="204" t="s">
        <v>35</v>
      </c>
      <c r="N97" s="205">
        <v>1</v>
      </c>
      <c r="O97" s="171" t="s">
        <v>22</v>
      </c>
      <c r="P97" s="206">
        <f t="shared" ref="P97:Y97" si="68">VLOOKUP(P$65&amp;"AllSex"&amp;"AllEth"&amp;23&amp;1,deptable,8,FALSE)</f>
        <v>12.149812140638801</v>
      </c>
      <c r="Q97" s="206">
        <f t="shared" si="68"/>
        <v>10.4945048331157</v>
      </c>
      <c r="R97" s="206">
        <f t="shared" si="68"/>
        <v>8.3495916612372696</v>
      </c>
      <c r="S97" s="206">
        <f t="shared" si="68"/>
        <v>15.8243637928763</v>
      </c>
      <c r="T97" s="206">
        <f t="shared" si="68"/>
        <v>11.3851673282244</v>
      </c>
      <c r="U97" s="206">
        <f t="shared" si="68"/>
        <v>8.7270022479196694</v>
      </c>
      <c r="V97" s="206">
        <f t="shared" si="68"/>
        <v>7.8428840678284901</v>
      </c>
      <c r="W97" s="206">
        <f t="shared" si="68"/>
        <v>9.1534807636980595</v>
      </c>
      <c r="X97" s="206">
        <f t="shared" si="68"/>
        <v>9.4477166720078092</v>
      </c>
      <c r="Y97" s="206">
        <f t="shared" si="68"/>
        <v>6.5980302502600097</v>
      </c>
    </row>
    <row r="98" spans="1:25">
      <c r="B98" s="70"/>
      <c r="C98" s="70"/>
      <c r="D98" s="70"/>
      <c r="E98" s="70"/>
      <c r="F98" s="70"/>
      <c r="G98" s="70"/>
      <c r="H98" s="70"/>
      <c r="I98" s="70"/>
      <c r="J98" s="70"/>
      <c r="K98" s="70"/>
      <c r="M98" s="204"/>
      <c r="N98" s="205">
        <v>2</v>
      </c>
      <c r="O98" s="171"/>
      <c r="P98" s="206">
        <f t="shared" ref="P98:Y98" si="69">VLOOKUP(P$65&amp;"AllSex"&amp;"AllEth"&amp;23&amp;2,deptable,8,FALSE)</f>
        <v>12.7894311448789</v>
      </c>
      <c r="Q98" s="206">
        <f t="shared" si="69"/>
        <v>10.8004022216293</v>
      </c>
      <c r="R98" s="206">
        <f t="shared" si="69"/>
        <v>12.930916649572801</v>
      </c>
      <c r="S98" s="206">
        <f t="shared" si="69"/>
        <v>13.8633531553544</v>
      </c>
      <c r="T98" s="206">
        <f t="shared" si="69"/>
        <v>10.153947571105199</v>
      </c>
      <c r="U98" s="206">
        <f t="shared" si="69"/>
        <v>11.517774124728399</v>
      </c>
      <c r="V98" s="206">
        <f t="shared" si="69"/>
        <v>11.1265212735501</v>
      </c>
      <c r="W98" s="206">
        <f t="shared" si="69"/>
        <v>10.580746570703401</v>
      </c>
      <c r="X98" s="206">
        <f t="shared" si="69"/>
        <v>12.014280318837001</v>
      </c>
      <c r="Y98" s="206">
        <f t="shared" si="69"/>
        <v>8.8656129027003008</v>
      </c>
    </row>
    <row r="99" spans="1:25">
      <c r="B99" s="70"/>
      <c r="C99" s="70"/>
      <c r="D99" s="70"/>
      <c r="E99" s="438" t="s">
        <v>104</v>
      </c>
      <c r="F99" s="70"/>
      <c r="G99" s="70"/>
      <c r="H99" s="70"/>
      <c r="I99" s="438" t="s">
        <v>105</v>
      </c>
      <c r="J99" s="70"/>
      <c r="K99" s="70"/>
      <c r="M99" s="204"/>
      <c r="N99" s="205">
        <v>3</v>
      </c>
      <c r="O99" s="171"/>
      <c r="P99" s="206">
        <f t="shared" ref="P99:Y99" si="70">VLOOKUP(P$65&amp;"AllSex"&amp;"AllEth"&amp;23&amp;3,deptable,8,FALSE)</f>
        <v>17.7327187488089</v>
      </c>
      <c r="Q99" s="206">
        <f t="shared" si="70"/>
        <v>13.693937194311401</v>
      </c>
      <c r="R99" s="206">
        <f t="shared" si="70"/>
        <v>12.9099007011847</v>
      </c>
      <c r="S99" s="206">
        <f t="shared" si="70"/>
        <v>15.275189025334999</v>
      </c>
      <c r="T99" s="206">
        <f t="shared" si="70"/>
        <v>11.2250458390719</v>
      </c>
      <c r="U99" s="206">
        <f t="shared" si="70"/>
        <v>15.9266886219936</v>
      </c>
      <c r="V99" s="206">
        <f t="shared" si="70"/>
        <v>12.6051108228083</v>
      </c>
      <c r="W99" s="206">
        <f t="shared" si="70"/>
        <v>14.1023989403629</v>
      </c>
      <c r="X99" s="206">
        <f t="shared" si="70"/>
        <v>12.1494704103147</v>
      </c>
      <c r="Y99" s="206">
        <f t="shared" si="70"/>
        <v>14.923692686015301</v>
      </c>
    </row>
    <row r="100" spans="1:25">
      <c r="B100" s="70"/>
      <c r="C100" s="70"/>
      <c r="D100" s="70"/>
      <c r="E100" s="70"/>
      <c r="F100" s="70"/>
      <c r="G100" s="70"/>
      <c r="H100" s="70"/>
      <c r="I100" s="70"/>
      <c r="J100" s="70"/>
      <c r="K100" s="70"/>
      <c r="M100" s="204"/>
      <c r="N100" s="205">
        <v>4</v>
      </c>
      <c r="O100" s="171"/>
      <c r="P100" s="206">
        <f t="shared" ref="P100:Y100" si="71">VLOOKUP(P$65&amp;"AllSex"&amp;"AllEth"&amp;23&amp;4,deptable,8,FALSE)</f>
        <v>18.059075582843999</v>
      </c>
      <c r="Q100" s="206">
        <f t="shared" si="71"/>
        <v>16.895748974619899</v>
      </c>
      <c r="R100" s="206">
        <f t="shared" si="71"/>
        <v>17.372435993773699</v>
      </c>
      <c r="S100" s="206">
        <f t="shared" si="71"/>
        <v>17.297876759946501</v>
      </c>
      <c r="T100" s="206">
        <f t="shared" si="71"/>
        <v>14.017735082138</v>
      </c>
      <c r="U100" s="206">
        <f t="shared" si="71"/>
        <v>20.550488387618401</v>
      </c>
      <c r="V100" s="206">
        <f t="shared" si="71"/>
        <v>13.727006596395499</v>
      </c>
      <c r="W100" s="206">
        <f t="shared" si="71"/>
        <v>19.877099220504601</v>
      </c>
      <c r="X100" s="206">
        <f t="shared" si="71"/>
        <v>15.66469047484</v>
      </c>
      <c r="Y100" s="206">
        <f t="shared" si="71"/>
        <v>23.539152912239</v>
      </c>
    </row>
    <row r="101" spans="1:25">
      <c r="B101" s="70"/>
      <c r="C101" s="70"/>
      <c r="D101" s="70"/>
      <c r="E101" s="70"/>
      <c r="F101" s="70"/>
      <c r="G101" s="70"/>
      <c r="H101" s="70"/>
      <c r="I101" s="70"/>
      <c r="J101" s="70"/>
      <c r="K101" s="70"/>
      <c r="M101" s="204"/>
      <c r="N101" s="205">
        <v>5</v>
      </c>
      <c r="O101" s="171"/>
      <c r="P101" s="206">
        <f t="shared" ref="P101:Y101" si="72">VLOOKUP(P$65&amp;"AllSex"&amp;"AllEth"&amp;23&amp;5,deptable,8,FALSE)</f>
        <v>25.915722478530501</v>
      </c>
      <c r="Q101" s="206">
        <f t="shared" si="72"/>
        <v>22.912910444206499</v>
      </c>
      <c r="R101" s="206">
        <f t="shared" si="72"/>
        <v>22.980220853362599</v>
      </c>
      <c r="S101" s="206">
        <f t="shared" si="72"/>
        <v>20.571696514574999</v>
      </c>
      <c r="T101" s="206">
        <f t="shared" si="72"/>
        <v>23.413397538986899</v>
      </c>
      <c r="U101" s="206">
        <f t="shared" si="72"/>
        <v>19.967310634898599</v>
      </c>
      <c r="V101" s="206">
        <f t="shared" si="72"/>
        <v>20.9127707375795</v>
      </c>
      <c r="W101" s="206">
        <f t="shared" si="72"/>
        <v>25.9834222562009</v>
      </c>
      <c r="X101" s="206">
        <f t="shared" si="72"/>
        <v>23.1272051079739</v>
      </c>
      <c r="Y101" s="206">
        <f t="shared" si="72"/>
        <v>27.428910728142899</v>
      </c>
    </row>
    <row r="102" spans="1:25">
      <c r="B102" s="70"/>
      <c r="C102" s="70"/>
      <c r="D102" s="70"/>
      <c r="E102" s="70"/>
      <c r="F102" s="70"/>
      <c r="G102" s="70"/>
      <c r="H102" s="70"/>
      <c r="I102" s="70"/>
      <c r="J102" s="70"/>
      <c r="K102" s="70"/>
      <c r="M102" s="199"/>
      <c r="N102" s="202"/>
      <c r="O102" s="200"/>
      <c r="P102" s="203"/>
      <c r="Q102" s="203"/>
      <c r="R102" s="203"/>
      <c r="S102" s="203"/>
      <c r="T102" s="203"/>
      <c r="U102" s="203"/>
      <c r="V102" s="203"/>
      <c r="W102" s="203"/>
      <c r="X102" s="203"/>
      <c r="Y102" s="203"/>
    </row>
    <row r="103" spans="1:25">
      <c r="B103" s="70"/>
      <c r="C103" s="70"/>
      <c r="D103" s="70"/>
      <c r="E103" s="70"/>
      <c r="F103" s="70"/>
      <c r="G103" s="70"/>
      <c r="H103" s="70"/>
      <c r="I103" s="70"/>
      <c r="J103" s="70"/>
      <c r="K103" s="70"/>
      <c r="M103" s="204" t="s">
        <v>36</v>
      </c>
      <c r="N103" s="205">
        <v>1</v>
      </c>
      <c r="O103" s="171" t="s">
        <v>22</v>
      </c>
      <c r="P103" s="206">
        <f t="shared" ref="P103:Y103" si="73">VLOOKUP(P$65&amp;"AllSex"&amp;"AllEth"&amp;24&amp;1,deptable,8,FALSE)</f>
        <v>7.9149757874847104</v>
      </c>
      <c r="Q103" s="206">
        <f t="shared" si="73"/>
        <v>12.7042958120834</v>
      </c>
      <c r="R103" s="206">
        <f t="shared" si="73"/>
        <v>9.4056632822046495</v>
      </c>
      <c r="S103" s="206">
        <f t="shared" si="73"/>
        <v>12.328896914508899</v>
      </c>
      <c r="T103" s="206">
        <f t="shared" si="73"/>
        <v>11.771349410784699</v>
      </c>
      <c r="U103" s="206">
        <f t="shared" si="73"/>
        <v>6.2006799575216904</v>
      </c>
      <c r="V103" s="206">
        <f t="shared" si="73"/>
        <v>13.722666242449399</v>
      </c>
      <c r="W103" s="206">
        <f t="shared" si="73"/>
        <v>7.4853703338470501</v>
      </c>
      <c r="X103" s="206">
        <f t="shared" si="73"/>
        <v>8.4400846005149202</v>
      </c>
      <c r="Y103" s="206">
        <f t="shared" si="73"/>
        <v>9.6898671304373192</v>
      </c>
    </row>
    <row r="104" spans="1:25">
      <c r="B104" s="70"/>
      <c r="C104" s="70"/>
      <c r="D104" s="70"/>
      <c r="E104" s="70"/>
      <c r="F104" s="70"/>
      <c r="G104" s="70"/>
      <c r="H104" s="70"/>
      <c r="I104" s="70"/>
      <c r="J104" s="70"/>
      <c r="K104" s="70"/>
      <c r="M104" s="197"/>
      <c r="N104" s="205">
        <v>2</v>
      </c>
      <c r="O104" s="171"/>
      <c r="P104" s="206">
        <f t="shared" ref="P104:Y104" si="74">VLOOKUP(P$65&amp;"AllSex"&amp;"AllEth"&amp;24&amp;2,deptable,8,FALSE)</f>
        <v>9.8596506814562996</v>
      </c>
      <c r="Q104" s="206">
        <f t="shared" si="74"/>
        <v>12.6387700991577</v>
      </c>
      <c r="R104" s="206">
        <f t="shared" si="74"/>
        <v>14.479067118393999</v>
      </c>
      <c r="S104" s="206">
        <f t="shared" si="74"/>
        <v>12.971305078521601</v>
      </c>
      <c r="T104" s="206">
        <f t="shared" si="74"/>
        <v>9.8864789617812594</v>
      </c>
      <c r="U104" s="206">
        <f t="shared" si="74"/>
        <v>11.0276812039756</v>
      </c>
      <c r="V104" s="206">
        <f t="shared" si="74"/>
        <v>14.1523911696958</v>
      </c>
      <c r="W104" s="206">
        <f t="shared" si="74"/>
        <v>11.174325986053599</v>
      </c>
      <c r="X104" s="206">
        <f t="shared" si="74"/>
        <v>14.9607001533436</v>
      </c>
      <c r="Y104" s="206">
        <f t="shared" si="74"/>
        <v>10.072154417831401</v>
      </c>
    </row>
    <row r="105" spans="1:25">
      <c r="B105" s="70"/>
      <c r="C105" s="70"/>
      <c r="D105" s="70"/>
      <c r="E105" s="70"/>
      <c r="F105" s="70"/>
      <c r="G105" s="70"/>
      <c r="H105" s="70"/>
      <c r="I105" s="70"/>
      <c r="J105" s="70"/>
      <c r="K105" s="70"/>
      <c r="M105" s="204"/>
      <c r="N105" s="205">
        <v>3</v>
      </c>
      <c r="O105" s="171"/>
      <c r="P105" s="206">
        <f t="shared" ref="P105:Y105" si="75">VLOOKUP(P$65&amp;"AllSex"&amp;"AllEth"&amp;24&amp;3,deptable,8,FALSE)</f>
        <v>16.898953744977302</v>
      </c>
      <c r="Q105" s="206">
        <f t="shared" si="75"/>
        <v>18.360229324573801</v>
      </c>
      <c r="R105" s="206">
        <f t="shared" si="75"/>
        <v>11.3287242061726</v>
      </c>
      <c r="S105" s="206">
        <f t="shared" si="75"/>
        <v>12.4815703580578</v>
      </c>
      <c r="T105" s="206">
        <f t="shared" si="75"/>
        <v>16.8368978272429</v>
      </c>
      <c r="U105" s="206">
        <f t="shared" si="75"/>
        <v>14.4370924253983</v>
      </c>
      <c r="V105" s="206">
        <f t="shared" si="75"/>
        <v>11.612468791183399</v>
      </c>
      <c r="W105" s="206">
        <f t="shared" si="75"/>
        <v>12.7827877561602</v>
      </c>
      <c r="X105" s="206">
        <f t="shared" si="75"/>
        <v>14.3491558498981</v>
      </c>
      <c r="Y105" s="206">
        <f t="shared" si="75"/>
        <v>14.1184218201977</v>
      </c>
    </row>
    <row r="106" spans="1:25">
      <c r="B106" s="70"/>
      <c r="C106" s="70"/>
      <c r="D106" s="70"/>
      <c r="E106" s="70"/>
      <c r="F106" s="70"/>
      <c r="G106" s="70"/>
      <c r="H106" s="70"/>
      <c r="I106" s="70"/>
      <c r="J106" s="70"/>
      <c r="K106" s="70"/>
      <c r="M106" s="204"/>
      <c r="N106" s="205">
        <v>4</v>
      </c>
      <c r="O106" s="171"/>
      <c r="P106" s="206">
        <f t="shared" ref="P106:Y106" si="76">VLOOKUP(P$65&amp;"AllSex"&amp;"AllEth"&amp;24&amp;4,deptable,8,FALSE)</f>
        <v>16.8574199864481</v>
      </c>
      <c r="Q106" s="206">
        <f t="shared" si="76"/>
        <v>15.3289440096198</v>
      </c>
      <c r="R106" s="206">
        <f t="shared" si="76"/>
        <v>22.720631399735002</v>
      </c>
      <c r="S106" s="206">
        <f t="shared" si="76"/>
        <v>16.7969263326627</v>
      </c>
      <c r="T106" s="206">
        <f t="shared" si="76"/>
        <v>13.0256196799048</v>
      </c>
      <c r="U106" s="206">
        <f t="shared" si="76"/>
        <v>18.376466860299701</v>
      </c>
      <c r="V106" s="206">
        <f t="shared" si="76"/>
        <v>17.207570453768401</v>
      </c>
      <c r="W106" s="206">
        <f t="shared" si="76"/>
        <v>19.406573028414101</v>
      </c>
      <c r="X106" s="206">
        <f t="shared" si="76"/>
        <v>17.7067769755526</v>
      </c>
      <c r="Y106" s="206">
        <f t="shared" si="76"/>
        <v>18.8329799944777</v>
      </c>
    </row>
    <row r="107" spans="1:25">
      <c r="A107" s="50"/>
      <c r="B107" s="70"/>
      <c r="C107" s="70"/>
      <c r="D107" s="70"/>
      <c r="E107" s="70"/>
      <c r="F107" s="70"/>
      <c r="G107" s="70"/>
      <c r="H107" s="70"/>
      <c r="I107" s="70"/>
      <c r="J107" s="70"/>
      <c r="K107" s="70"/>
      <c r="M107" s="204"/>
      <c r="N107" s="205">
        <v>5</v>
      </c>
      <c r="O107" s="171"/>
      <c r="P107" s="206">
        <f t="shared" ref="P107:Y107" si="77">VLOOKUP(P$65&amp;"AllSex"&amp;"AllEth"&amp;24&amp;5,deptable,8,FALSE)</f>
        <v>16.499475182030999</v>
      </c>
      <c r="Q107" s="206">
        <f t="shared" si="77"/>
        <v>12.475582038755901</v>
      </c>
      <c r="R107" s="206">
        <f t="shared" si="77"/>
        <v>16.8337113337709</v>
      </c>
      <c r="S107" s="206">
        <f t="shared" si="77"/>
        <v>17.1580379944476</v>
      </c>
      <c r="T107" s="206">
        <f t="shared" si="77"/>
        <v>13.6235726323133</v>
      </c>
      <c r="U107" s="206">
        <f t="shared" si="77"/>
        <v>15.6695562381692</v>
      </c>
      <c r="V107" s="206">
        <f t="shared" si="77"/>
        <v>19.793319766457898</v>
      </c>
      <c r="W107" s="206">
        <f t="shared" si="77"/>
        <v>20.064911214163399</v>
      </c>
      <c r="X107" s="206">
        <f t="shared" si="77"/>
        <v>19.275225052220598</v>
      </c>
      <c r="Y107" s="206">
        <f t="shared" si="77"/>
        <v>22.556988756146399</v>
      </c>
    </row>
    <row r="108" spans="1:25">
      <c r="A108" s="50"/>
      <c r="B108" s="70"/>
      <c r="C108" s="70"/>
      <c r="D108" s="70"/>
      <c r="E108" s="70"/>
      <c r="F108" s="70"/>
      <c r="G108" s="70"/>
      <c r="H108" s="70"/>
      <c r="I108" s="70"/>
      <c r="J108" s="70"/>
      <c r="K108" s="70"/>
      <c r="M108" s="199"/>
      <c r="N108" s="202"/>
      <c r="O108" s="200"/>
      <c r="P108" s="203"/>
      <c r="Q108" s="203"/>
      <c r="R108" s="203"/>
      <c r="S108" s="203"/>
      <c r="T108" s="203"/>
      <c r="U108" s="203"/>
      <c r="V108" s="203"/>
      <c r="W108" s="203"/>
      <c r="X108" s="203"/>
      <c r="Y108" s="203"/>
    </row>
    <row r="109" spans="1:25">
      <c r="A109" s="50"/>
      <c r="B109" s="70"/>
      <c r="C109" s="70"/>
      <c r="D109" s="70"/>
      <c r="E109" s="70"/>
      <c r="F109" s="70"/>
      <c r="G109" s="70"/>
      <c r="H109" s="70"/>
      <c r="I109" s="70"/>
      <c r="J109" s="70"/>
      <c r="K109" s="70"/>
      <c r="M109" s="204" t="s">
        <v>26</v>
      </c>
      <c r="N109" s="205">
        <v>1</v>
      </c>
      <c r="O109" s="171" t="s">
        <v>22</v>
      </c>
      <c r="P109" s="206">
        <f t="shared" ref="P109:Y109" si="78">VLOOKUP(P$65&amp;"AllSex"&amp;"AllEth"&amp;25&amp;1,deptable,8,FALSE)</f>
        <v>8.9156128849945198</v>
      </c>
      <c r="Q109" s="206">
        <f t="shared" si="78"/>
        <v>7.7832339926645204</v>
      </c>
      <c r="R109" s="206">
        <f t="shared" si="78"/>
        <v>12.3359667452475</v>
      </c>
      <c r="S109" s="206">
        <f t="shared" si="78"/>
        <v>9.4553636332856392</v>
      </c>
      <c r="T109" s="206">
        <f t="shared" si="78"/>
        <v>5.8427897892515697</v>
      </c>
      <c r="U109" s="206">
        <f t="shared" si="78"/>
        <v>4.0076916080608296</v>
      </c>
      <c r="V109" s="206">
        <f t="shared" si="78"/>
        <v>6.9351193276698302</v>
      </c>
      <c r="W109" s="206">
        <f t="shared" si="78"/>
        <v>7.4094708277048502</v>
      </c>
      <c r="X109" s="206">
        <f t="shared" si="78"/>
        <v>12.85592725844</v>
      </c>
      <c r="Y109" s="206">
        <f t="shared" si="78"/>
        <v>7.5871376066496099</v>
      </c>
    </row>
    <row r="110" spans="1:25">
      <c r="B110" s="70"/>
      <c r="C110" s="70"/>
      <c r="D110" s="70"/>
      <c r="E110" s="70"/>
      <c r="F110" s="70"/>
      <c r="G110" s="70"/>
      <c r="H110" s="70"/>
      <c r="I110" s="70"/>
      <c r="J110" s="70"/>
      <c r="K110" s="70"/>
      <c r="M110" s="197"/>
      <c r="N110" s="205">
        <v>2</v>
      </c>
      <c r="O110" s="171"/>
      <c r="P110" s="206">
        <f t="shared" ref="P110:Y110" si="79">VLOOKUP(P$65&amp;"AllSex"&amp;"AllEth"&amp;25&amp;2,deptable,8,FALSE)</f>
        <v>9.2347855074547596</v>
      </c>
      <c r="Q110" s="206">
        <f t="shared" si="79"/>
        <v>10.879457234614501</v>
      </c>
      <c r="R110" s="206">
        <f t="shared" si="79"/>
        <v>7.9607469030300404</v>
      </c>
      <c r="S110" s="206">
        <f t="shared" si="79"/>
        <v>9.3563239638140008</v>
      </c>
      <c r="T110" s="206">
        <f t="shared" si="79"/>
        <v>6.6094495499466497</v>
      </c>
      <c r="U110" s="206">
        <f t="shared" si="79"/>
        <v>11.119693883237501</v>
      </c>
      <c r="V110" s="206">
        <f t="shared" si="79"/>
        <v>8.4105504861635794</v>
      </c>
      <c r="W110" s="206">
        <f t="shared" si="79"/>
        <v>5.1494834144112698</v>
      </c>
      <c r="X110" s="206">
        <f t="shared" si="79"/>
        <v>8.5119967639644702</v>
      </c>
      <c r="Y110" s="206">
        <f t="shared" si="79"/>
        <v>7.5345797223612099</v>
      </c>
    </row>
    <row r="111" spans="1:25">
      <c r="B111" s="70"/>
      <c r="C111" s="70"/>
      <c r="G111" s="70"/>
      <c r="H111" s="70"/>
      <c r="I111" s="70"/>
      <c r="J111" s="70"/>
      <c r="K111" s="70"/>
      <c r="M111" s="204"/>
      <c r="N111" s="205">
        <v>3</v>
      </c>
      <c r="O111" s="171"/>
      <c r="P111" s="206">
        <f t="shared" ref="P111:Y111" si="80">VLOOKUP(P$65&amp;"AllSex"&amp;"AllEth"&amp;25&amp;3,deptable,8,FALSE)</f>
        <v>6.1920360643504297</v>
      </c>
      <c r="Q111" s="206">
        <f t="shared" si="80"/>
        <v>10.419338263835201</v>
      </c>
      <c r="R111" s="206">
        <f t="shared" si="80"/>
        <v>7.6258764907202803</v>
      </c>
      <c r="S111" s="206">
        <f t="shared" si="80"/>
        <v>12.031282125541701</v>
      </c>
      <c r="T111" s="206">
        <f t="shared" si="80"/>
        <v>10.853505567093</v>
      </c>
      <c r="U111" s="206">
        <f t="shared" si="80"/>
        <v>12.853786246412399</v>
      </c>
      <c r="V111" s="206">
        <f t="shared" si="80"/>
        <v>18.580178916540699</v>
      </c>
      <c r="W111" s="206">
        <f t="shared" si="80"/>
        <v>8.9425133850629308</v>
      </c>
      <c r="X111" s="206">
        <f t="shared" si="80"/>
        <v>7.9069198940264203</v>
      </c>
      <c r="Y111" s="206">
        <f t="shared" si="80"/>
        <v>13.8824745112838</v>
      </c>
    </row>
    <row r="112" spans="1:25" ht="18" customHeight="1">
      <c r="B112" s="70"/>
      <c r="C112" s="81" t="s">
        <v>99</v>
      </c>
      <c r="D112" s="81" t="s">
        <v>101</v>
      </c>
      <c r="E112" s="70"/>
      <c r="F112" s="70"/>
      <c r="G112" s="101"/>
      <c r="H112" s="70"/>
      <c r="I112" s="70"/>
      <c r="J112" s="70"/>
      <c r="K112" s="70"/>
      <c r="M112" s="204"/>
      <c r="N112" s="205">
        <v>4</v>
      </c>
      <c r="O112" s="171"/>
      <c r="P112" s="206">
        <f t="shared" ref="P112:Y112" si="81">VLOOKUP(P$65&amp;"AllSex"&amp;"AllEth"&amp;25&amp;4,deptable,8,FALSE)</f>
        <v>13.154865748729501</v>
      </c>
      <c r="Q112" s="206">
        <f t="shared" si="81"/>
        <v>6.8855576901865101</v>
      </c>
      <c r="R112" s="206">
        <f t="shared" si="81"/>
        <v>10.9220681739436</v>
      </c>
      <c r="S112" s="206">
        <f t="shared" si="81"/>
        <v>12.741884980701499</v>
      </c>
      <c r="T112" s="206">
        <f t="shared" si="81"/>
        <v>6.60402821934386</v>
      </c>
      <c r="U112" s="206">
        <f t="shared" si="81"/>
        <v>7.9527013153643802</v>
      </c>
      <c r="V112" s="206">
        <f t="shared" si="81"/>
        <v>4.6041006591166402</v>
      </c>
      <c r="W112" s="206">
        <f t="shared" si="81"/>
        <v>12.5640601634059</v>
      </c>
      <c r="X112" s="206">
        <f t="shared" si="81"/>
        <v>11.4108332755892</v>
      </c>
      <c r="Y112" s="206">
        <f t="shared" si="81"/>
        <v>7.5753523579375397</v>
      </c>
    </row>
    <row r="113" spans="2:26">
      <c r="B113" s="70"/>
      <c r="C113" s="70"/>
      <c r="D113" s="81" t="s">
        <v>428</v>
      </c>
      <c r="E113" s="70"/>
      <c r="F113" s="70"/>
      <c r="G113" s="101"/>
      <c r="H113" s="70"/>
      <c r="I113" s="70"/>
      <c r="J113" s="70"/>
      <c r="K113" s="70"/>
      <c r="L113" s="33"/>
      <c r="M113" s="204"/>
      <c r="N113" s="205">
        <v>5</v>
      </c>
      <c r="O113" s="171"/>
      <c r="P113" s="206">
        <f>VLOOKUP(P$65&amp;"AllSex"&amp;"AllEth"&amp;25&amp;5,deptable,8,FALSE)</f>
        <v>8.9935310698840407</v>
      </c>
      <c r="Q113" s="206">
        <f>VLOOKUP(Q$65&amp;"AllSex"&amp;"AllEth"&amp;25&amp;5,deptable,8,FALSE)</f>
        <v>9.9326768249315798</v>
      </c>
      <c r="R113" s="206">
        <f>VLOOKUP(R$65&amp;"AllSex"&amp;"AllEth"&amp;25&amp;5,deptable,8,FALSE)</f>
        <v>8.6152551911992195</v>
      </c>
      <c r="S113" s="427" t="s">
        <v>85</v>
      </c>
      <c r="T113" s="206">
        <f>VLOOKUP(T$65&amp;"AllSex"&amp;"AllEth"&amp;25&amp;5,deptable,8,FALSE)</f>
        <v>7.1182948978656002</v>
      </c>
      <c r="U113" s="206">
        <f>VLOOKUP(U$65&amp;"AllSex"&amp;"AllEth"&amp;25&amp;5,deptable,8,FALSE)</f>
        <v>9.7879592188669502</v>
      </c>
      <c r="V113" s="427" t="s">
        <v>85</v>
      </c>
      <c r="W113" s="206">
        <f>VLOOKUP(W$65&amp;"AllSex"&amp;"AllEth"&amp;25&amp;5,deptable,8,FALSE)</f>
        <v>11.811027544716399</v>
      </c>
      <c r="X113" s="206">
        <f>VLOOKUP(X$65&amp;"AllSex"&amp;"AllEth"&amp;25&amp;5,deptable,8,FALSE)</f>
        <v>7.01160048098233</v>
      </c>
      <c r="Y113" s="206">
        <f>VLOOKUP(Y$65&amp;"AllSex"&amp;"AllEth"&amp;25&amp;5,deptable,8,FALSE)</f>
        <v>8.4634409201556995</v>
      </c>
    </row>
    <row r="114" spans="2:26">
      <c r="B114" s="70"/>
      <c r="C114" s="70"/>
      <c r="D114" s="81" t="s">
        <v>429</v>
      </c>
      <c r="E114" s="70"/>
      <c r="F114" s="70"/>
      <c r="G114" s="101"/>
      <c r="H114" s="70"/>
      <c r="I114" s="70"/>
      <c r="J114" s="70"/>
      <c r="K114" s="70"/>
      <c r="L114" s="33"/>
    </row>
    <row r="115" spans="2:26">
      <c r="B115" s="70"/>
      <c r="C115" s="81" t="s">
        <v>145</v>
      </c>
      <c r="D115" s="81" t="s">
        <v>144</v>
      </c>
      <c r="E115" s="81"/>
      <c r="F115" s="81"/>
      <c r="G115" s="101"/>
      <c r="H115" s="70"/>
      <c r="I115" s="70"/>
      <c r="J115" s="70"/>
      <c r="K115" s="70"/>
      <c r="L115" s="33"/>
      <c r="M115" s="207" t="s">
        <v>140</v>
      </c>
      <c r="N115" s="207" t="s">
        <v>101</v>
      </c>
      <c r="O115" s="171"/>
      <c r="P115" s="171"/>
      <c r="Q115" s="171"/>
      <c r="R115" s="171"/>
      <c r="S115" s="171"/>
      <c r="T115" s="171"/>
      <c r="U115" s="171"/>
      <c r="V115" s="171"/>
      <c r="W115" s="171"/>
      <c r="X115" s="171"/>
      <c r="Y115" s="171"/>
    </row>
    <row r="116" spans="2:26">
      <c r="B116" s="70"/>
      <c r="C116" s="70"/>
      <c r="D116" s="70"/>
      <c r="E116" s="70"/>
      <c r="F116" s="70"/>
      <c r="G116" s="70"/>
      <c r="H116" s="70"/>
      <c r="I116" s="70"/>
      <c r="J116" s="70"/>
      <c r="K116" s="70"/>
      <c r="L116" s="33"/>
      <c r="M116" s="207"/>
      <c r="N116" s="207" t="s">
        <v>404</v>
      </c>
      <c r="O116" s="171"/>
      <c r="P116" s="171"/>
      <c r="Q116" s="171"/>
      <c r="R116" s="428"/>
    </row>
    <row r="117" spans="2:26">
      <c r="L117" s="33"/>
      <c r="M117" s="207"/>
      <c r="N117" s="207" t="s">
        <v>405</v>
      </c>
      <c r="O117" s="171"/>
      <c r="P117" s="171"/>
      <c r="Q117" s="171"/>
      <c r="R117" s="33"/>
    </row>
    <row r="118" spans="2:26" ht="13.5" customHeight="1">
      <c r="C118" s="417"/>
      <c r="L118" s="33"/>
      <c r="M118" s="207"/>
      <c r="N118" s="207" t="s">
        <v>663</v>
      </c>
    </row>
    <row r="119" spans="2:26">
      <c r="C119" s="417"/>
      <c r="L119" s="33"/>
      <c r="M119" s="355" t="s">
        <v>145</v>
      </c>
      <c r="N119" s="355" t="s">
        <v>144</v>
      </c>
      <c r="O119" s="355"/>
      <c r="P119" s="356"/>
      <c r="Q119" s="356"/>
    </row>
    <row r="120" spans="2:26">
      <c r="C120" s="387"/>
      <c r="L120" s="33"/>
    </row>
    <row r="121" spans="2:26">
      <c r="L121" s="33"/>
    </row>
    <row r="124" spans="2:26">
      <c r="Z124" s="69"/>
    </row>
    <row r="125" spans="2:26">
      <c r="S125" s="171"/>
      <c r="T125" s="171"/>
      <c r="U125" s="171"/>
      <c r="V125" s="171"/>
      <c r="W125" s="171"/>
      <c r="X125" s="171"/>
      <c r="Y125" s="171"/>
      <c r="Z125" s="69"/>
    </row>
    <row r="126" spans="2:26">
      <c r="S126" s="428"/>
      <c r="T126" s="428"/>
      <c r="U126" s="428"/>
      <c r="V126" s="428"/>
      <c r="W126" s="428"/>
      <c r="X126" s="428"/>
      <c r="Y126" s="428"/>
      <c r="Z126" s="69"/>
    </row>
    <row r="127" spans="2:26">
      <c r="S127" s="33"/>
      <c r="T127" s="33"/>
      <c r="U127" s="33"/>
      <c r="V127" s="33"/>
      <c r="W127" s="33"/>
      <c r="X127" s="33"/>
      <c r="Y127" s="33"/>
      <c r="Z127" s="69"/>
    </row>
    <row r="128" spans="2:26">
      <c r="Z128" s="69"/>
    </row>
    <row r="129" spans="13:26">
      <c r="Z129" s="68"/>
    </row>
    <row r="140" spans="13:26">
      <c r="R140" s="35"/>
      <c r="S140" s="35"/>
      <c r="T140" s="35"/>
      <c r="U140" s="35"/>
      <c r="V140" s="35"/>
    </row>
    <row r="141" spans="13:26">
      <c r="R141" s="35"/>
      <c r="S141" s="35"/>
      <c r="T141" s="35"/>
      <c r="U141" s="35"/>
      <c r="V141" s="35"/>
    </row>
    <row r="142" spans="13:26">
      <c r="N142" s="35"/>
      <c r="O142" s="35"/>
      <c r="P142" s="35"/>
      <c r="Q142" s="35"/>
      <c r="R142" s="35"/>
      <c r="S142" s="35"/>
      <c r="T142" s="35"/>
      <c r="U142" s="35"/>
      <c r="V142" s="35"/>
    </row>
    <row r="143" spans="13:26">
      <c r="M143" s="35"/>
      <c r="N143" s="35"/>
      <c r="O143" s="35"/>
      <c r="P143" s="35"/>
      <c r="Q143" s="35"/>
      <c r="R143" s="35"/>
      <c r="S143" s="35"/>
      <c r="T143" s="35"/>
      <c r="U143" s="35"/>
      <c r="V143" s="35"/>
    </row>
    <row r="144" spans="13:26">
      <c r="M144" s="35"/>
      <c r="N144" s="35"/>
      <c r="O144" s="35"/>
      <c r="P144" s="35"/>
      <c r="Q144" s="35"/>
      <c r="R144" s="35"/>
      <c r="S144" s="35"/>
      <c r="T144" s="35"/>
      <c r="U144" s="35"/>
      <c r="V144" s="35"/>
    </row>
    <row r="145" spans="13:22">
      <c r="M145" s="35"/>
      <c r="N145" s="35"/>
      <c r="O145" s="35"/>
      <c r="P145" s="35"/>
      <c r="Q145" s="35"/>
      <c r="R145" s="35"/>
      <c r="S145" s="35"/>
      <c r="T145" s="35"/>
      <c r="U145" s="35"/>
      <c r="V145" s="35"/>
    </row>
    <row r="146" spans="13:22">
      <c r="M146" s="35"/>
      <c r="N146" s="35"/>
      <c r="O146" s="35"/>
      <c r="P146" s="35"/>
      <c r="Q146" s="35"/>
      <c r="R146" s="35"/>
      <c r="S146" s="35"/>
      <c r="T146" s="35"/>
      <c r="U146" s="35"/>
      <c r="V146" s="35"/>
    </row>
    <row r="147" spans="13:22">
      <c r="M147" s="35"/>
      <c r="N147" s="35"/>
      <c r="O147" s="35"/>
      <c r="P147" s="35"/>
      <c r="Q147" s="35"/>
      <c r="R147" s="35"/>
      <c r="S147" s="35"/>
      <c r="T147" s="35"/>
      <c r="U147" s="35"/>
      <c r="V147" s="35"/>
    </row>
    <row r="148" spans="13:22">
      <c r="M148" s="35"/>
      <c r="N148" s="35"/>
      <c r="O148" s="35"/>
      <c r="P148" s="35"/>
      <c r="Q148" s="35"/>
      <c r="R148" s="35"/>
      <c r="S148" s="35"/>
      <c r="T148" s="35"/>
      <c r="U148" s="35"/>
      <c r="V148" s="35"/>
    </row>
    <row r="149" spans="13:22">
      <c r="M149" s="35"/>
      <c r="N149" s="35"/>
      <c r="O149" s="35"/>
      <c r="P149" s="35"/>
      <c r="Q149" s="35"/>
      <c r="R149" s="35"/>
      <c r="S149" s="35"/>
      <c r="T149" s="35"/>
      <c r="U149" s="35"/>
      <c r="V149" s="35"/>
    </row>
    <row r="150" spans="13:22">
      <c r="M150" s="35"/>
      <c r="N150" s="35"/>
      <c r="O150" s="35"/>
      <c r="P150" s="35"/>
      <c r="Q150" s="35"/>
      <c r="R150" s="35"/>
      <c r="S150" s="35"/>
      <c r="T150" s="35"/>
      <c r="U150" s="35"/>
      <c r="V150" s="35"/>
    </row>
    <row r="151" spans="13:22">
      <c r="M151" s="35"/>
      <c r="N151" s="35"/>
      <c r="O151" s="35"/>
      <c r="P151" s="35"/>
      <c r="Q151" s="35"/>
      <c r="R151" s="35"/>
      <c r="S151" s="35"/>
      <c r="T151" s="35"/>
      <c r="U151" s="35"/>
      <c r="V151" s="35"/>
    </row>
    <row r="152" spans="13:22">
      <c r="M152" s="35"/>
      <c r="N152" s="35"/>
      <c r="O152" s="35"/>
      <c r="P152" s="35"/>
      <c r="Q152" s="35"/>
      <c r="R152" s="35"/>
      <c r="S152" s="35"/>
      <c r="T152" s="35"/>
      <c r="U152" s="35"/>
      <c r="V152" s="35"/>
    </row>
    <row r="153" spans="13:22">
      <c r="M153" s="35"/>
      <c r="N153" s="35"/>
      <c r="O153" s="35"/>
      <c r="P153" s="35"/>
      <c r="Q153" s="35"/>
      <c r="R153" s="33"/>
      <c r="S153" s="33"/>
      <c r="T153" s="33"/>
      <c r="U153" s="33"/>
      <c r="V153" s="33"/>
    </row>
    <row r="154" spans="13:22">
      <c r="M154" s="35"/>
      <c r="N154" s="35"/>
      <c r="O154" s="35"/>
      <c r="P154" s="35"/>
      <c r="Q154" s="35"/>
      <c r="R154" s="33"/>
      <c r="S154" s="33"/>
      <c r="T154" s="33"/>
      <c r="U154" s="33"/>
      <c r="V154" s="33"/>
    </row>
    <row r="155" spans="13:22">
      <c r="M155" s="35"/>
      <c r="N155" s="33"/>
      <c r="O155" s="33"/>
      <c r="P155" s="33"/>
      <c r="Q155" s="33"/>
      <c r="R155" s="33"/>
      <c r="S155" s="33"/>
      <c r="T155" s="33"/>
      <c r="U155" s="33"/>
      <c r="V155" s="33"/>
    </row>
    <row r="156" spans="13:22">
      <c r="M156" s="33"/>
      <c r="N156" s="33"/>
      <c r="O156" s="33"/>
      <c r="P156" s="33"/>
      <c r="Q156" s="33"/>
      <c r="R156" s="33"/>
      <c r="S156" s="33"/>
      <c r="T156" s="33"/>
      <c r="U156" s="33"/>
      <c r="V156" s="33"/>
    </row>
    <row r="157" spans="13:22">
      <c r="M157" s="33"/>
      <c r="N157" s="33"/>
      <c r="O157" s="33"/>
      <c r="P157" s="33"/>
      <c r="Q157" s="33"/>
    </row>
    <row r="158" spans="13:22">
      <c r="M158" s="33"/>
      <c r="N158" s="33"/>
      <c r="O158" s="33"/>
      <c r="P158" s="33"/>
      <c r="Q158" s="33"/>
    </row>
    <row r="159" spans="13:22">
      <c r="M159" s="33"/>
    </row>
  </sheetData>
  <mergeCells count="4">
    <mergeCell ref="C4:K4"/>
    <mergeCell ref="M6:Z7"/>
    <mergeCell ref="C83:K83"/>
    <mergeCell ref="M62:Y63"/>
  </mergeCells>
  <hyperlinks>
    <hyperlink ref="M1" location="'Key findings'!A1" display="Back to Key Findings" xr:uid="{00000000-0004-0000-0600-000000000000}"/>
    <hyperlink ref="M2" location="'Māori Non-Māori'!A140" display="See suicide rates for Māori and non-Māori by deprivation" xr:uid="{00000000-0004-0000-0600-000001000000}"/>
    <hyperlink ref="M3" location="'Ethnic group'!A86" display="See suicide rates by ethnic group and deprivation" xr:uid="{00000000-0004-0000-0600-000002000000}"/>
  </hyperlinks>
  <pageMargins left="0.25" right="0.25" top="0.75" bottom="0.75" header="0.3" footer="0.3"/>
  <pageSetup paperSize="9" scale="54" fitToWidth="0" orientation="landscape" r:id="rId1"/>
  <rowBreaks count="1" manualBreakCount="1">
    <brk id="60" max="31"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L120"/>
  <sheetViews>
    <sheetView showGridLines="0" zoomScaleNormal="100" workbookViewId="0">
      <selection activeCell="BI1" sqref="BI1:CL1048576"/>
    </sheetView>
  </sheetViews>
  <sheetFormatPr defaultRowHeight="12.75"/>
  <cols>
    <col min="1" max="1" width="4.7109375" style="12" customWidth="1"/>
    <col min="2" max="2" width="2.140625" style="12" customWidth="1"/>
    <col min="3" max="3" width="9.140625" style="12" customWidth="1"/>
    <col min="4" max="4" width="9.140625" style="12"/>
    <col min="5" max="5" width="16.42578125" style="12" customWidth="1"/>
    <col min="6" max="11" width="9.140625" style="12"/>
    <col min="12" max="12" width="4.28515625" style="12" customWidth="1"/>
    <col min="13" max="13" width="9.140625" style="12"/>
    <col min="14" max="14" width="35.7109375" style="12" customWidth="1"/>
    <col min="15" max="15" width="15" style="12" customWidth="1"/>
    <col min="16" max="16" width="10.5703125" style="12" customWidth="1"/>
    <col min="17" max="17" width="12.140625" style="12" customWidth="1"/>
    <col min="18" max="18" width="34.42578125" style="12" customWidth="1"/>
    <col min="19" max="19" width="7.42578125" style="12" bestFit="1" customWidth="1"/>
    <col min="20" max="40" width="6.7109375" style="12" customWidth="1"/>
    <col min="41" max="41" width="9.140625" style="12" customWidth="1"/>
    <col min="42" max="45" width="9.140625" style="12"/>
    <col min="46" max="47" width="9.140625" style="24"/>
    <col min="48" max="48" width="34" style="24" customWidth="1"/>
    <col min="49" max="49" width="15.42578125" style="24" customWidth="1"/>
    <col min="50" max="60" width="9.140625" style="24"/>
    <col min="61" max="72" width="9.140625" style="599"/>
    <col min="73" max="90" width="9.140625" style="583"/>
    <col min="91" max="16384" width="9.140625" style="12"/>
  </cols>
  <sheetData>
    <row r="1" spans="2:40">
      <c r="P1" s="126" t="s">
        <v>371</v>
      </c>
    </row>
    <row r="2" spans="2:40" ht="23.25">
      <c r="C2" s="115" t="s">
        <v>297</v>
      </c>
      <c r="O2" s="126"/>
      <c r="P2" s="126" t="s">
        <v>299</v>
      </c>
    </row>
    <row r="3" spans="2:40">
      <c r="O3" s="126"/>
    </row>
    <row r="4" spans="2:40">
      <c r="C4" s="23" t="s">
        <v>346</v>
      </c>
      <c r="O4" s="126"/>
      <c r="P4" s="126" t="s">
        <v>356</v>
      </c>
    </row>
    <row r="5" spans="2:40">
      <c r="C5" s="23" t="s">
        <v>376</v>
      </c>
      <c r="O5" s="126"/>
      <c r="Q5" s="126"/>
    </row>
    <row r="6" spans="2:40">
      <c r="C6" s="23" t="s">
        <v>345</v>
      </c>
      <c r="O6" s="126"/>
      <c r="Q6" s="126"/>
    </row>
    <row r="7" spans="2:40">
      <c r="C7" s="23"/>
      <c r="O7" s="126"/>
      <c r="Q7" s="126"/>
    </row>
    <row r="8" spans="2:40" ht="15.75">
      <c r="D8" s="39"/>
      <c r="E8" s="39"/>
    </row>
    <row r="9" spans="2:40">
      <c r="N9" s="34" t="s">
        <v>377</v>
      </c>
    </row>
    <row r="10" spans="2:40">
      <c r="B10" s="5"/>
      <c r="C10" s="5"/>
      <c r="D10" s="5"/>
      <c r="E10" s="5"/>
      <c r="F10" s="5"/>
      <c r="G10" s="5"/>
      <c r="H10" s="5"/>
      <c r="I10" s="5"/>
      <c r="J10" s="5"/>
      <c r="K10" s="5"/>
      <c r="L10" s="5"/>
      <c r="N10" s="22" t="s">
        <v>378</v>
      </c>
    </row>
    <row r="11" spans="2:40" ht="15">
      <c r="B11" s="5"/>
      <c r="C11" s="92" t="s">
        <v>528</v>
      </c>
      <c r="D11" s="5"/>
      <c r="E11" s="5"/>
      <c r="F11" s="5"/>
      <c r="G11" s="5"/>
      <c r="H11" s="5"/>
      <c r="I11" s="5"/>
      <c r="J11" s="5"/>
      <c r="K11" s="5"/>
      <c r="L11" s="5"/>
      <c r="P11" s="127" t="s">
        <v>659</v>
      </c>
    </row>
    <row r="12" spans="2:40">
      <c r="B12" s="5"/>
      <c r="C12" s="5"/>
      <c r="D12" s="5"/>
      <c r="E12" s="5"/>
      <c r="F12" s="5"/>
      <c r="G12" s="5"/>
      <c r="H12" s="5"/>
      <c r="I12" s="5"/>
      <c r="J12" s="5"/>
      <c r="K12" s="5"/>
      <c r="L12" s="5"/>
    </row>
    <row r="13" spans="2:40">
      <c r="B13" s="5"/>
      <c r="C13" s="5"/>
      <c r="D13" s="5"/>
      <c r="E13" s="5"/>
      <c r="F13" s="5"/>
      <c r="G13" s="5"/>
      <c r="H13" s="5"/>
      <c r="I13" s="5"/>
      <c r="J13" s="5"/>
      <c r="K13" s="5"/>
      <c r="L13" s="5"/>
      <c r="P13" s="365" t="s">
        <v>1</v>
      </c>
      <c r="Q13" s="13" t="s">
        <v>37</v>
      </c>
      <c r="R13" s="13" t="s">
        <v>50</v>
      </c>
      <c r="S13" s="13"/>
      <c r="T13" s="13">
        <v>1996</v>
      </c>
      <c r="U13" s="13">
        <v>1997</v>
      </c>
      <c r="V13" s="13">
        <v>1998</v>
      </c>
      <c r="W13" s="13">
        <v>1999</v>
      </c>
      <c r="X13" s="13">
        <v>2000</v>
      </c>
      <c r="Y13" s="13">
        <v>2001</v>
      </c>
      <c r="Z13" s="13">
        <v>2002</v>
      </c>
      <c r="AA13" s="13">
        <v>2003</v>
      </c>
      <c r="AB13" s="13">
        <v>2004</v>
      </c>
      <c r="AC13" s="13">
        <v>2005</v>
      </c>
      <c r="AD13" s="13">
        <v>2006</v>
      </c>
      <c r="AE13" s="13">
        <v>2007</v>
      </c>
      <c r="AF13" s="13">
        <v>2008</v>
      </c>
      <c r="AG13" s="13">
        <v>2009</v>
      </c>
      <c r="AH13" s="13">
        <v>2010</v>
      </c>
      <c r="AI13" s="13">
        <v>2011</v>
      </c>
      <c r="AJ13" s="13">
        <v>2012</v>
      </c>
      <c r="AK13" s="13">
        <v>2013</v>
      </c>
      <c r="AL13" s="13">
        <v>2014</v>
      </c>
      <c r="AM13" s="13">
        <v>2015</v>
      </c>
      <c r="AN13" s="13">
        <v>2016</v>
      </c>
    </row>
    <row r="14" spans="2:40">
      <c r="B14" s="5"/>
      <c r="C14" s="5"/>
      <c r="D14" s="5"/>
      <c r="E14" s="5"/>
      <c r="F14" s="5"/>
      <c r="G14" s="5"/>
      <c r="H14" s="5"/>
      <c r="I14" s="5"/>
      <c r="J14" s="5"/>
      <c r="K14" s="5"/>
      <c r="L14" s="5"/>
      <c r="P14" s="25"/>
      <c r="Q14" s="24"/>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2:40">
      <c r="B15" s="5"/>
      <c r="C15" s="5"/>
      <c r="D15" s="5"/>
      <c r="E15" s="5"/>
      <c r="F15" s="5"/>
      <c r="G15" s="5"/>
      <c r="H15" s="5"/>
      <c r="I15" s="5"/>
      <c r="J15" s="5"/>
      <c r="K15" s="5"/>
      <c r="L15" s="5"/>
      <c r="P15" s="19" t="s">
        <v>0</v>
      </c>
      <c r="Q15" s="19" t="s">
        <v>9</v>
      </c>
      <c r="R15" s="11" t="s">
        <v>43</v>
      </c>
      <c r="S15" s="11" t="s">
        <v>21</v>
      </c>
      <c r="T15" s="11">
        <f t="shared" ref="T15:AN15" si="0">VLOOKUP(T$13&amp;"AllSex"&amp;"AllEth"&amp;19&amp;$R$15,Methodstable,7,FALSE)</f>
        <v>230</v>
      </c>
      <c r="U15" s="11">
        <f t="shared" si="0"/>
        <v>232</v>
      </c>
      <c r="V15" s="11">
        <f t="shared" si="0"/>
        <v>250</v>
      </c>
      <c r="W15" s="11">
        <f t="shared" si="0"/>
        <v>242</v>
      </c>
      <c r="X15" s="11">
        <f t="shared" si="0"/>
        <v>215</v>
      </c>
      <c r="Y15" s="11">
        <f t="shared" si="0"/>
        <v>235</v>
      </c>
      <c r="Z15" s="11">
        <f t="shared" si="0"/>
        <v>222</v>
      </c>
      <c r="AA15" s="11">
        <f t="shared" si="0"/>
        <v>250</v>
      </c>
      <c r="AB15" s="11">
        <f t="shared" si="0"/>
        <v>270</v>
      </c>
      <c r="AC15" s="11">
        <f t="shared" si="0"/>
        <v>256</v>
      </c>
      <c r="AD15" s="11">
        <f t="shared" si="0"/>
        <v>286</v>
      </c>
      <c r="AE15" s="11">
        <f t="shared" si="0"/>
        <v>284</v>
      </c>
      <c r="AF15" s="11">
        <f t="shared" si="0"/>
        <v>290</v>
      </c>
      <c r="AG15" s="11">
        <f t="shared" si="0"/>
        <v>302</v>
      </c>
      <c r="AH15" s="11">
        <f t="shared" si="0"/>
        <v>313</v>
      </c>
      <c r="AI15" s="11">
        <f t="shared" si="0"/>
        <v>302</v>
      </c>
      <c r="AJ15" s="11">
        <f t="shared" si="0"/>
        <v>342</v>
      </c>
      <c r="AK15" s="11">
        <f t="shared" si="0"/>
        <v>293</v>
      </c>
      <c r="AL15" s="11">
        <f t="shared" si="0"/>
        <v>311</v>
      </c>
      <c r="AM15" s="11">
        <f t="shared" si="0"/>
        <v>327</v>
      </c>
      <c r="AN15" s="11">
        <f t="shared" si="0"/>
        <v>362</v>
      </c>
    </row>
    <row r="16" spans="2:40">
      <c r="B16" s="5"/>
      <c r="C16" s="5"/>
      <c r="D16" s="5"/>
      <c r="E16" s="5"/>
      <c r="F16" s="5"/>
      <c r="G16" s="5"/>
      <c r="H16" s="5"/>
      <c r="I16" s="5"/>
      <c r="J16" s="5"/>
      <c r="K16" s="5"/>
      <c r="L16" s="5"/>
      <c r="P16" s="19"/>
      <c r="Q16" s="19"/>
      <c r="R16" s="24" t="s">
        <v>46</v>
      </c>
      <c r="S16" s="11"/>
      <c r="T16" s="24">
        <f t="shared" ref="T16:AN16" si="1">VLOOKUP(T$13&amp;"AllSex"&amp;"AllEth"&amp;19&amp;$R$16,Methodstable,7,FALSE)</f>
        <v>157</v>
      </c>
      <c r="U16" s="24">
        <f t="shared" si="1"/>
        <v>157</v>
      </c>
      <c r="V16" s="24">
        <f t="shared" si="1"/>
        <v>134</v>
      </c>
      <c r="W16" s="24">
        <f t="shared" si="1"/>
        <v>117</v>
      </c>
      <c r="X16" s="24">
        <f t="shared" si="1"/>
        <v>113</v>
      </c>
      <c r="Y16" s="24">
        <f t="shared" si="1"/>
        <v>111</v>
      </c>
      <c r="Z16" s="24">
        <f t="shared" si="1"/>
        <v>99</v>
      </c>
      <c r="AA16" s="24">
        <f t="shared" si="1"/>
        <v>104</v>
      </c>
      <c r="AB16" s="24">
        <f t="shared" si="1"/>
        <v>95</v>
      </c>
      <c r="AC16" s="24">
        <f t="shared" si="1"/>
        <v>110</v>
      </c>
      <c r="AD16" s="24">
        <f t="shared" si="1"/>
        <v>87</v>
      </c>
      <c r="AE16" s="24">
        <f t="shared" si="1"/>
        <v>72</v>
      </c>
      <c r="AF16" s="24">
        <f t="shared" si="1"/>
        <v>75</v>
      </c>
      <c r="AG16" s="24">
        <f t="shared" si="1"/>
        <v>50</v>
      </c>
      <c r="AH16" s="24">
        <f t="shared" si="1"/>
        <v>61</v>
      </c>
      <c r="AI16" s="24">
        <f t="shared" si="1"/>
        <v>48</v>
      </c>
      <c r="AJ16" s="24">
        <f t="shared" si="1"/>
        <v>43</v>
      </c>
      <c r="AK16" s="24">
        <f t="shared" si="1"/>
        <v>45</v>
      </c>
      <c r="AL16" s="24">
        <f t="shared" si="1"/>
        <v>41</v>
      </c>
      <c r="AM16" s="24">
        <f t="shared" si="1"/>
        <v>45</v>
      </c>
      <c r="AN16" s="24">
        <f t="shared" si="1"/>
        <v>44</v>
      </c>
    </row>
    <row r="17" spans="2:87">
      <c r="B17" s="5"/>
      <c r="C17" s="5"/>
      <c r="D17" s="5"/>
      <c r="E17" s="5"/>
      <c r="F17" s="5"/>
      <c r="G17" s="5"/>
      <c r="H17" s="5"/>
      <c r="I17" s="5"/>
      <c r="J17" s="5"/>
      <c r="K17" s="5"/>
      <c r="L17" s="5"/>
      <c r="P17" s="25"/>
      <c r="Q17" s="25"/>
      <c r="R17" s="24" t="s">
        <v>47</v>
      </c>
      <c r="S17" s="11"/>
      <c r="T17" s="24">
        <f t="shared" ref="T17:AN17" si="2">VLOOKUP(T$13&amp;"AllSex"&amp;"AllEth"&amp;19&amp;$R$17,Methodstable,7,FALSE)</f>
        <v>59</v>
      </c>
      <c r="U17" s="24">
        <f t="shared" si="2"/>
        <v>59</v>
      </c>
      <c r="V17" s="24">
        <f t="shared" si="2"/>
        <v>64</v>
      </c>
      <c r="W17" s="24">
        <f t="shared" si="2"/>
        <v>52</v>
      </c>
      <c r="X17" s="24">
        <f t="shared" si="2"/>
        <v>36</v>
      </c>
      <c r="Y17" s="24">
        <f t="shared" si="2"/>
        <v>54</v>
      </c>
      <c r="Z17" s="24">
        <f t="shared" si="2"/>
        <v>47</v>
      </c>
      <c r="AA17" s="24">
        <f t="shared" si="2"/>
        <v>58</v>
      </c>
      <c r="AB17" s="24">
        <f t="shared" si="2"/>
        <v>46</v>
      </c>
      <c r="AC17" s="24">
        <f t="shared" si="2"/>
        <v>51</v>
      </c>
      <c r="AD17" s="24">
        <f t="shared" si="2"/>
        <v>49</v>
      </c>
      <c r="AE17" s="24">
        <f t="shared" si="2"/>
        <v>48</v>
      </c>
      <c r="AF17" s="24">
        <f t="shared" si="2"/>
        <v>55</v>
      </c>
      <c r="AG17" s="24">
        <f t="shared" si="2"/>
        <v>59</v>
      </c>
      <c r="AH17" s="24">
        <f t="shared" si="2"/>
        <v>67</v>
      </c>
      <c r="AI17" s="24">
        <f t="shared" si="2"/>
        <v>57</v>
      </c>
      <c r="AJ17" s="24">
        <f t="shared" si="2"/>
        <v>64</v>
      </c>
      <c r="AK17" s="24">
        <f t="shared" si="2"/>
        <v>69</v>
      </c>
      <c r="AL17" s="24">
        <f t="shared" si="2"/>
        <v>67</v>
      </c>
      <c r="AM17" s="24">
        <f t="shared" si="2"/>
        <v>54</v>
      </c>
      <c r="AN17" s="24">
        <f t="shared" si="2"/>
        <v>48</v>
      </c>
    </row>
    <row r="18" spans="2:87">
      <c r="B18" s="5"/>
      <c r="C18" s="5"/>
      <c r="D18" s="5"/>
      <c r="E18" s="5"/>
      <c r="F18" s="5"/>
      <c r="G18" s="5"/>
      <c r="H18" s="5"/>
      <c r="I18" s="5"/>
      <c r="J18" s="5"/>
      <c r="K18" s="5"/>
      <c r="L18" s="5"/>
      <c r="P18" s="25"/>
      <c r="Q18" s="25"/>
      <c r="R18" s="11" t="s">
        <v>42</v>
      </c>
      <c r="S18" s="11"/>
      <c r="T18" s="24">
        <f t="shared" ref="T18:AN18" si="3">VLOOKUP(T$13&amp;"AllSex"&amp;"AllEth"&amp;19&amp;$R$18,Methodstable,7,FALSE)</f>
        <v>47</v>
      </c>
      <c r="U18" s="24">
        <f t="shared" si="3"/>
        <v>56</v>
      </c>
      <c r="V18" s="24">
        <f t="shared" si="3"/>
        <v>72</v>
      </c>
      <c r="W18" s="24">
        <f t="shared" si="3"/>
        <v>47</v>
      </c>
      <c r="X18" s="24">
        <f t="shared" si="3"/>
        <v>37</v>
      </c>
      <c r="Y18" s="24">
        <f t="shared" si="3"/>
        <v>51</v>
      </c>
      <c r="Z18" s="24">
        <f t="shared" si="3"/>
        <v>49</v>
      </c>
      <c r="AA18" s="24">
        <f t="shared" si="3"/>
        <v>42</v>
      </c>
      <c r="AB18" s="24">
        <f t="shared" si="3"/>
        <v>39</v>
      </c>
      <c r="AC18" s="24">
        <f t="shared" si="3"/>
        <v>44</v>
      </c>
      <c r="AD18" s="24">
        <f t="shared" si="3"/>
        <v>48</v>
      </c>
      <c r="AE18" s="24">
        <f t="shared" si="3"/>
        <v>48</v>
      </c>
      <c r="AF18" s="24">
        <f t="shared" si="3"/>
        <v>42</v>
      </c>
      <c r="AG18" s="24">
        <f t="shared" si="3"/>
        <v>53</v>
      </c>
      <c r="AH18" s="24">
        <f t="shared" si="3"/>
        <v>42</v>
      </c>
      <c r="AI18" s="24">
        <f t="shared" si="3"/>
        <v>36</v>
      </c>
      <c r="AJ18" s="24">
        <f t="shared" si="3"/>
        <v>47</v>
      </c>
      <c r="AK18" s="24">
        <f t="shared" si="3"/>
        <v>48</v>
      </c>
      <c r="AL18" s="24">
        <f t="shared" si="3"/>
        <v>41</v>
      </c>
      <c r="AM18" s="24">
        <f t="shared" si="3"/>
        <v>41</v>
      </c>
      <c r="AN18" s="24">
        <f t="shared" si="3"/>
        <v>34</v>
      </c>
    </row>
    <row r="19" spans="2:87">
      <c r="B19" s="5"/>
      <c r="C19" s="5"/>
      <c r="D19" s="5"/>
      <c r="E19" s="5"/>
      <c r="F19" s="5"/>
      <c r="G19" s="5"/>
      <c r="H19" s="5"/>
      <c r="I19" s="5"/>
      <c r="J19" s="5"/>
      <c r="K19" s="5"/>
      <c r="L19" s="5"/>
      <c r="P19" s="25"/>
      <c r="Q19" s="25"/>
      <c r="R19" s="24" t="s">
        <v>44</v>
      </c>
      <c r="S19" s="11"/>
      <c r="T19" s="24">
        <f t="shared" ref="T19:AN19" si="4">VLOOKUP(T$13&amp;"AllSex"&amp;"AllEth"&amp;19&amp;$R$19,Methodstable,7,FALSE)</f>
        <v>12</v>
      </c>
      <c r="U19" s="24">
        <f t="shared" si="4"/>
        <v>11</v>
      </c>
      <c r="V19" s="24">
        <f t="shared" si="4"/>
        <v>16</v>
      </c>
      <c r="W19" s="24">
        <f t="shared" si="4"/>
        <v>17</v>
      </c>
      <c r="X19" s="24">
        <f t="shared" si="4"/>
        <v>16</v>
      </c>
      <c r="Y19" s="24">
        <f t="shared" si="4"/>
        <v>19</v>
      </c>
      <c r="Z19" s="24">
        <f t="shared" si="4"/>
        <v>19</v>
      </c>
      <c r="AA19" s="24">
        <f t="shared" si="4"/>
        <v>15</v>
      </c>
      <c r="AB19" s="24">
        <f t="shared" si="4"/>
        <v>10</v>
      </c>
      <c r="AC19" s="24">
        <f t="shared" si="4"/>
        <v>15</v>
      </c>
      <c r="AD19" s="24">
        <f t="shared" si="4"/>
        <v>10</v>
      </c>
      <c r="AE19" s="24">
        <f t="shared" si="4"/>
        <v>13</v>
      </c>
      <c r="AF19" s="24">
        <f t="shared" si="4"/>
        <v>14</v>
      </c>
      <c r="AG19" s="24">
        <f t="shared" si="4"/>
        <v>17</v>
      </c>
      <c r="AH19" s="24">
        <f t="shared" si="4"/>
        <v>13</v>
      </c>
      <c r="AI19" s="24">
        <f t="shared" si="4"/>
        <v>12</v>
      </c>
      <c r="AJ19" s="24">
        <f t="shared" si="4"/>
        <v>16</v>
      </c>
      <c r="AK19" s="24">
        <f t="shared" si="4"/>
        <v>14</v>
      </c>
      <c r="AL19" s="24">
        <f t="shared" si="4"/>
        <v>15</v>
      </c>
      <c r="AM19" s="24">
        <f t="shared" si="4"/>
        <v>18</v>
      </c>
      <c r="AN19" s="24">
        <f t="shared" si="4"/>
        <v>24</v>
      </c>
    </row>
    <row r="20" spans="2:87">
      <c r="B20" s="5"/>
      <c r="C20" s="5"/>
      <c r="D20" s="5"/>
      <c r="E20" s="5"/>
      <c r="F20" s="5"/>
      <c r="G20" s="5"/>
      <c r="H20" s="5"/>
      <c r="I20" s="5"/>
      <c r="J20" s="5"/>
      <c r="K20" s="5"/>
      <c r="L20" s="5"/>
      <c r="P20" s="25"/>
      <c r="Q20" s="25"/>
      <c r="R20" s="24" t="s">
        <v>49</v>
      </c>
      <c r="S20" s="11"/>
      <c r="T20" s="24">
        <f t="shared" ref="T20:AN20" si="5">VLOOKUP(T$13&amp;"AllSex"&amp;"AllEth"&amp;19&amp;$R$20,Methodstable,7,FALSE)</f>
        <v>11</v>
      </c>
      <c r="U20" s="24">
        <f t="shared" si="5"/>
        <v>17</v>
      </c>
      <c r="V20" s="24">
        <f t="shared" si="5"/>
        <v>10</v>
      </c>
      <c r="W20" s="24">
        <f t="shared" si="5"/>
        <v>16</v>
      </c>
      <c r="X20" s="24">
        <f t="shared" si="5"/>
        <v>15</v>
      </c>
      <c r="Y20" s="24">
        <f t="shared" si="5"/>
        <v>7</v>
      </c>
      <c r="Z20" s="24">
        <f t="shared" si="5"/>
        <v>13</v>
      </c>
      <c r="AA20" s="24">
        <f t="shared" si="5"/>
        <v>13</v>
      </c>
      <c r="AB20" s="24">
        <f t="shared" si="5"/>
        <v>12</v>
      </c>
      <c r="AC20" s="24">
        <f t="shared" si="5"/>
        <v>13</v>
      </c>
      <c r="AD20" s="24">
        <f t="shared" si="5"/>
        <v>9</v>
      </c>
      <c r="AE20" s="24">
        <f t="shared" si="5"/>
        <v>11</v>
      </c>
      <c r="AF20" s="24">
        <f t="shared" si="5"/>
        <v>8</v>
      </c>
      <c r="AG20" s="24">
        <f t="shared" si="5"/>
        <v>6</v>
      </c>
      <c r="AH20" s="24">
        <f t="shared" si="5"/>
        <v>9</v>
      </c>
      <c r="AI20" s="24">
        <f t="shared" si="5"/>
        <v>15</v>
      </c>
      <c r="AJ20" s="24">
        <f t="shared" si="5"/>
        <v>5</v>
      </c>
      <c r="AK20" s="24">
        <f t="shared" si="5"/>
        <v>15</v>
      </c>
      <c r="AL20" s="24">
        <f t="shared" si="5"/>
        <v>10</v>
      </c>
      <c r="AM20" s="24">
        <f t="shared" si="5"/>
        <v>12</v>
      </c>
      <c r="AN20" s="24">
        <f t="shared" si="5"/>
        <v>12</v>
      </c>
    </row>
    <row r="21" spans="2:87">
      <c r="B21" s="5"/>
      <c r="C21" s="5"/>
      <c r="D21" s="5"/>
      <c r="E21" s="5"/>
      <c r="F21" s="5"/>
      <c r="G21" s="5"/>
      <c r="H21" s="5"/>
      <c r="I21" s="5"/>
      <c r="J21" s="5"/>
      <c r="K21" s="5"/>
      <c r="L21" s="5"/>
      <c r="P21" s="25"/>
      <c r="Q21" s="25"/>
      <c r="R21" s="24" t="s">
        <v>48</v>
      </c>
      <c r="S21" s="11"/>
      <c r="T21" s="24">
        <f t="shared" ref="T21:AN21" si="6">VLOOKUP(T$13&amp;"AllSex"&amp;"AllEth"&amp;19&amp;$R$21,Methodstable,7,FALSE)</f>
        <v>7</v>
      </c>
      <c r="U21" s="24">
        <f t="shared" si="6"/>
        <v>14</v>
      </c>
      <c r="V21" s="24">
        <f t="shared" si="6"/>
        <v>8</v>
      </c>
      <c r="W21" s="24">
        <f t="shared" si="6"/>
        <v>8</v>
      </c>
      <c r="X21" s="24">
        <f t="shared" si="6"/>
        <v>11</v>
      </c>
      <c r="Y21" s="24">
        <f t="shared" si="6"/>
        <v>9</v>
      </c>
      <c r="Z21" s="24">
        <f t="shared" si="6"/>
        <v>5</v>
      </c>
      <c r="AA21" s="24">
        <f t="shared" si="6"/>
        <v>18</v>
      </c>
      <c r="AB21" s="24">
        <f t="shared" si="6"/>
        <v>6</v>
      </c>
      <c r="AC21" s="24">
        <f t="shared" si="6"/>
        <v>13</v>
      </c>
      <c r="AD21" s="24">
        <f t="shared" si="6"/>
        <v>13</v>
      </c>
      <c r="AE21" s="24">
        <f t="shared" si="6"/>
        <v>6</v>
      </c>
      <c r="AF21" s="24">
        <f t="shared" si="6"/>
        <v>14</v>
      </c>
      <c r="AG21" s="24">
        <f t="shared" si="6"/>
        <v>10</v>
      </c>
      <c r="AH21" s="24">
        <f t="shared" si="6"/>
        <v>9</v>
      </c>
      <c r="AI21" s="24">
        <f t="shared" si="6"/>
        <v>7</v>
      </c>
      <c r="AJ21" s="24">
        <f t="shared" si="6"/>
        <v>13</v>
      </c>
      <c r="AK21" s="24">
        <f t="shared" si="6"/>
        <v>10</v>
      </c>
      <c r="AL21" s="24">
        <f t="shared" si="6"/>
        <v>10</v>
      </c>
      <c r="AM21" s="24">
        <f t="shared" si="6"/>
        <v>8</v>
      </c>
      <c r="AN21" s="24">
        <f t="shared" si="6"/>
        <v>10</v>
      </c>
    </row>
    <row r="22" spans="2:87">
      <c r="B22" s="5"/>
      <c r="C22" s="5"/>
      <c r="D22" s="5"/>
      <c r="E22" s="5"/>
      <c r="F22" s="5"/>
      <c r="G22" s="5"/>
      <c r="H22" s="5"/>
      <c r="I22" s="5"/>
      <c r="J22" s="5"/>
      <c r="K22" s="5"/>
      <c r="L22" s="5"/>
      <c r="P22" s="25"/>
      <c r="Q22" s="25"/>
      <c r="R22" s="24" t="s">
        <v>45</v>
      </c>
      <c r="S22" s="11"/>
      <c r="T22" s="24">
        <f t="shared" ref="T22:AN22" si="7">VLOOKUP(T$13&amp;"AllSex"&amp;"AllEth"&amp;19&amp;$R$22,Methodstable,7,FALSE)</f>
        <v>17</v>
      </c>
      <c r="U22" s="24">
        <f t="shared" si="7"/>
        <v>16</v>
      </c>
      <c r="V22" s="24">
        <f t="shared" si="7"/>
        <v>24</v>
      </c>
      <c r="W22" s="24">
        <f t="shared" si="7"/>
        <v>17</v>
      </c>
      <c r="X22" s="24">
        <f t="shared" si="7"/>
        <v>16</v>
      </c>
      <c r="Y22" s="24">
        <f t="shared" si="7"/>
        <v>22</v>
      </c>
      <c r="Z22" s="24">
        <f t="shared" si="7"/>
        <v>16</v>
      </c>
      <c r="AA22" s="24">
        <f t="shared" si="7"/>
        <v>22</v>
      </c>
      <c r="AB22" s="24">
        <f t="shared" si="7"/>
        <v>16</v>
      </c>
      <c r="AC22" s="24">
        <f t="shared" si="7"/>
        <v>13</v>
      </c>
      <c r="AD22" s="24">
        <f t="shared" si="7"/>
        <v>22</v>
      </c>
      <c r="AE22" s="24">
        <f t="shared" si="7"/>
        <v>19</v>
      </c>
      <c r="AF22" s="24">
        <f t="shared" si="7"/>
        <v>20</v>
      </c>
      <c r="AG22" s="24">
        <f t="shared" si="7"/>
        <v>15</v>
      </c>
      <c r="AH22" s="24">
        <f t="shared" si="7"/>
        <v>20</v>
      </c>
      <c r="AI22" s="24">
        <f t="shared" si="7"/>
        <v>18</v>
      </c>
      <c r="AJ22" s="24">
        <f t="shared" si="7"/>
        <v>19</v>
      </c>
      <c r="AK22" s="24">
        <f t="shared" si="7"/>
        <v>19</v>
      </c>
      <c r="AL22" s="24">
        <f t="shared" si="7"/>
        <v>15</v>
      </c>
      <c r="AM22" s="24">
        <f t="shared" si="7"/>
        <v>25</v>
      </c>
      <c r="AN22" s="24">
        <f t="shared" si="7"/>
        <v>20</v>
      </c>
      <c r="BJ22" s="600"/>
      <c r="BK22" s="601"/>
      <c r="BL22" s="601"/>
      <c r="BM22" s="601"/>
      <c r="BN22" s="601"/>
      <c r="BO22" s="601">
        <v>1996</v>
      </c>
      <c r="BP22" s="601">
        <v>1997</v>
      </c>
      <c r="BQ22" s="601">
        <v>1998</v>
      </c>
      <c r="BR22" s="601">
        <v>1999</v>
      </c>
      <c r="BS22" s="601">
        <v>2000</v>
      </c>
      <c r="BT22" s="601">
        <v>2001</v>
      </c>
      <c r="BU22" s="601">
        <v>2002</v>
      </c>
      <c r="BV22" s="601">
        <v>2003</v>
      </c>
      <c r="BW22" s="601">
        <v>2004</v>
      </c>
      <c r="BX22" s="601">
        <v>2005</v>
      </c>
      <c r="BY22" s="601">
        <v>2006</v>
      </c>
      <c r="BZ22" s="601">
        <v>2007</v>
      </c>
      <c r="CA22" s="601">
        <v>2008</v>
      </c>
      <c r="CB22" s="601">
        <v>2009</v>
      </c>
      <c r="CC22" s="601">
        <v>2010</v>
      </c>
      <c r="CD22" s="601">
        <v>2011</v>
      </c>
      <c r="CE22" s="601">
        <v>2012</v>
      </c>
      <c r="CF22" s="601">
        <v>2013</v>
      </c>
      <c r="CG22" s="601">
        <v>2014</v>
      </c>
      <c r="CH22" s="601">
        <v>2015</v>
      </c>
      <c r="CI22" s="601">
        <v>2016</v>
      </c>
    </row>
    <row r="23" spans="2:87">
      <c r="B23" s="5"/>
      <c r="C23" s="5"/>
      <c r="D23" s="5"/>
      <c r="E23" s="5"/>
      <c r="F23" s="5"/>
      <c r="G23" s="5"/>
      <c r="H23" s="5"/>
      <c r="I23" s="5"/>
      <c r="J23" s="5"/>
      <c r="K23" s="5"/>
      <c r="L23" s="5"/>
      <c r="P23" s="28"/>
      <c r="Q23" s="28"/>
      <c r="R23" s="17"/>
      <c r="S23" s="17"/>
      <c r="T23" s="17"/>
      <c r="U23" s="17"/>
      <c r="V23" s="17"/>
      <c r="W23" s="17"/>
      <c r="X23" s="17"/>
      <c r="Y23" s="17"/>
      <c r="Z23" s="17"/>
      <c r="AA23" s="17"/>
      <c r="AB23" s="17"/>
      <c r="AC23" s="17"/>
      <c r="AD23" s="17"/>
      <c r="AE23" s="17"/>
      <c r="AF23" s="17"/>
      <c r="AG23" s="17"/>
      <c r="AH23" s="17"/>
      <c r="AI23" s="17"/>
      <c r="AJ23" s="17"/>
      <c r="AK23" s="17"/>
      <c r="AL23" s="17"/>
      <c r="AM23" s="17"/>
      <c r="AN23" s="17"/>
      <c r="BJ23" s="600" t="b">
        <v>1</v>
      </c>
      <c r="BK23" s="601" t="s">
        <v>0</v>
      </c>
      <c r="BL23" s="601" t="s">
        <v>9</v>
      </c>
      <c r="BM23" s="601" t="s">
        <v>43</v>
      </c>
      <c r="BN23" s="601" t="s">
        <v>51</v>
      </c>
      <c r="BO23" s="601">
        <f t="shared" ref="BO23:CI23" si="8">IF($BJ$23,VLOOKUP(BO$22&amp;"AllSex"&amp;"AllEth"&amp;19&amp;$BM23,Methodstable,9,FALSE),NA())</f>
        <v>42.6</v>
      </c>
      <c r="BP23" s="601">
        <f t="shared" si="8"/>
        <v>41.3</v>
      </c>
      <c r="BQ23" s="601">
        <f t="shared" si="8"/>
        <v>43.3</v>
      </c>
      <c r="BR23" s="601">
        <f t="shared" si="8"/>
        <v>46.9</v>
      </c>
      <c r="BS23" s="601">
        <f t="shared" si="8"/>
        <v>46.8</v>
      </c>
      <c r="BT23" s="601">
        <f t="shared" si="8"/>
        <v>46.3</v>
      </c>
      <c r="BU23" s="601">
        <f t="shared" si="8"/>
        <v>47.2</v>
      </c>
      <c r="BV23" s="601">
        <f t="shared" si="8"/>
        <v>47.9</v>
      </c>
      <c r="BW23" s="601">
        <f t="shared" si="8"/>
        <v>54.7</v>
      </c>
      <c r="BX23" s="601">
        <f t="shared" si="8"/>
        <v>49.7</v>
      </c>
      <c r="BY23" s="601">
        <f t="shared" si="8"/>
        <v>54.6</v>
      </c>
      <c r="BZ23" s="601">
        <f t="shared" si="8"/>
        <v>56.7</v>
      </c>
      <c r="CA23" s="601">
        <f t="shared" si="8"/>
        <v>56</v>
      </c>
      <c r="CB23" s="601">
        <f t="shared" si="8"/>
        <v>59</v>
      </c>
      <c r="CC23" s="601">
        <f t="shared" si="8"/>
        <v>58.6</v>
      </c>
      <c r="CD23" s="601">
        <f t="shared" si="8"/>
        <v>61</v>
      </c>
      <c r="CE23" s="601">
        <f t="shared" si="8"/>
        <v>62.3</v>
      </c>
      <c r="CF23" s="601">
        <f t="shared" si="8"/>
        <v>57.1</v>
      </c>
      <c r="CG23" s="601">
        <f t="shared" si="8"/>
        <v>61</v>
      </c>
      <c r="CH23" s="601">
        <f t="shared" si="8"/>
        <v>61.7</v>
      </c>
      <c r="CI23" s="601">
        <f t="shared" si="8"/>
        <v>65.3</v>
      </c>
    </row>
    <row r="24" spans="2:87">
      <c r="B24" s="5"/>
      <c r="C24" s="5"/>
      <c r="D24" s="5"/>
      <c r="E24" s="5"/>
      <c r="F24" s="5"/>
      <c r="G24" s="5"/>
      <c r="H24" s="5"/>
      <c r="I24" s="5"/>
      <c r="J24" s="5"/>
      <c r="K24" s="5"/>
      <c r="L24" s="5"/>
      <c r="P24" s="25" t="s">
        <v>0</v>
      </c>
      <c r="Q24" s="25" t="s">
        <v>9</v>
      </c>
      <c r="R24" s="11" t="s">
        <v>43</v>
      </c>
      <c r="S24" s="24" t="s">
        <v>303</v>
      </c>
      <c r="T24" s="27">
        <f t="shared" ref="T24:AN24" si="9">VLOOKUP(T$13&amp;"AllSex"&amp;"AllEth"&amp;19&amp;$R$24,Methodstable,9,FALSE)</f>
        <v>42.6</v>
      </c>
      <c r="U24" s="27">
        <f t="shared" si="9"/>
        <v>41.3</v>
      </c>
      <c r="V24" s="27">
        <f t="shared" si="9"/>
        <v>43.3</v>
      </c>
      <c r="W24" s="27">
        <f t="shared" si="9"/>
        <v>46.9</v>
      </c>
      <c r="X24" s="27">
        <f t="shared" si="9"/>
        <v>46.8</v>
      </c>
      <c r="Y24" s="27">
        <f t="shared" si="9"/>
        <v>46.3</v>
      </c>
      <c r="Z24" s="27">
        <f t="shared" si="9"/>
        <v>47.2</v>
      </c>
      <c r="AA24" s="27">
        <f t="shared" si="9"/>
        <v>47.9</v>
      </c>
      <c r="AB24" s="27">
        <f t="shared" si="9"/>
        <v>54.7</v>
      </c>
      <c r="AC24" s="27">
        <f t="shared" si="9"/>
        <v>49.7</v>
      </c>
      <c r="AD24" s="27">
        <f t="shared" si="9"/>
        <v>54.6</v>
      </c>
      <c r="AE24" s="27">
        <f t="shared" si="9"/>
        <v>56.7</v>
      </c>
      <c r="AF24" s="27">
        <f t="shared" si="9"/>
        <v>56</v>
      </c>
      <c r="AG24" s="27">
        <f t="shared" si="9"/>
        <v>59</v>
      </c>
      <c r="AH24" s="27">
        <f t="shared" si="9"/>
        <v>58.6</v>
      </c>
      <c r="AI24" s="27">
        <f t="shared" si="9"/>
        <v>61</v>
      </c>
      <c r="AJ24" s="27">
        <f t="shared" si="9"/>
        <v>62.3</v>
      </c>
      <c r="AK24" s="27">
        <f t="shared" si="9"/>
        <v>57.1</v>
      </c>
      <c r="AL24" s="27">
        <f t="shared" si="9"/>
        <v>61</v>
      </c>
      <c r="AM24" s="27">
        <f t="shared" si="9"/>
        <v>61.7</v>
      </c>
      <c r="AN24" s="27">
        <f t="shared" si="9"/>
        <v>65.3</v>
      </c>
      <c r="BJ24" s="600" t="b">
        <v>1</v>
      </c>
      <c r="BK24" s="601"/>
      <c r="BL24" s="601"/>
      <c r="BM24" s="601" t="s">
        <v>46</v>
      </c>
      <c r="BN24" s="601" t="s">
        <v>51</v>
      </c>
      <c r="BO24" s="601">
        <f t="shared" ref="BO24:CI24" si="10">IF($BJ$24,VLOOKUP(BO$22&amp;"AllSex"&amp;"AllEth"&amp;19&amp;$BM24,Methodstable,9,FALSE),NA())</f>
        <v>29.1</v>
      </c>
      <c r="BP24" s="601">
        <f t="shared" si="10"/>
        <v>27.9</v>
      </c>
      <c r="BQ24" s="601">
        <f t="shared" si="10"/>
        <v>23.2</v>
      </c>
      <c r="BR24" s="601">
        <f t="shared" si="10"/>
        <v>22.7</v>
      </c>
      <c r="BS24" s="601">
        <f t="shared" si="10"/>
        <v>24.6</v>
      </c>
      <c r="BT24" s="601">
        <f t="shared" si="10"/>
        <v>21.9</v>
      </c>
      <c r="BU24" s="601">
        <f t="shared" si="10"/>
        <v>21.1</v>
      </c>
      <c r="BV24" s="601">
        <f t="shared" si="10"/>
        <v>19.899999999999999</v>
      </c>
      <c r="BW24" s="601">
        <f t="shared" si="10"/>
        <v>19.2</v>
      </c>
      <c r="BX24" s="601">
        <f t="shared" si="10"/>
        <v>21.4</v>
      </c>
      <c r="BY24" s="601">
        <f t="shared" si="10"/>
        <v>16.600000000000001</v>
      </c>
      <c r="BZ24" s="601">
        <f t="shared" si="10"/>
        <v>14.4</v>
      </c>
      <c r="CA24" s="601">
        <f t="shared" si="10"/>
        <v>14.5</v>
      </c>
      <c r="CB24" s="601">
        <f t="shared" si="10"/>
        <v>9.8000000000000007</v>
      </c>
      <c r="CC24" s="601">
        <f t="shared" si="10"/>
        <v>11.4</v>
      </c>
      <c r="CD24" s="601">
        <f t="shared" si="10"/>
        <v>9.6999999999999993</v>
      </c>
      <c r="CE24" s="601">
        <f t="shared" si="10"/>
        <v>7.8</v>
      </c>
      <c r="CF24" s="601">
        <f t="shared" si="10"/>
        <v>8.8000000000000007</v>
      </c>
      <c r="CG24" s="601">
        <f t="shared" si="10"/>
        <v>8</v>
      </c>
      <c r="CH24" s="601">
        <f t="shared" si="10"/>
        <v>8.5</v>
      </c>
      <c r="CI24" s="601">
        <f t="shared" si="10"/>
        <v>7.9</v>
      </c>
    </row>
    <row r="25" spans="2:87">
      <c r="B25" s="5"/>
      <c r="C25" s="5"/>
      <c r="D25" s="5"/>
      <c r="E25" s="5"/>
      <c r="F25" s="5"/>
      <c r="G25" s="5"/>
      <c r="H25" s="5"/>
      <c r="I25" s="5"/>
      <c r="J25" s="5"/>
      <c r="K25" s="5"/>
      <c r="L25" s="5"/>
      <c r="P25" s="25"/>
      <c r="Q25" s="25"/>
      <c r="R25" s="24" t="s">
        <v>46</v>
      </c>
      <c r="S25" s="24"/>
      <c r="T25" s="27">
        <f t="shared" ref="T25:AN25" si="11">VLOOKUP(T$13&amp;"AllSex"&amp;"AllEth"&amp;19&amp;$R$25,Methodstable,9,FALSE)</f>
        <v>29.1</v>
      </c>
      <c r="U25" s="27">
        <f t="shared" si="11"/>
        <v>27.9</v>
      </c>
      <c r="V25" s="27">
        <f t="shared" si="11"/>
        <v>23.2</v>
      </c>
      <c r="W25" s="27">
        <f t="shared" si="11"/>
        <v>22.7</v>
      </c>
      <c r="X25" s="27">
        <f t="shared" si="11"/>
        <v>24.6</v>
      </c>
      <c r="Y25" s="27">
        <f t="shared" si="11"/>
        <v>21.9</v>
      </c>
      <c r="Z25" s="27">
        <f t="shared" si="11"/>
        <v>21.1</v>
      </c>
      <c r="AA25" s="27">
        <f t="shared" si="11"/>
        <v>19.899999999999999</v>
      </c>
      <c r="AB25" s="27">
        <f t="shared" si="11"/>
        <v>19.2</v>
      </c>
      <c r="AC25" s="27">
        <f t="shared" si="11"/>
        <v>21.4</v>
      </c>
      <c r="AD25" s="27">
        <f t="shared" si="11"/>
        <v>16.600000000000001</v>
      </c>
      <c r="AE25" s="27">
        <f t="shared" si="11"/>
        <v>14.4</v>
      </c>
      <c r="AF25" s="27">
        <f t="shared" si="11"/>
        <v>14.5</v>
      </c>
      <c r="AG25" s="27">
        <f t="shared" si="11"/>
        <v>9.8000000000000007</v>
      </c>
      <c r="AH25" s="27">
        <f t="shared" si="11"/>
        <v>11.4</v>
      </c>
      <c r="AI25" s="27">
        <f t="shared" si="11"/>
        <v>9.6999999999999993</v>
      </c>
      <c r="AJ25" s="27">
        <f t="shared" si="11"/>
        <v>7.8</v>
      </c>
      <c r="AK25" s="27">
        <f t="shared" si="11"/>
        <v>8.8000000000000007</v>
      </c>
      <c r="AL25" s="27">
        <f t="shared" si="11"/>
        <v>8</v>
      </c>
      <c r="AM25" s="27">
        <f t="shared" si="11"/>
        <v>8.5</v>
      </c>
      <c r="AN25" s="27">
        <f t="shared" si="11"/>
        <v>7.9</v>
      </c>
      <c r="BJ25" s="600" t="b">
        <v>1</v>
      </c>
      <c r="BK25" s="601"/>
      <c r="BL25" s="601"/>
      <c r="BM25" s="601" t="s">
        <v>47</v>
      </c>
      <c r="BN25" s="601" t="s">
        <v>51</v>
      </c>
      <c r="BO25" s="601">
        <f t="shared" ref="BO25:CI25" si="12">IF($BJ$25,VLOOKUP(BO$22&amp;"AllSex"&amp;"AllEth"&amp;19&amp;$BM25,Methodstable,9,FALSE),NA())</f>
        <v>10.9</v>
      </c>
      <c r="BP25" s="601">
        <f t="shared" si="12"/>
        <v>10.5</v>
      </c>
      <c r="BQ25" s="601">
        <f t="shared" si="12"/>
        <v>11.1</v>
      </c>
      <c r="BR25" s="601">
        <f t="shared" si="12"/>
        <v>10.1</v>
      </c>
      <c r="BS25" s="601">
        <f t="shared" si="12"/>
        <v>7.8</v>
      </c>
      <c r="BT25" s="601">
        <f t="shared" si="12"/>
        <v>10.6</v>
      </c>
      <c r="BU25" s="601">
        <f t="shared" si="12"/>
        <v>10</v>
      </c>
      <c r="BV25" s="601">
        <f t="shared" si="12"/>
        <v>11.1</v>
      </c>
      <c r="BW25" s="601">
        <f t="shared" si="12"/>
        <v>9.3000000000000007</v>
      </c>
      <c r="BX25" s="601">
        <f t="shared" si="12"/>
        <v>9.9</v>
      </c>
      <c r="BY25" s="601">
        <f t="shared" si="12"/>
        <v>9.4</v>
      </c>
      <c r="BZ25" s="601">
        <f t="shared" si="12"/>
        <v>9.6</v>
      </c>
      <c r="CA25" s="601">
        <f t="shared" si="12"/>
        <v>10.6</v>
      </c>
      <c r="CB25" s="601">
        <f t="shared" si="12"/>
        <v>11.5</v>
      </c>
      <c r="CC25" s="601">
        <f t="shared" si="12"/>
        <v>12.5</v>
      </c>
      <c r="CD25" s="601">
        <f t="shared" si="12"/>
        <v>11.5</v>
      </c>
      <c r="CE25" s="601">
        <f t="shared" si="12"/>
        <v>11.7</v>
      </c>
      <c r="CF25" s="601">
        <f t="shared" si="12"/>
        <v>13.5</v>
      </c>
      <c r="CG25" s="601">
        <f t="shared" si="12"/>
        <v>13.1</v>
      </c>
      <c r="CH25" s="601">
        <f t="shared" si="12"/>
        <v>10.199999999999999</v>
      </c>
      <c r="CI25" s="601">
        <f t="shared" si="12"/>
        <v>8.6999999999999993</v>
      </c>
    </row>
    <row r="26" spans="2:87">
      <c r="B26" s="5"/>
      <c r="C26" s="59" t="s">
        <v>100</v>
      </c>
      <c r="D26" s="5"/>
      <c r="E26" s="5"/>
      <c r="F26" s="5"/>
      <c r="G26" s="5"/>
      <c r="H26" s="5"/>
      <c r="I26" s="5"/>
      <c r="J26" s="5"/>
      <c r="K26" s="5"/>
      <c r="L26" s="5"/>
      <c r="P26" s="25"/>
      <c r="Q26" s="25"/>
      <c r="R26" s="24" t="s">
        <v>47</v>
      </c>
      <c r="S26" s="24"/>
      <c r="T26" s="27">
        <f t="shared" ref="T26:AN26" si="13">VLOOKUP(T$13&amp;"AllSex"&amp;"AllEth"&amp;19&amp;$R$17,Methodstable,9,FALSE)</f>
        <v>10.9</v>
      </c>
      <c r="U26" s="27">
        <f t="shared" si="13"/>
        <v>10.5</v>
      </c>
      <c r="V26" s="27">
        <f t="shared" si="13"/>
        <v>11.1</v>
      </c>
      <c r="W26" s="27">
        <f t="shared" si="13"/>
        <v>10.1</v>
      </c>
      <c r="X26" s="27">
        <f t="shared" si="13"/>
        <v>7.8</v>
      </c>
      <c r="Y26" s="27">
        <f t="shared" si="13"/>
        <v>10.6</v>
      </c>
      <c r="Z26" s="27">
        <f t="shared" si="13"/>
        <v>10</v>
      </c>
      <c r="AA26" s="27">
        <f t="shared" si="13"/>
        <v>11.1</v>
      </c>
      <c r="AB26" s="27">
        <f t="shared" si="13"/>
        <v>9.3000000000000007</v>
      </c>
      <c r="AC26" s="27">
        <f t="shared" si="13"/>
        <v>9.9</v>
      </c>
      <c r="AD26" s="27">
        <f t="shared" si="13"/>
        <v>9.4</v>
      </c>
      <c r="AE26" s="27">
        <f t="shared" si="13"/>
        <v>9.6</v>
      </c>
      <c r="AF26" s="27">
        <f t="shared" si="13"/>
        <v>10.6</v>
      </c>
      <c r="AG26" s="27">
        <f t="shared" si="13"/>
        <v>11.5</v>
      </c>
      <c r="AH26" s="27">
        <f t="shared" si="13"/>
        <v>12.5</v>
      </c>
      <c r="AI26" s="27">
        <f t="shared" si="13"/>
        <v>11.5</v>
      </c>
      <c r="AJ26" s="27">
        <f t="shared" si="13"/>
        <v>11.7</v>
      </c>
      <c r="AK26" s="27">
        <f t="shared" si="13"/>
        <v>13.5</v>
      </c>
      <c r="AL26" s="27">
        <f t="shared" si="13"/>
        <v>13.1</v>
      </c>
      <c r="AM26" s="27">
        <f t="shared" si="13"/>
        <v>10.199999999999999</v>
      </c>
      <c r="AN26" s="27">
        <f t="shared" si="13"/>
        <v>8.6999999999999993</v>
      </c>
      <c r="BJ26" s="600" t="b">
        <v>1</v>
      </c>
      <c r="BK26" s="601"/>
      <c r="BL26" s="601"/>
      <c r="BM26" s="601" t="s">
        <v>42</v>
      </c>
      <c r="BN26" s="601" t="s">
        <v>51</v>
      </c>
      <c r="BO26" s="601">
        <f t="shared" ref="BO26:CI26" si="14">IF($BJ$26,VLOOKUP(BO$22&amp;"AllSex"&amp;"AllEth"&amp;19&amp;$BM26,Methodstable,9,FALSE),NA())</f>
        <v>8.6999999999999993</v>
      </c>
      <c r="BP26" s="601">
        <f t="shared" si="14"/>
        <v>10</v>
      </c>
      <c r="BQ26" s="601">
        <f t="shared" si="14"/>
        <v>12.5</v>
      </c>
      <c r="BR26" s="601">
        <f t="shared" si="14"/>
        <v>9.1</v>
      </c>
      <c r="BS26" s="601">
        <f t="shared" si="14"/>
        <v>8.1</v>
      </c>
      <c r="BT26" s="601">
        <f t="shared" si="14"/>
        <v>10</v>
      </c>
      <c r="BU26" s="601">
        <f t="shared" si="14"/>
        <v>10.4</v>
      </c>
      <c r="BV26" s="601">
        <f t="shared" si="14"/>
        <v>8</v>
      </c>
      <c r="BW26" s="601">
        <f t="shared" si="14"/>
        <v>7.9</v>
      </c>
      <c r="BX26" s="601">
        <f t="shared" si="14"/>
        <v>8.5</v>
      </c>
      <c r="BY26" s="601">
        <f t="shared" si="14"/>
        <v>9.1999999999999993</v>
      </c>
      <c r="BZ26" s="601">
        <f t="shared" si="14"/>
        <v>9.6</v>
      </c>
      <c r="CA26" s="601">
        <f t="shared" si="14"/>
        <v>8.1</v>
      </c>
      <c r="CB26" s="601">
        <f t="shared" si="14"/>
        <v>10.4</v>
      </c>
      <c r="CC26" s="601">
        <f t="shared" si="14"/>
        <v>7.9</v>
      </c>
      <c r="CD26" s="601">
        <f t="shared" si="14"/>
        <v>7.3</v>
      </c>
      <c r="CE26" s="601">
        <f t="shared" si="14"/>
        <v>8.6</v>
      </c>
      <c r="CF26" s="601">
        <f t="shared" si="14"/>
        <v>9.4</v>
      </c>
      <c r="CG26" s="601">
        <f t="shared" si="14"/>
        <v>8</v>
      </c>
      <c r="CH26" s="601">
        <f t="shared" si="14"/>
        <v>7.7</v>
      </c>
      <c r="CI26" s="601">
        <f t="shared" si="14"/>
        <v>6.1</v>
      </c>
    </row>
    <row r="27" spans="2:87">
      <c r="B27" s="5"/>
      <c r="C27" s="5"/>
      <c r="D27" s="5"/>
      <c r="E27" s="5"/>
      <c r="F27" s="5"/>
      <c r="G27" s="5"/>
      <c r="H27" s="5"/>
      <c r="I27" s="5"/>
      <c r="J27" s="5"/>
      <c r="K27" s="5"/>
      <c r="L27" s="5"/>
      <c r="P27" s="25"/>
      <c r="Q27" s="25"/>
      <c r="R27" s="11" t="s">
        <v>42</v>
      </c>
      <c r="S27" s="24"/>
      <c r="T27" s="27">
        <f t="shared" ref="T27:AN27" si="15">VLOOKUP(T$13&amp;"AllSex"&amp;"AllEth"&amp;19&amp;$R$18,Methodstable,9,FALSE)</f>
        <v>8.6999999999999993</v>
      </c>
      <c r="U27" s="27">
        <f t="shared" si="15"/>
        <v>10</v>
      </c>
      <c r="V27" s="27">
        <f t="shared" si="15"/>
        <v>12.5</v>
      </c>
      <c r="W27" s="27">
        <f t="shared" si="15"/>
        <v>9.1</v>
      </c>
      <c r="X27" s="27">
        <f t="shared" si="15"/>
        <v>8.1</v>
      </c>
      <c r="Y27" s="27">
        <f t="shared" si="15"/>
        <v>10</v>
      </c>
      <c r="Z27" s="27">
        <f t="shared" si="15"/>
        <v>10.4</v>
      </c>
      <c r="AA27" s="27">
        <f t="shared" si="15"/>
        <v>8</v>
      </c>
      <c r="AB27" s="27">
        <f t="shared" si="15"/>
        <v>7.9</v>
      </c>
      <c r="AC27" s="27">
        <f t="shared" si="15"/>
        <v>8.5</v>
      </c>
      <c r="AD27" s="27">
        <f t="shared" si="15"/>
        <v>9.1999999999999993</v>
      </c>
      <c r="AE27" s="27">
        <f t="shared" si="15"/>
        <v>9.6</v>
      </c>
      <c r="AF27" s="27">
        <f t="shared" si="15"/>
        <v>8.1</v>
      </c>
      <c r="AG27" s="27">
        <f t="shared" si="15"/>
        <v>10.4</v>
      </c>
      <c r="AH27" s="27">
        <f t="shared" si="15"/>
        <v>7.9</v>
      </c>
      <c r="AI27" s="27">
        <f t="shared" si="15"/>
        <v>7.3</v>
      </c>
      <c r="AJ27" s="27">
        <f t="shared" si="15"/>
        <v>8.6</v>
      </c>
      <c r="AK27" s="27">
        <f t="shared" si="15"/>
        <v>9.4</v>
      </c>
      <c r="AL27" s="27">
        <f t="shared" si="15"/>
        <v>8</v>
      </c>
      <c r="AM27" s="27">
        <f t="shared" si="15"/>
        <v>7.7</v>
      </c>
      <c r="AN27" s="27">
        <f t="shared" si="15"/>
        <v>6.1</v>
      </c>
      <c r="BJ27" s="600" t="b">
        <v>0</v>
      </c>
      <c r="BK27" s="601"/>
      <c r="BL27" s="601"/>
      <c r="BM27" s="601" t="s">
        <v>44</v>
      </c>
      <c r="BN27" s="601" t="s">
        <v>51</v>
      </c>
      <c r="BO27" s="601" t="e">
        <f t="shared" ref="BO27:CI27" si="16">IF($BJ$27,VLOOKUP(BO$22&amp;"AllSex"&amp;"AllEth"&amp;19&amp;$BM27,Methodstable,9,FALSE),NA())</f>
        <v>#N/A</v>
      </c>
      <c r="BP27" s="601" t="e">
        <f t="shared" si="16"/>
        <v>#N/A</v>
      </c>
      <c r="BQ27" s="601" t="e">
        <f t="shared" si="16"/>
        <v>#N/A</v>
      </c>
      <c r="BR27" s="601" t="e">
        <f t="shared" si="16"/>
        <v>#N/A</v>
      </c>
      <c r="BS27" s="601" t="e">
        <f t="shared" si="16"/>
        <v>#N/A</v>
      </c>
      <c r="BT27" s="601" t="e">
        <f t="shared" si="16"/>
        <v>#N/A</v>
      </c>
      <c r="BU27" s="601" t="e">
        <f t="shared" si="16"/>
        <v>#N/A</v>
      </c>
      <c r="BV27" s="601" t="e">
        <f t="shared" si="16"/>
        <v>#N/A</v>
      </c>
      <c r="BW27" s="601" t="e">
        <f t="shared" si="16"/>
        <v>#N/A</v>
      </c>
      <c r="BX27" s="601" t="e">
        <f t="shared" si="16"/>
        <v>#N/A</v>
      </c>
      <c r="BY27" s="601" t="e">
        <f t="shared" si="16"/>
        <v>#N/A</v>
      </c>
      <c r="BZ27" s="601" t="e">
        <f t="shared" si="16"/>
        <v>#N/A</v>
      </c>
      <c r="CA27" s="601" t="e">
        <f t="shared" si="16"/>
        <v>#N/A</v>
      </c>
      <c r="CB27" s="601" t="e">
        <f t="shared" si="16"/>
        <v>#N/A</v>
      </c>
      <c r="CC27" s="601" t="e">
        <f t="shared" si="16"/>
        <v>#N/A</v>
      </c>
      <c r="CD27" s="601" t="e">
        <f t="shared" si="16"/>
        <v>#N/A</v>
      </c>
      <c r="CE27" s="601" t="e">
        <f t="shared" si="16"/>
        <v>#N/A</v>
      </c>
      <c r="CF27" s="601" t="e">
        <f t="shared" si="16"/>
        <v>#N/A</v>
      </c>
      <c r="CG27" s="601" t="e">
        <f t="shared" si="16"/>
        <v>#N/A</v>
      </c>
      <c r="CH27" s="601" t="e">
        <f t="shared" si="16"/>
        <v>#N/A</v>
      </c>
      <c r="CI27" s="601" t="e">
        <f t="shared" si="16"/>
        <v>#N/A</v>
      </c>
    </row>
    <row r="28" spans="2:87">
      <c r="P28" s="25"/>
      <c r="Q28" s="25"/>
      <c r="R28" s="24" t="s">
        <v>44</v>
      </c>
      <c r="S28" s="24"/>
      <c r="T28" s="27">
        <f t="shared" ref="T28:AN28" si="17">VLOOKUP(T$13&amp;"AllSex"&amp;"AllEth"&amp;19&amp;$R$19,Methodstable,9,FALSE)</f>
        <v>2.2000000000000002</v>
      </c>
      <c r="U28" s="27">
        <f t="shared" si="17"/>
        <v>2</v>
      </c>
      <c r="V28" s="27">
        <f t="shared" si="17"/>
        <v>2.8</v>
      </c>
      <c r="W28" s="27">
        <f t="shared" si="17"/>
        <v>3.3</v>
      </c>
      <c r="X28" s="27">
        <f t="shared" si="17"/>
        <v>3.5</v>
      </c>
      <c r="Y28" s="27">
        <f t="shared" si="17"/>
        <v>3.7</v>
      </c>
      <c r="Z28" s="27">
        <f t="shared" si="17"/>
        <v>4</v>
      </c>
      <c r="AA28" s="27">
        <f t="shared" si="17"/>
        <v>2.9</v>
      </c>
      <c r="AB28" s="27">
        <f t="shared" si="17"/>
        <v>2</v>
      </c>
      <c r="AC28" s="27">
        <f t="shared" si="17"/>
        <v>2.9</v>
      </c>
      <c r="AD28" s="27">
        <f t="shared" si="17"/>
        <v>1.9</v>
      </c>
      <c r="AE28" s="27">
        <f t="shared" si="17"/>
        <v>2.6</v>
      </c>
      <c r="AF28" s="27">
        <f t="shared" si="17"/>
        <v>2.7</v>
      </c>
      <c r="AG28" s="27">
        <f t="shared" si="17"/>
        <v>3.3</v>
      </c>
      <c r="AH28" s="27">
        <f t="shared" si="17"/>
        <v>2.4</v>
      </c>
      <c r="AI28" s="27">
        <f t="shared" si="17"/>
        <v>2.4</v>
      </c>
      <c r="AJ28" s="27">
        <f t="shared" si="17"/>
        <v>2.9</v>
      </c>
      <c r="AK28" s="27">
        <f t="shared" si="17"/>
        <v>2.7</v>
      </c>
      <c r="AL28" s="27">
        <f t="shared" si="17"/>
        <v>2.9</v>
      </c>
      <c r="AM28" s="27">
        <f t="shared" si="17"/>
        <v>3.4</v>
      </c>
      <c r="AN28" s="27">
        <f t="shared" si="17"/>
        <v>4.3</v>
      </c>
      <c r="BJ28" s="600" t="b">
        <v>0</v>
      </c>
      <c r="BK28" s="601"/>
      <c r="BL28" s="601"/>
      <c r="BM28" s="601" t="s">
        <v>49</v>
      </c>
      <c r="BN28" s="601" t="s">
        <v>51</v>
      </c>
      <c r="BO28" s="601" t="e">
        <f t="shared" ref="BO28:CI28" si="18">IF($BJ$28,VLOOKUP(BO$22&amp;"AllSex"&amp;"AllEth"&amp;19&amp;$BM28,Methodstable,9,FALSE),NA())</f>
        <v>#N/A</v>
      </c>
      <c r="BP28" s="601" t="e">
        <f t="shared" si="18"/>
        <v>#N/A</v>
      </c>
      <c r="BQ28" s="601" t="e">
        <f t="shared" si="18"/>
        <v>#N/A</v>
      </c>
      <c r="BR28" s="601" t="e">
        <f t="shared" si="18"/>
        <v>#N/A</v>
      </c>
      <c r="BS28" s="601" t="e">
        <f t="shared" si="18"/>
        <v>#N/A</v>
      </c>
      <c r="BT28" s="601" t="e">
        <f t="shared" si="18"/>
        <v>#N/A</v>
      </c>
      <c r="BU28" s="601" t="e">
        <f t="shared" si="18"/>
        <v>#N/A</v>
      </c>
      <c r="BV28" s="601" t="e">
        <f t="shared" si="18"/>
        <v>#N/A</v>
      </c>
      <c r="BW28" s="601" t="e">
        <f t="shared" si="18"/>
        <v>#N/A</v>
      </c>
      <c r="BX28" s="601" t="e">
        <f t="shared" si="18"/>
        <v>#N/A</v>
      </c>
      <c r="BY28" s="601" t="e">
        <f t="shared" si="18"/>
        <v>#N/A</v>
      </c>
      <c r="BZ28" s="601" t="e">
        <f t="shared" si="18"/>
        <v>#N/A</v>
      </c>
      <c r="CA28" s="601" t="e">
        <f t="shared" si="18"/>
        <v>#N/A</v>
      </c>
      <c r="CB28" s="601" t="e">
        <f t="shared" si="18"/>
        <v>#N/A</v>
      </c>
      <c r="CC28" s="601" t="e">
        <f t="shared" si="18"/>
        <v>#N/A</v>
      </c>
      <c r="CD28" s="601" t="e">
        <f t="shared" si="18"/>
        <v>#N/A</v>
      </c>
      <c r="CE28" s="601" t="e">
        <f t="shared" si="18"/>
        <v>#N/A</v>
      </c>
      <c r="CF28" s="601" t="e">
        <f t="shared" si="18"/>
        <v>#N/A</v>
      </c>
      <c r="CG28" s="601" t="e">
        <f t="shared" si="18"/>
        <v>#N/A</v>
      </c>
      <c r="CH28" s="601" t="e">
        <f t="shared" si="18"/>
        <v>#N/A</v>
      </c>
      <c r="CI28" s="601" t="e">
        <f t="shared" si="18"/>
        <v>#N/A</v>
      </c>
    </row>
    <row r="29" spans="2:87">
      <c r="N29" s="33"/>
      <c r="O29" s="33"/>
      <c r="P29" s="25"/>
      <c r="Q29" s="25"/>
      <c r="R29" s="24" t="s">
        <v>49</v>
      </c>
      <c r="S29" s="24"/>
      <c r="T29" s="27">
        <f t="shared" ref="T29:AN29" si="19">VLOOKUP(T$13&amp;"AllSex"&amp;"AllEth"&amp;19&amp;$R$20,Methodstable,9,FALSE)</f>
        <v>2</v>
      </c>
      <c r="U29" s="27">
        <f t="shared" si="19"/>
        <v>3</v>
      </c>
      <c r="V29" s="27">
        <f t="shared" si="19"/>
        <v>1.7</v>
      </c>
      <c r="W29" s="27">
        <f t="shared" si="19"/>
        <v>3.1</v>
      </c>
      <c r="X29" s="27">
        <f t="shared" si="19"/>
        <v>3.3</v>
      </c>
      <c r="Y29" s="27">
        <f t="shared" si="19"/>
        <v>1.4</v>
      </c>
      <c r="Z29" s="27">
        <f t="shared" si="19"/>
        <v>2.8</v>
      </c>
      <c r="AA29" s="27">
        <f t="shared" si="19"/>
        <v>2.5</v>
      </c>
      <c r="AB29" s="27">
        <f t="shared" si="19"/>
        <v>2.4</v>
      </c>
      <c r="AC29" s="27">
        <f t="shared" si="19"/>
        <v>2.5</v>
      </c>
      <c r="AD29" s="27">
        <f t="shared" si="19"/>
        <v>1.7</v>
      </c>
      <c r="AE29" s="27">
        <f t="shared" si="19"/>
        <v>2.2000000000000002</v>
      </c>
      <c r="AF29" s="27">
        <f t="shared" si="19"/>
        <v>1.5</v>
      </c>
      <c r="AG29" s="27">
        <f t="shared" si="19"/>
        <v>1.2</v>
      </c>
      <c r="AH29" s="27">
        <f t="shared" si="19"/>
        <v>1.7</v>
      </c>
      <c r="AI29" s="27">
        <f t="shared" si="19"/>
        <v>3</v>
      </c>
      <c r="AJ29" s="27">
        <f t="shared" si="19"/>
        <v>0.9</v>
      </c>
      <c r="AK29" s="27">
        <f t="shared" si="19"/>
        <v>2.9</v>
      </c>
      <c r="AL29" s="27">
        <f t="shared" si="19"/>
        <v>2</v>
      </c>
      <c r="AM29" s="27">
        <f t="shared" si="19"/>
        <v>2.2999999999999998</v>
      </c>
      <c r="AN29" s="27">
        <f t="shared" si="19"/>
        <v>2.2000000000000002</v>
      </c>
      <c r="BJ29" s="600" t="b">
        <v>0</v>
      </c>
      <c r="BK29" s="601"/>
      <c r="BL29" s="601"/>
      <c r="BM29" s="601" t="s">
        <v>48</v>
      </c>
      <c r="BN29" s="601" t="s">
        <v>51</v>
      </c>
      <c r="BO29" s="601" t="e">
        <f t="shared" ref="BO29:CI29" si="20">IF($BJ$29,VLOOKUP(BO$22&amp;"AllSex"&amp;"AllEth"&amp;19&amp;$BM29,Methodstable,9,FALSE),NA())</f>
        <v>#N/A</v>
      </c>
      <c r="BP29" s="601" t="e">
        <f t="shared" si="20"/>
        <v>#N/A</v>
      </c>
      <c r="BQ29" s="601" t="e">
        <f t="shared" si="20"/>
        <v>#N/A</v>
      </c>
      <c r="BR29" s="601" t="e">
        <f t="shared" si="20"/>
        <v>#N/A</v>
      </c>
      <c r="BS29" s="601" t="e">
        <f t="shared" si="20"/>
        <v>#N/A</v>
      </c>
      <c r="BT29" s="601" t="e">
        <f t="shared" si="20"/>
        <v>#N/A</v>
      </c>
      <c r="BU29" s="601" t="e">
        <f t="shared" si="20"/>
        <v>#N/A</v>
      </c>
      <c r="BV29" s="601" t="e">
        <f t="shared" si="20"/>
        <v>#N/A</v>
      </c>
      <c r="BW29" s="601" t="e">
        <f t="shared" si="20"/>
        <v>#N/A</v>
      </c>
      <c r="BX29" s="601" t="e">
        <f t="shared" si="20"/>
        <v>#N/A</v>
      </c>
      <c r="BY29" s="601" t="e">
        <f t="shared" si="20"/>
        <v>#N/A</v>
      </c>
      <c r="BZ29" s="601" t="e">
        <f t="shared" si="20"/>
        <v>#N/A</v>
      </c>
      <c r="CA29" s="601" t="e">
        <f t="shared" si="20"/>
        <v>#N/A</v>
      </c>
      <c r="CB29" s="601" t="e">
        <f t="shared" si="20"/>
        <v>#N/A</v>
      </c>
      <c r="CC29" s="601" t="e">
        <f t="shared" si="20"/>
        <v>#N/A</v>
      </c>
      <c r="CD29" s="601" t="e">
        <f t="shared" si="20"/>
        <v>#N/A</v>
      </c>
      <c r="CE29" s="601" t="e">
        <f t="shared" si="20"/>
        <v>#N/A</v>
      </c>
      <c r="CF29" s="601" t="e">
        <f t="shared" si="20"/>
        <v>#N/A</v>
      </c>
      <c r="CG29" s="601" t="e">
        <f t="shared" si="20"/>
        <v>#N/A</v>
      </c>
      <c r="CH29" s="601" t="e">
        <f t="shared" si="20"/>
        <v>#N/A</v>
      </c>
      <c r="CI29" s="601" t="e">
        <f t="shared" si="20"/>
        <v>#N/A</v>
      </c>
    </row>
    <row r="30" spans="2:87">
      <c r="B30" s="5"/>
      <c r="C30" s="5"/>
      <c r="D30" s="5"/>
      <c r="E30" s="5"/>
      <c r="F30" s="5"/>
      <c r="G30" s="5"/>
      <c r="H30" s="5"/>
      <c r="I30" s="5"/>
      <c r="J30" s="5"/>
      <c r="K30" s="5"/>
      <c r="L30" s="5"/>
      <c r="N30" s="33"/>
      <c r="O30" s="33"/>
      <c r="P30" s="25"/>
      <c r="Q30" s="25"/>
      <c r="R30" s="24" t="s">
        <v>48</v>
      </c>
      <c r="S30" s="24"/>
      <c r="T30" s="27">
        <f t="shared" ref="T30:AN30" si="21">VLOOKUP(T$13&amp;"AllSex"&amp;"AllEth"&amp;19&amp;$R$21,Methodstable,9,FALSE)</f>
        <v>1.3</v>
      </c>
      <c r="U30" s="27">
        <f t="shared" si="21"/>
        <v>2.5</v>
      </c>
      <c r="V30" s="27">
        <f t="shared" si="21"/>
        <v>1.4</v>
      </c>
      <c r="W30" s="27">
        <f t="shared" si="21"/>
        <v>1.6</v>
      </c>
      <c r="X30" s="27">
        <f t="shared" si="21"/>
        <v>2.4</v>
      </c>
      <c r="Y30" s="27">
        <f t="shared" si="21"/>
        <v>1.8</v>
      </c>
      <c r="Z30" s="27">
        <f t="shared" si="21"/>
        <v>1.1000000000000001</v>
      </c>
      <c r="AA30" s="27">
        <f t="shared" si="21"/>
        <v>3.4</v>
      </c>
      <c r="AB30" s="27">
        <f t="shared" si="21"/>
        <v>1.2</v>
      </c>
      <c r="AC30" s="27">
        <f t="shared" si="21"/>
        <v>2.5</v>
      </c>
      <c r="AD30" s="27">
        <f t="shared" si="21"/>
        <v>2.5</v>
      </c>
      <c r="AE30" s="27">
        <f t="shared" si="21"/>
        <v>1.2</v>
      </c>
      <c r="AF30" s="27">
        <f t="shared" si="21"/>
        <v>2.7</v>
      </c>
      <c r="AG30" s="27">
        <f t="shared" si="21"/>
        <v>2</v>
      </c>
      <c r="AH30" s="27">
        <f t="shared" si="21"/>
        <v>1.7</v>
      </c>
      <c r="AI30" s="27">
        <f t="shared" si="21"/>
        <v>1.4</v>
      </c>
      <c r="AJ30" s="27">
        <f t="shared" si="21"/>
        <v>2.4</v>
      </c>
      <c r="AK30" s="27">
        <f t="shared" si="21"/>
        <v>1.9</v>
      </c>
      <c r="AL30" s="27">
        <f t="shared" si="21"/>
        <v>2</v>
      </c>
      <c r="AM30" s="27">
        <f t="shared" si="21"/>
        <v>1.5</v>
      </c>
      <c r="AN30" s="27">
        <f t="shared" si="21"/>
        <v>1.8</v>
      </c>
      <c r="BJ30" s="600" t="b">
        <v>0</v>
      </c>
      <c r="BK30" s="601"/>
      <c r="BL30" s="601"/>
      <c r="BM30" s="601" t="s">
        <v>45</v>
      </c>
      <c r="BN30" s="601" t="s">
        <v>51</v>
      </c>
      <c r="BO30" s="601" t="e">
        <f t="shared" ref="BO30:CI30" si="22">IF($BJ$30,VLOOKUP(BO$22&amp;"AllSex"&amp;"AllEth"&amp;19&amp;$BM30,Methodstable,9,FALSE),NA())</f>
        <v>#N/A</v>
      </c>
      <c r="BP30" s="601" t="e">
        <f t="shared" si="22"/>
        <v>#N/A</v>
      </c>
      <c r="BQ30" s="601" t="e">
        <f t="shared" si="22"/>
        <v>#N/A</v>
      </c>
      <c r="BR30" s="601" t="e">
        <f t="shared" si="22"/>
        <v>#N/A</v>
      </c>
      <c r="BS30" s="601" t="e">
        <f t="shared" si="22"/>
        <v>#N/A</v>
      </c>
      <c r="BT30" s="601" t="e">
        <f t="shared" si="22"/>
        <v>#N/A</v>
      </c>
      <c r="BU30" s="601" t="e">
        <f t="shared" si="22"/>
        <v>#N/A</v>
      </c>
      <c r="BV30" s="601" t="e">
        <f t="shared" si="22"/>
        <v>#N/A</v>
      </c>
      <c r="BW30" s="601" t="e">
        <f t="shared" si="22"/>
        <v>#N/A</v>
      </c>
      <c r="BX30" s="601" t="e">
        <f t="shared" si="22"/>
        <v>#N/A</v>
      </c>
      <c r="BY30" s="601" t="e">
        <f t="shared" si="22"/>
        <v>#N/A</v>
      </c>
      <c r="BZ30" s="601" t="e">
        <f t="shared" si="22"/>
        <v>#N/A</v>
      </c>
      <c r="CA30" s="601" t="e">
        <f t="shared" si="22"/>
        <v>#N/A</v>
      </c>
      <c r="CB30" s="601" t="e">
        <f t="shared" si="22"/>
        <v>#N/A</v>
      </c>
      <c r="CC30" s="601" t="e">
        <f t="shared" si="22"/>
        <v>#N/A</v>
      </c>
      <c r="CD30" s="601" t="e">
        <f t="shared" si="22"/>
        <v>#N/A</v>
      </c>
      <c r="CE30" s="601" t="e">
        <f t="shared" si="22"/>
        <v>#N/A</v>
      </c>
      <c r="CF30" s="601" t="e">
        <f t="shared" si="22"/>
        <v>#N/A</v>
      </c>
      <c r="CG30" s="601" t="e">
        <f t="shared" si="22"/>
        <v>#N/A</v>
      </c>
      <c r="CH30" s="601" t="e">
        <f t="shared" si="22"/>
        <v>#N/A</v>
      </c>
      <c r="CI30" s="601" t="e">
        <f t="shared" si="22"/>
        <v>#N/A</v>
      </c>
    </row>
    <row r="31" spans="2:87" ht="15">
      <c r="B31" s="5"/>
      <c r="C31" s="92" t="s">
        <v>607</v>
      </c>
      <c r="D31" s="5"/>
      <c r="E31" s="5"/>
      <c r="F31" s="5"/>
      <c r="G31" s="5"/>
      <c r="H31" s="5"/>
      <c r="I31" s="5"/>
      <c r="J31" s="5"/>
      <c r="K31" s="5"/>
      <c r="L31" s="5"/>
      <c r="N31" s="33"/>
      <c r="O31" s="33"/>
      <c r="P31" s="25"/>
      <c r="Q31" s="25"/>
      <c r="R31" s="24" t="s">
        <v>45</v>
      </c>
      <c r="S31" s="24"/>
      <c r="T31" s="27">
        <f t="shared" ref="T31:AN31" si="23">VLOOKUP(T$13&amp;"AllSex"&amp;"AllEth"&amp;19&amp;$R$22,Methodstable,9,FALSE)</f>
        <v>3.1</v>
      </c>
      <c r="U31" s="27">
        <f t="shared" si="23"/>
        <v>2.8</v>
      </c>
      <c r="V31" s="27">
        <f t="shared" si="23"/>
        <v>4.2</v>
      </c>
      <c r="W31" s="27">
        <f t="shared" si="23"/>
        <v>3.3</v>
      </c>
      <c r="X31" s="27">
        <f t="shared" si="23"/>
        <v>3.5</v>
      </c>
      <c r="Y31" s="27">
        <f t="shared" si="23"/>
        <v>4.3</v>
      </c>
      <c r="Z31" s="27">
        <f t="shared" si="23"/>
        <v>3.4</v>
      </c>
      <c r="AA31" s="27">
        <f t="shared" si="23"/>
        <v>4.2</v>
      </c>
      <c r="AB31" s="27">
        <f t="shared" si="23"/>
        <v>3.2</v>
      </c>
      <c r="AC31" s="27">
        <f t="shared" si="23"/>
        <v>2.5</v>
      </c>
      <c r="AD31" s="27">
        <f t="shared" si="23"/>
        <v>4.2</v>
      </c>
      <c r="AE31" s="27">
        <f t="shared" si="23"/>
        <v>3.8</v>
      </c>
      <c r="AF31" s="27">
        <f t="shared" si="23"/>
        <v>3.9</v>
      </c>
      <c r="AG31" s="27">
        <f t="shared" si="23"/>
        <v>2.9</v>
      </c>
      <c r="AH31" s="27">
        <f t="shared" si="23"/>
        <v>3.7</v>
      </c>
      <c r="AI31" s="27">
        <f t="shared" si="23"/>
        <v>3.6</v>
      </c>
      <c r="AJ31" s="27">
        <f t="shared" si="23"/>
        <v>3.5</v>
      </c>
      <c r="AK31" s="27">
        <f t="shared" si="23"/>
        <v>3.7</v>
      </c>
      <c r="AL31" s="27">
        <f t="shared" si="23"/>
        <v>2.9</v>
      </c>
      <c r="AM31" s="27">
        <f t="shared" si="23"/>
        <v>4.7</v>
      </c>
      <c r="AN31" s="27">
        <f t="shared" si="23"/>
        <v>3.6</v>
      </c>
      <c r="BJ31" s="600"/>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row>
    <row r="32" spans="2:87">
      <c r="B32" s="5"/>
      <c r="C32" s="70"/>
      <c r="D32" s="70"/>
      <c r="E32" s="70"/>
      <c r="F32" s="70"/>
      <c r="G32" s="70"/>
      <c r="H32" s="70"/>
      <c r="I32" s="70"/>
      <c r="J32" s="70"/>
      <c r="K32" s="70"/>
      <c r="L32" s="70"/>
      <c r="N32" s="33"/>
      <c r="O32" s="33"/>
      <c r="P32" s="28"/>
      <c r="Q32" s="28"/>
      <c r="R32" s="26"/>
      <c r="S32" s="26"/>
      <c r="T32" s="29"/>
      <c r="U32" s="29"/>
      <c r="V32" s="29"/>
      <c r="W32" s="29"/>
      <c r="X32" s="29"/>
      <c r="Y32" s="29"/>
      <c r="Z32" s="29"/>
      <c r="AA32" s="29"/>
      <c r="AB32" s="29"/>
      <c r="AC32" s="29"/>
      <c r="AD32" s="29"/>
      <c r="AE32" s="29"/>
      <c r="AF32" s="29"/>
      <c r="AG32" s="29"/>
      <c r="AH32" s="29"/>
      <c r="AI32" s="29"/>
      <c r="AJ32" s="29"/>
      <c r="AK32" s="29"/>
      <c r="AL32" s="29"/>
      <c r="AM32" s="29"/>
      <c r="AN32" s="29"/>
      <c r="BJ32" s="600"/>
      <c r="BK32" s="601" t="s">
        <v>20</v>
      </c>
      <c r="BL32" s="601" t="s">
        <v>23</v>
      </c>
      <c r="BM32" s="601" t="s">
        <v>43</v>
      </c>
      <c r="BN32" s="601" t="s">
        <v>51</v>
      </c>
      <c r="BO32" s="602">
        <f t="shared" ref="BO32:CI32" si="24">IF($BJ$23,VLOOKUP(BO$22&amp;"Male"&amp;"AllEth"&amp;22&amp;$BM32,Methodstable,9,FALSE),NA())</f>
        <v>67.599999999999994</v>
      </c>
      <c r="BP32" s="602">
        <f t="shared" si="24"/>
        <v>47.8</v>
      </c>
      <c r="BQ32" s="602">
        <f t="shared" si="24"/>
        <v>51</v>
      </c>
      <c r="BR32" s="602">
        <f t="shared" si="24"/>
        <v>65.900000000000006</v>
      </c>
      <c r="BS32" s="602">
        <f t="shared" si="24"/>
        <v>65.400000000000006</v>
      </c>
      <c r="BT32" s="602">
        <f t="shared" si="24"/>
        <v>66.7</v>
      </c>
      <c r="BU32" s="602">
        <f t="shared" si="24"/>
        <v>63.6</v>
      </c>
      <c r="BV32" s="602">
        <f t="shared" si="24"/>
        <v>74.599999999999994</v>
      </c>
      <c r="BW32" s="602">
        <f t="shared" si="24"/>
        <v>72.3</v>
      </c>
      <c r="BX32" s="602">
        <f t="shared" si="24"/>
        <v>71.400000000000006</v>
      </c>
      <c r="BY32" s="602">
        <f t="shared" si="24"/>
        <v>73.7</v>
      </c>
      <c r="BZ32" s="602">
        <f t="shared" si="24"/>
        <v>81.7</v>
      </c>
      <c r="CA32" s="602">
        <f t="shared" si="24"/>
        <v>69.900000000000006</v>
      </c>
      <c r="CB32" s="602">
        <f t="shared" si="24"/>
        <v>78.900000000000006</v>
      </c>
      <c r="CC32" s="602">
        <f t="shared" si="24"/>
        <v>79.2</v>
      </c>
      <c r="CD32" s="602">
        <f t="shared" si="24"/>
        <v>77.099999999999994</v>
      </c>
      <c r="CE32" s="602">
        <f t="shared" si="24"/>
        <v>83.2</v>
      </c>
      <c r="CF32" s="602">
        <f t="shared" si="24"/>
        <v>83.6</v>
      </c>
      <c r="CG32" s="602">
        <f t="shared" si="24"/>
        <v>88.2</v>
      </c>
      <c r="CH32" s="602">
        <f t="shared" si="24"/>
        <v>81.400000000000006</v>
      </c>
      <c r="CI32" s="602">
        <f t="shared" si="24"/>
        <v>77.900000000000006</v>
      </c>
    </row>
    <row r="33" spans="2:87" ht="15">
      <c r="B33" s="5"/>
      <c r="C33" s="70"/>
      <c r="D33" s="94" t="s">
        <v>20</v>
      </c>
      <c r="E33" s="70"/>
      <c r="F33" s="70"/>
      <c r="G33" s="70"/>
      <c r="H33" s="94" t="s">
        <v>8</v>
      </c>
      <c r="I33" s="70"/>
      <c r="J33" s="70"/>
      <c r="K33" s="70"/>
      <c r="L33" s="70"/>
      <c r="N33" s="33"/>
      <c r="O33" s="33"/>
      <c r="P33" s="25" t="s">
        <v>20</v>
      </c>
      <c r="Q33" s="25" t="s">
        <v>150</v>
      </c>
      <c r="R33" s="24" t="s">
        <v>43</v>
      </c>
      <c r="S33" s="24" t="s">
        <v>303</v>
      </c>
      <c r="T33" s="36">
        <f t="shared" ref="T33:AC40" si="25">IFERROR(VLOOKUP(T$13&amp;"Male"&amp;"AllEth"&amp;22&amp;$R33,Methodstable,9,FALSE),"0.0")</f>
        <v>67.599999999999994</v>
      </c>
      <c r="U33" s="36">
        <f t="shared" si="25"/>
        <v>47.8</v>
      </c>
      <c r="V33" s="36">
        <f t="shared" si="25"/>
        <v>51</v>
      </c>
      <c r="W33" s="36">
        <f t="shared" si="25"/>
        <v>65.900000000000006</v>
      </c>
      <c r="X33" s="36">
        <f t="shared" si="25"/>
        <v>65.400000000000006</v>
      </c>
      <c r="Y33" s="36">
        <f t="shared" si="25"/>
        <v>66.7</v>
      </c>
      <c r="Z33" s="36">
        <f t="shared" si="25"/>
        <v>63.6</v>
      </c>
      <c r="AA33" s="36">
        <f t="shared" si="25"/>
        <v>74.599999999999994</v>
      </c>
      <c r="AB33" s="36">
        <f t="shared" si="25"/>
        <v>72.3</v>
      </c>
      <c r="AC33" s="36">
        <f t="shared" si="25"/>
        <v>71.400000000000006</v>
      </c>
      <c r="AD33" s="36">
        <f t="shared" ref="AD33:AN40" si="26">IFERROR(VLOOKUP(AD$13&amp;"Male"&amp;"AllEth"&amp;22&amp;$R33,Methodstable,9,FALSE),"0.0")</f>
        <v>73.7</v>
      </c>
      <c r="AE33" s="36">
        <f t="shared" si="26"/>
        <v>81.7</v>
      </c>
      <c r="AF33" s="36">
        <f t="shared" si="26"/>
        <v>69.900000000000006</v>
      </c>
      <c r="AG33" s="36">
        <f t="shared" si="26"/>
        <v>78.900000000000006</v>
      </c>
      <c r="AH33" s="36">
        <f t="shared" si="26"/>
        <v>79.2</v>
      </c>
      <c r="AI33" s="36">
        <f t="shared" si="26"/>
        <v>77.099999999999994</v>
      </c>
      <c r="AJ33" s="36">
        <f t="shared" si="26"/>
        <v>83.2</v>
      </c>
      <c r="AK33" s="36">
        <f t="shared" si="26"/>
        <v>83.6</v>
      </c>
      <c r="AL33" s="36">
        <f t="shared" si="26"/>
        <v>88.2</v>
      </c>
      <c r="AM33" s="36">
        <f t="shared" si="26"/>
        <v>81.400000000000006</v>
      </c>
      <c r="AN33" s="36">
        <f t="shared" si="26"/>
        <v>77.900000000000006</v>
      </c>
      <c r="BJ33" s="600"/>
      <c r="BK33" s="601"/>
      <c r="BL33" s="601"/>
      <c r="BM33" s="601" t="s">
        <v>46</v>
      </c>
      <c r="BN33" s="601" t="s">
        <v>51</v>
      </c>
      <c r="BO33" s="602">
        <f t="shared" ref="BO33:CI33" si="27">IF($BJ$24,VLOOKUP(BO$22&amp;"Male"&amp;"AllEth"&amp;22&amp;$BM33,Methodstable,9,FALSE),NA())</f>
        <v>14.3</v>
      </c>
      <c r="BP33" s="602">
        <f t="shared" si="27"/>
        <v>31</v>
      </c>
      <c r="BQ33" s="602">
        <f t="shared" si="27"/>
        <v>22.1</v>
      </c>
      <c r="BR33" s="602">
        <f t="shared" si="27"/>
        <v>13.4</v>
      </c>
      <c r="BS33" s="602">
        <f t="shared" si="27"/>
        <v>17.3</v>
      </c>
      <c r="BT33" s="602">
        <f t="shared" si="27"/>
        <v>14.9</v>
      </c>
      <c r="BU33" s="602">
        <f t="shared" si="27"/>
        <v>12.1</v>
      </c>
      <c r="BV33" s="602">
        <f t="shared" si="27"/>
        <v>11.9</v>
      </c>
      <c r="BW33" s="602">
        <f t="shared" si="27"/>
        <v>16.899999999999999</v>
      </c>
      <c r="BX33" s="602">
        <f t="shared" si="27"/>
        <v>10.7</v>
      </c>
      <c r="BY33" s="602">
        <f t="shared" si="27"/>
        <v>10.5</v>
      </c>
      <c r="BZ33" s="602">
        <f t="shared" si="27"/>
        <v>5.6</v>
      </c>
      <c r="CA33" s="602">
        <f t="shared" si="27"/>
        <v>15.7</v>
      </c>
      <c r="CB33" s="602">
        <f t="shared" si="27"/>
        <v>4.2</v>
      </c>
      <c r="CC33" s="602">
        <f t="shared" si="27"/>
        <v>2.6</v>
      </c>
      <c r="CD33" s="602">
        <f t="shared" si="27"/>
        <v>6.2</v>
      </c>
      <c r="CE33" s="602">
        <f t="shared" si="27"/>
        <v>1.9</v>
      </c>
      <c r="CF33" s="602">
        <f t="shared" si="27"/>
        <v>4.0999999999999996</v>
      </c>
      <c r="CG33" s="602">
        <f t="shared" si="27"/>
        <v>2.9</v>
      </c>
      <c r="CH33" s="602">
        <f t="shared" si="27"/>
        <v>4.3</v>
      </c>
      <c r="CI33" s="602">
        <f t="shared" si="27"/>
        <v>4.7</v>
      </c>
    </row>
    <row r="34" spans="2:87">
      <c r="B34" s="5"/>
      <c r="C34" s="70"/>
      <c r="D34" s="70"/>
      <c r="E34" s="108" t="s">
        <v>102</v>
      </c>
      <c r="F34" s="70"/>
      <c r="G34" s="70"/>
      <c r="H34" s="70"/>
      <c r="I34" s="108" t="s">
        <v>102</v>
      </c>
      <c r="J34" s="70"/>
      <c r="K34" s="70"/>
      <c r="L34" s="70"/>
      <c r="N34" s="33"/>
      <c r="O34" s="33"/>
      <c r="P34" s="25"/>
      <c r="Q34" s="25"/>
      <c r="R34" s="24" t="s">
        <v>46</v>
      </c>
      <c r="S34" s="24"/>
      <c r="T34" s="36">
        <f t="shared" si="25"/>
        <v>14.3</v>
      </c>
      <c r="U34" s="36">
        <f t="shared" si="25"/>
        <v>31</v>
      </c>
      <c r="V34" s="36">
        <f t="shared" si="25"/>
        <v>22.1</v>
      </c>
      <c r="W34" s="36">
        <f t="shared" si="25"/>
        <v>13.4</v>
      </c>
      <c r="X34" s="36">
        <f t="shared" si="25"/>
        <v>17.3</v>
      </c>
      <c r="Y34" s="36">
        <f t="shared" si="25"/>
        <v>14.9</v>
      </c>
      <c r="Z34" s="36">
        <f t="shared" si="25"/>
        <v>12.1</v>
      </c>
      <c r="AA34" s="36">
        <f t="shared" si="25"/>
        <v>11.9</v>
      </c>
      <c r="AB34" s="36">
        <f t="shared" si="25"/>
        <v>16.899999999999999</v>
      </c>
      <c r="AC34" s="36">
        <f t="shared" si="25"/>
        <v>10.7</v>
      </c>
      <c r="AD34" s="36">
        <f t="shared" si="26"/>
        <v>10.5</v>
      </c>
      <c r="AE34" s="36">
        <f t="shared" si="26"/>
        <v>5.6</v>
      </c>
      <c r="AF34" s="36">
        <f t="shared" si="26"/>
        <v>15.7</v>
      </c>
      <c r="AG34" s="36">
        <f t="shared" si="26"/>
        <v>4.2</v>
      </c>
      <c r="AH34" s="36">
        <f t="shared" si="26"/>
        <v>2.6</v>
      </c>
      <c r="AI34" s="36">
        <f t="shared" si="26"/>
        <v>6.2</v>
      </c>
      <c r="AJ34" s="36">
        <f t="shared" si="26"/>
        <v>1.9</v>
      </c>
      <c r="AK34" s="36">
        <f t="shared" si="26"/>
        <v>4.0999999999999996</v>
      </c>
      <c r="AL34" s="36">
        <f t="shared" si="26"/>
        <v>2.9</v>
      </c>
      <c r="AM34" s="36">
        <f t="shared" si="26"/>
        <v>4.3</v>
      </c>
      <c r="AN34" s="36">
        <f t="shared" si="26"/>
        <v>4.7</v>
      </c>
      <c r="BJ34" s="600"/>
      <c r="BK34" s="601"/>
      <c r="BL34" s="601"/>
      <c r="BM34" s="601" t="s">
        <v>47</v>
      </c>
      <c r="BN34" s="601" t="s">
        <v>51</v>
      </c>
      <c r="BO34" s="602">
        <f t="shared" ref="BO34:CI34" si="28">IF($BJ$25,VLOOKUP(BO$22&amp;"Male"&amp;"AllEth"&amp;22&amp;$BM34,Methodstable,9,FALSE),NA())</f>
        <v>5.7</v>
      </c>
      <c r="BP34" s="602">
        <f t="shared" si="28"/>
        <v>5.3</v>
      </c>
      <c r="BQ34" s="602">
        <f t="shared" si="28"/>
        <v>2.9</v>
      </c>
      <c r="BR34" s="602">
        <f t="shared" si="28"/>
        <v>3.7</v>
      </c>
      <c r="BS34" s="602" t="e">
        <f t="shared" si="28"/>
        <v>#N/A</v>
      </c>
      <c r="BT34" s="602" t="e">
        <f t="shared" si="28"/>
        <v>#N/A</v>
      </c>
      <c r="BU34" s="602">
        <f t="shared" si="28"/>
        <v>3</v>
      </c>
      <c r="BV34" s="602" t="e">
        <f t="shared" si="28"/>
        <v>#N/A</v>
      </c>
      <c r="BW34" s="602">
        <f t="shared" si="28"/>
        <v>3.6</v>
      </c>
      <c r="BX34" s="602">
        <f t="shared" si="28"/>
        <v>1.2</v>
      </c>
      <c r="BY34" s="602">
        <f t="shared" si="28"/>
        <v>1.1000000000000001</v>
      </c>
      <c r="BZ34" s="602" t="e">
        <f t="shared" si="28"/>
        <v>#N/A</v>
      </c>
      <c r="CA34" s="602">
        <f t="shared" si="28"/>
        <v>1.2</v>
      </c>
      <c r="CB34" s="602">
        <f t="shared" si="28"/>
        <v>2.1</v>
      </c>
      <c r="CC34" s="602">
        <f t="shared" si="28"/>
        <v>2.6</v>
      </c>
      <c r="CD34" s="602">
        <f t="shared" si="28"/>
        <v>4.2</v>
      </c>
      <c r="CE34" s="602">
        <f t="shared" si="28"/>
        <v>2.8</v>
      </c>
      <c r="CF34" s="602">
        <f t="shared" si="28"/>
        <v>1.4</v>
      </c>
      <c r="CG34" s="602" t="e">
        <f t="shared" si="28"/>
        <v>#N/A</v>
      </c>
      <c r="CH34" s="602">
        <f t="shared" si="28"/>
        <v>1.4</v>
      </c>
      <c r="CI34" s="602">
        <f t="shared" si="28"/>
        <v>2.2999999999999998</v>
      </c>
    </row>
    <row r="35" spans="2:87">
      <c r="B35" s="5"/>
      <c r="C35" s="70"/>
      <c r="D35" s="70"/>
      <c r="E35" s="70"/>
      <c r="F35" s="70"/>
      <c r="G35" s="70"/>
      <c r="H35" s="70"/>
      <c r="I35" s="70"/>
      <c r="J35" s="70"/>
      <c r="K35" s="70"/>
      <c r="L35" s="70"/>
      <c r="N35" s="33"/>
      <c r="O35" s="33"/>
      <c r="P35" s="25"/>
      <c r="Q35" s="25"/>
      <c r="R35" s="24" t="s">
        <v>47</v>
      </c>
      <c r="S35" s="24"/>
      <c r="T35" s="36">
        <f t="shared" si="25"/>
        <v>5.7</v>
      </c>
      <c r="U35" s="36">
        <f t="shared" si="25"/>
        <v>5.3</v>
      </c>
      <c r="V35" s="36">
        <f t="shared" si="25"/>
        <v>2.9</v>
      </c>
      <c r="W35" s="36">
        <f t="shared" si="25"/>
        <v>3.7</v>
      </c>
      <c r="X35" s="36" t="str">
        <f t="shared" si="25"/>
        <v>0.0</v>
      </c>
      <c r="Y35" s="36" t="str">
        <f t="shared" si="25"/>
        <v>0.0</v>
      </c>
      <c r="Z35" s="36">
        <f t="shared" si="25"/>
        <v>3</v>
      </c>
      <c r="AA35" s="36" t="str">
        <f t="shared" si="25"/>
        <v>0.0</v>
      </c>
      <c r="AB35" s="36">
        <f t="shared" si="25"/>
        <v>3.6</v>
      </c>
      <c r="AC35" s="36">
        <f t="shared" si="25"/>
        <v>1.2</v>
      </c>
      <c r="AD35" s="36">
        <f t="shared" si="26"/>
        <v>1.1000000000000001</v>
      </c>
      <c r="AE35" s="36" t="str">
        <f t="shared" si="26"/>
        <v>0.0</v>
      </c>
      <c r="AF35" s="36">
        <f t="shared" si="26"/>
        <v>1.2</v>
      </c>
      <c r="AG35" s="36">
        <f t="shared" si="26"/>
        <v>2.1</v>
      </c>
      <c r="AH35" s="36">
        <f t="shared" si="26"/>
        <v>2.6</v>
      </c>
      <c r="AI35" s="36">
        <f t="shared" si="26"/>
        <v>4.2</v>
      </c>
      <c r="AJ35" s="36">
        <f t="shared" si="26"/>
        <v>2.8</v>
      </c>
      <c r="AK35" s="36">
        <f t="shared" si="26"/>
        <v>1.4</v>
      </c>
      <c r="AL35" s="36" t="str">
        <f t="shared" si="26"/>
        <v>0.0</v>
      </c>
      <c r="AM35" s="36">
        <f t="shared" si="26"/>
        <v>1.4</v>
      </c>
      <c r="AN35" s="36">
        <f t="shared" si="26"/>
        <v>2.2999999999999998</v>
      </c>
      <c r="BJ35" s="600"/>
      <c r="BK35" s="601"/>
      <c r="BL35" s="601"/>
      <c r="BM35" s="601" t="s">
        <v>42</v>
      </c>
      <c r="BN35" s="601" t="s">
        <v>51</v>
      </c>
      <c r="BO35" s="602">
        <f t="shared" ref="BO35:CI35" si="29">IF($BJ$26,VLOOKUP(BO$22&amp;"Male"&amp;"AllEth"&amp;22&amp;$BM35,Methodstable,9,FALSE),NA())</f>
        <v>7.6</v>
      </c>
      <c r="BP35" s="602">
        <f t="shared" si="29"/>
        <v>10.6</v>
      </c>
      <c r="BQ35" s="602">
        <f t="shared" si="29"/>
        <v>14.4</v>
      </c>
      <c r="BR35" s="602">
        <f t="shared" si="29"/>
        <v>3.7</v>
      </c>
      <c r="BS35" s="602">
        <f t="shared" si="29"/>
        <v>3.7</v>
      </c>
      <c r="BT35" s="602">
        <f t="shared" si="29"/>
        <v>5.7</v>
      </c>
      <c r="BU35" s="602">
        <f t="shared" si="29"/>
        <v>7.6</v>
      </c>
      <c r="BV35" s="602">
        <f t="shared" si="29"/>
        <v>3</v>
      </c>
      <c r="BW35" s="602">
        <f t="shared" si="29"/>
        <v>2.4</v>
      </c>
      <c r="BX35" s="602">
        <f t="shared" si="29"/>
        <v>10.7</v>
      </c>
      <c r="BY35" s="602">
        <f t="shared" si="29"/>
        <v>5.3</v>
      </c>
      <c r="BZ35" s="602">
        <f t="shared" si="29"/>
        <v>5.6</v>
      </c>
      <c r="CA35" s="602">
        <f t="shared" si="29"/>
        <v>6</v>
      </c>
      <c r="CB35" s="602">
        <f t="shared" si="29"/>
        <v>9.5</v>
      </c>
      <c r="CC35" s="602">
        <f t="shared" si="29"/>
        <v>5.2</v>
      </c>
      <c r="CD35" s="602">
        <f t="shared" si="29"/>
        <v>4.2</v>
      </c>
      <c r="CE35" s="602">
        <f t="shared" si="29"/>
        <v>8.4</v>
      </c>
      <c r="CF35" s="602">
        <f t="shared" si="29"/>
        <v>6.8</v>
      </c>
      <c r="CG35" s="602">
        <f t="shared" si="29"/>
        <v>2.9</v>
      </c>
      <c r="CH35" s="602">
        <f t="shared" si="29"/>
        <v>2.9</v>
      </c>
      <c r="CI35" s="602">
        <f t="shared" si="29"/>
        <v>3.5</v>
      </c>
    </row>
    <row r="36" spans="2:87" ht="15" customHeight="1">
      <c r="B36" s="5"/>
      <c r="C36" s="70"/>
      <c r="D36" s="70"/>
      <c r="E36" s="70"/>
      <c r="F36" s="70"/>
      <c r="G36" s="70"/>
      <c r="H36" s="70"/>
      <c r="I36" s="70"/>
      <c r="J36" s="70"/>
      <c r="K36" s="70"/>
      <c r="L36" s="70"/>
      <c r="N36" s="33"/>
      <c r="O36" s="33"/>
      <c r="P36" s="25"/>
      <c r="Q36" s="25"/>
      <c r="R36" s="24" t="s">
        <v>42</v>
      </c>
      <c r="S36" s="24"/>
      <c r="T36" s="36">
        <f t="shared" si="25"/>
        <v>7.6</v>
      </c>
      <c r="U36" s="36">
        <f t="shared" si="25"/>
        <v>10.6</v>
      </c>
      <c r="V36" s="36">
        <f t="shared" si="25"/>
        <v>14.4</v>
      </c>
      <c r="W36" s="36">
        <f t="shared" si="25"/>
        <v>3.7</v>
      </c>
      <c r="X36" s="36">
        <f t="shared" si="25"/>
        <v>3.7</v>
      </c>
      <c r="Y36" s="36">
        <f t="shared" si="25"/>
        <v>5.7</v>
      </c>
      <c r="Z36" s="36">
        <f t="shared" si="25"/>
        <v>7.6</v>
      </c>
      <c r="AA36" s="36">
        <f t="shared" si="25"/>
        <v>3</v>
      </c>
      <c r="AB36" s="36">
        <f t="shared" si="25"/>
        <v>2.4</v>
      </c>
      <c r="AC36" s="36">
        <f t="shared" si="25"/>
        <v>10.7</v>
      </c>
      <c r="AD36" s="36">
        <f t="shared" si="26"/>
        <v>5.3</v>
      </c>
      <c r="AE36" s="36">
        <f t="shared" si="26"/>
        <v>5.6</v>
      </c>
      <c r="AF36" s="36">
        <f t="shared" si="26"/>
        <v>6</v>
      </c>
      <c r="AG36" s="36">
        <f t="shared" si="26"/>
        <v>9.5</v>
      </c>
      <c r="AH36" s="36">
        <f t="shared" si="26"/>
        <v>5.2</v>
      </c>
      <c r="AI36" s="36">
        <f t="shared" si="26"/>
        <v>4.2</v>
      </c>
      <c r="AJ36" s="36">
        <f t="shared" si="26"/>
        <v>8.4</v>
      </c>
      <c r="AK36" s="36">
        <f t="shared" si="26"/>
        <v>6.8</v>
      </c>
      <c r="AL36" s="36">
        <f t="shared" si="26"/>
        <v>2.9</v>
      </c>
      <c r="AM36" s="36">
        <f t="shared" si="26"/>
        <v>2.9</v>
      </c>
      <c r="AN36" s="36">
        <f t="shared" si="26"/>
        <v>3.5</v>
      </c>
      <c r="BJ36" s="600"/>
      <c r="BK36" s="601"/>
      <c r="BL36" s="601"/>
      <c r="BM36" s="601" t="s">
        <v>44</v>
      </c>
      <c r="BN36" s="601" t="s">
        <v>51</v>
      </c>
      <c r="BO36" s="602" t="e">
        <f t="shared" ref="BO36:CI36" si="30">IF($BJ$27,VLOOKUP(BO$22&amp;"Male"&amp;"AllEth"&amp;22&amp;$BM36,Methodstable,9,FALSE),NA())</f>
        <v>#N/A</v>
      </c>
      <c r="BP36" s="602" t="e">
        <f t="shared" si="30"/>
        <v>#N/A</v>
      </c>
      <c r="BQ36" s="602" t="e">
        <f t="shared" si="30"/>
        <v>#N/A</v>
      </c>
      <c r="BR36" s="602" t="e">
        <f t="shared" si="30"/>
        <v>#N/A</v>
      </c>
      <c r="BS36" s="602" t="e">
        <f t="shared" si="30"/>
        <v>#N/A</v>
      </c>
      <c r="BT36" s="602" t="e">
        <f t="shared" si="30"/>
        <v>#N/A</v>
      </c>
      <c r="BU36" s="602" t="e">
        <f t="shared" si="30"/>
        <v>#N/A</v>
      </c>
      <c r="BV36" s="602" t="e">
        <f t="shared" si="30"/>
        <v>#N/A</v>
      </c>
      <c r="BW36" s="602" t="e">
        <f t="shared" si="30"/>
        <v>#N/A</v>
      </c>
      <c r="BX36" s="602" t="e">
        <f t="shared" si="30"/>
        <v>#N/A</v>
      </c>
      <c r="BY36" s="602" t="e">
        <f t="shared" si="30"/>
        <v>#N/A</v>
      </c>
      <c r="BZ36" s="602" t="e">
        <f t="shared" si="30"/>
        <v>#N/A</v>
      </c>
      <c r="CA36" s="602" t="e">
        <f t="shared" si="30"/>
        <v>#N/A</v>
      </c>
      <c r="CB36" s="602" t="e">
        <f t="shared" si="30"/>
        <v>#N/A</v>
      </c>
      <c r="CC36" s="602" t="e">
        <f t="shared" si="30"/>
        <v>#N/A</v>
      </c>
      <c r="CD36" s="602" t="e">
        <f t="shared" si="30"/>
        <v>#N/A</v>
      </c>
      <c r="CE36" s="602" t="e">
        <f t="shared" si="30"/>
        <v>#N/A</v>
      </c>
      <c r="CF36" s="602" t="e">
        <f t="shared" si="30"/>
        <v>#N/A</v>
      </c>
      <c r="CG36" s="602" t="e">
        <f t="shared" si="30"/>
        <v>#N/A</v>
      </c>
      <c r="CH36" s="602" t="e">
        <f t="shared" si="30"/>
        <v>#N/A</v>
      </c>
      <c r="CI36" s="602" t="e">
        <f t="shared" si="30"/>
        <v>#N/A</v>
      </c>
    </row>
    <row r="37" spans="2:87" ht="12.75" customHeight="1">
      <c r="B37" s="5"/>
      <c r="C37" s="70"/>
      <c r="D37" s="70"/>
      <c r="E37" s="70"/>
      <c r="F37" s="70"/>
      <c r="G37" s="70"/>
      <c r="H37" s="70"/>
      <c r="I37" s="70"/>
      <c r="J37" s="70"/>
      <c r="K37" s="70"/>
      <c r="L37" s="70"/>
      <c r="N37" s="33"/>
      <c r="O37" s="33"/>
      <c r="P37" s="25"/>
      <c r="Q37" s="25"/>
      <c r="R37" s="24" t="s">
        <v>44</v>
      </c>
      <c r="S37" s="24"/>
      <c r="T37" s="36">
        <f t="shared" si="25"/>
        <v>1.9</v>
      </c>
      <c r="U37" s="36">
        <f t="shared" si="25"/>
        <v>1.8</v>
      </c>
      <c r="V37" s="36">
        <f t="shared" si="25"/>
        <v>6.7</v>
      </c>
      <c r="W37" s="36">
        <f t="shared" si="25"/>
        <v>9.8000000000000007</v>
      </c>
      <c r="X37" s="36">
        <f t="shared" si="25"/>
        <v>4.9000000000000004</v>
      </c>
      <c r="Y37" s="36">
        <f t="shared" si="25"/>
        <v>6.9</v>
      </c>
      <c r="Z37" s="36">
        <f t="shared" si="25"/>
        <v>3</v>
      </c>
      <c r="AA37" s="36">
        <f t="shared" si="25"/>
        <v>4.5</v>
      </c>
      <c r="AB37" s="36">
        <f t="shared" si="25"/>
        <v>1.2</v>
      </c>
      <c r="AC37" s="36">
        <f t="shared" si="25"/>
        <v>2.4</v>
      </c>
      <c r="AD37" s="36">
        <f t="shared" si="26"/>
        <v>3.2</v>
      </c>
      <c r="AE37" s="36">
        <f t="shared" si="26"/>
        <v>1.4</v>
      </c>
      <c r="AF37" s="36">
        <f t="shared" si="26"/>
        <v>3.6</v>
      </c>
      <c r="AG37" s="36">
        <f t="shared" si="26"/>
        <v>4.2</v>
      </c>
      <c r="AH37" s="36">
        <f t="shared" si="26"/>
        <v>2.6</v>
      </c>
      <c r="AI37" s="36">
        <f t="shared" si="26"/>
        <v>3.1</v>
      </c>
      <c r="AJ37" s="36">
        <f t="shared" si="26"/>
        <v>3.7</v>
      </c>
      <c r="AK37" s="36">
        <f t="shared" si="26"/>
        <v>2.7</v>
      </c>
      <c r="AL37" s="36">
        <f t="shared" si="26"/>
        <v>1.5</v>
      </c>
      <c r="AM37" s="36">
        <f t="shared" si="26"/>
        <v>2.9</v>
      </c>
      <c r="AN37" s="36">
        <f t="shared" si="26"/>
        <v>4.7</v>
      </c>
      <c r="BJ37" s="600"/>
      <c r="BK37" s="601"/>
      <c r="BL37" s="601"/>
      <c r="BM37" s="601" t="s">
        <v>49</v>
      </c>
      <c r="BN37" s="601" t="s">
        <v>51</v>
      </c>
      <c r="BO37" s="602" t="e">
        <f t="shared" ref="BO37:CI37" si="31">IF($BJ$28,VLOOKUP(BO$22&amp;"Male"&amp;"AllEth"&amp;22&amp;$BM37,Methodstable,9,FALSE),NA())</f>
        <v>#N/A</v>
      </c>
      <c r="BP37" s="602" t="e">
        <f t="shared" si="31"/>
        <v>#N/A</v>
      </c>
      <c r="BQ37" s="602" t="e">
        <f t="shared" si="31"/>
        <v>#N/A</v>
      </c>
      <c r="BR37" s="602" t="e">
        <f t="shared" si="31"/>
        <v>#N/A</v>
      </c>
      <c r="BS37" s="602" t="e">
        <f t="shared" si="31"/>
        <v>#N/A</v>
      </c>
      <c r="BT37" s="602" t="e">
        <f t="shared" si="31"/>
        <v>#N/A</v>
      </c>
      <c r="BU37" s="602" t="e">
        <f t="shared" si="31"/>
        <v>#N/A</v>
      </c>
      <c r="BV37" s="602" t="e">
        <f t="shared" si="31"/>
        <v>#N/A</v>
      </c>
      <c r="BW37" s="602" t="e">
        <f t="shared" si="31"/>
        <v>#N/A</v>
      </c>
      <c r="BX37" s="602" t="e">
        <f t="shared" si="31"/>
        <v>#N/A</v>
      </c>
      <c r="BY37" s="602" t="e">
        <f t="shared" si="31"/>
        <v>#N/A</v>
      </c>
      <c r="BZ37" s="602" t="e">
        <f t="shared" si="31"/>
        <v>#N/A</v>
      </c>
      <c r="CA37" s="602" t="e">
        <f t="shared" si="31"/>
        <v>#N/A</v>
      </c>
      <c r="CB37" s="602" t="e">
        <f t="shared" si="31"/>
        <v>#N/A</v>
      </c>
      <c r="CC37" s="602" t="e">
        <f t="shared" si="31"/>
        <v>#N/A</v>
      </c>
      <c r="CD37" s="602" t="e">
        <f t="shared" si="31"/>
        <v>#N/A</v>
      </c>
      <c r="CE37" s="602" t="e">
        <f t="shared" si="31"/>
        <v>#N/A</v>
      </c>
      <c r="CF37" s="602" t="e">
        <f t="shared" si="31"/>
        <v>#N/A</v>
      </c>
      <c r="CG37" s="602" t="e">
        <f t="shared" si="31"/>
        <v>#N/A</v>
      </c>
      <c r="CH37" s="602" t="e">
        <f t="shared" si="31"/>
        <v>#N/A</v>
      </c>
      <c r="CI37" s="602" t="e">
        <f t="shared" si="31"/>
        <v>#N/A</v>
      </c>
    </row>
    <row r="38" spans="2:87" ht="12.75" customHeight="1">
      <c r="B38" s="5"/>
      <c r="C38" s="70"/>
      <c r="D38" s="70"/>
      <c r="E38" s="70"/>
      <c r="F38" s="70"/>
      <c r="G38" s="70"/>
      <c r="H38" s="70"/>
      <c r="I38" s="70"/>
      <c r="J38" s="70"/>
      <c r="K38" s="70"/>
      <c r="L38" s="70"/>
      <c r="N38" s="33"/>
      <c r="O38" s="33"/>
      <c r="P38" s="25"/>
      <c r="Q38" s="25"/>
      <c r="R38" s="24" t="s">
        <v>49</v>
      </c>
      <c r="S38" s="24"/>
      <c r="T38" s="36" t="str">
        <f t="shared" si="25"/>
        <v>0.0</v>
      </c>
      <c r="U38" s="36">
        <f t="shared" si="25"/>
        <v>0.9</v>
      </c>
      <c r="V38" s="36" t="str">
        <f t="shared" si="25"/>
        <v>0.0</v>
      </c>
      <c r="W38" s="36" t="str">
        <f t="shared" si="25"/>
        <v>0.0</v>
      </c>
      <c r="X38" s="36" t="str">
        <f t="shared" si="25"/>
        <v>0.0</v>
      </c>
      <c r="Y38" s="36">
        <f t="shared" si="25"/>
        <v>1.1000000000000001</v>
      </c>
      <c r="Z38" s="36">
        <f t="shared" si="25"/>
        <v>3</v>
      </c>
      <c r="AA38" s="36" t="str">
        <f t="shared" si="25"/>
        <v>0.0</v>
      </c>
      <c r="AB38" s="36">
        <f t="shared" si="25"/>
        <v>2.4</v>
      </c>
      <c r="AC38" s="36" t="str">
        <f t="shared" si="25"/>
        <v>0.0</v>
      </c>
      <c r="AD38" s="36">
        <f t="shared" si="26"/>
        <v>1.1000000000000001</v>
      </c>
      <c r="AE38" s="36" t="str">
        <f t="shared" si="26"/>
        <v>0.0</v>
      </c>
      <c r="AF38" s="36" t="str">
        <f t="shared" si="26"/>
        <v>0.0</v>
      </c>
      <c r="AG38" s="36">
        <f t="shared" si="26"/>
        <v>1.1000000000000001</v>
      </c>
      <c r="AH38" s="36">
        <f t="shared" si="26"/>
        <v>1.3</v>
      </c>
      <c r="AI38" s="36" t="str">
        <f t="shared" si="26"/>
        <v>0.0</v>
      </c>
      <c r="AJ38" s="36" t="str">
        <f t="shared" si="26"/>
        <v>0.0</v>
      </c>
      <c r="AK38" s="36" t="str">
        <f t="shared" si="26"/>
        <v>0.0</v>
      </c>
      <c r="AL38" s="36">
        <f t="shared" si="26"/>
        <v>1.5</v>
      </c>
      <c r="AM38" s="36">
        <f t="shared" si="26"/>
        <v>1.4</v>
      </c>
      <c r="AN38" s="36" t="str">
        <f t="shared" si="26"/>
        <v>0.0</v>
      </c>
      <c r="BJ38" s="600"/>
      <c r="BK38" s="601"/>
      <c r="BL38" s="601"/>
      <c r="BM38" s="601" t="s">
        <v>48</v>
      </c>
      <c r="BN38" s="601" t="s">
        <v>51</v>
      </c>
      <c r="BO38" s="602" t="e">
        <f t="shared" ref="BO38:CI38" si="32">IF($BJ$29,VLOOKUP(BO$22&amp;"Male"&amp;"AllEth"&amp;22&amp;$BM38,Methodstable,9,FALSE),NA())</f>
        <v>#N/A</v>
      </c>
      <c r="BP38" s="602" t="e">
        <f t="shared" si="32"/>
        <v>#N/A</v>
      </c>
      <c r="BQ38" s="602" t="e">
        <f t="shared" si="32"/>
        <v>#N/A</v>
      </c>
      <c r="BR38" s="602" t="e">
        <f t="shared" si="32"/>
        <v>#N/A</v>
      </c>
      <c r="BS38" s="602" t="e">
        <f t="shared" si="32"/>
        <v>#N/A</v>
      </c>
      <c r="BT38" s="602" t="e">
        <f t="shared" si="32"/>
        <v>#N/A</v>
      </c>
      <c r="BU38" s="602" t="e">
        <f t="shared" si="32"/>
        <v>#N/A</v>
      </c>
      <c r="BV38" s="602" t="e">
        <f t="shared" si="32"/>
        <v>#N/A</v>
      </c>
      <c r="BW38" s="602" t="e">
        <f t="shared" si="32"/>
        <v>#N/A</v>
      </c>
      <c r="BX38" s="602" t="e">
        <f t="shared" si="32"/>
        <v>#N/A</v>
      </c>
      <c r="BY38" s="602" t="e">
        <f t="shared" si="32"/>
        <v>#N/A</v>
      </c>
      <c r="BZ38" s="602" t="e">
        <f t="shared" si="32"/>
        <v>#N/A</v>
      </c>
      <c r="CA38" s="602" t="e">
        <f t="shared" si="32"/>
        <v>#N/A</v>
      </c>
      <c r="CB38" s="602" t="e">
        <f t="shared" si="32"/>
        <v>#N/A</v>
      </c>
      <c r="CC38" s="602" t="e">
        <f t="shared" si="32"/>
        <v>#N/A</v>
      </c>
      <c r="CD38" s="602" t="e">
        <f t="shared" si="32"/>
        <v>#N/A</v>
      </c>
      <c r="CE38" s="602" t="e">
        <f t="shared" si="32"/>
        <v>#N/A</v>
      </c>
      <c r="CF38" s="602" t="e">
        <f t="shared" si="32"/>
        <v>#N/A</v>
      </c>
      <c r="CG38" s="602" t="e">
        <f t="shared" si="32"/>
        <v>#N/A</v>
      </c>
      <c r="CH38" s="602" t="e">
        <f t="shared" si="32"/>
        <v>#N/A</v>
      </c>
      <c r="CI38" s="602" t="e">
        <f t="shared" si="32"/>
        <v>#N/A</v>
      </c>
    </row>
    <row r="39" spans="2:87">
      <c r="B39" s="5"/>
      <c r="C39" s="70"/>
      <c r="D39" s="70"/>
      <c r="E39" s="70"/>
      <c r="F39" s="70"/>
      <c r="G39" s="70"/>
      <c r="H39" s="70"/>
      <c r="I39" s="70"/>
      <c r="J39" s="70"/>
      <c r="K39" s="70"/>
      <c r="L39" s="70"/>
      <c r="N39" s="33"/>
      <c r="O39" s="33"/>
      <c r="P39" s="25"/>
      <c r="Q39" s="25"/>
      <c r="R39" s="24" t="s">
        <v>48</v>
      </c>
      <c r="S39" s="24"/>
      <c r="T39" s="36" t="str">
        <f t="shared" si="25"/>
        <v>0.0</v>
      </c>
      <c r="U39" s="36" t="str">
        <f t="shared" si="25"/>
        <v>0.0</v>
      </c>
      <c r="V39" s="36" t="str">
        <f t="shared" si="25"/>
        <v>0.0</v>
      </c>
      <c r="W39" s="36" t="str">
        <f t="shared" si="25"/>
        <v>0.0</v>
      </c>
      <c r="X39" s="36">
        <f t="shared" si="25"/>
        <v>3.7</v>
      </c>
      <c r="Y39" s="36">
        <f t="shared" si="25"/>
        <v>2.2999999999999998</v>
      </c>
      <c r="Z39" s="36">
        <f t="shared" si="25"/>
        <v>1.5</v>
      </c>
      <c r="AA39" s="36">
        <f t="shared" si="25"/>
        <v>1.5</v>
      </c>
      <c r="AB39" s="36" t="str">
        <f t="shared" si="25"/>
        <v>0.0</v>
      </c>
      <c r="AC39" s="36" t="str">
        <f t="shared" si="25"/>
        <v>0.0</v>
      </c>
      <c r="AD39" s="36">
        <f t="shared" si="26"/>
        <v>1.1000000000000001</v>
      </c>
      <c r="AE39" s="36" t="str">
        <f t="shared" si="26"/>
        <v>0.0</v>
      </c>
      <c r="AF39" s="36" t="str">
        <f t="shared" si="26"/>
        <v>0.0</v>
      </c>
      <c r="AG39" s="36" t="str">
        <f t="shared" si="26"/>
        <v>0.0</v>
      </c>
      <c r="AH39" s="36">
        <f t="shared" si="26"/>
        <v>2.6</v>
      </c>
      <c r="AI39" s="36" t="str">
        <f t="shared" si="26"/>
        <v>0.0</v>
      </c>
      <c r="AJ39" s="36" t="str">
        <f t="shared" si="26"/>
        <v>0.0</v>
      </c>
      <c r="AK39" s="36" t="str">
        <f t="shared" si="26"/>
        <v>0.0</v>
      </c>
      <c r="AL39" s="36" t="str">
        <f t="shared" si="26"/>
        <v>0.0</v>
      </c>
      <c r="AM39" s="36">
        <f t="shared" si="26"/>
        <v>1.4</v>
      </c>
      <c r="AN39" s="36" t="str">
        <f t="shared" si="26"/>
        <v>0.0</v>
      </c>
      <c r="BJ39" s="600"/>
      <c r="BK39" s="601"/>
      <c r="BL39" s="601"/>
      <c r="BM39" s="601" t="s">
        <v>45</v>
      </c>
      <c r="BN39" s="601" t="s">
        <v>51</v>
      </c>
      <c r="BO39" s="602" t="e">
        <f t="shared" ref="BO39:CI39" si="33">IF($BJ$30,VLOOKUP(BO$22&amp;"Male"&amp;"AllEth"&amp;22&amp;$BM39,Methodstable,9,FALSE),NA())</f>
        <v>#N/A</v>
      </c>
      <c r="BP39" s="602" t="e">
        <f t="shared" si="33"/>
        <v>#N/A</v>
      </c>
      <c r="BQ39" s="602" t="e">
        <f t="shared" si="33"/>
        <v>#N/A</v>
      </c>
      <c r="BR39" s="602" t="e">
        <f t="shared" si="33"/>
        <v>#N/A</v>
      </c>
      <c r="BS39" s="602" t="e">
        <f t="shared" si="33"/>
        <v>#N/A</v>
      </c>
      <c r="BT39" s="602" t="e">
        <f t="shared" si="33"/>
        <v>#N/A</v>
      </c>
      <c r="BU39" s="602" t="e">
        <f t="shared" si="33"/>
        <v>#N/A</v>
      </c>
      <c r="BV39" s="602" t="e">
        <f t="shared" si="33"/>
        <v>#N/A</v>
      </c>
      <c r="BW39" s="602" t="e">
        <f t="shared" si="33"/>
        <v>#N/A</v>
      </c>
      <c r="BX39" s="602" t="e">
        <f t="shared" si="33"/>
        <v>#N/A</v>
      </c>
      <c r="BY39" s="602" t="e">
        <f t="shared" si="33"/>
        <v>#N/A</v>
      </c>
      <c r="BZ39" s="602" t="e">
        <f t="shared" si="33"/>
        <v>#N/A</v>
      </c>
      <c r="CA39" s="602" t="e">
        <f t="shared" si="33"/>
        <v>#N/A</v>
      </c>
      <c r="CB39" s="602" t="e">
        <f t="shared" si="33"/>
        <v>#N/A</v>
      </c>
      <c r="CC39" s="602" t="e">
        <f t="shared" si="33"/>
        <v>#N/A</v>
      </c>
      <c r="CD39" s="602" t="e">
        <f t="shared" si="33"/>
        <v>#N/A</v>
      </c>
      <c r="CE39" s="602" t="e">
        <f t="shared" si="33"/>
        <v>#N/A</v>
      </c>
      <c r="CF39" s="602" t="e">
        <f t="shared" si="33"/>
        <v>#N/A</v>
      </c>
      <c r="CG39" s="602" t="e">
        <f t="shared" si="33"/>
        <v>#N/A</v>
      </c>
      <c r="CH39" s="602" t="e">
        <f t="shared" si="33"/>
        <v>#N/A</v>
      </c>
      <c r="CI39" s="602" t="e">
        <f t="shared" si="33"/>
        <v>#N/A</v>
      </c>
    </row>
    <row r="40" spans="2:87">
      <c r="B40" s="5"/>
      <c r="C40" s="70"/>
      <c r="D40" s="70"/>
      <c r="E40" s="70"/>
      <c r="F40" s="70"/>
      <c r="G40" s="70"/>
      <c r="H40" s="70"/>
      <c r="I40" s="70"/>
      <c r="J40" s="70"/>
      <c r="K40" s="70"/>
      <c r="L40" s="70"/>
      <c r="N40" s="33"/>
      <c r="O40" s="33"/>
      <c r="P40" s="25"/>
      <c r="Q40" s="25"/>
      <c r="R40" s="24" t="s">
        <v>45</v>
      </c>
      <c r="S40" s="24"/>
      <c r="T40" s="36">
        <f t="shared" si="25"/>
        <v>2.9</v>
      </c>
      <c r="U40" s="36">
        <f t="shared" si="25"/>
        <v>2.7</v>
      </c>
      <c r="V40" s="36">
        <f t="shared" si="25"/>
        <v>2.9</v>
      </c>
      <c r="W40" s="36">
        <f t="shared" si="25"/>
        <v>3.7</v>
      </c>
      <c r="X40" s="36">
        <f t="shared" si="25"/>
        <v>4.9000000000000004</v>
      </c>
      <c r="Y40" s="36">
        <f t="shared" si="25"/>
        <v>2.2999999999999998</v>
      </c>
      <c r="Z40" s="36">
        <f t="shared" si="25"/>
        <v>6.1</v>
      </c>
      <c r="AA40" s="36">
        <f t="shared" si="25"/>
        <v>4.5</v>
      </c>
      <c r="AB40" s="36">
        <f t="shared" si="25"/>
        <v>1.2</v>
      </c>
      <c r="AC40" s="36">
        <f t="shared" si="25"/>
        <v>3.6</v>
      </c>
      <c r="AD40" s="36">
        <f t="shared" si="26"/>
        <v>4.2</v>
      </c>
      <c r="AE40" s="36">
        <f t="shared" si="26"/>
        <v>5.6</v>
      </c>
      <c r="AF40" s="36">
        <f t="shared" si="26"/>
        <v>3.6</v>
      </c>
      <c r="AG40" s="36" t="str">
        <f t="shared" si="26"/>
        <v>0.0</v>
      </c>
      <c r="AH40" s="36">
        <f t="shared" si="26"/>
        <v>3.9</v>
      </c>
      <c r="AI40" s="36">
        <f t="shared" si="26"/>
        <v>5.2</v>
      </c>
      <c r="AJ40" s="36" t="str">
        <f t="shared" si="26"/>
        <v>0.0</v>
      </c>
      <c r="AK40" s="36">
        <f t="shared" si="26"/>
        <v>1.4</v>
      </c>
      <c r="AL40" s="36">
        <f t="shared" si="26"/>
        <v>2.9</v>
      </c>
      <c r="AM40" s="36">
        <f t="shared" si="26"/>
        <v>4.3</v>
      </c>
      <c r="AN40" s="36">
        <f t="shared" si="26"/>
        <v>7</v>
      </c>
      <c r="BJ40" s="600"/>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row>
    <row r="41" spans="2:87">
      <c r="B41" s="5"/>
      <c r="C41" s="70"/>
      <c r="D41" s="70"/>
      <c r="E41" s="70"/>
      <c r="F41" s="70"/>
      <c r="G41" s="70"/>
      <c r="H41" s="70"/>
      <c r="I41" s="70"/>
      <c r="J41" s="70"/>
      <c r="K41" s="70"/>
      <c r="L41" s="70"/>
      <c r="N41" s="33"/>
      <c r="O41" s="33"/>
      <c r="P41" s="28"/>
      <c r="Q41" s="28"/>
      <c r="R41" s="26"/>
      <c r="S41" s="26"/>
      <c r="T41" s="29"/>
      <c r="U41" s="29"/>
      <c r="V41" s="29"/>
      <c r="W41" s="29"/>
      <c r="X41" s="29"/>
      <c r="Y41" s="29"/>
      <c r="Z41" s="29"/>
      <c r="AA41" s="29"/>
      <c r="AB41" s="29"/>
      <c r="AC41" s="29"/>
      <c r="AD41" s="29"/>
      <c r="AE41" s="29"/>
      <c r="AF41" s="29"/>
      <c r="AG41" s="29"/>
      <c r="AH41" s="38"/>
      <c r="AI41" s="38"/>
      <c r="AJ41" s="38"/>
      <c r="AK41" s="38"/>
      <c r="AL41" s="38"/>
      <c r="AM41" s="38"/>
      <c r="AN41" s="38"/>
      <c r="BJ41" s="600"/>
      <c r="BK41" s="601" t="s">
        <v>20</v>
      </c>
      <c r="BL41" s="601" t="s">
        <v>24</v>
      </c>
      <c r="BM41" s="601" t="s">
        <v>43</v>
      </c>
      <c r="BN41" s="601" t="s">
        <v>51</v>
      </c>
      <c r="BO41" s="602">
        <f t="shared" ref="BO41:CH41" si="34">IF($BJ23,VLOOKUP(BO$22&amp;"Male"&amp;"AllEth"&amp;23&amp;$BM41,Methodstable,9,FALSE),NA())</f>
        <v>40.4</v>
      </c>
      <c r="BP41" s="602">
        <f t="shared" si="34"/>
        <v>41.8</v>
      </c>
      <c r="BQ41" s="602">
        <f t="shared" si="34"/>
        <v>45.6</v>
      </c>
      <c r="BR41" s="602">
        <f t="shared" si="34"/>
        <v>42.8</v>
      </c>
      <c r="BS41" s="602">
        <f t="shared" si="34"/>
        <v>50.3</v>
      </c>
      <c r="BT41" s="602">
        <f t="shared" si="34"/>
        <v>47.6</v>
      </c>
      <c r="BU41" s="602">
        <f t="shared" si="34"/>
        <v>49.4</v>
      </c>
      <c r="BV41" s="602">
        <f t="shared" si="34"/>
        <v>51.5</v>
      </c>
      <c r="BW41" s="602">
        <f t="shared" si="34"/>
        <v>62.7</v>
      </c>
      <c r="BX41" s="602">
        <f t="shared" si="34"/>
        <v>48.4</v>
      </c>
      <c r="BY41" s="602">
        <f t="shared" si="34"/>
        <v>57.1</v>
      </c>
      <c r="BZ41" s="602">
        <f t="shared" si="34"/>
        <v>65.5</v>
      </c>
      <c r="CA41" s="602">
        <f t="shared" si="34"/>
        <v>60.9</v>
      </c>
      <c r="CB41" s="602">
        <f t="shared" si="34"/>
        <v>62.1</v>
      </c>
      <c r="CC41" s="602">
        <f t="shared" si="34"/>
        <v>64.400000000000006</v>
      </c>
      <c r="CD41" s="602">
        <f t="shared" si="34"/>
        <v>66.2</v>
      </c>
      <c r="CE41" s="602">
        <f t="shared" si="34"/>
        <v>62.9</v>
      </c>
      <c r="CF41" s="602">
        <f t="shared" si="34"/>
        <v>69.3</v>
      </c>
      <c r="CG41" s="602">
        <f t="shared" si="34"/>
        <v>71.400000000000006</v>
      </c>
      <c r="CH41" s="602">
        <f t="shared" si="34"/>
        <v>71.5</v>
      </c>
      <c r="CI41" s="602">
        <f t="shared" ref="CI41" si="35">IF($BJ23,VLOOKUP(CI$22&amp;"Male"&amp;"AllEth"&amp;23&amp;$BM41,Methodstable,9,FALSE),NA())</f>
        <v>72.7</v>
      </c>
    </row>
    <row r="42" spans="2:87">
      <c r="B42" s="5"/>
      <c r="C42" s="70"/>
      <c r="D42" s="70"/>
      <c r="E42" s="70"/>
      <c r="F42" s="70"/>
      <c r="G42" s="70"/>
      <c r="H42" s="70"/>
      <c r="I42" s="70"/>
      <c r="J42" s="70"/>
      <c r="K42" s="70"/>
      <c r="L42" s="70"/>
      <c r="N42" s="33"/>
      <c r="O42" s="33"/>
      <c r="P42" s="25" t="s">
        <v>20</v>
      </c>
      <c r="Q42" s="25" t="s">
        <v>35</v>
      </c>
      <c r="R42" s="24" t="s">
        <v>43</v>
      </c>
      <c r="S42" s="24" t="s">
        <v>303</v>
      </c>
      <c r="T42" s="36">
        <f t="shared" ref="T42:AM42" si="36">IFERROR(VLOOKUP(T$13&amp;"Male"&amp;"AllEth"&amp;23&amp;$R33,Methodstable,9,FALSE),"0.0")</f>
        <v>40.4</v>
      </c>
      <c r="U42" s="36">
        <f t="shared" si="36"/>
        <v>41.8</v>
      </c>
      <c r="V42" s="36">
        <f t="shared" si="36"/>
        <v>45.6</v>
      </c>
      <c r="W42" s="36">
        <f t="shared" si="36"/>
        <v>42.8</v>
      </c>
      <c r="X42" s="36">
        <f t="shared" si="36"/>
        <v>50.3</v>
      </c>
      <c r="Y42" s="36">
        <f t="shared" si="36"/>
        <v>47.6</v>
      </c>
      <c r="Z42" s="36">
        <f t="shared" si="36"/>
        <v>49.4</v>
      </c>
      <c r="AA42" s="36">
        <f t="shared" si="36"/>
        <v>51.5</v>
      </c>
      <c r="AB42" s="36">
        <f t="shared" si="36"/>
        <v>62.7</v>
      </c>
      <c r="AC42" s="36">
        <f t="shared" si="36"/>
        <v>48.4</v>
      </c>
      <c r="AD42" s="36">
        <f t="shared" si="36"/>
        <v>57.1</v>
      </c>
      <c r="AE42" s="36">
        <f t="shared" si="36"/>
        <v>65.5</v>
      </c>
      <c r="AF42" s="36">
        <f t="shared" si="36"/>
        <v>60.9</v>
      </c>
      <c r="AG42" s="36">
        <f t="shared" si="36"/>
        <v>62.1</v>
      </c>
      <c r="AH42" s="36">
        <f t="shared" si="36"/>
        <v>64.400000000000006</v>
      </c>
      <c r="AI42" s="36">
        <f t="shared" si="36"/>
        <v>66.2</v>
      </c>
      <c r="AJ42" s="36">
        <f t="shared" si="36"/>
        <v>62.9</v>
      </c>
      <c r="AK42" s="36">
        <f t="shared" si="36"/>
        <v>69.3</v>
      </c>
      <c r="AL42" s="36">
        <f t="shared" si="36"/>
        <v>71.400000000000006</v>
      </c>
      <c r="AM42" s="36">
        <f t="shared" si="36"/>
        <v>71.5</v>
      </c>
      <c r="AN42" s="36">
        <f t="shared" ref="AN42" si="37">IFERROR(VLOOKUP(AN$13&amp;"Male"&amp;"AllEth"&amp;23&amp;$R33,Methodstable,9,FALSE),"0.0")</f>
        <v>72.7</v>
      </c>
      <c r="BJ42" s="600"/>
      <c r="BK42" s="601"/>
      <c r="BL42" s="601"/>
      <c r="BM42" s="601" t="s">
        <v>46</v>
      </c>
      <c r="BN42" s="601" t="s">
        <v>51</v>
      </c>
      <c r="BO42" s="602">
        <f t="shared" ref="BO42:CH42" si="38">IF($BJ24,VLOOKUP(BO$22&amp;"Male"&amp;"AllEth"&amp;23&amp;$BM42,Methodstable,9,FALSE),NA())</f>
        <v>36.200000000000003</v>
      </c>
      <c r="BP42" s="602">
        <f t="shared" si="38"/>
        <v>31.8</v>
      </c>
      <c r="BQ42" s="602">
        <f t="shared" si="38"/>
        <v>25.1</v>
      </c>
      <c r="BR42" s="602">
        <f t="shared" si="38"/>
        <v>31.7</v>
      </c>
      <c r="BS42" s="602">
        <f t="shared" si="38"/>
        <v>23.4</v>
      </c>
      <c r="BT42" s="602">
        <f t="shared" si="38"/>
        <v>23.8</v>
      </c>
      <c r="BU42" s="602">
        <f t="shared" si="38"/>
        <v>24.7</v>
      </c>
      <c r="BV42" s="602">
        <f t="shared" si="38"/>
        <v>21.5</v>
      </c>
      <c r="BW42" s="602">
        <f t="shared" si="38"/>
        <v>19.899999999999999</v>
      </c>
      <c r="BX42" s="602">
        <f t="shared" si="38"/>
        <v>28.6</v>
      </c>
      <c r="BY42" s="602">
        <f t="shared" si="38"/>
        <v>16.3</v>
      </c>
      <c r="BZ42" s="602">
        <f t="shared" si="38"/>
        <v>13.9</v>
      </c>
      <c r="CA42" s="602">
        <f t="shared" si="38"/>
        <v>19.5</v>
      </c>
      <c r="CB42" s="602">
        <f t="shared" si="38"/>
        <v>12.1</v>
      </c>
      <c r="CC42" s="602">
        <f t="shared" si="38"/>
        <v>14.4</v>
      </c>
      <c r="CD42" s="602">
        <f t="shared" si="38"/>
        <v>13.8</v>
      </c>
      <c r="CE42" s="602">
        <f t="shared" si="38"/>
        <v>11.2</v>
      </c>
      <c r="CF42" s="602">
        <f t="shared" si="38"/>
        <v>11.4</v>
      </c>
      <c r="CG42" s="602">
        <f t="shared" si="38"/>
        <v>10.7</v>
      </c>
      <c r="CH42" s="602">
        <f t="shared" si="38"/>
        <v>11.7</v>
      </c>
      <c r="CI42" s="602">
        <f t="shared" ref="CI42" si="39">IF($BJ24,VLOOKUP(CI$22&amp;"Male"&amp;"AllEth"&amp;23&amp;$BM42,Methodstable,9,FALSE),NA())</f>
        <v>7</v>
      </c>
    </row>
    <row r="43" spans="2:87">
      <c r="B43" s="5"/>
      <c r="C43" s="70"/>
      <c r="D43" s="70"/>
      <c r="E43" s="70"/>
      <c r="F43" s="70"/>
      <c r="G43" s="70"/>
      <c r="H43" s="70"/>
      <c r="I43" s="70"/>
      <c r="J43" s="70"/>
      <c r="K43" s="70"/>
      <c r="L43" s="70"/>
      <c r="N43" s="33"/>
      <c r="O43" s="33"/>
      <c r="P43" s="31"/>
      <c r="Q43" s="31"/>
      <c r="R43" s="30" t="s">
        <v>46</v>
      </c>
      <c r="S43" s="30"/>
      <c r="T43" s="36">
        <f t="shared" ref="T43:AM43" si="40">IFERROR(VLOOKUP(T$13&amp;"Male"&amp;"AllEth"&amp;23&amp;$R34,Methodstable,9,FALSE),"0.0")</f>
        <v>36.200000000000003</v>
      </c>
      <c r="U43" s="36">
        <f t="shared" si="40"/>
        <v>31.8</v>
      </c>
      <c r="V43" s="36">
        <f t="shared" si="40"/>
        <v>25.1</v>
      </c>
      <c r="W43" s="36">
        <f t="shared" si="40"/>
        <v>31.7</v>
      </c>
      <c r="X43" s="36">
        <f t="shared" si="40"/>
        <v>23.4</v>
      </c>
      <c r="Y43" s="36">
        <f t="shared" si="40"/>
        <v>23.8</v>
      </c>
      <c r="Z43" s="36">
        <f t="shared" si="40"/>
        <v>24.7</v>
      </c>
      <c r="AA43" s="36">
        <f t="shared" si="40"/>
        <v>21.5</v>
      </c>
      <c r="AB43" s="36">
        <f t="shared" si="40"/>
        <v>19.899999999999999</v>
      </c>
      <c r="AC43" s="36">
        <f t="shared" si="40"/>
        <v>28.6</v>
      </c>
      <c r="AD43" s="36">
        <f t="shared" si="40"/>
        <v>16.3</v>
      </c>
      <c r="AE43" s="36">
        <f t="shared" si="40"/>
        <v>13.9</v>
      </c>
      <c r="AF43" s="36">
        <f t="shared" si="40"/>
        <v>19.5</v>
      </c>
      <c r="AG43" s="36">
        <f t="shared" si="40"/>
        <v>12.1</v>
      </c>
      <c r="AH43" s="36">
        <f t="shared" si="40"/>
        <v>14.4</v>
      </c>
      <c r="AI43" s="36">
        <f t="shared" si="40"/>
        <v>13.8</v>
      </c>
      <c r="AJ43" s="36">
        <f t="shared" si="40"/>
        <v>11.2</v>
      </c>
      <c r="AK43" s="36">
        <f t="shared" si="40"/>
        <v>11.4</v>
      </c>
      <c r="AL43" s="36">
        <f t="shared" si="40"/>
        <v>10.7</v>
      </c>
      <c r="AM43" s="36">
        <f t="shared" si="40"/>
        <v>11.7</v>
      </c>
      <c r="AN43" s="36">
        <f t="shared" ref="AN43" si="41">IFERROR(VLOOKUP(AN$13&amp;"Male"&amp;"AllEth"&amp;23&amp;$R34,Methodstable,9,FALSE),"0.0")</f>
        <v>7</v>
      </c>
      <c r="BJ43" s="600"/>
      <c r="BK43" s="601"/>
      <c r="BL43" s="601"/>
      <c r="BM43" s="601" t="s">
        <v>47</v>
      </c>
      <c r="BN43" s="601" t="s">
        <v>51</v>
      </c>
      <c r="BO43" s="602">
        <f t="shared" ref="BO43:CH43" si="42">IF($BJ25,VLOOKUP(BO$22&amp;"Male"&amp;"AllEth"&amp;23&amp;$BM43,Methodstable,9,FALSE),NA())</f>
        <v>4.8</v>
      </c>
      <c r="BP43" s="602">
        <f t="shared" si="42"/>
        <v>6</v>
      </c>
      <c r="BQ43" s="602">
        <f t="shared" si="42"/>
        <v>8.1999999999999993</v>
      </c>
      <c r="BR43" s="602">
        <f t="shared" si="42"/>
        <v>5</v>
      </c>
      <c r="BS43" s="602">
        <f t="shared" si="42"/>
        <v>5.8</v>
      </c>
      <c r="BT43" s="602">
        <f t="shared" si="42"/>
        <v>7.4</v>
      </c>
      <c r="BU43" s="602">
        <f t="shared" si="42"/>
        <v>7.2</v>
      </c>
      <c r="BV43" s="602">
        <f t="shared" si="42"/>
        <v>8.6</v>
      </c>
      <c r="BW43" s="602">
        <f t="shared" si="42"/>
        <v>6.2</v>
      </c>
      <c r="BX43" s="602">
        <f t="shared" si="42"/>
        <v>6.2</v>
      </c>
      <c r="BY43" s="602">
        <f t="shared" si="42"/>
        <v>6.1</v>
      </c>
      <c r="BZ43" s="602">
        <f t="shared" si="42"/>
        <v>2.4</v>
      </c>
      <c r="CA43" s="602">
        <f t="shared" si="42"/>
        <v>4.5</v>
      </c>
      <c r="CB43" s="602">
        <f t="shared" si="42"/>
        <v>8.3000000000000007</v>
      </c>
      <c r="CC43" s="602">
        <f t="shared" si="42"/>
        <v>6.8</v>
      </c>
      <c r="CD43" s="602">
        <f t="shared" si="42"/>
        <v>9.1999999999999993</v>
      </c>
      <c r="CE43" s="602">
        <f t="shared" si="42"/>
        <v>6.3</v>
      </c>
      <c r="CF43" s="602">
        <f t="shared" si="42"/>
        <v>7</v>
      </c>
      <c r="CG43" s="602">
        <f t="shared" si="42"/>
        <v>5.7</v>
      </c>
      <c r="CH43" s="602">
        <f t="shared" si="42"/>
        <v>2.2000000000000002</v>
      </c>
      <c r="CI43" s="602">
        <f t="shared" ref="CI43" si="43">IF($BJ25,VLOOKUP(CI$22&amp;"Male"&amp;"AllEth"&amp;23&amp;$BM43,Methodstable,9,FALSE),NA())</f>
        <v>2.1</v>
      </c>
    </row>
    <row r="44" spans="2:87">
      <c r="B44" s="5"/>
      <c r="C44" s="70"/>
      <c r="D44" s="70"/>
      <c r="E44" s="70"/>
      <c r="F44" s="70"/>
      <c r="G44" s="70"/>
      <c r="H44" s="70"/>
      <c r="I44" s="70"/>
      <c r="J44" s="70"/>
      <c r="K44" s="70"/>
      <c r="L44" s="70"/>
      <c r="N44" s="33"/>
      <c r="O44" s="33"/>
      <c r="P44" s="31"/>
      <c r="Q44" s="31"/>
      <c r="R44" s="30" t="s">
        <v>47</v>
      </c>
      <c r="S44" s="30"/>
      <c r="T44" s="36">
        <f t="shared" ref="T44:AM44" si="44">IFERROR(VLOOKUP(T$13&amp;"Male"&amp;"AllEth"&amp;23&amp;$R35,Methodstable,9,FALSE),"0.0")</f>
        <v>4.8</v>
      </c>
      <c r="U44" s="36">
        <f t="shared" si="44"/>
        <v>6</v>
      </c>
      <c r="V44" s="36">
        <f t="shared" si="44"/>
        <v>8.1999999999999993</v>
      </c>
      <c r="W44" s="36">
        <f t="shared" si="44"/>
        <v>5</v>
      </c>
      <c r="X44" s="36">
        <f t="shared" si="44"/>
        <v>5.8</v>
      </c>
      <c r="Y44" s="36">
        <f t="shared" si="44"/>
        <v>7.4</v>
      </c>
      <c r="Z44" s="36">
        <f t="shared" si="44"/>
        <v>7.2</v>
      </c>
      <c r="AA44" s="36">
        <f t="shared" si="44"/>
        <v>8.6</v>
      </c>
      <c r="AB44" s="36">
        <f t="shared" si="44"/>
        <v>6.2</v>
      </c>
      <c r="AC44" s="36">
        <f t="shared" si="44"/>
        <v>6.2</v>
      </c>
      <c r="AD44" s="36">
        <f t="shared" si="44"/>
        <v>6.1</v>
      </c>
      <c r="AE44" s="36">
        <f t="shared" si="44"/>
        <v>2.4</v>
      </c>
      <c r="AF44" s="36">
        <f t="shared" si="44"/>
        <v>4.5</v>
      </c>
      <c r="AG44" s="36">
        <f t="shared" si="44"/>
        <v>8.3000000000000007</v>
      </c>
      <c r="AH44" s="36">
        <f t="shared" si="44"/>
        <v>6.8</v>
      </c>
      <c r="AI44" s="36">
        <f t="shared" si="44"/>
        <v>9.1999999999999993</v>
      </c>
      <c r="AJ44" s="36">
        <f t="shared" si="44"/>
        <v>6.3</v>
      </c>
      <c r="AK44" s="36">
        <f t="shared" si="44"/>
        <v>7</v>
      </c>
      <c r="AL44" s="36">
        <f t="shared" si="44"/>
        <v>5.7</v>
      </c>
      <c r="AM44" s="36">
        <f t="shared" si="44"/>
        <v>2.2000000000000002</v>
      </c>
      <c r="AN44" s="36">
        <f t="shared" ref="AN44" si="45">IFERROR(VLOOKUP(AN$13&amp;"Male"&amp;"AllEth"&amp;23&amp;$R35,Methodstable,9,FALSE),"0.0")</f>
        <v>2.1</v>
      </c>
      <c r="BJ44" s="600"/>
      <c r="BK44" s="601"/>
      <c r="BL44" s="601"/>
      <c r="BM44" s="601" t="s">
        <v>42</v>
      </c>
      <c r="BN44" s="601" t="s">
        <v>51</v>
      </c>
      <c r="BO44" s="602">
        <f t="shared" ref="BO44:CH44" si="46">IF($BJ26,VLOOKUP(BO$22&amp;"Male"&amp;"AllEth"&amp;23&amp;$BM44,Methodstable,9,FALSE),NA())</f>
        <v>10.6</v>
      </c>
      <c r="BP44" s="602">
        <f t="shared" si="46"/>
        <v>10.4</v>
      </c>
      <c r="BQ44" s="602">
        <f t="shared" si="46"/>
        <v>11.3</v>
      </c>
      <c r="BR44" s="602">
        <f t="shared" si="46"/>
        <v>11.1</v>
      </c>
      <c r="BS44" s="602">
        <f t="shared" si="46"/>
        <v>10.5</v>
      </c>
      <c r="BT44" s="602">
        <f t="shared" si="46"/>
        <v>15.3</v>
      </c>
      <c r="BU44" s="602">
        <f t="shared" si="46"/>
        <v>10.199999999999999</v>
      </c>
      <c r="BV44" s="602">
        <f t="shared" si="46"/>
        <v>6.7</v>
      </c>
      <c r="BW44" s="602">
        <f t="shared" si="46"/>
        <v>5.6</v>
      </c>
      <c r="BX44" s="602">
        <f t="shared" si="46"/>
        <v>8.1</v>
      </c>
      <c r="BY44" s="602">
        <f t="shared" si="46"/>
        <v>9.5</v>
      </c>
      <c r="BZ44" s="602">
        <f t="shared" si="46"/>
        <v>10.3</v>
      </c>
      <c r="CA44" s="602">
        <f t="shared" si="46"/>
        <v>5.3</v>
      </c>
      <c r="CB44" s="602">
        <f t="shared" si="46"/>
        <v>9.8000000000000007</v>
      </c>
      <c r="CC44" s="602">
        <f t="shared" si="46"/>
        <v>8.9</v>
      </c>
      <c r="CD44" s="602">
        <f t="shared" si="46"/>
        <v>3.1</v>
      </c>
      <c r="CE44" s="602">
        <f t="shared" si="46"/>
        <v>7</v>
      </c>
      <c r="CF44" s="602">
        <f t="shared" si="46"/>
        <v>5.3</v>
      </c>
      <c r="CG44" s="602">
        <f t="shared" si="46"/>
        <v>5</v>
      </c>
      <c r="CH44" s="602">
        <f t="shared" si="46"/>
        <v>5.8</v>
      </c>
      <c r="CI44" s="602">
        <f t="shared" ref="CI44" si="47">IF($BJ26,VLOOKUP(CI$22&amp;"Male"&amp;"AllEth"&amp;23&amp;$BM44,Methodstable,9,FALSE),NA())</f>
        <v>7</v>
      </c>
    </row>
    <row r="45" spans="2:87">
      <c r="B45" s="5"/>
      <c r="C45" s="70"/>
      <c r="D45" s="70"/>
      <c r="E45" s="70"/>
      <c r="F45" s="70"/>
      <c r="G45" s="70"/>
      <c r="H45" s="70"/>
      <c r="I45" s="70"/>
      <c r="J45" s="70"/>
      <c r="K45" s="70"/>
      <c r="L45" s="70"/>
      <c r="N45" s="33"/>
      <c r="O45" s="33"/>
      <c r="P45" s="25"/>
      <c r="Q45" s="25"/>
      <c r="R45" s="24" t="s">
        <v>42</v>
      </c>
      <c r="S45" s="24"/>
      <c r="T45" s="36">
        <f t="shared" ref="T45:AM45" si="48">IFERROR(VLOOKUP(T$13&amp;"Male"&amp;"AllEth"&amp;23&amp;$R36,Methodstable,9,FALSE),"0.0")</f>
        <v>10.6</v>
      </c>
      <c r="U45" s="36">
        <f t="shared" si="48"/>
        <v>10.4</v>
      </c>
      <c r="V45" s="36">
        <f t="shared" si="48"/>
        <v>11.3</v>
      </c>
      <c r="W45" s="36">
        <f t="shared" si="48"/>
        <v>11.1</v>
      </c>
      <c r="X45" s="36">
        <f t="shared" si="48"/>
        <v>10.5</v>
      </c>
      <c r="Y45" s="36">
        <f t="shared" si="48"/>
        <v>15.3</v>
      </c>
      <c r="Z45" s="36">
        <f t="shared" si="48"/>
        <v>10.199999999999999</v>
      </c>
      <c r="AA45" s="36">
        <f t="shared" si="48"/>
        <v>6.7</v>
      </c>
      <c r="AB45" s="36">
        <f t="shared" si="48"/>
        <v>5.6</v>
      </c>
      <c r="AC45" s="36">
        <f t="shared" si="48"/>
        <v>8.1</v>
      </c>
      <c r="AD45" s="36">
        <f t="shared" si="48"/>
        <v>9.5</v>
      </c>
      <c r="AE45" s="36">
        <f t="shared" si="48"/>
        <v>10.3</v>
      </c>
      <c r="AF45" s="36">
        <f t="shared" si="48"/>
        <v>5.3</v>
      </c>
      <c r="AG45" s="36">
        <f t="shared" si="48"/>
        <v>9.8000000000000007</v>
      </c>
      <c r="AH45" s="36">
        <f t="shared" si="48"/>
        <v>8.9</v>
      </c>
      <c r="AI45" s="36">
        <f t="shared" si="48"/>
        <v>3.1</v>
      </c>
      <c r="AJ45" s="36">
        <f t="shared" si="48"/>
        <v>7</v>
      </c>
      <c r="AK45" s="36">
        <f t="shared" si="48"/>
        <v>5.3</v>
      </c>
      <c r="AL45" s="36">
        <f t="shared" si="48"/>
        <v>5</v>
      </c>
      <c r="AM45" s="36">
        <f t="shared" si="48"/>
        <v>5.8</v>
      </c>
      <c r="AN45" s="36">
        <f t="shared" ref="AN45" si="49">IFERROR(VLOOKUP(AN$13&amp;"Male"&amp;"AllEth"&amp;23&amp;$R36,Methodstable,9,FALSE),"0.0")</f>
        <v>7</v>
      </c>
      <c r="BJ45" s="600"/>
      <c r="BK45" s="601"/>
      <c r="BL45" s="601"/>
      <c r="BM45" s="601" t="s">
        <v>44</v>
      </c>
      <c r="BN45" s="601" t="s">
        <v>51</v>
      </c>
      <c r="BO45" s="602" t="e">
        <f t="shared" ref="BO45:CH45" si="50">IF($BJ27,VLOOKUP(BO$22&amp;"Male"&amp;"AllEth"&amp;23&amp;$BM45,Methodstable,9,FALSE),NA())</f>
        <v>#N/A</v>
      </c>
      <c r="BP45" s="602" t="e">
        <f t="shared" si="50"/>
        <v>#N/A</v>
      </c>
      <c r="BQ45" s="602" t="e">
        <f t="shared" si="50"/>
        <v>#N/A</v>
      </c>
      <c r="BR45" s="602" t="e">
        <f t="shared" si="50"/>
        <v>#N/A</v>
      </c>
      <c r="BS45" s="602" t="e">
        <f t="shared" si="50"/>
        <v>#N/A</v>
      </c>
      <c r="BT45" s="602" t="e">
        <f t="shared" si="50"/>
        <v>#N/A</v>
      </c>
      <c r="BU45" s="602" t="e">
        <f t="shared" si="50"/>
        <v>#N/A</v>
      </c>
      <c r="BV45" s="602" t="e">
        <f t="shared" si="50"/>
        <v>#N/A</v>
      </c>
      <c r="BW45" s="602" t="e">
        <f t="shared" si="50"/>
        <v>#N/A</v>
      </c>
      <c r="BX45" s="602" t="e">
        <f t="shared" si="50"/>
        <v>#N/A</v>
      </c>
      <c r="BY45" s="602" t="e">
        <f t="shared" si="50"/>
        <v>#N/A</v>
      </c>
      <c r="BZ45" s="602" t="e">
        <f t="shared" si="50"/>
        <v>#N/A</v>
      </c>
      <c r="CA45" s="602" t="e">
        <f t="shared" si="50"/>
        <v>#N/A</v>
      </c>
      <c r="CB45" s="602" t="e">
        <f t="shared" si="50"/>
        <v>#N/A</v>
      </c>
      <c r="CC45" s="602" t="e">
        <f t="shared" si="50"/>
        <v>#N/A</v>
      </c>
      <c r="CD45" s="602" t="e">
        <f t="shared" si="50"/>
        <v>#N/A</v>
      </c>
      <c r="CE45" s="602" t="e">
        <f t="shared" si="50"/>
        <v>#N/A</v>
      </c>
      <c r="CF45" s="602" t="e">
        <f t="shared" si="50"/>
        <v>#N/A</v>
      </c>
      <c r="CG45" s="602" t="e">
        <f t="shared" si="50"/>
        <v>#N/A</v>
      </c>
      <c r="CH45" s="602" t="e">
        <f t="shared" si="50"/>
        <v>#N/A</v>
      </c>
      <c r="CI45" s="602" t="e">
        <f t="shared" ref="CI45" si="51">IF($BJ27,VLOOKUP(CI$22&amp;"Male"&amp;"AllEth"&amp;23&amp;$BM45,Methodstable,9,FALSE),NA())</f>
        <v>#N/A</v>
      </c>
    </row>
    <row r="46" spans="2:87">
      <c r="B46" s="5"/>
      <c r="C46" s="70"/>
      <c r="D46" s="70"/>
      <c r="E46" s="70"/>
      <c r="F46" s="70"/>
      <c r="G46" s="70"/>
      <c r="H46" s="70"/>
      <c r="I46" s="70"/>
      <c r="J46" s="70"/>
      <c r="K46" s="70"/>
      <c r="L46" s="70"/>
      <c r="N46" s="33"/>
      <c r="O46" s="33"/>
      <c r="P46" s="25"/>
      <c r="Q46" s="25"/>
      <c r="R46" s="24" t="s">
        <v>44</v>
      </c>
      <c r="S46" s="24"/>
      <c r="T46" s="36">
        <f t="shared" ref="T46:AM46" si="52">IFERROR(VLOOKUP(T$13&amp;"Male"&amp;"AllEth"&amp;23&amp;$R37,Methodstable,9,FALSE),"0.0")</f>
        <v>3.7</v>
      </c>
      <c r="U46" s="36">
        <f t="shared" si="52"/>
        <v>3</v>
      </c>
      <c r="V46" s="36">
        <f t="shared" si="52"/>
        <v>1.5</v>
      </c>
      <c r="W46" s="36">
        <f t="shared" si="52"/>
        <v>1.7</v>
      </c>
      <c r="X46" s="36">
        <f t="shared" si="52"/>
        <v>1.2</v>
      </c>
      <c r="Y46" s="36">
        <f t="shared" si="52"/>
        <v>1.6</v>
      </c>
      <c r="Z46" s="36">
        <f t="shared" si="52"/>
        <v>3</v>
      </c>
      <c r="AA46" s="36">
        <f t="shared" si="52"/>
        <v>1.8</v>
      </c>
      <c r="AB46" s="36">
        <f t="shared" si="52"/>
        <v>0.6</v>
      </c>
      <c r="AC46" s="36">
        <f t="shared" si="52"/>
        <v>2.5</v>
      </c>
      <c r="AD46" s="36">
        <f t="shared" si="52"/>
        <v>1.4</v>
      </c>
      <c r="AE46" s="36">
        <f t="shared" si="52"/>
        <v>3.6</v>
      </c>
      <c r="AF46" s="36">
        <f t="shared" si="52"/>
        <v>3</v>
      </c>
      <c r="AG46" s="36">
        <f t="shared" si="52"/>
        <v>3</v>
      </c>
      <c r="AH46" s="36">
        <f t="shared" si="52"/>
        <v>1.4</v>
      </c>
      <c r="AI46" s="36">
        <f t="shared" si="52"/>
        <v>2.2999999999999998</v>
      </c>
      <c r="AJ46" s="36">
        <f t="shared" si="52"/>
        <v>1.4</v>
      </c>
      <c r="AK46" s="36">
        <f t="shared" si="52"/>
        <v>1.8</v>
      </c>
      <c r="AL46" s="36">
        <f t="shared" si="52"/>
        <v>4.3</v>
      </c>
      <c r="AM46" s="36">
        <f t="shared" si="52"/>
        <v>2.9</v>
      </c>
      <c r="AN46" s="36">
        <f t="shared" ref="AN46" si="53">IFERROR(VLOOKUP(AN$13&amp;"Male"&amp;"AllEth"&amp;23&amp;$R37,Methodstable,9,FALSE),"0.0")</f>
        <v>7</v>
      </c>
      <c r="BJ46" s="600"/>
      <c r="BK46" s="601"/>
      <c r="BL46" s="601"/>
      <c r="BM46" s="601" t="s">
        <v>49</v>
      </c>
      <c r="BN46" s="601" t="s">
        <v>51</v>
      </c>
      <c r="BO46" s="602" t="e">
        <f t="shared" ref="BO46:CH46" si="54">IF($BJ28,VLOOKUP(BO$22&amp;"Male"&amp;"AllEth"&amp;23&amp;$BM46,Methodstable,9,FALSE),NA())</f>
        <v>#N/A</v>
      </c>
      <c r="BP46" s="602" t="e">
        <f t="shared" si="54"/>
        <v>#N/A</v>
      </c>
      <c r="BQ46" s="602" t="e">
        <f t="shared" si="54"/>
        <v>#N/A</v>
      </c>
      <c r="BR46" s="602" t="e">
        <f t="shared" si="54"/>
        <v>#N/A</v>
      </c>
      <c r="BS46" s="602" t="e">
        <f t="shared" si="54"/>
        <v>#N/A</v>
      </c>
      <c r="BT46" s="602" t="e">
        <f t="shared" si="54"/>
        <v>#N/A</v>
      </c>
      <c r="BU46" s="602" t="e">
        <f t="shared" si="54"/>
        <v>#N/A</v>
      </c>
      <c r="BV46" s="602" t="e">
        <f t="shared" si="54"/>
        <v>#N/A</v>
      </c>
      <c r="BW46" s="602" t="e">
        <f t="shared" si="54"/>
        <v>#N/A</v>
      </c>
      <c r="BX46" s="602" t="e">
        <f t="shared" si="54"/>
        <v>#N/A</v>
      </c>
      <c r="BY46" s="602" t="e">
        <f t="shared" si="54"/>
        <v>#N/A</v>
      </c>
      <c r="BZ46" s="602" t="e">
        <f t="shared" si="54"/>
        <v>#N/A</v>
      </c>
      <c r="CA46" s="602" t="e">
        <f t="shared" si="54"/>
        <v>#N/A</v>
      </c>
      <c r="CB46" s="602" t="e">
        <f t="shared" si="54"/>
        <v>#N/A</v>
      </c>
      <c r="CC46" s="602" t="e">
        <f t="shared" si="54"/>
        <v>#N/A</v>
      </c>
      <c r="CD46" s="602" t="e">
        <f t="shared" si="54"/>
        <v>#N/A</v>
      </c>
      <c r="CE46" s="602" t="e">
        <f t="shared" si="54"/>
        <v>#N/A</v>
      </c>
      <c r="CF46" s="602" t="e">
        <f t="shared" si="54"/>
        <v>#N/A</v>
      </c>
      <c r="CG46" s="602" t="e">
        <f t="shared" si="54"/>
        <v>#N/A</v>
      </c>
      <c r="CH46" s="602" t="e">
        <f t="shared" si="54"/>
        <v>#N/A</v>
      </c>
      <c r="CI46" s="602" t="e">
        <f t="shared" ref="CI46" si="55">IF($BJ28,VLOOKUP(CI$22&amp;"Male"&amp;"AllEth"&amp;23&amp;$BM46,Methodstable,9,FALSE),NA())</f>
        <v>#N/A</v>
      </c>
    </row>
    <row r="47" spans="2:87" ht="12.75" customHeight="1">
      <c r="B47" s="5"/>
      <c r="C47" s="70"/>
      <c r="D47" s="70"/>
      <c r="E47" s="108" t="s">
        <v>103</v>
      </c>
      <c r="F47" s="70"/>
      <c r="G47" s="70"/>
      <c r="H47" s="70"/>
      <c r="I47" s="108" t="s">
        <v>103</v>
      </c>
      <c r="J47" s="70"/>
      <c r="K47" s="70"/>
      <c r="L47" s="70"/>
      <c r="N47" s="33"/>
      <c r="O47" s="33"/>
      <c r="P47" s="25"/>
      <c r="Q47" s="25"/>
      <c r="R47" s="24" t="s">
        <v>49</v>
      </c>
      <c r="S47" s="24"/>
      <c r="T47" s="36">
        <f t="shared" ref="T47:AM47" si="56">IFERROR(VLOOKUP(T$13&amp;"Male"&amp;"AllEth"&amp;23&amp;$R38,Methodstable,9,FALSE),"0.0")</f>
        <v>0.5</v>
      </c>
      <c r="U47" s="36">
        <f t="shared" si="56"/>
        <v>2</v>
      </c>
      <c r="V47" s="36">
        <f t="shared" si="56"/>
        <v>0.5</v>
      </c>
      <c r="W47" s="36">
        <f t="shared" si="56"/>
        <v>2.2000000000000002</v>
      </c>
      <c r="X47" s="36">
        <f t="shared" si="56"/>
        <v>3.5</v>
      </c>
      <c r="Y47" s="36" t="str">
        <f t="shared" si="56"/>
        <v>0.0</v>
      </c>
      <c r="Z47" s="36">
        <f t="shared" si="56"/>
        <v>2.4</v>
      </c>
      <c r="AA47" s="36">
        <f t="shared" si="56"/>
        <v>1.8</v>
      </c>
      <c r="AB47" s="36">
        <f t="shared" si="56"/>
        <v>2.5</v>
      </c>
      <c r="AC47" s="36" t="str">
        <f t="shared" si="56"/>
        <v>0.0</v>
      </c>
      <c r="AD47" s="36">
        <f t="shared" si="56"/>
        <v>1.4</v>
      </c>
      <c r="AE47" s="36">
        <f t="shared" si="56"/>
        <v>0.6</v>
      </c>
      <c r="AF47" s="36" t="str">
        <f t="shared" si="56"/>
        <v>0.0</v>
      </c>
      <c r="AG47" s="36">
        <f t="shared" si="56"/>
        <v>0.8</v>
      </c>
      <c r="AH47" s="36">
        <f t="shared" si="56"/>
        <v>0.7</v>
      </c>
      <c r="AI47" s="36">
        <f t="shared" si="56"/>
        <v>2.2999999999999998</v>
      </c>
      <c r="AJ47" s="36">
        <f t="shared" si="56"/>
        <v>0.7</v>
      </c>
      <c r="AK47" s="36">
        <f t="shared" si="56"/>
        <v>0.9</v>
      </c>
      <c r="AL47" s="36" t="str">
        <f t="shared" si="56"/>
        <v>0.0</v>
      </c>
      <c r="AM47" s="36">
        <f t="shared" si="56"/>
        <v>0.7</v>
      </c>
      <c r="AN47" s="36">
        <f t="shared" ref="AN47" si="57">IFERROR(VLOOKUP(AN$13&amp;"Male"&amp;"AllEth"&amp;23&amp;$R38,Methodstable,9,FALSE),"0.0")</f>
        <v>0.7</v>
      </c>
      <c r="BJ47" s="600"/>
      <c r="BK47" s="601"/>
      <c r="BL47" s="601"/>
      <c r="BM47" s="601" t="s">
        <v>48</v>
      </c>
      <c r="BN47" s="601" t="s">
        <v>51</v>
      </c>
      <c r="BO47" s="602" t="e">
        <f t="shared" ref="BO47:CH47" si="58">IF($BJ29,VLOOKUP(BO$22&amp;"Male"&amp;"AllEth"&amp;23&amp;$BM47,Methodstable,9,FALSE),NA())</f>
        <v>#N/A</v>
      </c>
      <c r="BP47" s="602" t="e">
        <f t="shared" si="58"/>
        <v>#N/A</v>
      </c>
      <c r="BQ47" s="602" t="e">
        <f t="shared" si="58"/>
        <v>#N/A</v>
      </c>
      <c r="BR47" s="602" t="e">
        <f t="shared" si="58"/>
        <v>#N/A</v>
      </c>
      <c r="BS47" s="602" t="e">
        <f t="shared" si="58"/>
        <v>#N/A</v>
      </c>
      <c r="BT47" s="602" t="e">
        <f t="shared" si="58"/>
        <v>#N/A</v>
      </c>
      <c r="BU47" s="602" t="e">
        <f t="shared" si="58"/>
        <v>#N/A</v>
      </c>
      <c r="BV47" s="602" t="e">
        <f t="shared" si="58"/>
        <v>#N/A</v>
      </c>
      <c r="BW47" s="602" t="e">
        <f t="shared" si="58"/>
        <v>#N/A</v>
      </c>
      <c r="BX47" s="602" t="e">
        <f t="shared" si="58"/>
        <v>#N/A</v>
      </c>
      <c r="BY47" s="602" t="e">
        <f t="shared" si="58"/>
        <v>#N/A</v>
      </c>
      <c r="BZ47" s="602" t="e">
        <f t="shared" si="58"/>
        <v>#N/A</v>
      </c>
      <c r="CA47" s="602" t="e">
        <f t="shared" si="58"/>
        <v>#N/A</v>
      </c>
      <c r="CB47" s="602" t="e">
        <f t="shared" si="58"/>
        <v>#N/A</v>
      </c>
      <c r="CC47" s="602" t="e">
        <f t="shared" si="58"/>
        <v>#N/A</v>
      </c>
      <c r="CD47" s="602" t="e">
        <f t="shared" si="58"/>
        <v>#N/A</v>
      </c>
      <c r="CE47" s="602" t="e">
        <f t="shared" si="58"/>
        <v>#N/A</v>
      </c>
      <c r="CF47" s="602" t="e">
        <f t="shared" si="58"/>
        <v>#N/A</v>
      </c>
      <c r="CG47" s="602" t="e">
        <f t="shared" si="58"/>
        <v>#N/A</v>
      </c>
      <c r="CH47" s="602" t="e">
        <f t="shared" si="58"/>
        <v>#N/A</v>
      </c>
      <c r="CI47" s="602" t="e">
        <f t="shared" ref="CI47" si="59">IF($BJ29,VLOOKUP(CI$22&amp;"Male"&amp;"AllEth"&amp;23&amp;$BM47,Methodstable,9,FALSE),NA())</f>
        <v>#N/A</v>
      </c>
    </row>
    <row r="48" spans="2:87">
      <c r="B48" s="5"/>
      <c r="C48" s="70"/>
      <c r="D48" s="70"/>
      <c r="E48" s="70"/>
      <c r="F48" s="70"/>
      <c r="G48" s="70"/>
      <c r="H48" s="70"/>
      <c r="I48" s="70"/>
      <c r="J48" s="70"/>
      <c r="K48" s="70"/>
      <c r="L48" s="70"/>
      <c r="N48" s="33"/>
      <c r="O48" s="33"/>
      <c r="P48" s="25"/>
      <c r="Q48" s="25"/>
      <c r="R48" s="24" t="s">
        <v>48</v>
      </c>
      <c r="S48" s="24"/>
      <c r="T48" s="36">
        <f t="shared" ref="T48:AM48" si="60">IFERROR(VLOOKUP(T$13&amp;"Male"&amp;"AllEth"&amp;23&amp;$R39,Methodstable,9,FALSE),"0.0")</f>
        <v>1.6</v>
      </c>
      <c r="U48" s="36">
        <f t="shared" si="60"/>
        <v>2</v>
      </c>
      <c r="V48" s="36">
        <f t="shared" si="60"/>
        <v>2.6</v>
      </c>
      <c r="W48" s="36">
        <f t="shared" si="60"/>
        <v>2.2000000000000002</v>
      </c>
      <c r="X48" s="36">
        <f t="shared" si="60"/>
        <v>1.2</v>
      </c>
      <c r="Y48" s="36">
        <f t="shared" si="60"/>
        <v>0.5</v>
      </c>
      <c r="Z48" s="36">
        <f t="shared" si="60"/>
        <v>2.4</v>
      </c>
      <c r="AA48" s="36">
        <f t="shared" si="60"/>
        <v>2.5</v>
      </c>
      <c r="AB48" s="36">
        <f t="shared" si="60"/>
        <v>0.6</v>
      </c>
      <c r="AC48" s="36">
        <f t="shared" si="60"/>
        <v>3.7</v>
      </c>
      <c r="AD48" s="36">
        <f t="shared" si="60"/>
        <v>4.0999999999999996</v>
      </c>
      <c r="AE48" s="36">
        <f t="shared" si="60"/>
        <v>1.2</v>
      </c>
      <c r="AF48" s="36">
        <f t="shared" si="60"/>
        <v>2.2999999999999998</v>
      </c>
      <c r="AG48" s="36">
        <f t="shared" si="60"/>
        <v>0.8</v>
      </c>
      <c r="AH48" s="36">
        <f t="shared" si="60"/>
        <v>2.1</v>
      </c>
      <c r="AI48" s="36">
        <f t="shared" si="60"/>
        <v>0.8</v>
      </c>
      <c r="AJ48" s="36">
        <f t="shared" si="60"/>
        <v>4.2</v>
      </c>
      <c r="AK48" s="36">
        <f t="shared" si="60"/>
        <v>2.6</v>
      </c>
      <c r="AL48" s="36">
        <f t="shared" si="60"/>
        <v>1.4</v>
      </c>
      <c r="AM48" s="36">
        <f t="shared" si="60"/>
        <v>1.5</v>
      </c>
      <c r="AN48" s="36">
        <f t="shared" ref="AN48" si="61">IFERROR(VLOOKUP(AN$13&amp;"Male"&amp;"AllEth"&amp;23&amp;$R39,Methodstable,9,FALSE),"0.0")</f>
        <v>1.4</v>
      </c>
      <c r="BJ48" s="600"/>
      <c r="BK48" s="601"/>
      <c r="BL48" s="601"/>
      <c r="BM48" s="601" t="s">
        <v>45</v>
      </c>
      <c r="BN48" s="601" t="s">
        <v>51</v>
      </c>
      <c r="BO48" s="602" t="e">
        <f t="shared" ref="BO48:CH48" si="62">IF($BJ30,VLOOKUP(BO$22&amp;"Male"&amp;"AllEth"&amp;23&amp;$BM48,Methodstable,9,FALSE),NA())</f>
        <v>#N/A</v>
      </c>
      <c r="BP48" s="602" t="e">
        <f t="shared" si="62"/>
        <v>#N/A</v>
      </c>
      <c r="BQ48" s="602" t="e">
        <f t="shared" si="62"/>
        <v>#N/A</v>
      </c>
      <c r="BR48" s="602" t="e">
        <f t="shared" si="62"/>
        <v>#N/A</v>
      </c>
      <c r="BS48" s="602" t="e">
        <f t="shared" si="62"/>
        <v>#N/A</v>
      </c>
      <c r="BT48" s="602" t="e">
        <f t="shared" si="62"/>
        <v>#N/A</v>
      </c>
      <c r="BU48" s="602" t="e">
        <f t="shared" si="62"/>
        <v>#N/A</v>
      </c>
      <c r="BV48" s="602" t="e">
        <f t="shared" si="62"/>
        <v>#N/A</v>
      </c>
      <c r="BW48" s="602" t="e">
        <f t="shared" si="62"/>
        <v>#N/A</v>
      </c>
      <c r="BX48" s="602" t="e">
        <f t="shared" si="62"/>
        <v>#N/A</v>
      </c>
      <c r="BY48" s="602" t="e">
        <f t="shared" si="62"/>
        <v>#N/A</v>
      </c>
      <c r="BZ48" s="602" t="e">
        <f t="shared" si="62"/>
        <v>#N/A</v>
      </c>
      <c r="CA48" s="602" t="e">
        <f t="shared" si="62"/>
        <v>#N/A</v>
      </c>
      <c r="CB48" s="602" t="e">
        <f t="shared" si="62"/>
        <v>#N/A</v>
      </c>
      <c r="CC48" s="602" t="e">
        <f t="shared" si="62"/>
        <v>#N/A</v>
      </c>
      <c r="CD48" s="602" t="e">
        <f t="shared" si="62"/>
        <v>#N/A</v>
      </c>
      <c r="CE48" s="602" t="e">
        <f t="shared" si="62"/>
        <v>#N/A</v>
      </c>
      <c r="CF48" s="602" t="e">
        <f t="shared" si="62"/>
        <v>#N/A</v>
      </c>
      <c r="CG48" s="602" t="e">
        <f t="shared" si="62"/>
        <v>#N/A</v>
      </c>
      <c r="CH48" s="602" t="e">
        <f t="shared" si="62"/>
        <v>#N/A</v>
      </c>
      <c r="CI48" s="602" t="e">
        <f t="shared" ref="CI48" si="63">IF($BJ30,VLOOKUP(CI$22&amp;"Male"&amp;"AllEth"&amp;23&amp;$BM48,Methodstable,9,FALSE),NA())</f>
        <v>#N/A</v>
      </c>
    </row>
    <row r="49" spans="1:87">
      <c r="B49" s="5"/>
      <c r="C49" s="70"/>
      <c r="D49" s="70"/>
      <c r="E49" s="70"/>
      <c r="F49" s="70"/>
      <c r="G49" s="70"/>
      <c r="H49" s="70"/>
      <c r="I49" s="70"/>
      <c r="J49" s="70"/>
      <c r="K49" s="70"/>
      <c r="L49" s="70"/>
      <c r="N49" s="33"/>
      <c r="O49" s="33"/>
      <c r="P49" s="25"/>
      <c r="Q49" s="25"/>
      <c r="R49" s="24" t="s">
        <v>45</v>
      </c>
      <c r="S49" s="24"/>
      <c r="T49" s="36">
        <f t="shared" ref="T49:AM49" si="64">IFERROR(VLOOKUP(T$13&amp;"Male"&amp;"AllEth"&amp;23&amp;$R40,Methodstable,9,FALSE),"0.0")</f>
        <v>2.1</v>
      </c>
      <c r="U49" s="36">
        <f t="shared" si="64"/>
        <v>3</v>
      </c>
      <c r="V49" s="36">
        <f t="shared" si="64"/>
        <v>5.0999999999999996</v>
      </c>
      <c r="W49" s="36">
        <f t="shared" si="64"/>
        <v>3.3</v>
      </c>
      <c r="X49" s="36">
        <f t="shared" si="64"/>
        <v>4.0999999999999996</v>
      </c>
      <c r="Y49" s="36">
        <f t="shared" si="64"/>
        <v>3.7</v>
      </c>
      <c r="Z49" s="36">
        <f t="shared" si="64"/>
        <v>0.6</v>
      </c>
      <c r="AA49" s="36">
        <f t="shared" si="64"/>
        <v>5.5</v>
      </c>
      <c r="AB49" s="36">
        <f t="shared" si="64"/>
        <v>1.9</v>
      </c>
      <c r="AC49" s="36">
        <f t="shared" si="64"/>
        <v>2.5</v>
      </c>
      <c r="AD49" s="36">
        <f t="shared" si="64"/>
        <v>4.0999999999999996</v>
      </c>
      <c r="AE49" s="36">
        <f t="shared" si="64"/>
        <v>2.4</v>
      </c>
      <c r="AF49" s="36">
        <f t="shared" si="64"/>
        <v>4.5</v>
      </c>
      <c r="AG49" s="36">
        <f t="shared" si="64"/>
        <v>3</v>
      </c>
      <c r="AH49" s="36">
        <f t="shared" si="64"/>
        <v>1.4</v>
      </c>
      <c r="AI49" s="36">
        <f t="shared" si="64"/>
        <v>2.2999999999999998</v>
      </c>
      <c r="AJ49" s="36">
        <f t="shared" si="64"/>
        <v>6.3</v>
      </c>
      <c r="AK49" s="36">
        <f t="shared" si="64"/>
        <v>1.8</v>
      </c>
      <c r="AL49" s="36">
        <f t="shared" si="64"/>
        <v>1.4</v>
      </c>
      <c r="AM49" s="36">
        <f t="shared" si="64"/>
        <v>3.6</v>
      </c>
      <c r="AN49" s="36">
        <f t="shared" ref="AN49" si="65">IFERROR(VLOOKUP(AN$13&amp;"Male"&amp;"AllEth"&amp;23&amp;$R40,Methodstable,9,FALSE),"0.0")</f>
        <v>2.1</v>
      </c>
      <c r="BJ49" s="600"/>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row>
    <row r="50" spans="1:87" ht="12.75" customHeight="1">
      <c r="B50" s="5"/>
      <c r="C50" s="70"/>
      <c r="D50" s="70"/>
      <c r="E50" s="70"/>
      <c r="F50" s="70"/>
      <c r="G50" s="70"/>
      <c r="H50" s="70"/>
      <c r="I50" s="70"/>
      <c r="J50" s="70"/>
      <c r="K50" s="70"/>
      <c r="L50" s="70"/>
      <c r="N50" s="33"/>
      <c r="O50" s="33"/>
      <c r="P50" s="28"/>
      <c r="Q50" s="28"/>
      <c r="R50" s="26"/>
      <c r="S50" s="26"/>
      <c r="T50" s="29"/>
      <c r="U50" s="29"/>
      <c r="V50" s="29"/>
      <c r="W50" s="29"/>
      <c r="X50" s="29"/>
      <c r="Y50" s="29"/>
      <c r="Z50" s="29"/>
      <c r="AA50" s="29"/>
      <c r="AB50" s="29"/>
      <c r="AC50" s="29"/>
      <c r="AD50" s="29"/>
      <c r="AE50" s="29"/>
      <c r="AF50" s="29"/>
      <c r="AG50" s="29"/>
      <c r="AH50" s="29"/>
      <c r="AI50" s="29"/>
      <c r="AJ50" s="29"/>
      <c r="AK50" s="29"/>
      <c r="AL50" s="29"/>
      <c r="AM50" s="29"/>
      <c r="AN50" s="29"/>
      <c r="BJ50" s="600"/>
      <c r="BK50" s="601" t="s">
        <v>20</v>
      </c>
      <c r="BL50" s="601" t="s">
        <v>25</v>
      </c>
      <c r="BM50" s="601" t="s">
        <v>43</v>
      </c>
      <c r="BN50" s="601" t="s">
        <v>51</v>
      </c>
      <c r="BO50" s="602">
        <f t="shared" ref="BO50:CH50" si="66">IF($BJ23,VLOOKUP(BO$22&amp;"Male"&amp;"AllEth"&amp;24&amp;$BM50,Methodstable,9,FALSE),NA())</f>
        <v>31.2</v>
      </c>
      <c r="BP50" s="602">
        <f t="shared" si="66"/>
        <v>38.200000000000003</v>
      </c>
      <c r="BQ50" s="602">
        <f t="shared" si="66"/>
        <v>27.8</v>
      </c>
      <c r="BR50" s="602">
        <f t="shared" si="66"/>
        <v>41</v>
      </c>
      <c r="BS50" s="602">
        <f t="shared" si="66"/>
        <v>36.200000000000003</v>
      </c>
      <c r="BT50" s="602">
        <f t="shared" si="66"/>
        <v>32.299999999999997</v>
      </c>
      <c r="BU50" s="602">
        <f t="shared" si="66"/>
        <v>42</v>
      </c>
      <c r="BV50" s="602">
        <f t="shared" si="66"/>
        <v>36</v>
      </c>
      <c r="BW50" s="602">
        <f t="shared" si="66"/>
        <v>36.4</v>
      </c>
      <c r="BX50" s="602">
        <f t="shared" si="66"/>
        <v>38.1</v>
      </c>
      <c r="BY50" s="602">
        <f t="shared" si="66"/>
        <v>40</v>
      </c>
      <c r="BZ50" s="602">
        <f t="shared" si="66"/>
        <v>49</v>
      </c>
      <c r="CA50" s="602">
        <f t="shared" si="66"/>
        <v>48.8</v>
      </c>
      <c r="CB50" s="602">
        <f t="shared" si="66"/>
        <v>50.8</v>
      </c>
      <c r="CC50" s="602">
        <f t="shared" si="66"/>
        <v>50</v>
      </c>
      <c r="CD50" s="602">
        <f t="shared" si="66"/>
        <v>52.1</v>
      </c>
      <c r="CE50" s="602">
        <f t="shared" si="66"/>
        <v>52.4</v>
      </c>
      <c r="CF50" s="602">
        <f t="shared" si="66"/>
        <v>40</v>
      </c>
      <c r="CG50" s="602">
        <f t="shared" si="66"/>
        <v>47.5</v>
      </c>
      <c r="CH50" s="602">
        <f t="shared" si="66"/>
        <v>55.2</v>
      </c>
      <c r="CI50" s="602">
        <f t="shared" ref="CI50" si="67">IF($BJ23,VLOOKUP(CI$22&amp;"Male"&amp;"AllEth"&amp;24&amp;$BM50,Methodstable,9,FALSE),NA())</f>
        <v>62.2</v>
      </c>
    </row>
    <row r="51" spans="1:87">
      <c r="B51" s="5"/>
      <c r="C51" s="70"/>
      <c r="D51" s="70"/>
      <c r="E51" s="70"/>
      <c r="F51" s="70"/>
      <c r="G51" s="70"/>
      <c r="H51" s="70"/>
      <c r="I51" s="70"/>
      <c r="J51" s="70"/>
      <c r="K51" s="70"/>
      <c r="L51" s="70"/>
      <c r="N51" s="33"/>
      <c r="O51" s="33"/>
      <c r="P51" s="25" t="s">
        <v>20</v>
      </c>
      <c r="Q51" s="25" t="s">
        <v>36</v>
      </c>
      <c r="R51" s="24" t="s">
        <v>43</v>
      </c>
      <c r="S51" s="24" t="s">
        <v>303</v>
      </c>
      <c r="T51" s="36">
        <f t="shared" ref="T51:AC58" si="68">IFERROR(VLOOKUP(T$13&amp;"Male"&amp;"AllEth"&amp;24&amp;$R51,Methodstable,9,FALSE),"0.0")</f>
        <v>31.2</v>
      </c>
      <c r="U51" s="36">
        <f t="shared" si="68"/>
        <v>38.200000000000003</v>
      </c>
      <c r="V51" s="36">
        <f t="shared" si="68"/>
        <v>27.8</v>
      </c>
      <c r="W51" s="36">
        <f t="shared" si="68"/>
        <v>41</v>
      </c>
      <c r="X51" s="36">
        <f t="shared" si="68"/>
        <v>36.200000000000003</v>
      </c>
      <c r="Y51" s="36">
        <f t="shared" si="68"/>
        <v>32.299999999999997</v>
      </c>
      <c r="Z51" s="36">
        <f t="shared" si="68"/>
        <v>42</v>
      </c>
      <c r="AA51" s="36">
        <f t="shared" si="68"/>
        <v>36</v>
      </c>
      <c r="AB51" s="36">
        <f t="shared" si="68"/>
        <v>36.4</v>
      </c>
      <c r="AC51" s="36">
        <f t="shared" si="68"/>
        <v>38.1</v>
      </c>
      <c r="AD51" s="36">
        <f t="shared" ref="AD51:AN58" si="69">IFERROR(VLOOKUP(AD$13&amp;"Male"&amp;"AllEth"&amp;24&amp;$R51,Methodstable,9,FALSE),"0.0")</f>
        <v>40</v>
      </c>
      <c r="AE51" s="36">
        <f t="shared" si="69"/>
        <v>49</v>
      </c>
      <c r="AF51" s="36">
        <f t="shared" si="69"/>
        <v>48.8</v>
      </c>
      <c r="AG51" s="36">
        <f t="shared" si="69"/>
        <v>50.8</v>
      </c>
      <c r="AH51" s="36">
        <f t="shared" si="69"/>
        <v>50</v>
      </c>
      <c r="AI51" s="36">
        <f t="shared" si="69"/>
        <v>52.1</v>
      </c>
      <c r="AJ51" s="36">
        <f t="shared" si="69"/>
        <v>52.4</v>
      </c>
      <c r="AK51" s="36">
        <f t="shared" si="69"/>
        <v>40</v>
      </c>
      <c r="AL51" s="36">
        <f t="shared" si="69"/>
        <v>47.5</v>
      </c>
      <c r="AM51" s="36">
        <f t="shared" si="69"/>
        <v>55.2</v>
      </c>
      <c r="AN51" s="36">
        <f t="shared" si="69"/>
        <v>62.2</v>
      </c>
      <c r="BJ51" s="600"/>
      <c r="BK51" s="601"/>
      <c r="BL51" s="601"/>
      <c r="BM51" s="601" t="s">
        <v>46</v>
      </c>
      <c r="BN51" s="601" t="s">
        <v>51</v>
      </c>
      <c r="BO51" s="602">
        <f t="shared" ref="BO51:CH51" si="70">IF($BJ24,VLOOKUP(BO$22&amp;"Male"&amp;"AllEth"&amp;24&amp;$BM51,Methodstable,9,FALSE),NA())</f>
        <v>40</v>
      </c>
      <c r="BP51" s="602">
        <f t="shared" si="70"/>
        <v>25</v>
      </c>
      <c r="BQ51" s="602">
        <f t="shared" si="70"/>
        <v>21.1</v>
      </c>
      <c r="BR51" s="602">
        <f t="shared" si="70"/>
        <v>21.7</v>
      </c>
      <c r="BS51" s="602">
        <f t="shared" si="70"/>
        <v>35</v>
      </c>
      <c r="BT51" s="602">
        <f t="shared" si="70"/>
        <v>27.7</v>
      </c>
      <c r="BU51" s="602">
        <f t="shared" si="70"/>
        <v>25</v>
      </c>
      <c r="BV51" s="602">
        <f t="shared" si="70"/>
        <v>23</v>
      </c>
      <c r="BW51" s="602">
        <f t="shared" si="70"/>
        <v>28.4</v>
      </c>
      <c r="BX51" s="602">
        <f t="shared" si="70"/>
        <v>24.8</v>
      </c>
      <c r="BY51" s="602">
        <f t="shared" si="70"/>
        <v>21.8</v>
      </c>
      <c r="BZ51" s="602">
        <f t="shared" si="70"/>
        <v>18.600000000000001</v>
      </c>
      <c r="CA51" s="602">
        <f t="shared" si="70"/>
        <v>14.4</v>
      </c>
      <c r="CB51" s="602">
        <f t="shared" si="70"/>
        <v>12.5</v>
      </c>
      <c r="CC51" s="602">
        <f t="shared" si="70"/>
        <v>16.100000000000001</v>
      </c>
      <c r="CD51" s="602">
        <f t="shared" si="70"/>
        <v>15.4</v>
      </c>
      <c r="CE51" s="602">
        <f t="shared" si="70"/>
        <v>13.3</v>
      </c>
      <c r="CF51" s="602">
        <f t="shared" si="70"/>
        <v>15.4</v>
      </c>
      <c r="CG51" s="602">
        <f t="shared" si="70"/>
        <v>8.3000000000000007</v>
      </c>
      <c r="CH51" s="602">
        <f t="shared" si="70"/>
        <v>13.6</v>
      </c>
      <c r="CI51" s="602">
        <f t="shared" ref="CI51" si="71">IF($BJ24,VLOOKUP(CI$22&amp;"Male"&amp;"AllEth"&amp;24&amp;$BM51,Methodstable,9,FALSE),NA())</f>
        <v>9.4</v>
      </c>
    </row>
    <row r="52" spans="1:87">
      <c r="B52" s="5"/>
      <c r="C52" s="70"/>
      <c r="D52" s="70"/>
      <c r="E52" s="70"/>
      <c r="F52" s="70"/>
      <c r="G52" s="70"/>
      <c r="H52" s="70"/>
      <c r="I52" s="70"/>
      <c r="J52" s="70"/>
      <c r="K52" s="70"/>
      <c r="L52" s="70"/>
      <c r="P52" s="25"/>
      <c r="Q52" s="25"/>
      <c r="R52" s="24" t="s">
        <v>46</v>
      </c>
      <c r="S52" s="24"/>
      <c r="T52" s="36">
        <f t="shared" si="68"/>
        <v>40</v>
      </c>
      <c r="U52" s="36">
        <f t="shared" si="68"/>
        <v>25</v>
      </c>
      <c r="V52" s="36">
        <f t="shared" si="68"/>
        <v>21.1</v>
      </c>
      <c r="W52" s="36">
        <f t="shared" si="68"/>
        <v>21.7</v>
      </c>
      <c r="X52" s="36">
        <f t="shared" si="68"/>
        <v>35</v>
      </c>
      <c r="Y52" s="36">
        <f t="shared" si="68"/>
        <v>27.7</v>
      </c>
      <c r="Z52" s="36">
        <f t="shared" si="68"/>
        <v>25</v>
      </c>
      <c r="AA52" s="36">
        <f t="shared" si="68"/>
        <v>23</v>
      </c>
      <c r="AB52" s="36">
        <f t="shared" si="68"/>
        <v>28.4</v>
      </c>
      <c r="AC52" s="36">
        <f t="shared" si="68"/>
        <v>24.8</v>
      </c>
      <c r="AD52" s="36">
        <f t="shared" si="69"/>
        <v>21.8</v>
      </c>
      <c r="AE52" s="36">
        <f t="shared" si="69"/>
        <v>18.600000000000001</v>
      </c>
      <c r="AF52" s="36">
        <f t="shared" si="69"/>
        <v>14.4</v>
      </c>
      <c r="AG52" s="36">
        <f t="shared" si="69"/>
        <v>12.5</v>
      </c>
      <c r="AH52" s="36">
        <f t="shared" si="69"/>
        <v>16.100000000000001</v>
      </c>
      <c r="AI52" s="36">
        <f t="shared" si="69"/>
        <v>15.4</v>
      </c>
      <c r="AJ52" s="36">
        <f t="shared" si="69"/>
        <v>13.3</v>
      </c>
      <c r="AK52" s="36">
        <f t="shared" si="69"/>
        <v>15.4</v>
      </c>
      <c r="AL52" s="36">
        <f t="shared" si="69"/>
        <v>8.3000000000000007</v>
      </c>
      <c r="AM52" s="36">
        <f t="shared" si="69"/>
        <v>13.6</v>
      </c>
      <c r="AN52" s="36">
        <f t="shared" si="69"/>
        <v>9.4</v>
      </c>
      <c r="BJ52" s="600"/>
      <c r="BK52" s="601"/>
      <c r="BL52" s="601"/>
      <c r="BM52" s="601" t="s">
        <v>47</v>
      </c>
      <c r="BN52" s="601" t="s">
        <v>51</v>
      </c>
      <c r="BO52" s="602">
        <f t="shared" ref="BO52:CH52" si="72">IF($BJ25,VLOOKUP(BO$22&amp;"Male"&amp;"AllEth"&amp;24&amp;$BM52,Methodstable,9,FALSE),NA())</f>
        <v>7.5</v>
      </c>
      <c r="BP52" s="602">
        <f t="shared" si="72"/>
        <v>5.3</v>
      </c>
      <c r="BQ52" s="602">
        <f t="shared" si="72"/>
        <v>10</v>
      </c>
      <c r="BR52" s="602">
        <f t="shared" si="72"/>
        <v>10.8</v>
      </c>
      <c r="BS52" s="602">
        <f t="shared" si="72"/>
        <v>7.5</v>
      </c>
      <c r="BT52" s="602">
        <f t="shared" si="72"/>
        <v>12.3</v>
      </c>
      <c r="BU52" s="602">
        <f t="shared" si="72"/>
        <v>4.5</v>
      </c>
      <c r="BV52" s="602">
        <f t="shared" si="72"/>
        <v>13</v>
      </c>
      <c r="BW52" s="602">
        <f t="shared" si="72"/>
        <v>6.8</v>
      </c>
      <c r="BX52" s="602">
        <f t="shared" si="72"/>
        <v>14.3</v>
      </c>
      <c r="BY52" s="602">
        <f t="shared" si="72"/>
        <v>11.8</v>
      </c>
      <c r="BZ52" s="602">
        <f t="shared" si="72"/>
        <v>10.8</v>
      </c>
      <c r="CA52" s="602">
        <f t="shared" si="72"/>
        <v>7.2</v>
      </c>
      <c r="CB52" s="602">
        <f t="shared" si="72"/>
        <v>9.1999999999999993</v>
      </c>
      <c r="CC52" s="602">
        <f t="shared" si="72"/>
        <v>10.199999999999999</v>
      </c>
      <c r="CD52" s="602">
        <f t="shared" si="72"/>
        <v>8.5</v>
      </c>
      <c r="CE52" s="602">
        <f t="shared" si="72"/>
        <v>9.5</v>
      </c>
      <c r="CF52" s="602">
        <f t="shared" si="72"/>
        <v>12.3</v>
      </c>
      <c r="CG52" s="602">
        <f t="shared" si="72"/>
        <v>13.3</v>
      </c>
      <c r="CH52" s="602">
        <f t="shared" si="72"/>
        <v>8.8000000000000007</v>
      </c>
      <c r="CI52" s="602">
        <f t="shared" ref="CI52" si="73">IF($BJ25,VLOOKUP(CI$22&amp;"Male"&amp;"AllEth"&amp;24&amp;$BM52,Methodstable,9,FALSE),NA())</f>
        <v>4.7</v>
      </c>
    </row>
    <row r="53" spans="1:87" ht="14.25" customHeight="1">
      <c r="B53" s="5"/>
      <c r="C53" s="70"/>
      <c r="D53" s="70"/>
      <c r="E53" s="70"/>
      <c r="F53" s="70"/>
      <c r="G53" s="70"/>
      <c r="H53" s="70"/>
      <c r="I53" s="70"/>
      <c r="J53" s="70"/>
      <c r="K53" s="70"/>
      <c r="L53" s="70"/>
      <c r="P53" s="25"/>
      <c r="Q53" s="25"/>
      <c r="R53" s="24" t="s">
        <v>47</v>
      </c>
      <c r="S53" s="24"/>
      <c r="T53" s="36">
        <f t="shared" si="68"/>
        <v>7.5</v>
      </c>
      <c r="U53" s="36">
        <f t="shared" si="68"/>
        <v>5.3</v>
      </c>
      <c r="V53" s="36">
        <f t="shared" si="68"/>
        <v>10</v>
      </c>
      <c r="W53" s="36">
        <f t="shared" si="68"/>
        <v>10.8</v>
      </c>
      <c r="X53" s="36">
        <f t="shared" si="68"/>
        <v>7.5</v>
      </c>
      <c r="Y53" s="36">
        <f t="shared" si="68"/>
        <v>12.3</v>
      </c>
      <c r="Z53" s="36">
        <f t="shared" si="68"/>
        <v>4.5</v>
      </c>
      <c r="AA53" s="36">
        <f t="shared" si="68"/>
        <v>13</v>
      </c>
      <c r="AB53" s="36">
        <f t="shared" si="68"/>
        <v>6.8</v>
      </c>
      <c r="AC53" s="36">
        <f t="shared" si="68"/>
        <v>14.3</v>
      </c>
      <c r="AD53" s="36">
        <f t="shared" si="69"/>
        <v>11.8</v>
      </c>
      <c r="AE53" s="36">
        <f t="shared" si="69"/>
        <v>10.8</v>
      </c>
      <c r="AF53" s="36">
        <f t="shared" si="69"/>
        <v>7.2</v>
      </c>
      <c r="AG53" s="36">
        <f t="shared" si="69"/>
        <v>9.1999999999999993</v>
      </c>
      <c r="AH53" s="36">
        <f t="shared" si="69"/>
        <v>10.199999999999999</v>
      </c>
      <c r="AI53" s="36">
        <f t="shared" si="69"/>
        <v>8.5</v>
      </c>
      <c r="AJ53" s="36">
        <f t="shared" si="69"/>
        <v>9.5</v>
      </c>
      <c r="AK53" s="36">
        <f t="shared" si="69"/>
        <v>12.3</v>
      </c>
      <c r="AL53" s="36">
        <f t="shared" si="69"/>
        <v>13.3</v>
      </c>
      <c r="AM53" s="36">
        <f t="shared" si="69"/>
        <v>8.8000000000000007</v>
      </c>
      <c r="AN53" s="36">
        <f t="shared" si="69"/>
        <v>4.7</v>
      </c>
      <c r="BJ53" s="600"/>
      <c r="BK53" s="601"/>
      <c r="BL53" s="601"/>
      <c r="BM53" s="601" t="s">
        <v>42</v>
      </c>
      <c r="BN53" s="601" t="s">
        <v>51</v>
      </c>
      <c r="BO53" s="602">
        <f t="shared" ref="BO53:CH53" si="74">IF($BJ26,VLOOKUP(BO$22&amp;"Male"&amp;"AllEth"&amp;24&amp;$BM53,Methodstable,9,FALSE),NA())</f>
        <v>11.2</v>
      </c>
      <c r="BP53" s="602">
        <f t="shared" si="74"/>
        <v>18.399999999999999</v>
      </c>
      <c r="BQ53" s="602">
        <f t="shared" si="74"/>
        <v>30</v>
      </c>
      <c r="BR53" s="602">
        <f t="shared" si="74"/>
        <v>15.7</v>
      </c>
      <c r="BS53" s="602">
        <f t="shared" si="74"/>
        <v>8.8000000000000007</v>
      </c>
      <c r="BT53" s="602">
        <f t="shared" si="74"/>
        <v>20</v>
      </c>
      <c r="BU53" s="602">
        <f t="shared" si="74"/>
        <v>19.3</v>
      </c>
      <c r="BV53" s="602">
        <f t="shared" si="74"/>
        <v>15</v>
      </c>
      <c r="BW53" s="602">
        <f t="shared" si="74"/>
        <v>18.2</v>
      </c>
      <c r="BX53" s="602">
        <f t="shared" si="74"/>
        <v>13.3</v>
      </c>
      <c r="BY53" s="602">
        <f t="shared" si="74"/>
        <v>16.399999999999999</v>
      </c>
      <c r="BZ53" s="602">
        <f t="shared" si="74"/>
        <v>8.8000000000000007</v>
      </c>
      <c r="CA53" s="602">
        <f t="shared" si="74"/>
        <v>13.6</v>
      </c>
      <c r="CB53" s="602">
        <f t="shared" si="74"/>
        <v>19.2</v>
      </c>
      <c r="CC53" s="602">
        <f t="shared" si="74"/>
        <v>11</v>
      </c>
      <c r="CD53" s="602">
        <f t="shared" si="74"/>
        <v>16.2</v>
      </c>
      <c r="CE53" s="602">
        <f t="shared" si="74"/>
        <v>15.2</v>
      </c>
      <c r="CF53" s="602">
        <f t="shared" si="74"/>
        <v>15.4</v>
      </c>
      <c r="CG53" s="602">
        <f t="shared" si="74"/>
        <v>15</v>
      </c>
      <c r="CH53" s="602">
        <f t="shared" si="74"/>
        <v>10.4</v>
      </c>
      <c r="CI53" s="602">
        <f t="shared" ref="CI53" si="75">IF($BJ26,VLOOKUP(CI$22&amp;"Male"&amp;"AllEth"&amp;24&amp;$BM53,Methodstable,9,FALSE),NA())</f>
        <v>11.8</v>
      </c>
    </row>
    <row r="54" spans="1:87">
      <c r="B54" s="5"/>
      <c r="C54" s="70"/>
      <c r="D54" s="70"/>
      <c r="E54" s="70"/>
      <c r="F54" s="70"/>
      <c r="G54" s="70"/>
      <c r="H54" s="70"/>
      <c r="I54" s="70"/>
      <c r="J54" s="70"/>
      <c r="K54" s="70"/>
      <c r="L54" s="70"/>
      <c r="P54" s="25"/>
      <c r="Q54" s="25"/>
      <c r="R54" s="24" t="s">
        <v>42</v>
      </c>
      <c r="S54" s="24"/>
      <c r="T54" s="36">
        <f t="shared" si="68"/>
        <v>11.2</v>
      </c>
      <c r="U54" s="36">
        <f t="shared" si="68"/>
        <v>18.399999999999999</v>
      </c>
      <c r="V54" s="36">
        <f t="shared" si="68"/>
        <v>30</v>
      </c>
      <c r="W54" s="36">
        <f t="shared" si="68"/>
        <v>15.7</v>
      </c>
      <c r="X54" s="36">
        <f t="shared" si="68"/>
        <v>8.8000000000000007</v>
      </c>
      <c r="Y54" s="36">
        <f t="shared" si="68"/>
        <v>20</v>
      </c>
      <c r="Z54" s="36">
        <f t="shared" si="68"/>
        <v>19.3</v>
      </c>
      <c r="AA54" s="36">
        <f t="shared" si="68"/>
        <v>15</v>
      </c>
      <c r="AB54" s="36">
        <f t="shared" si="68"/>
        <v>18.2</v>
      </c>
      <c r="AC54" s="36">
        <f t="shared" si="68"/>
        <v>13.3</v>
      </c>
      <c r="AD54" s="36">
        <f t="shared" si="69"/>
        <v>16.399999999999999</v>
      </c>
      <c r="AE54" s="36">
        <f t="shared" si="69"/>
        <v>8.8000000000000007</v>
      </c>
      <c r="AF54" s="36">
        <f t="shared" si="69"/>
        <v>13.6</v>
      </c>
      <c r="AG54" s="36">
        <f t="shared" si="69"/>
        <v>19.2</v>
      </c>
      <c r="AH54" s="36">
        <f t="shared" si="69"/>
        <v>11</v>
      </c>
      <c r="AI54" s="36">
        <f t="shared" si="69"/>
        <v>16.2</v>
      </c>
      <c r="AJ54" s="36">
        <f t="shared" si="69"/>
        <v>15.2</v>
      </c>
      <c r="AK54" s="36">
        <f t="shared" si="69"/>
        <v>15.4</v>
      </c>
      <c r="AL54" s="36">
        <f t="shared" si="69"/>
        <v>15</v>
      </c>
      <c r="AM54" s="36">
        <f t="shared" si="69"/>
        <v>10.4</v>
      </c>
      <c r="AN54" s="36">
        <f t="shared" si="69"/>
        <v>11.8</v>
      </c>
      <c r="BJ54" s="600"/>
      <c r="BK54" s="601"/>
      <c r="BL54" s="601"/>
      <c r="BM54" s="601" t="s">
        <v>44</v>
      </c>
      <c r="BN54" s="601" t="s">
        <v>51</v>
      </c>
      <c r="BO54" s="602" t="e">
        <f t="shared" ref="BO54:CH54" si="76">IF($BJ27,VLOOKUP(BO$22&amp;"Male"&amp;"AllEth"&amp;24&amp;$BM54,Methodstable,9,FALSE),NA())</f>
        <v>#N/A</v>
      </c>
      <c r="BP54" s="602" t="e">
        <f t="shared" si="76"/>
        <v>#N/A</v>
      </c>
      <c r="BQ54" s="602" t="e">
        <f t="shared" si="76"/>
        <v>#N/A</v>
      </c>
      <c r="BR54" s="602" t="e">
        <f t="shared" si="76"/>
        <v>#N/A</v>
      </c>
      <c r="BS54" s="602" t="e">
        <f t="shared" si="76"/>
        <v>#N/A</v>
      </c>
      <c r="BT54" s="602" t="e">
        <f t="shared" si="76"/>
        <v>#N/A</v>
      </c>
      <c r="BU54" s="602" t="e">
        <f t="shared" si="76"/>
        <v>#N/A</v>
      </c>
      <c r="BV54" s="602" t="e">
        <f t="shared" si="76"/>
        <v>#N/A</v>
      </c>
      <c r="BW54" s="602" t="e">
        <f t="shared" si="76"/>
        <v>#N/A</v>
      </c>
      <c r="BX54" s="602" t="e">
        <f t="shared" si="76"/>
        <v>#N/A</v>
      </c>
      <c r="BY54" s="602" t="e">
        <f t="shared" si="76"/>
        <v>#N/A</v>
      </c>
      <c r="BZ54" s="602" t="e">
        <f t="shared" si="76"/>
        <v>#N/A</v>
      </c>
      <c r="CA54" s="602" t="e">
        <f t="shared" si="76"/>
        <v>#N/A</v>
      </c>
      <c r="CB54" s="602" t="e">
        <f t="shared" si="76"/>
        <v>#N/A</v>
      </c>
      <c r="CC54" s="602" t="e">
        <f t="shared" si="76"/>
        <v>#N/A</v>
      </c>
      <c r="CD54" s="602" t="e">
        <f t="shared" si="76"/>
        <v>#N/A</v>
      </c>
      <c r="CE54" s="602" t="e">
        <f t="shared" si="76"/>
        <v>#N/A</v>
      </c>
      <c r="CF54" s="602" t="e">
        <f t="shared" si="76"/>
        <v>#N/A</v>
      </c>
      <c r="CG54" s="602" t="e">
        <f t="shared" si="76"/>
        <v>#N/A</v>
      </c>
      <c r="CH54" s="602" t="e">
        <f t="shared" si="76"/>
        <v>#N/A</v>
      </c>
      <c r="CI54" s="602" t="e">
        <f t="shared" ref="CI54" si="77">IF($BJ27,VLOOKUP(CI$22&amp;"Male"&amp;"AllEth"&amp;24&amp;$BM54,Methodstable,9,FALSE),NA())</f>
        <v>#N/A</v>
      </c>
    </row>
    <row r="55" spans="1:87">
      <c r="B55" s="1"/>
      <c r="C55" s="70"/>
      <c r="D55" s="70"/>
      <c r="E55" s="70"/>
      <c r="F55" s="70"/>
      <c r="G55" s="70"/>
      <c r="H55" s="70"/>
      <c r="I55" s="70"/>
      <c r="J55" s="70"/>
      <c r="K55" s="70"/>
      <c r="L55" s="70"/>
      <c r="P55" s="25"/>
      <c r="Q55" s="25"/>
      <c r="R55" s="24" t="s">
        <v>44</v>
      </c>
      <c r="S55" s="24"/>
      <c r="T55" s="36">
        <f t="shared" si="68"/>
        <v>1.2</v>
      </c>
      <c r="U55" s="36">
        <f t="shared" si="68"/>
        <v>1.3</v>
      </c>
      <c r="V55" s="36">
        <f t="shared" si="68"/>
        <v>1.1000000000000001</v>
      </c>
      <c r="W55" s="36">
        <f t="shared" si="68"/>
        <v>2.4</v>
      </c>
      <c r="X55" s="36">
        <f t="shared" si="68"/>
        <v>2.5</v>
      </c>
      <c r="Y55" s="36">
        <f t="shared" si="68"/>
        <v>1.5</v>
      </c>
      <c r="Z55" s="36" t="str">
        <f t="shared" si="68"/>
        <v>0.0</v>
      </c>
      <c r="AA55" s="36">
        <f t="shared" si="68"/>
        <v>1</v>
      </c>
      <c r="AB55" s="36">
        <f t="shared" si="68"/>
        <v>2.2999999999999998</v>
      </c>
      <c r="AC55" s="36">
        <f t="shared" si="68"/>
        <v>2.9</v>
      </c>
      <c r="AD55" s="36">
        <f t="shared" si="69"/>
        <v>0.9</v>
      </c>
      <c r="AE55" s="36">
        <f t="shared" si="69"/>
        <v>2.9</v>
      </c>
      <c r="AF55" s="36">
        <f t="shared" si="69"/>
        <v>4</v>
      </c>
      <c r="AG55" s="36">
        <f t="shared" si="69"/>
        <v>3.3</v>
      </c>
      <c r="AH55" s="36">
        <f t="shared" si="69"/>
        <v>4.2</v>
      </c>
      <c r="AI55" s="36">
        <f t="shared" si="69"/>
        <v>1.7</v>
      </c>
      <c r="AJ55" s="36">
        <f t="shared" si="69"/>
        <v>1.9</v>
      </c>
      <c r="AK55" s="36">
        <f t="shared" si="69"/>
        <v>3.8</v>
      </c>
      <c r="AL55" s="36">
        <f t="shared" si="69"/>
        <v>3.3</v>
      </c>
      <c r="AM55" s="36">
        <f t="shared" si="69"/>
        <v>4.8</v>
      </c>
      <c r="AN55" s="36">
        <f t="shared" si="69"/>
        <v>3.1</v>
      </c>
      <c r="BJ55" s="600"/>
      <c r="BK55" s="601"/>
      <c r="BL55" s="601"/>
      <c r="BM55" s="601" t="s">
        <v>49</v>
      </c>
      <c r="BN55" s="601" t="s">
        <v>51</v>
      </c>
      <c r="BO55" s="602" t="e">
        <f t="shared" ref="BO55:CH55" si="78">IF($BJ28,VLOOKUP(BO$22&amp;"Male"&amp;"AllEth"&amp;24&amp;$BM55,Methodstable,9,FALSE),NA())</f>
        <v>#N/A</v>
      </c>
      <c r="BP55" s="602" t="e">
        <f t="shared" si="78"/>
        <v>#N/A</v>
      </c>
      <c r="BQ55" s="602" t="e">
        <f t="shared" si="78"/>
        <v>#N/A</v>
      </c>
      <c r="BR55" s="602" t="e">
        <f t="shared" si="78"/>
        <v>#N/A</v>
      </c>
      <c r="BS55" s="602" t="e">
        <f t="shared" si="78"/>
        <v>#N/A</v>
      </c>
      <c r="BT55" s="602" t="e">
        <f t="shared" si="78"/>
        <v>#N/A</v>
      </c>
      <c r="BU55" s="602" t="e">
        <f t="shared" si="78"/>
        <v>#N/A</v>
      </c>
      <c r="BV55" s="602" t="e">
        <f t="shared" si="78"/>
        <v>#N/A</v>
      </c>
      <c r="BW55" s="602" t="e">
        <f t="shared" si="78"/>
        <v>#N/A</v>
      </c>
      <c r="BX55" s="602" t="e">
        <f t="shared" si="78"/>
        <v>#N/A</v>
      </c>
      <c r="BY55" s="602" t="e">
        <f t="shared" si="78"/>
        <v>#N/A</v>
      </c>
      <c r="BZ55" s="602" t="e">
        <f t="shared" si="78"/>
        <v>#N/A</v>
      </c>
      <c r="CA55" s="602" t="e">
        <f t="shared" si="78"/>
        <v>#N/A</v>
      </c>
      <c r="CB55" s="602" t="e">
        <f t="shared" si="78"/>
        <v>#N/A</v>
      </c>
      <c r="CC55" s="602" t="e">
        <f t="shared" si="78"/>
        <v>#N/A</v>
      </c>
      <c r="CD55" s="602" t="e">
        <f t="shared" si="78"/>
        <v>#N/A</v>
      </c>
      <c r="CE55" s="602" t="e">
        <f t="shared" si="78"/>
        <v>#N/A</v>
      </c>
      <c r="CF55" s="602" t="e">
        <f t="shared" si="78"/>
        <v>#N/A</v>
      </c>
      <c r="CG55" s="602" t="e">
        <f t="shared" si="78"/>
        <v>#N/A</v>
      </c>
      <c r="CH55" s="602" t="e">
        <f t="shared" si="78"/>
        <v>#N/A</v>
      </c>
      <c r="CI55" s="602" t="e">
        <f t="shared" ref="CI55" si="79">IF($BJ28,VLOOKUP(CI$22&amp;"Male"&amp;"AllEth"&amp;24&amp;$BM55,Methodstable,9,FALSE),NA())</f>
        <v>#N/A</v>
      </c>
    </row>
    <row r="56" spans="1:87">
      <c r="B56" s="5"/>
      <c r="C56" s="70"/>
      <c r="D56" s="70"/>
      <c r="E56" s="70"/>
      <c r="F56" s="70"/>
      <c r="G56" s="70"/>
      <c r="H56" s="70"/>
      <c r="I56" s="70"/>
      <c r="J56" s="70"/>
      <c r="K56" s="70"/>
      <c r="L56" s="70"/>
      <c r="P56" s="25"/>
      <c r="Q56" s="25"/>
      <c r="R56" s="24" t="s">
        <v>49</v>
      </c>
      <c r="S56" s="24"/>
      <c r="T56" s="36">
        <f t="shared" si="68"/>
        <v>3.8</v>
      </c>
      <c r="U56" s="36">
        <f t="shared" si="68"/>
        <v>3.9</v>
      </c>
      <c r="V56" s="36">
        <f t="shared" si="68"/>
        <v>5.6</v>
      </c>
      <c r="W56" s="36">
        <f t="shared" si="68"/>
        <v>3.6</v>
      </c>
      <c r="X56" s="36">
        <f t="shared" si="68"/>
        <v>5</v>
      </c>
      <c r="Y56" s="36" t="str">
        <f t="shared" si="68"/>
        <v>0.0</v>
      </c>
      <c r="Z56" s="36">
        <f t="shared" si="68"/>
        <v>1.1000000000000001</v>
      </c>
      <c r="AA56" s="36">
        <f t="shared" si="68"/>
        <v>2</v>
      </c>
      <c r="AB56" s="36">
        <f t="shared" si="68"/>
        <v>1.1000000000000001</v>
      </c>
      <c r="AC56" s="36">
        <f t="shared" si="68"/>
        <v>3.8</v>
      </c>
      <c r="AD56" s="36">
        <f t="shared" si="69"/>
        <v>2.7</v>
      </c>
      <c r="AE56" s="36">
        <f t="shared" si="69"/>
        <v>2.9</v>
      </c>
      <c r="AF56" s="36">
        <f t="shared" si="69"/>
        <v>3.2</v>
      </c>
      <c r="AG56" s="36" t="str">
        <f t="shared" si="69"/>
        <v>0.0</v>
      </c>
      <c r="AH56" s="36">
        <f t="shared" si="69"/>
        <v>0.8</v>
      </c>
      <c r="AI56" s="36">
        <f t="shared" si="69"/>
        <v>1.7</v>
      </c>
      <c r="AJ56" s="36">
        <f t="shared" si="69"/>
        <v>1</v>
      </c>
      <c r="AK56" s="36">
        <f t="shared" si="69"/>
        <v>2.2999999999999998</v>
      </c>
      <c r="AL56" s="36">
        <f t="shared" si="69"/>
        <v>4.2</v>
      </c>
      <c r="AM56" s="36">
        <f t="shared" si="69"/>
        <v>0.8</v>
      </c>
      <c r="AN56" s="36">
        <f t="shared" si="69"/>
        <v>1.6</v>
      </c>
      <c r="BJ56" s="600"/>
      <c r="BK56" s="601"/>
      <c r="BL56" s="601"/>
      <c r="BM56" s="601" t="s">
        <v>48</v>
      </c>
      <c r="BN56" s="601" t="s">
        <v>51</v>
      </c>
      <c r="BO56" s="602" t="e">
        <f t="shared" ref="BO56:CH56" si="80">IF($BJ29,VLOOKUP(BO$22&amp;"Male"&amp;"AllEth"&amp;24&amp;$BM56,Methodstable,9,FALSE),NA())</f>
        <v>#N/A</v>
      </c>
      <c r="BP56" s="602" t="e">
        <f t="shared" si="80"/>
        <v>#N/A</v>
      </c>
      <c r="BQ56" s="602" t="e">
        <f t="shared" si="80"/>
        <v>#N/A</v>
      </c>
      <c r="BR56" s="602" t="e">
        <f t="shared" si="80"/>
        <v>#N/A</v>
      </c>
      <c r="BS56" s="602" t="e">
        <f t="shared" si="80"/>
        <v>#N/A</v>
      </c>
      <c r="BT56" s="602" t="e">
        <f t="shared" si="80"/>
        <v>#N/A</v>
      </c>
      <c r="BU56" s="602" t="e">
        <f t="shared" si="80"/>
        <v>#N/A</v>
      </c>
      <c r="BV56" s="602" t="e">
        <f t="shared" si="80"/>
        <v>#N/A</v>
      </c>
      <c r="BW56" s="602" t="e">
        <f t="shared" si="80"/>
        <v>#N/A</v>
      </c>
      <c r="BX56" s="602" t="e">
        <f t="shared" si="80"/>
        <v>#N/A</v>
      </c>
      <c r="BY56" s="602" t="e">
        <f t="shared" si="80"/>
        <v>#N/A</v>
      </c>
      <c r="BZ56" s="602" t="e">
        <f t="shared" si="80"/>
        <v>#N/A</v>
      </c>
      <c r="CA56" s="602" t="e">
        <f t="shared" si="80"/>
        <v>#N/A</v>
      </c>
      <c r="CB56" s="602" t="e">
        <f t="shared" si="80"/>
        <v>#N/A</v>
      </c>
      <c r="CC56" s="602" t="e">
        <f t="shared" si="80"/>
        <v>#N/A</v>
      </c>
      <c r="CD56" s="602" t="e">
        <f t="shared" si="80"/>
        <v>#N/A</v>
      </c>
      <c r="CE56" s="602" t="e">
        <f t="shared" si="80"/>
        <v>#N/A</v>
      </c>
      <c r="CF56" s="602" t="e">
        <f t="shared" si="80"/>
        <v>#N/A</v>
      </c>
      <c r="CG56" s="602" t="e">
        <f t="shared" si="80"/>
        <v>#N/A</v>
      </c>
      <c r="CH56" s="602" t="e">
        <f t="shared" si="80"/>
        <v>#N/A</v>
      </c>
      <c r="CI56" s="602" t="e">
        <f t="shared" ref="CI56" si="81">IF($BJ29,VLOOKUP(CI$22&amp;"Male"&amp;"AllEth"&amp;24&amp;$BM56,Methodstable,9,FALSE),NA())</f>
        <v>#N/A</v>
      </c>
    </row>
    <row r="57" spans="1:87">
      <c r="A57" s="33"/>
      <c r="B57" s="5"/>
      <c r="C57" s="70"/>
      <c r="D57" s="70"/>
      <c r="E57" s="70"/>
      <c r="F57" s="70"/>
      <c r="G57" s="70"/>
      <c r="H57" s="70"/>
      <c r="I57" s="70"/>
      <c r="J57" s="70"/>
      <c r="K57" s="70"/>
      <c r="L57" s="70"/>
      <c r="P57" s="25"/>
      <c r="Q57" s="25"/>
      <c r="R57" s="24" t="s">
        <v>48</v>
      </c>
      <c r="S57" s="24"/>
      <c r="T57" s="36">
        <f t="shared" si="68"/>
        <v>2.5</v>
      </c>
      <c r="U57" s="36">
        <f t="shared" si="68"/>
        <v>5.3</v>
      </c>
      <c r="V57" s="36">
        <f t="shared" si="68"/>
        <v>2.2000000000000002</v>
      </c>
      <c r="W57" s="36">
        <f t="shared" si="68"/>
        <v>1.2</v>
      </c>
      <c r="X57" s="36">
        <f t="shared" si="68"/>
        <v>3.8</v>
      </c>
      <c r="Y57" s="36">
        <f t="shared" si="68"/>
        <v>3.1</v>
      </c>
      <c r="Z57" s="36" t="str">
        <f t="shared" si="68"/>
        <v>0.0</v>
      </c>
      <c r="AA57" s="36">
        <f t="shared" si="68"/>
        <v>3</v>
      </c>
      <c r="AB57" s="36" t="str">
        <f t="shared" si="68"/>
        <v>0.0</v>
      </c>
      <c r="AC57" s="36">
        <f t="shared" si="68"/>
        <v>2.9</v>
      </c>
      <c r="AD57" s="36">
        <f t="shared" si="69"/>
        <v>2.7</v>
      </c>
      <c r="AE57" s="36">
        <f t="shared" si="69"/>
        <v>2</v>
      </c>
      <c r="AF57" s="36">
        <f t="shared" si="69"/>
        <v>5.6</v>
      </c>
      <c r="AG57" s="36">
        <f t="shared" si="69"/>
        <v>3.3</v>
      </c>
      <c r="AH57" s="36">
        <f t="shared" si="69"/>
        <v>0.8</v>
      </c>
      <c r="AI57" s="36">
        <f t="shared" si="69"/>
        <v>1.7</v>
      </c>
      <c r="AJ57" s="36">
        <f t="shared" si="69"/>
        <v>3.8</v>
      </c>
      <c r="AK57" s="36">
        <f t="shared" si="69"/>
        <v>3.8</v>
      </c>
      <c r="AL57" s="36">
        <f t="shared" si="69"/>
        <v>1.7</v>
      </c>
      <c r="AM57" s="36">
        <f t="shared" si="69"/>
        <v>2.4</v>
      </c>
      <c r="AN57" s="36">
        <f t="shared" si="69"/>
        <v>3.1</v>
      </c>
      <c r="BJ57" s="600"/>
      <c r="BK57" s="601"/>
      <c r="BL57" s="601"/>
      <c r="BM57" s="601" t="s">
        <v>45</v>
      </c>
      <c r="BN57" s="601" t="s">
        <v>51</v>
      </c>
      <c r="BO57" s="602" t="e">
        <f t="shared" ref="BO57:CH57" si="82">IF($BJ30,VLOOKUP(BO$22&amp;"Male"&amp;"AllEth"&amp;24&amp;$BM57,Methodstable,9,FALSE),NA())</f>
        <v>#N/A</v>
      </c>
      <c r="BP57" s="602" t="e">
        <f t="shared" si="82"/>
        <v>#N/A</v>
      </c>
      <c r="BQ57" s="602" t="e">
        <f t="shared" si="82"/>
        <v>#N/A</v>
      </c>
      <c r="BR57" s="602" t="e">
        <f t="shared" si="82"/>
        <v>#N/A</v>
      </c>
      <c r="BS57" s="602" t="e">
        <f t="shared" si="82"/>
        <v>#N/A</v>
      </c>
      <c r="BT57" s="602" t="e">
        <f t="shared" si="82"/>
        <v>#N/A</v>
      </c>
      <c r="BU57" s="602" t="e">
        <f t="shared" si="82"/>
        <v>#N/A</v>
      </c>
      <c r="BV57" s="602" t="e">
        <f t="shared" si="82"/>
        <v>#N/A</v>
      </c>
      <c r="BW57" s="602" t="e">
        <f t="shared" si="82"/>
        <v>#N/A</v>
      </c>
      <c r="BX57" s="602" t="e">
        <f t="shared" si="82"/>
        <v>#N/A</v>
      </c>
      <c r="BY57" s="602" t="e">
        <f t="shared" si="82"/>
        <v>#N/A</v>
      </c>
      <c r="BZ57" s="602" t="e">
        <f t="shared" si="82"/>
        <v>#N/A</v>
      </c>
      <c r="CA57" s="602" t="e">
        <f t="shared" si="82"/>
        <v>#N/A</v>
      </c>
      <c r="CB57" s="602" t="e">
        <f t="shared" si="82"/>
        <v>#N/A</v>
      </c>
      <c r="CC57" s="602" t="e">
        <f t="shared" si="82"/>
        <v>#N/A</v>
      </c>
      <c r="CD57" s="602" t="e">
        <f t="shared" si="82"/>
        <v>#N/A</v>
      </c>
      <c r="CE57" s="602" t="e">
        <f t="shared" si="82"/>
        <v>#N/A</v>
      </c>
      <c r="CF57" s="602" t="e">
        <f t="shared" si="82"/>
        <v>#N/A</v>
      </c>
      <c r="CG57" s="602" t="e">
        <f t="shared" si="82"/>
        <v>#N/A</v>
      </c>
      <c r="CH57" s="602" t="e">
        <f t="shared" si="82"/>
        <v>#N/A</v>
      </c>
      <c r="CI57" s="602" t="e">
        <f t="shared" ref="CI57" si="83">IF($BJ30,VLOOKUP(CI$22&amp;"Male"&amp;"AllEth"&amp;24&amp;$BM57,Methodstable,9,FALSE),NA())</f>
        <v>#N/A</v>
      </c>
    </row>
    <row r="58" spans="1:87" ht="15" customHeight="1">
      <c r="B58" s="5"/>
      <c r="C58" s="70"/>
      <c r="D58" s="75"/>
      <c r="E58" s="75"/>
      <c r="F58" s="75"/>
      <c r="G58" s="75"/>
      <c r="H58" s="75"/>
      <c r="I58" s="75"/>
      <c r="J58" s="75"/>
      <c r="K58" s="75"/>
      <c r="L58" s="75"/>
      <c r="M58" s="33"/>
      <c r="P58" s="25"/>
      <c r="Q58" s="25"/>
      <c r="R58" s="24" t="s">
        <v>45</v>
      </c>
      <c r="S58" s="24"/>
      <c r="T58" s="36">
        <f t="shared" si="68"/>
        <v>2.5</v>
      </c>
      <c r="U58" s="36">
        <f t="shared" si="68"/>
        <v>2.6</v>
      </c>
      <c r="V58" s="36">
        <f t="shared" si="68"/>
        <v>2.2000000000000002</v>
      </c>
      <c r="W58" s="36">
        <f t="shared" si="68"/>
        <v>3.6</v>
      </c>
      <c r="X58" s="36">
        <f t="shared" si="68"/>
        <v>1.2</v>
      </c>
      <c r="Y58" s="36">
        <f t="shared" si="68"/>
        <v>3.1</v>
      </c>
      <c r="Z58" s="36">
        <f t="shared" si="68"/>
        <v>8</v>
      </c>
      <c r="AA58" s="36">
        <f t="shared" si="68"/>
        <v>7</v>
      </c>
      <c r="AB58" s="36">
        <f t="shared" si="68"/>
        <v>6.8</v>
      </c>
      <c r="AC58" s="36" t="str">
        <f t="shared" si="68"/>
        <v>0.0</v>
      </c>
      <c r="AD58" s="36">
        <f t="shared" si="69"/>
        <v>3.6</v>
      </c>
      <c r="AE58" s="36">
        <f t="shared" si="69"/>
        <v>4.9000000000000004</v>
      </c>
      <c r="AF58" s="36">
        <f t="shared" si="69"/>
        <v>3.2</v>
      </c>
      <c r="AG58" s="36">
        <f t="shared" si="69"/>
        <v>1.7</v>
      </c>
      <c r="AH58" s="36">
        <f t="shared" si="69"/>
        <v>6.8</v>
      </c>
      <c r="AI58" s="36">
        <f t="shared" si="69"/>
        <v>2.6</v>
      </c>
      <c r="AJ58" s="36">
        <f t="shared" si="69"/>
        <v>2.9</v>
      </c>
      <c r="AK58" s="36">
        <f t="shared" si="69"/>
        <v>6.9</v>
      </c>
      <c r="AL58" s="36">
        <f t="shared" si="69"/>
        <v>6.7</v>
      </c>
      <c r="AM58" s="36">
        <f t="shared" si="69"/>
        <v>4</v>
      </c>
      <c r="AN58" s="36">
        <f t="shared" si="69"/>
        <v>3.9</v>
      </c>
      <c r="BJ58" s="600"/>
      <c r="BK58" s="601"/>
      <c r="BL58" s="601"/>
      <c r="BM58" s="601"/>
      <c r="BN58" s="601"/>
      <c r="BO58" s="601"/>
      <c r="BP58" s="601"/>
      <c r="BQ58" s="601"/>
      <c r="BR58" s="601"/>
      <c r="BS58" s="601"/>
      <c r="BT58" s="601"/>
      <c r="BU58" s="601"/>
      <c r="BV58" s="601"/>
      <c r="BW58" s="601"/>
      <c r="BX58" s="601"/>
      <c r="BY58" s="601"/>
      <c r="BZ58" s="601"/>
      <c r="CA58" s="601"/>
      <c r="CB58" s="601"/>
      <c r="CC58" s="601"/>
      <c r="CD58" s="601"/>
      <c r="CE58" s="601"/>
      <c r="CF58" s="601"/>
      <c r="CG58" s="601"/>
      <c r="CH58" s="601"/>
      <c r="CI58" s="601"/>
    </row>
    <row r="59" spans="1:87" ht="15.75" customHeight="1">
      <c r="B59" s="5"/>
      <c r="C59" s="70"/>
      <c r="D59" s="70"/>
      <c r="E59" s="70"/>
      <c r="F59" s="70"/>
      <c r="G59" s="70"/>
      <c r="H59" s="70"/>
      <c r="I59" s="70"/>
      <c r="J59" s="70"/>
      <c r="K59" s="70"/>
      <c r="L59" s="70"/>
      <c r="P59" s="28"/>
      <c r="Q59" s="28"/>
      <c r="R59" s="28"/>
      <c r="S59" s="28"/>
      <c r="T59" s="38"/>
      <c r="U59" s="38"/>
      <c r="V59" s="38"/>
      <c r="W59" s="38"/>
      <c r="X59" s="38"/>
      <c r="Y59" s="38"/>
      <c r="Z59" s="38"/>
      <c r="AA59" s="38"/>
      <c r="AB59" s="38"/>
      <c r="AC59" s="38"/>
      <c r="AD59" s="38"/>
      <c r="AE59" s="38"/>
      <c r="AF59" s="38"/>
      <c r="AG59" s="38"/>
      <c r="AH59" s="38"/>
      <c r="AI59" s="38"/>
      <c r="AJ59" s="38"/>
      <c r="AK59" s="38"/>
      <c r="AL59" s="38"/>
      <c r="AM59" s="38"/>
      <c r="AN59" s="38"/>
      <c r="BJ59" s="600"/>
      <c r="BK59" s="601" t="s">
        <v>20</v>
      </c>
      <c r="BL59" s="601" t="s">
        <v>26</v>
      </c>
      <c r="BM59" s="601" t="s">
        <v>43</v>
      </c>
      <c r="BN59" s="601" t="s">
        <v>51</v>
      </c>
      <c r="BO59" s="602">
        <f t="shared" ref="BO59:CH59" si="84">IF($BJ23,VLOOKUP(BO$22&amp;"Male"&amp;"AllEth"&amp;25&amp;$BM59,Methodstable,9,FALSE),NA())</f>
        <v>28.3</v>
      </c>
      <c r="BP59" s="602">
        <f t="shared" si="84"/>
        <v>28.3</v>
      </c>
      <c r="BQ59" s="602">
        <f t="shared" si="84"/>
        <v>29.2</v>
      </c>
      <c r="BR59" s="602">
        <f t="shared" si="84"/>
        <v>36.1</v>
      </c>
      <c r="BS59" s="602">
        <f t="shared" si="84"/>
        <v>39</v>
      </c>
      <c r="BT59" s="602">
        <f t="shared" si="84"/>
        <v>29.2</v>
      </c>
      <c r="BU59" s="602">
        <f t="shared" si="84"/>
        <v>27.8</v>
      </c>
      <c r="BV59" s="602">
        <f t="shared" si="84"/>
        <v>30.4</v>
      </c>
      <c r="BW59" s="602">
        <f t="shared" si="84"/>
        <v>34.799999999999997</v>
      </c>
      <c r="BX59" s="602">
        <f t="shared" si="84"/>
        <v>43.8</v>
      </c>
      <c r="BY59" s="602">
        <f t="shared" si="84"/>
        <v>36.4</v>
      </c>
      <c r="BZ59" s="602">
        <f t="shared" si="84"/>
        <v>31</v>
      </c>
      <c r="CA59" s="602">
        <f t="shared" si="84"/>
        <v>22.2</v>
      </c>
      <c r="CB59" s="602">
        <f t="shared" si="84"/>
        <v>36.6</v>
      </c>
      <c r="CC59" s="602">
        <f t="shared" si="84"/>
        <v>37.200000000000003</v>
      </c>
      <c r="CD59" s="602">
        <f t="shared" si="84"/>
        <v>29</v>
      </c>
      <c r="CE59" s="602">
        <f t="shared" si="84"/>
        <v>39.5</v>
      </c>
      <c r="CF59" s="602">
        <f t="shared" si="84"/>
        <v>39.6</v>
      </c>
      <c r="CG59" s="602">
        <f t="shared" si="84"/>
        <v>44.9</v>
      </c>
      <c r="CH59" s="602">
        <f t="shared" si="84"/>
        <v>28.6</v>
      </c>
      <c r="CI59" s="602">
        <f t="shared" ref="CI59" si="85">IF($BJ23,VLOOKUP(CI$22&amp;"Male"&amp;"AllEth"&amp;25&amp;$BM59,Methodstable,9,FALSE),NA())</f>
        <v>39.200000000000003</v>
      </c>
    </row>
    <row r="60" spans="1:87">
      <c r="B60" s="5"/>
      <c r="C60" s="76"/>
      <c r="D60" s="70"/>
      <c r="E60" s="108" t="s">
        <v>104</v>
      </c>
      <c r="F60" s="70"/>
      <c r="G60" s="70"/>
      <c r="H60" s="70"/>
      <c r="I60" s="108" t="s">
        <v>104</v>
      </c>
      <c r="J60" s="70"/>
      <c r="K60" s="70"/>
      <c r="L60" s="70"/>
      <c r="P60" s="25" t="s">
        <v>20</v>
      </c>
      <c r="Q60" s="25" t="s">
        <v>26</v>
      </c>
      <c r="R60" s="25" t="s">
        <v>43</v>
      </c>
      <c r="S60" s="25" t="s">
        <v>303</v>
      </c>
      <c r="T60" s="36">
        <f t="shared" ref="T60:AC67" si="86">IFERROR(VLOOKUP(T$13&amp;"Male"&amp;"AllEth"&amp;25&amp;$R60,Methodstable,9,FALSE),"0.0")</f>
        <v>28.3</v>
      </c>
      <c r="U60" s="36">
        <f t="shared" si="86"/>
        <v>28.3</v>
      </c>
      <c r="V60" s="36">
        <f t="shared" si="86"/>
        <v>29.2</v>
      </c>
      <c r="W60" s="36">
        <f t="shared" si="86"/>
        <v>36.1</v>
      </c>
      <c r="X60" s="36">
        <f t="shared" si="86"/>
        <v>39</v>
      </c>
      <c r="Y60" s="36">
        <f t="shared" si="86"/>
        <v>29.2</v>
      </c>
      <c r="Z60" s="36">
        <f t="shared" si="86"/>
        <v>27.8</v>
      </c>
      <c r="AA60" s="36">
        <f t="shared" si="86"/>
        <v>30.4</v>
      </c>
      <c r="AB60" s="36">
        <f t="shared" si="86"/>
        <v>34.799999999999997</v>
      </c>
      <c r="AC60" s="36">
        <f t="shared" si="86"/>
        <v>43.8</v>
      </c>
      <c r="AD60" s="36">
        <f t="shared" ref="AD60:AN67" si="87">IFERROR(VLOOKUP(AD$13&amp;"Male"&amp;"AllEth"&amp;25&amp;$R60,Methodstable,9,FALSE),"0.0")</f>
        <v>36.4</v>
      </c>
      <c r="AE60" s="36">
        <f t="shared" si="87"/>
        <v>31</v>
      </c>
      <c r="AF60" s="36">
        <f t="shared" si="87"/>
        <v>22.2</v>
      </c>
      <c r="AG60" s="36">
        <f t="shared" si="87"/>
        <v>36.6</v>
      </c>
      <c r="AH60" s="36">
        <f t="shared" si="87"/>
        <v>37.200000000000003</v>
      </c>
      <c r="AI60" s="36">
        <f t="shared" si="87"/>
        <v>29</v>
      </c>
      <c r="AJ60" s="36">
        <f t="shared" si="87"/>
        <v>39.5</v>
      </c>
      <c r="AK60" s="36">
        <f t="shared" si="87"/>
        <v>39.6</v>
      </c>
      <c r="AL60" s="36">
        <f t="shared" si="87"/>
        <v>44.9</v>
      </c>
      <c r="AM60" s="36">
        <f t="shared" si="87"/>
        <v>28.6</v>
      </c>
      <c r="AN60" s="36">
        <f t="shared" si="87"/>
        <v>39.200000000000003</v>
      </c>
      <c r="BJ60" s="600"/>
      <c r="BK60" s="601"/>
      <c r="BL60" s="601"/>
      <c r="BM60" s="601" t="s">
        <v>46</v>
      </c>
      <c r="BN60" s="601" t="s">
        <v>51</v>
      </c>
      <c r="BO60" s="602">
        <f t="shared" ref="BO60:CH60" si="88">IF($BJ24,VLOOKUP(BO$22&amp;"Male"&amp;"AllEth"&amp;25&amp;$BM60,Methodstable,9,FALSE),NA())</f>
        <v>20.8</v>
      </c>
      <c r="BP60" s="602">
        <f t="shared" si="88"/>
        <v>34.799999999999997</v>
      </c>
      <c r="BQ60" s="602">
        <f t="shared" si="88"/>
        <v>41.7</v>
      </c>
      <c r="BR60" s="602">
        <f t="shared" si="88"/>
        <v>25</v>
      </c>
      <c r="BS60" s="602">
        <f t="shared" si="88"/>
        <v>17.100000000000001</v>
      </c>
      <c r="BT60" s="602">
        <f t="shared" si="88"/>
        <v>29.2</v>
      </c>
      <c r="BU60" s="602">
        <f t="shared" si="88"/>
        <v>19.399999999999999</v>
      </c>
      <c r="BV60" s="602">
        <f t="shared" si="88"/>
        <v>19.600000000000001</v>
      </c>
      <c r="BW60" s="602">
        <f t="shared" si="88"/>
        <v>21.7</v>
      </c>
      <c r="BX60" s="602">
        <f t="shared" si="88"/>
        <v>21.9</v>
      </c>
      <c r="BY60" s="602">
        <f t="shared" si="88"/>
        <v>27.3</v>
      </c>
      <c r="BZ60" s="602">
        <f t="shared" si="88"/>
        <v>14.3</v>
      </c>
      <c r="CA60" s="602">
        <f t="shared" si="88"/>
        <v>22.2</v>
      </c>
      <c r="CB60" s="602">
        <f t="shared" si="88"/>
        <v>9.8000000000000007</v>
      </c>
      <c r="CC60" s="602">
        <f t="shared" si="88"/>
        <v>20.9</v>
      </c>
      <c r="CD60" s="602">
        <f t="shared" si="88"/>
        <v>3.2</v>
      </c>
      <c r="CE60" s="602">
        <f t="shared" si="88"/>
        <v>11.6</v>
      </c>
      <c r="CF60" s="602">
        <f t="shared" si="88"/>
        <v>6.2</v>
      </c>
      <c r="CG60" s="602">
        <f t="shared" si="88"/>
        <v>10.199999999999999</v>
      </c>
      <c r="CH60" s="602">
        <f t="shared" si="88"/>
        <v>2</v>
      </c>
      <c r="CI60" s="602">
        <f t="shared" ref="CI60" si="89">IF($BJ24,VLOOKUP(CI$22&amp;"Male"&amp;"AllEth"&amp;25&amp;$BM60,Methodstable,9,FALSE),NA())</f>
        <v>11.8</v>
      </c>
    </row>
    <row r="61" spans="1:87">
      <c r="B61" s="5"/>
      <c r="C61" s="70"/>
      <c r="D61" s="70"/>
      <c r="E61" s="70"/>
      <c r="F61" s="70"/>
      <c r="G61" s="70"/>
      <c r="H61" s="70"/>
      <c r="I61" s="70"/>
      <c r="J61" s="70"/>
      <c r="K61" s="70"/>
      <c r="L61" s="70"/>
      <c r="P61" s="25"/>
      <c r="Q61" s="25"/>
      <c r="R61" s="25" t="s">
        <v>46</v>
      </c>
      <c r="S61" s="25"/>
      <c r="T61" s="36">
        <f t="shared" si="86"/>
        <v>20.8</v>
      </c>
      <c r="U61" s="36">
        <f t="shared" si="86"/>
        <v>34.799999999999997</v>
      </c>
      <c r="V61" s="36">
        <f t="shared" si="86"/>
        <v>41.7</v>
      </c>
      <c r="W61" s="36">
        <f t="shared" si="86"/>
        <v>25</v>
      </c>
      <c r="X61" s="36">
        <f t="shared" si="86"/>
        <v>17.100000000000001</v>
      </c>
      <c r="Y61" s="36">
        <f t="shared" si="86"/>
        <v>29.2</v>
      </c>
      <c r="Z61" s="36">
        <f t="shared" si="86"/>
        <v>19.399999999999999</v>
      </c>
      <c r="AA61" s="36">
        <f t="shared" si="86"/>
        <v>19.600000000000001</v>
      </c>
      <c r="AB61" s="36">
        <f t="shared" si="86"/>
        <v>21.7</v>
      </c>
      <c r="AC61" s="36">
        <f t="shared" si="86"/>
        <v>21.9</v>
      </c>
      <c r="AD61" s="36">
        <f t="shared" si="87"/>
        <v>27.3</v>
      </c>
      <c r="AE61" s="36">
        <f t="shared" si="87"/>
        <v>14.3</v>
      </c>
      <c r="AF61" s="36">
        <f t="shared" si="87"/>
        <v>22.2</v>
      </c>
      <c r="AG61" s="36">
        <f t="shared" si="87"/>
        <v>9.8000000000000007</v>
      </c>
      <c r="AH61" s="36">
        <f t="shared" si="87"/>
        <v>20.9</v>
      </c>
      <c r="AI61" s="36">
        <f t="shared" si="87"/>
        <v>3.2</v>
      </c>
      <c r="AJ61" s="36">
        <f t="shared" si="87"/>
        <v>11.6</v>
      </c>
      <c r="AK61" s="36">
        <f t="shared" si="87"/>
        <v>6.2</v>
      </c>
      <c r="AL61" s="36">
        <f t="shared" si="87"/>
        <v>10.199999999999999</v>
      </c>
      <c r="AM61" s="36">
        <f t="shared" si="87"/>
        <v>2</v>
      </c>
      <c r="AN61" s="36">
        <f t="shared" si="87"/>
        <v>11.8</v>
      </c>
      <c r="BJ61" s="600"/>
      <c r="BK61" s="601"/>
      <c r="BL61" s="601"/>
      <c r="BM61" s="601" t="s">
        <v>47</v>
      </c>
      <c r="BN61" s="601" t="s">
        <v>51</v>
      </c>
      <c r="BO61" s="602">
        <f t="shared" ref="BO61:CH61" si="90">IF($BJ25,VLOOKUP(BO$22&amp;"Male"&amp;"AllEth"&amp;25&amp;$BM61,Methodstable,9,FALSE),NA())</f>
        <v>17</v>
      </c>
      <c r="BP61" s="602">
        <f t="shared" si="90"/>
        <v>8.6999999999999993</v>
      </c>
      <c r="BQ61" s="602">
        <f t="shared" si="90"/>
        <v>6.2</v>
      </c>
      <c r="BR61" s="602">
        <f t="shared" si="90"/>
        <v>2.8</v>
      </c>
      <c r="BS61" s="602">
        <f t="shared" si="90"/>
        <v>9.8000000000000007</v>
      </c>
      <c r="BT61" s="602">
        <f t="shared" si="90"/>
        <v>14.6</v>
      </c>
      <c r="BU61" s="602">
        <f t="shared" si="90"/>
        <v>16.7</v>
      </c>
      <c r="BV61" s="602">
        <f t="shared" si="90"/>
        <v>10.9</v>
      </c>
      <c r="BW61" s="602">
        <f t="shared" si="90"/>
        <v>6.5</v>
      </c>
      <c r="BX61" s="602">
        <f t="shared" si="90"/>
        <v>3.1</v>
      </c>
      <c r="BY61" s="602">
        <f t="shared" si="90"/>
        <v>3</v>
      </c>
      <c r="BZ61" s="602">
        <f t="shared" si="90"/>
        <v>11.9</v>
      </c>
      <c r="CA61" s="602">
        <f t="shared" si="90"/>
        <v>13.9</v>
      </c>
      <c r="CB61" s="602">
        <f t="shared" si="90"/>
        <v>19.5</v>
      </c>
      <c r="CC61" s="602">
        <f t="shared" si="90"/>
        <v>9.3000000000000007</v>
      </c>
      <c r="CD61" s="602">
        <f t="shared" si="90"/>
        <v>16.100000000000001</v>
      </c>
      <c r="CE61" s="602">
        <f t="shared" si="90"/>
        <v>14</v>
      </c>
      <c r="CF61" s="602">
        <f t="shared" si="90"/>
        <v>12.5</v>
      </c>
      <c r="CG61" s="602">
        <f t="shared" si="90"/>
        <v>16.3</v>
      </c>
      <c r="CH61" s="602">
        <f t="shared" si="90"/>
        <v>10.199999999999999</v>
      </c>
      <c r="CI61" s="602">
        <f t="shared" ref="CI61" si="91">IF($BJ25,VLOOKUP(CI$22&amp;"Male"&amp;"AllEth"&amp;25&amp;$BM61,Methodstable,9,FALSE),NA())</f>
        <v>13.7</v>
      </c>
    </row>
    <row r="62" spans="1:87">
      <c r="B62" s="5"/>
      <c r="C62" s="70"/>
      <c r="D62" s="70"/>
      <c r="E62" s="70"/>
      <c r="F62" s="70"/>
      <c r="G62" s="70"/>
      <c r="H62" s="70"/>
      <c r="I62" s="70"/>
      <c r="J62" s="70"/>
      <c r="K62" s="70"/>
      <c r="L62" s="70"/>
      <c r="N62" s="126" t="s">
        <v>299</v>
      </c>
      <c r="P62" s="25"/>
      <c r="Q62" s="25"/>
      <c r="R62" s="25" t="s">
        <v>47</v>
      </c>
      <c r="S62" s="25"/>
      <c r="T62" s="36">
        <f t="shared" si="86"/>
        <v>17</v>
      </c>
      <c r="U62" s="36">
        <f t="shared" si="86"/>
        <v>8.6999999999999993</v>
      </c>
      <c r="V62" s="36">
        <f t="shared" si="86"/>
        <v>6.2</v>
      </c>
      <c r="W62" s="36">
        <f t="shared" si="86"/>
        <v>2.8</v>
      </c>
      <c r="X62" s="36">
        <f t="shared" si="86"/>
        <v>9.8000000000000007</v>
      </c>
      <c r="Y62" s="36">
        <f t="shared" si="86"/>
        <v>14.6</v>
      </c>
      <c r="Z62" s="36">
        <f t="shared" si="86"/>
        <v>16.7</v>
      </c>
      <c r="AA62" s="36">
        <f t="shared" si="86"/>
        <v>10.9</v>
      </c>
      <c r="AB62" s="36">
        <f t="shared" si="86"/>
        <v>6.5</v>
      </c>
      <c r="AC62" s="36">
        <f t="shared" si="86"/>
        <v>3.1</v>
      </c>
      <c r="AD62" s="36">
        <f t="shared" si="87"/>
        <v>3</v>
      </c>
      <c r="AE62" s="36">
        <f t="shared" si="87"/>
        <v>11.9</v>
      </c>
      <c r="AF62" s="36">
        <f t="shared" si="87"/>
        <v>13.9</v>
      </c>
      <c r="AG62" s="36">
        <f t="shared" si="87"/>
        <v>19.5</v>
      </c>
      <c r="AH62" s="36">
        <f t="shared" si="87"/>
        <v>9.3000000000000007</v>
      </c>
      <c r="AI62" s="36">
        <f t="shared" si="87"/>
        <v>16.100000000000001</v>
      </c>
      <c r="AJ62" s="36">
        <f t="shared" si="87"/>
        <v>14</v>
      </c>
      <c r="AK62" s="36">
        <f t="shared" si="87"/>
        <v>12.5</v>
      </c>
      <c r="AL62" s="36">
        <f t="shared" si="87"/>
        <v>16.3</v>
      </c>
      <c r="AM62" s="36">
        <f t="shared" si="87"/>
        <v>10.199999999999999</v>
      </c>
      <c r="AN62" s="36">
        <f t="shared" si="87"/>
        <v>13.7</v>
      </c>
      <c r="BJ62" s="600"/>
      <c r="BK62" s="601"/>
      <c r="BL62" s="601"/>
      <c r="BM62" s="601" t="s">
        <v>42</v>
      </c>
      <c r="BN62" s="601" t="s">
        <v>51</v>
      </c>
      <c r="BO62" s="602">
        <f t="shared" ref="BO62:CH62" si="92">IF($BJ26,VLOOKUP(BO$22&amp;"Male"&amp;"AllEth"&amp;25&amp;$BM62,Methodstable,9,FALSE),NA())</f>
        <v>17</v>
      </c>
      <c r="BP62" s="602">
        <f t="shared" si="92"/>
        <v>10.9</v>
      </c>
      <c r="BQ62" s="602">
        <f t="shared" si="92"/>
        <v>14.6</v>
      </c>
      <c r="BR62" s="602">
        <f t="shared" si="92"/>
        <v>19.399999999999999</v>
      </c>
      <c r="BS62" s="602">
        <f t="shared" si="92"/>
        <v>17.100000000000001</v>
      </c>
      <c r="BT62" s="602">
        <f t="shared" si="92"/>
        <v>6.2</v>
      </c>
      <c r="BU62" s="602">
        <f t="shared" si="92"/>
        <v>19.399999999999999</v>
      </c>
      <c r="BV62" s="602">
        <f t="shared" si="92"/>
        <v>21.7</v>
      </c>
      <c r="BW62" s="602">
        <f t="shared" si="92"/>
        <v>17.399999999999999</v>
      </c>
      <c r="BX62" s="602">
        <f t="shared" si="92"/>
        <v>18.8</v>
      </c>
      <c r="BY62" s="602">
        <f t="shared" si="92"/>
        <v>15.2</v>
      </c>
      <c r="BZ62" s="602">
        <f t="shared" si="92"/>
        <v>33.299999999999997</v>
      </c>
      <c r="CA62" s="602">
        <f t="shared" si="92"/>
        <v>30.6</v>
      </c>
      <c r="CB62" s="602">
        <f t="shared" si="92"/>
        <v>17.100000000000001</v>
      </c>
      <c r="CC62" s="602">
        <f t="shared" si="92"/>
        <v>23.3</v>
      </c>
      <c r="CD62" s="602">
        <f t="shared" si="92"/>
        <v>22.6</v>
      </c>
      <c r="CE62" s="602">
        <f t="shared" si="92"/>
        <v>18.600000000000001</v>
      </c>
      <c r="CF62" s="602">
        <f t="shared" si="92"/>
        <v>31.2</v>
      </c>
      <c r="CG62" s="602">
        <f t="shared" si="92"/>
        <v>22.4</v>
      </c>
      <c r="CH62" s="602">
        <f t="shared" si="92"/>
        <v>30.6</v>
      </c>
      <c r="CI62" s="602">
        <f t="shared" ref="CI62" si="93">IF($BJ26,VLOOKUP(CI$22&amp;"Male"&amp;"AllEth"&amp;25&amp;$BM62,Methodstable,9,FALSE),NA())</f>
        <v>11.8</v>
      </c>
    </row>
    <row r="63" spans="1:87">
      <c r="B63" s="5"/>
      <c r="C63" s="70"/>
      <c r="D63" s="70"/>
      <c r="E63" s="70"/>
      <c r="F63" s="70"/>
      <c r="G63" s="70"/>
      <c r="H63" s="70"/>
      <c r="I63" s="70"/>
      <c r="J63" s="70"/>
      <c r="K63" s="70"/>
      <c r="L63" s="70"/>
      <c r="P63" s="25"/>
      <c r="Q63" s="25"/>
      <c r="R63" s="25" t="s">
        <v>42</v>
      </c>
      <c r="S63" s="25"/>
      <c r="T63" s="36">
        <f t="shared" si="86"/>
        <v>17</v>
      </c>
      <c r="U63" s="36">
        <f t="shared" si="86"/>
        <v>10.9</v>
      </c>
      <c r="V63" s="36">
        <f t="shared" si="86"/>
        <v>14.6</v>
      </c>
      <c r="W63" s="36">
        <f t="shared" si="86"/>
        <v>19.399999999999999</v>
      </c>
      <c r="X63" s="36">
        <f t="shared" si="86"/>
        <v>17.100000000000001</v>
      </c>
      <c r="Y63" s="36">
        <f t="shared" si="86"/>
        <v>6.2</v>
      </c>
      <c r="Z63" s="36">
        <f t="shared" si="86"/>
        <v>19.399999999999999</v>
      </c>
      <c r="AA63" s="36">
        <f t="shared" si="86"/>
        <v>21.7</v>
      </c>
      <c r="AB63" s="36">
        <f t="shared" si="86"/>
        <v>17.399999999999999</v>
      </c>
      <c r="AC63" s="36">
        <f t="shared" si="86"/>
        <v>18.8</v>
      </c>
      <c r="AD63" s="36">
        <f t="shared" si="87"/>
        <v>15.2</v>
      </c>
      <c r="AE63" s="36">
        <f t="shared" si="87"/>
        <v>33.299999999999997</v>
      </c>
      <c r="AF63" s="36">
        <f t="shared" si="87"/>
        <v>30.6</v>
      </c>
      <c r="AG63" s="36">
        <f t="shared" si="87"/>
        <v>17.100000000000001</v>
      </c>
      <c r="AH63" s="36">
        <f t="shared" si="87"/>
        <v>23.3</v>
      </c>
      <c r="AI63" s="36">
        <f t="shared" si="87"/>
        <v>22.6</v>
      </c>
      <c r="AJ63" s="36">
        <f t="shared" si="87"/>
        <v>18.600000000000001</v>
      </c>
      <c r="AK63" s="36">
        <f t="shared" si="87"/>
        <v>31.2</v>
      </c>
      <c r="AL63" s="36">
        <f t="shared" si="87"/>
        <v>22.4</v>
      </c>
      <c r="AM63" s="36">
        <f t="shared" si="87"/>
        <v>30.6</v>
      </c>
      <c r="AN63" s="36">
        <f t="shared" si="87"/>
        <v>11.8</v>
      </c>
      <c r="BJ63" s="600"/>
      <c r="BK63" s="601"/>
      <c r="BL63" s="601"/>
      <c r="BM63" s="601" t="s">
        <v>44</v>
      </c>
      <c r="BN63" s="601" t="s">
        <v>51</v>
      </c>
      <c r="BO63" s="602" t="e">
        <f t="shared" ref="BO63:CH63" si="94">IF($BJ27,VLOOKUP(BO$22&amp;"Male"&amp;"AllEth"&amp;25&amp;$BM63,Methodstable,9,FALSE),NA())</f>
        <v>#N/A</v>
      </c>
      <c r="BP63" s="602" t="e">
        <f t="shared" si="94"/>
        <v>#N/A</v>
      </c>
      <c r="BQ63" s="602" t="e">
        <f t="shared" si="94"/>
        <v>#N/A</v>
      </c>
      <c r="BR63" s="602" t="e">
        <f t="shared" si="94"/>
        <v>#N/A</v>
      </c>
      <c r="BS63" s="602" t="e">
        <f t="shared" si="94"/>
        <v>#N/A</v>
      </c>
      <c r="BT63" s="602" t="e">
        <f t="shared" si="94"/>
        <v>#N/A</v>
      </c>
      <c r="BU63" s="602" t="e">
        <f t="shared" si="94"/>
        <v>#N/A</v>
      </c>
      <c r="BV63" s="602" t="e">
        <f t="shared" si="94"/>
        <v>#N/A</v>
      </c>
      <c r="BW63" s="602" t="e">
        <f t="shared" si="94"/>
        <v>#N/A</v>
      </c>
      <c r="BX63" s="602" t="e">
        <f t="shared" si="94"/>
        <v>#N/A</v>
      </c>
      <c r="BY63" s="602" t="e">
        <f t="shared" si="94"/>
        <v>#N/A</v>
      </c>
      <c r="BZ63" s="602" t="e">
        <f t="shared" si="94"/>
        <v>#N/A</v>
      </c>
      <c r="CA63" s="602" t="e">
        <f t="shared" si="94"/>
        <v>#N/A</v>
      </c>
      <c r="CB63" s="602" t="e">
        <f t="shared" si="94"/>
        <v>#N/A</v>
      </c>
      <c r="CC63" s="602" t="e">
        <f t="shared" si="94"/>
        <v>#N/A</v>
      </c>
      <c r="CD63" s="602" t="e">
        <f t="shared" si="94"/>
        <v>#N/A</v>
      </c>
      <c r="CE63" s="602" t="e">
        <f t="shared" si="94"/>
        <v>#N/A</v>
      </c>
      <c r="CF63" s="602" t="e">
        <f t="shared" si="94"/>
        <v>#N/A</v>
      </c>
      <c r="CG63" s="602" t="e">
        <f t="shared" si="94"/>
        <v>#N/A</v>
      </c>
      <c r="CH63" s="602" t="e">
        <f t="shared" si="94"/>
        <v>#N/A</v>
      </c>
      <c r="CI63" s="602" t="e">
        <f t="shared" ref="CI63" si="95">IF($BJ27,VLOOKUP(CI$22&amp;"Male"&amp;"AllEth"&amp;25&amp;$BM63,Methodstable,9,FALSE),NA())</f>
        <v>#N/A</v>
      </c>
    </row>
    <row r="64" spans="1:87" ht="12" customHeight="1">
      <c r="B64" s="5"/>
      <c r="C64" s="70"/>
      <c r="D64" s="70"/>
      <c r="E64" s="70"/>
      <c r="F64" s="70"/>
      <c r="G64" s="70"/>
      <c r="H64" s="70"/>
      <c r="I64" s="70"/>
      <c r="J64" s="70"/>
      <c r="K64" s="70"/>
      <c r="L64" s="70"/>
      <c r="P64" s="25"/>
      <c r="Q64" s="25"/>
      <c r="R64" s="25" t="s">
        <v>44</v>
      </c>
      <c r="S64" s="25"/>
      <c r="T64" s="36">
        <f t="shared" si="86"/>
        <v>1.9</v>
      </c>
      <c r="U64" s="36" t="str">
        <f t="shared" si="86"/>
        <v>0.0</v>
      </c>
      <c r="V64" s="36" t="str">
        <f t="shared" si="86"/>
        <v>0.0</v>
      </c>
      <c r="W64" s="36" t="str">
        <f t="shared" si="86"/>
        <v>0.0</v>
      </c>
      <c r="X64" s="36">
        <f t="shared" si="86"/>
        <v>7.3</v>
      </c>
      <c r="Y64" s="36" t="str">
        <f t="shared" si="86"/>
        <v>0.0</v>
      </c>
      <c r="Z64" s="36">
        <f t="shared" si="86"/>
        <v>13.9</v>
      </c>
      <c r="AA64" s="36" t="str">
        <f t="shared" si="86"/>
        <v>0.0</v>
      </c>
      <c r="AB64" s="36">
        <f t="shared" si="86"/>
        <v>6.5</v>
      </c>
      <c r="AC64" s="36">
        <f t="shared" si="86"/>
        <v>6.2</v>
      </c>
      <c r="AD64" s="36" t="str">
        <f t="shared" si="87"/>
        <v>0.0</v>
      </c>
      <c r="AE64" s="36" t="str">
        <f t="shared" si="87"/>
        <v>0.0</v>
      </c>
      <c r="AF64" s="36" t="str">
        <f t="shared" si="87"/>
        <v>0.0</v>
      </c>
      <c r="AG64" s="36" t="str">
        <f t="shared" si="87"/>
        <v>0.0</v>
      </c>
      <c r="AH64" s="36">
        <f t="shared" si="87"/>
        <v>2.2999999999999998</v>
      </c>
      <c r="AI64" s="36">
        <f t="shared" si="87"/>
        <v>3.2</v>
      </c>
      <c r="AJ64" s="36">
        <f t="shared" si="87"/>
        <v>2.2999999999999998</v>
      </c>
      <c r="AK64" s="36" t="str">
        <f t="shared" si="87"/>
        <v>0.0</v>
      </c>
      <c r="AL64" s="36" t="str">
        <f t="shared" si="87"/>
        <v>0.0</v>
      </c>
      <c r="AM64" s="36">
        <f t="shared" si="87"/>
        <v>6.1</v>
      </c>
      <c r="AN64" s="36">
        <f t="shared" si="87"/>
        <v>2</v>
      </c>
      <c r="BJ64" s="600"/>
      <c r="BK64" s="601"/>
      <c r="BL64" s="601"/>
      <c r="BM64" s="601" t="s">
        <v>49</v>
      </c>
      <c r="BN64" s="601" t="s">
        <v>51</v>
      </c>
      <c r="BO64" s="602" t="e">
        <f t="shared" ref="BO64:CH64" si="96">IF($BJ28,VLOOKUP(BO$22&amp;"Male"&amp;"AllEth"&amp;25&amp;$BM64,Methodstable,9,FALSE),NA())</f>
        <v>#N/A</v>
      </c>
      <c r="BP64" s="602" t="e">
        <f t="shared" si="96"/>
        <v>#N/A</v>
      </c>
      <c r="BQ64" s="602" t="e">
        <f t="shared" si="96"/>
        <v>#N/A</v>
      </c>
      <c r="BR64" s="602" t="e">
        <f t="shared" si="96"/>
        <v>#N/A</v>
      </c>
      <c r="BS64" s="602" t="e">
        <f t="shared" si="96"/>
        <v>#N/A</v>
      </c>
      <c r="BT64" s="602" t="e">
        <f t="shared" si="96"/>
        <v>#N/A</v>
      </c>
      <c r="BU64" s="602" t="e">
        <f t="shared" si="96"/>
        <v>#N/A</v>
      </c>
      <c r="BV64" s="602" t="e">
        <f t="shared" si="96"/>
        <v>#N/A</v>
      </c>
      <c r="BW64" s="602" t="e">
        <f t="shared" si="96"/>
        <v>#N/A</v>
      </c>
      <c r="BX64" s="602" t="e">
        <f t="shared" si="96"/>
        <v>#N/A</v>
      </c>
      <c r="BY64" s="602" t="e">
        <f t="shared" si="96"/>
        <v>#N/A</v>
      </c>
      <c r="BZ64" s="602" t="e">
        <f t="shared" si="96"/>
        <v>#N/A</v>
      </c>
      <c r="CA64" s="602" t="e">
        <f t="shared" si="96"/>
        <v>#N/A</v>
      </c>
      <c r="CB64" s="602" t="e">
        <f t="shared" si="96"/>
        <v>#N/A</v>
      </c>
      <c r="CC64" s="602" t="e">
        <f t="shared" si="96"/>
        <v>#N/A</v>
      </c>
      <c r="CD64" s="602" t="e">
        <f t="shared" si="96"/>
        <v>#N/A</v>
      </c>
      <c r="CE64" s="602" t="e">
        <f t="shared" si="96"/>
        <v>#N/A</v>
      </c>
      <c r="CF64" s="602" t="e">
        <f t="shared" si="96"/>
        <v>#N/A</v>
      </c>
      <c r="CG64" s="602" t="e">
        <f t="shared" si="96"/>
        <v>#N/A</v>
      </c>
      <c r="CH64" s="602" t="e">
        <f t="shared" si="96"/>
        <v>#N/A</v>
      </c>
      <c r="CI64" s="602" t="e">
        <f t="shared" ref="CI64" si="97">IF($BJ28,VLOOKUP(CI$22&amp;"Male"&amp;"AllEth"&amp;25&amp;$BM64,Methodstable,9,FALSE),NA())</f>
        <v>#N/A</v>
      </c>
    </row>
    <row r="65" spans="2:87">
      <c r="B65" s="5"/>
      <c r="C65" s="70"/>
      <c r="D65" s="70"/>
      <c r="E65" s="70"/>
      <c r="F65" s="70"/>
      <c r="G65" s="70"/>
      <c r="H65" s="70"/>
      <c r="I65" s="70"/>
      <c r="J65" s="70"/>
      <c r="K65" s="70"/>
      <c r="L65" s="70"/>
      <c r="P65" s="25"/>
      <c r="Q65" s="25"/>
      <c r="R65" s="25" t="s">
        <v>49</v>
      </c>
      <c r="S65" s="25"/>
      <c r="T65" s="36">
        <f t="shared" si="86"/>
        <v>7.5</v>
      </c>
      <c r="U65" s="36">
        <f t="shared" si="86"/>
        <v>6.5</v>
      </c>
      <c r="V65" s="36">
        <f t="shared" si="86"/>
        <v>2.1</v>
      </c>
      <c r="W65" s="36">
        <f t="shared" si="86"/>
        <v>11.1</v>
      </c>
      <c r="X65" s="36">
        <f t="shared" si="86"/>
        <v>4.9000000000000004</v>
      </c>
      <c r="Y65" s="36">
        <f t="shared" si="86"/>
        <v>2.1</v>
      </c>
      <c r="Z65" s="36">
        <f t="shared" si="86"/>
        <v>2.8</v>
      </c>
      <c r="AA65" s="36">
        <f t="shared" si="86"/>
        <v>2.2000000000000002</v>
      </c>
      <c r="AB65" s="36">
        <f t="shared" si="86"/>
        <v>6.5</v>
      </c>
      <c r="AC65" s="36" t="str">
        <f t="shared" si="86"/>
        <v>0.0</v>
      </c>
      <c r="AD65" s="36">
        <f t="shared" si="87"/>
        <v>3</v>
      </c>
      <c r="AE65" s="36">
        <f t="shared" si="87"/>
        <v>2.4</v>
      </c>
      <c r="AF65" s="36">
        <f t="shared" si="87"/>
        <v>2.8</v>
      </c>
      <c r="AG65" s="36">
        <f t="shared" si="87"/>
        <v>2.4</v>
      </c>
      <c r="AH65" s="36">
        <f t="shared" si="87"/>
        <v>2.2999999999999998</v>
      </c>
      <c r="AI65" s="36">
        <f t="shared" si="87"/>
        <v>9.6999999999999993</v>
      </c>
      <c r="AJ65" s="36">
        <f t="shared" si="87"/>
        <v>2.2999999999999998</v>
      </c>
      <c r="AK65" s="36">
        <f t="shared" si="87"/>
        <v>6.2</v>
      </c>
      <c r="AL65" s="36">
        <f t="shared" si="87"/>
        <v>4.0999999999999996</v>
      </c>
      <c r="AM65" s="36">
        <f t="shared" si="87"/>
        <v>10.199999999999999</v>
      </c>
      <c r="AN65" s="36">
        <f t="shared" si="87"/>
        <v>11.8</v>
      </c>
      <c r="BJ65" s="600"/>
      <c r="BK65" s="601"/>
      <c r="BL65" s="601"/>
      <c r="BM65" s="601" t="s">
        <v>48</v>
      </c>
      <c r="BN65" s="601" t="s">
        <v>51</v>
      </c>
      <c r="BO65" s="602" t="e">
        <f t="shared" ref="BO65:CH65" si="98">IF($BJ29,VLOOKUP(BO$22&amp;"Male"&amp;"AllEth"&amp;25&amp;$BM65,Methodstable,9,FALSE),NA())</f>
        <v>#N/A</v>
      </c>
      <c r="BP65" s="602" t="e">
        <f t="shared" si="98"/>
        <v>#N/A</v>
      </c>
      <c r="BQ65" s="602" t="e">
        <f t="shared" si="98"/>
        <v>#N/A</v>
      </c>
      <c r="BR65" s="602" t="e">
        <f t="shared" si="98"/>
        <v>#N/A</v>
      </c>
      <c r="BS65" s="602" t="e">
        <f t="shared" si="98"/>
        <v>#N/A</v>
      </c>
      <c r="BT65" s="602" t="e">
        <f t="shared" si="98"/>
        <v>#N/A</v>
      </c>
      <c r="BU65" s="602" t="e">
        <f t="shared" si="98"/>
        <v>#N/A</v>
      </c>
      <c r="BV65" s="602" t="e">
        <f t="shared" si="98"/>
        <v>#N/A</v>
      </c>
      <c r="BW65" s="602" t="e">
        <f t="shared" si="98"/>
        <v>#N/A</v>
      </c>
      <c r="BX65" s="602" t="e">
        <f t="shared" si="98"/>
        <v>#N/A</v>
      </c>
      <c r="BY65" s="602" t="e">
        <f t="shared" si="98"/>
        <v>#N/A</v>
      </c>
      <c r="BZ65" s="602" t="e">
        <f t="shared" si="98"/>
        <v>#N/A</v>
      </c>
      <c r="CA65" s="602" t="e">
        <f t="shared" si="98"/>
        <v>#N/A</v>
      </c>
      <c r="CB65" s="602" t="e">
        <f t="shared" si="98"/>
        <v>#N/A</v>
      </c>
      <c r="CC65" s="602" t="e">
        <f t="shared" si="98"/>
        <v>#N/A</v>
      </c>
      <c r="CD65" s="602" t="e">
        <f t="shared" si="98"/>
        <v>#N/A</v>
      </c>
      <c r="CE65" s="602" t="e">
        <f t="shared" si="98"/>
        <v>#N/A</v>
      </c>
      <c r="CF65" s="602" t="e">
        <f t="shared" si="98"/>
        <v>#N/A</v>
      </c>
      <c r="CG65" s="602" t="e">
        <f t="shared" si="98"/>
        <v>#N/A</v>
      </c>
      <c r="CH65" s="602" t="e">
        <f t="shared" si="98"/>
        <v>#N/A</v>
      </c>
      <c r="CI65" s="602" t="e">
        <f t="shared" ref="CI65" si="99">IF($BJ29,VLOOKUP(CI$22&amp;"Male"&amp;"AllEth"&amp;25&amp;$BM65,Methodstable,9,FALSE),NA())</f>
        <v>#N/A</v>
      </c>
    </row>
    <row r="66" spans="2:87">
      <c r="B66" s="5"/>
      <c r="C66" s="70"/>
      <c r="D66" s="70"/>
      <c r="E66" s="70"/>
      <c r="F66" s="70"/>
      <c r="G66" s="70"/>
      <c r="H66" s="70"/>
      <c r="I66" s="70"/>
      <c r="J66" s="70"/>
      <c r="K66" s="70"/>
      <c r="L66" s="70"/>
      <c r="P66" s="25"/>
      <c r="Q66" s="25"/>
      <c r="R66" s="25" t="s">
        <v>48</v>
      </c>
      <c r="S66" s="25"/>
      <c r="T66" s="36" t="str">
        <f t="shared" si="86"/>
        <v>0.0</v>
      </c>
      <c r="U66" s="36">
        <f t="shared" si="86"/>
        <v>6.5</v>
      </c>
      <c r="V66" s="36" t="str">
        <f t="shared" si="86"/>
        <v>0.0</v>
      </c>
      <c r="W66" s="36">
        <f t="shared" si="86"/>
        <v>2.8</v>
      </c>
      <c r="X66" s="36">
        <f t="shared" si="86"/>
        <v>2.4</v>
      </c>
      <c r="Y66" s="36">
        <f t="shared" si="86"/>
        <v>6.2</v>
      </c>
      <c r="Z66" s="36" t="str">
        <f t="shared" si="86"/>
        <v>0.0</v>
      </c>
      <c r="AA66" s="36">
        <f t="shared" si="86"/>
        <v>13</v>
      </c>
      <c r="AB66" s="36">
        <f t="shared" si="86"/>
        <v>6.5</v>
      </c>
      <c r="AC66" s="36">
        <f t="shared" si="86"/>
        <v>3.1</v>
      </c>
      <c r="AD66" s="36">
        <f t="shared" si="87"/>
        <v>6.1</v>
      </c>
      <c r="AE66" s="36">
        <f t="shared" si="87"/>
        <v>4.8</v>
      </c>
      <c r="AF66" s="36">
        <f t="shared" si="87"/>
        <v>5.6</v>
      </c>
      <c r="AG66" s="36">
        <f t="shared" si="87"/>
        <v>7.3</v>
      </c>
      <c r="AH66" s="36">
        <f t="shared" si="87"/>
        <v>2.2999999999999998</v>
      </c>
      <c r="AI66" s="36">
        <f t="shared" si="87"/>
        <v>9.6999999999999993</v>
      </c>
      <c r="AJ66" s="36">
        <f t="shared" si="87"/>
        <v>7</v>
      </c>
      <c r="AK66" s="36">
        <f t="shared" si="87"/>
        <v>2.1</v>
      </c>
      <c r="AL66" s="36" t="str">
        <f t="shared" si="87"/>
        <v>0.0</v>
      </c>
      <c r="AM66" s="36">
        <f t="shared" si="87"/>
        <v>4.0999999999999996</v>
      </c>
      <c r="AN66" s="36">
        <f t="shared" si="87"/>
        <v>5.9</v>
      </c>
      <c r="BJ66" s="600"/>
      <c r="BK66" s="601"/>
      <c r="BL66" s="601"/>
      <c r="BM66" s="601" t="s">
        <v>45</v>
      </c>
      <c r="BN66" s="601" t="s">
        <v>51</v>
      </c>
      <c r="BO66" s="602" t="e">
        <f t="shared" ref="BO66:CH66" si="100">IF($BJ30,VLOOKUP(BO$22&amp;"Male"&amp;"AllEth"&amp;25&amp;$BM66,Methodstable,9,FALSE),NA())</f>
        <v>#N/A</v>
      </c>
      <c r="BP66" s="602" t="e">
        <f t="shared" si="100"/>
        <v>#N/A</v>
      </c>
      <c r="BQ66" s="602" t="e">
        <f t="shared" si="100"/>
        <v>#N/A</v>
      </c>
      <c r="BR66" s="602" t="e">
        <f t="shared" si="100"/>
        <v>#N/A</v>
      </c>
      <c r="BS66" s="602" t="e">
        <f t="shared" si="100"/>
        <v>#N/A</v>
      </c>
      <c r="BT66" s="602" t="e">
        <f t="shared" si="100"/>
        <v>#N/A</v>
      </c>
      <c r="BU66" s="602" t="e">
        <f t="shared" si="100"/>
        <v>#N/A</v>
      </c>
      <c r="BV66" s="602" t="e">
        <f t="shared" si="100"/>
        <v>#N/A</v>
      </c>
      <c r="BW66" s="602" t="e">
        <f t="shared" si="100"/>
        <v>#N/A</v>
      </c>
      <c r="BX66" s="602" t="e">
        <f t="shared" si="100"/>
        <v>#N/A</v>
      </c>
      <c r="BY66" s="602" t="e">
        <f t="shared" si="100"/>
        <v>#N/A</v>
      </c>
      <c r="BZ66" s="602" t="e">
        <f t="shared" si="100"/>
        <v>#N/A</v>
      </c>
      <c r="CA66" s="602" t="e">
        <f t="shared" si="100"/>
        <v>#N/A</v>
      </c>
      <c r="CB66" s="602" t="e">
        <f t="shared" si="100"/>
        <v>#N/A</v>
      </c>
      <c r="CC66" s="602" t="e">
        <f t="shared" si="100"/>
        <v>#N/A</v>
      </c>
      <c r="CD66" s="602" t="e">
        <f t="shared" si="100"/>
        <v>#N/A</v>
      </c>
      <c r="CE66" s="602" t="e">
        <f t="shared" si="100"/>
        <v>#N/A</v>
      </c>
      <c r="CF66" s="602" t="e">
        <f t="shared" si="100"/>
        <v>#N/A</v>
      </c>
      <c r="CG66" s="602" t="e">
        <f t="shared" si="100"/>
        <v>#N/A</v>
      </c>
      <c r="CH66" s="602" t="e">
        <f t="shared" si="100"/>
        <v>#N/A</v>
      </c>
      <c r="CI66" s="602" t="e">
        <f t="shared" ref="CI66" si="101">IF($BJ30,VLOOKUP(CI$22&amp;"Male"&amp;"AllEth"&amp;25&amp;$BM66,Methodstable,9,FALSE),NA())</f>
        <v>#N/A</v>
      </c>
    </row>
    <row r="67" spans="2:87">
      <c r="B67" s="5"/>
      <c r="C67" s="70"/>
      <c r="D67" s="70"/>
      <c r="E67" s="70"/>
      <c r="F67" s="70"/>
      <c r="G67" s="70"/>
      <c r="H67" s="70"/>
      <c r="I67" s="70"/>
      <c r="J67" s="70"/>
      <c r="K67" s="70"/>
      <c r="L67" s="70"/>
      <c r="P67" s="25"/>
      <c r="Q67" s="25"/>
      <c r="R67" s="24" t="s">
        <v>45</v>
      </c>
      <c r="S67" s="24"/>
      <c r="T67" s="36">
        <f t="shared" si="86"/>
        <v>7.5</v>
      </c>
      <c r="U67" s="36">
        <f t="shared" si="86"/>
        <v>4.3</v>
      </c>
      <c r="V67" s="36">
        <f t="shared" si="86"/>
        <v>6.2</v>
      </c>
      <c r="W67" s="36">
        <f t="shared" si="86"/>
        <v>2.8</v>
      </c>
      <c r="X67" s="36">
        <f t="shared" si="86"/>
        <v>2.4</v>
      </c>
      <c r="Y67" s="36">
        <f t="shared" si="86"/>
        <v>12.5</v>
      </c>
      <c r="Z67" s="36" t="str">
        <f t="shared" si="86"/>
        <v>0.0</v>
      </c>
      <c r="AA67" s="36">
        <f t="shared" si="86"/>
        <v>2.2000000000000002</v>
      </c>
      <c r="AB67" s="36" t="str">
        <f t="shared" si="86"/>
        <v>0.0</v>
      </c>
      <c r="AC67" s="36">
        <f t="shared" si="86"/>
        <v>3.1</v>
      </c>
      <c r="AD67" s="36">
        <f t="shared" si="87"/>
        <v>9.1</v>
      </c>
      <c r="AE67" s="36">
        <f t="shared" si="87"/>
        <v>2.4</v>
      </c>
      <c r="AF67" s="36">
        <f t="shared" si="87"/>
        <v>2.8</v>
      </c>
      <c r="AG67" s="36">
        <f t="shared" si="87"/>
        <v>7.3</v>
      </c>
      <c r="AH67" s="36">
        <f t="shared" si="87"/>
        <v>2.2999999999999998</v>
      </c>
      <c r="AI67" s="36">
        <f t="shared" si="87"/>
        <v>6.5</v>
      </c>
      <c r="AJ67" s="36">
        <f t="shared" si="87"/>
        <v>4.7</v>
      </c>
      <c r="AK67" s="36">
        <f t="shared" si="87"/>
        <v>2.1</v>
      </c>
      <c r="AL67" s="36">
        <f t="shared" si="87"/>
        <v>2</v>
      </c>
      <c r="AM67" s="36">
        <f t="shared" si="87"/>
        <v>8.1999999999999993</v>
      </c>
      <c r="AN67" s="36">
        <f t="shared" si="87"/>
        <v>3.9</v>
      </c>
      <c r="BJ67" s="600"/>
      <c r="BK67" s="601"/>
      <c r="BL67" s="601"/>
      <c r="BM67" s="601"/>
      <c r="BN67" s="601"/>
      <c r="BO67" s="601"/>
      <c r="BP67" s="601"/>
      <c r="BQ67" s="601"/>
      <c r="BR67" s="601"/>
      <c r="BS67" s="601"/>
      <c r="BT67" s="601"/>
      <c r="BU67" s="601"/>
      <c r="BV67" s="601"/>
      <c r="BW67" s="601"/>
      <c r="BX67" s="601"/>
      <c r="BY67" s="601"/>
      <c r="BZ67" s="601"/>
      <c r="CA67" s="601"/>
      <c r="CB67" s="601"/>
      <c r="CC67" s="601"/>
      <c r="CD67" s="601"/>
      <c r="CE67" s="601"/>
      <c r="CF67" s="601"/>
      <c r="CG67" s="601"/>
      <c r="CH67" s="601"/>
      <c r="CI67" s="601"/>
    </row>
    <row r="68" spans="2:87">
      <c r="B68" s="5"/>
      <c r="C68" s="70"/>
      <c r="D68" s="70"/>
      <c r="E68" s="70"/>
      <c r="F68" s="70"/>
      <c r="G68" s="70"/>
      <c r="H68" s="70"/>
      <c r="I68" s="70"/>
      <c r="J68" s="70"/>
      <c r="K68" s="70"/>
      <c r="L68" s="70"/>
      <c r="P68" s="28"/>
      <c r="Q68" s="28"/>
      <c r="R68" s="26"/>
      <c r="S68" s="26"/>
      <c r="T68" s="29"/>
      <c r="U68" s="29"/>
      <c r="V68" s="29"/>
      <c r="W68" s="29"/>
      <c r="X68" s="29"/>
      <c r="Y68" s="29"/>
      <c r="Z68" s="29"/>
      <c r="AA68" s="29"/>
      <c r="AB68" s="29"/>
      <c r="AC68" s="29"/>
      <c r="AD68" s="29"/>
      <c r="AE68" s="29"/>
      <c r="AF68" s="29"/>
      <c r="AG68" s="29"/>
      <c r="AH68" s="29"/>
      <c r="AI68" s="29"/>
      <c r="AJ68" s="29"/>
      <c r="AK68" s="29"/>
      <c r="AL68" s="29"/>
      <c r="AM68" s="29"/>
      <c r="AN68" s="29"/>
      <c r="BJ68" s="600"/>
      <c r="BK68" s="601" t="s">
        <v>8</v>
      </c>
      <c r="BL68" s="601" t="s">
        <v>23</v>
      </c>
      <c r="BM68" s="601" t="s">
        <v>43</v>
      </c>
      <c r="BN68" s="601" t="s">
        <v>51</v>
      </c>
      <c r="BO68" s="602">
        <f t="shared" ref="BO68:CH68" si="102">IF($BJ23,IFERROR(VLOOKUP(BO$22&amp;"Female"&amp;"AllEth"&amp;22&amp;$BM68,Methodstable,9,FALSE),"0.0"),NA())</f>
        <v>44.7</v>
      </c>
      <c r="BP68" s="602">
        <f t="shared" si="102"/>
        <v>79.3</v>
      </c>
      <c r="BQ68" s="602">
        <f t="shared" si="102"/>
        <v>60</v>
      </c>
      <c r="BR68" s="602">
        <f t="shared" si="102"/>
        <v>75.7</v>
      </c>
      <c r="BS68" s="602">
        <f t="shared" si="102"/>
        <v>46.7</v>
      </c>
      <c r="BT68" s="602">
        <f t="shared" si="102"/>
        <v>52.2</v>
      </c>
      <c r="BU68" s="602">
        <f t="shared" si="102"/>
        <v>63.3</v>
      </c>
      <c r="BV68" s="602">
        <f t="shared" si="102"/>
        <v>61.3</v>
      </c>
      <c r="BW68" s="602">
        <f t="shared" si="102"/>
        <v>87.1</v>
      </c>
      <c r="BX68" s="602">
        <f t="shared" si="102"/>
        <v>76</v>
      </c>
      <c r="BY68" s="602">
        <f t="shared" si="102"/>
        <v>79.2</v>
      </c>
      <c r="BZ68" s="602">
        <f t="shared" si="102"/>
        <v>78.3</v>
      </c>
      <c r="CA68" s="602">
        <f t="shared" si="102"/>
        <v>76.3</v>
      </c>
      <c r="CB68" s="602">
        <f t="shared" si="102"/>
        <v>95.2</v>
      </c>
      <c r="CC68" s="602">
        <f t="shared" si="102"/>
        <v>76.5</v>
      </c>
      <c r="CD68" s="602">
        <f t="shared" si="102"/>
        <v>88.6</v>
      </c>
      <c r="CE68" s="602">
        <f t="shared" si="102"/>
        <v>95.1</v>
      </c>
      <c r="CF68" s="602">
        <f t="shared" si="102"/>
        <v>78.900000000000006</v>
      </c>
      <c r="CG68" s="602">
        <f t="shared" si="102"/>
        <v>85.7</v>
      </c>
      <c r="CH68" s="602">
        <f t="shared" si="102"/>
        <v>80.5</v>
      </c>
      <c r="CI68" s="602">
        <f t="shared" ref="CI68" si="103">IF($BJ23,IFERROR(VLOOKUP(CI$22&amp;"Female"&amp;"AllEth"&amp;22&amp;$BM68,Methodstable,9,FALSE),"0.0"),NA())</f>
        <v>73.099999999999994</v>
      </c>
    </row>
    <row r="69" spans="2:87">
      <c r="B69" s="5"/>
      <c r="C69" s="70"/>
      <c r="D69" s="70"/>
      <c r="E69" s="70"/>
      <c r="F69" s="70"/>
      <c r="G69" s="70"/>
      <c r="H69" s="70"/>
      <c r="I69" s="70"/>
      <c r="J69" s="70"/>
      <c r="K69" s="70"/>
      <c r="L69" s="70"/>
      <c r="P69" s="25" t="s">
        <v>8</v>
      </c>
      <c r="Q69" s="25" t="s">
        <v>150</v>
      </c>
      <c r="R69" s="24" t="s">
        <v>43</v>
      </c>
      <c r="S69" s="24" t="s">
        <v>303</v>
      </c>
      <c r="T69" s="36">
        <f t="shared" ref="T69:AC76" si="104">IFERROR(VLOOKUP(T$13&amp;"Female"&amp;"AllEth"&amp;22&amp;$R69,Methodstable,9,FALSE),"0.0")</f>
        <v>44.7</v>
      </c>
      <c r="U69" s="36">
        <f t="shared" si="104"/>
        <v>79.3</v>
      </c>
      <c r="V69" s="36">
        <f t="shared" si="104"/>
        <v>60</v>
      </c>
      <c r="W69" s="36">
        <f t="shared" si="104"/>
        <v>75.7</v>
      </c>
      <c r="X69" s="36">
        <f t="shared" si="104"/>
        <v>46.7</v>
      </c>
      <c r="Y69" s="36">
        <f t="shared" si="104"/>
        <v>52.2</v>
      </c>
      <c r="Z69" s="36">
        <f t="shared" si="104"/>
        <v>63.3</v>
      </c>
      <c r="AA69" s="36">
        <f t="shared" si="104"/>
        <v>61.3</v>
      </c>
      <c r="AB69" s="36">
        <f t="shared" si="104"/>
        <v>87.1</v>
      </c>
      <c r="AC69" s="36">
        <f t="shared" si="104"/>
        <v>76</v>
      </c>
      <c r="AD69" s="36">
        <f t="shared" ref="AD69:AN76" si="105">IFERROR(VLOOKUP(AD$13&amp;"Female"&amp;"AllEth"&amp;22&amp;$R69,Methodstable,9,FALSE),"0.0")</f>
        <v>79.2</v>
      </c>
      <c r="AE69" s="36">
        <f t="shared" si="105"/>
        <v>78.3</v>
      </c>
      <c r="AF69" s="36">
        <f t="shared" si="105"/>
        <v>76.3</v>
      </c>
      <c r="AG69" s="36">
        <f t="shared" si="105"/>
        <v>95.2</v>
      </c>
      <c r="AH69" s="36">
        <f t="shared" si="105"/>
        <v>76.5</v>
      </c>
      <c r="AI69" s="36">
        <f t="shared" si="105"/>
        <v>88.6</v>
      </c>
      <c r="AJ69" s="36">
        <f t="shared" si="105"/>
        <v>95.1</v>
      </c>
      <c r="AK69" s="36">
        <f t="shared" si="105"/>
        <v>78.900000000000006</v>
      </c>
      <c r="AL69" s="36">
        <f t="shared" si="105"/>
        <v>85.7</v>
      </c>
      <c r="AM69" s="36">
        <f t="shared" si="105"/>
        <v>80.5</v>
      </c>
      <c r="AN69" s="36">
        <f t="shared" si="105"/>
        <v>73.099999999999994</v>
      </c>
      <c r="BJ69" s="600"/>
      <c r="BK69" s="601"/>
      <c r="BL69" s="601"/>
      <c r="BM69" s="601" t="s">
        <v>46</v>
      </c>
      <c r="BN69" s="601" t="s">
        <v>51</v>
      </c>
      <c r="BO69" s="602">
        <f t="shared" ref="BO69:CH69" si="106">IF($BJ24,IFERROR(VLOOKUP(BO$22&amp;"Female"&amp;"AllEth"&amp;22&amp;$BM69,Methodstable,9,FALSE),"0.0"),NA())</f>
        <v>28.9</v>
      </c>
      <c r="BP69" s="602">
        <f t="shared" si="106"/>
        <v>3.4</v>
      </c>
      <c r="BQ69" s="602">
        <f t="shared" si="106"/>
        <v>5.7</v>
      </c>
      <c r="BR69" s="602">
        <f t="shared" si="106"/>
        <v>10.8</v>
      </c>
      <c r="BS69" s="602">
        <f t="shared" si="106"/>
        <v>26.7</v>
      </c>
      <c r="BT69" s="602">
        <f t="shared" si="106"/>
        <v>8.6999999999999993</v>
      </c>
      <c r="BU69" s="602">
        <f t="shared" si="106"/>
        <v>16.7</v>
      </c>
      <c r="BV69" s="602">
        <f t="shared" si="106"/>
        <v>16.100000000000001</v>
      </c>
      <c r="BW69" s="602">
        <f t="shared" si="106"/>
        <v>6.5</v>
      </c>
      <c r="BX69" s="602">
        <f t="shared" si="106"/>
        <v>4</v>
      </c>
      <c r="BY69" s="602">
        <f t="shared" si="106"/>
        <v>8.3000000000000007</v>
      </c>
      <c r="BZ69" s="602">
        <f t="shared" si="106"/>
        <v>8.6999999999999993</v>
      </c>
      <c r="CA69" s="602">
        <f t="shared" si="106"/>
        <v>2.6</v>
      </c>
      <c r="CB69" s="602" t="str">
        <f t="shared" si="106"/>
        <v>0.0</v>
      </c>
      <c r="CC69" s="602">
        <f t="shared" si="106"/>
        <v>5.9</v>
      </c>
      <c r="CD69" s="602" t="str">
        <f t="shared" si="106"/>
        <v>0.0</v>
      </c>
      <c r="CE69" s="602" t="str">
        <f t="shared" si="106"/>
        <v>0.0</v>
      </c>
      <c r="CF69" s="602" t="str">
        <f t="shared" si="106"/>
        <v>0.0</v>
      </c>
      <c r="CG69" s="602">
        <f t="shared" si="106"/>
        <v>4.8</v>
      </c>
      <c r="CH69" s="602" t="str">
        <f t="shared" si="106"/>
        <v>0.0</v>
      </c>
      <c r="CI69" s="602">
        <f t="shared" ref="CI69" si="107">IF($BJ24,IFERROR(VLOOKUP(CI$22&amp;"Female"&amp;"AllEth"&amp;22&amp;$BM69,Methodstable,9,FALSE),"0.0"),NA())</f>
        <v>7.7</v>
      </c>
    </row>
    <row r="70" spans="2:87">
      <c r="B70" s="5"/>
      <c r="C70" s="70"/>
      <c r="D70" s="70"/>
      <c r="E70" s="70"/>
      <c r="F70" s="70"/>
      <c r="G70" s="70"/>
      <c r="H70" s="70"/>
      <c r="I70" s="70"/>
      <c r="J70" s="70"/>
      <c r="K70" s="70"/>
      <c r="L70" s="70"/>
      <c r="P70" s="25"/>
      <c r="Q70" s="25"/>
      <c r="R70" s="24" t="s">
        <v>46</v>
      </c>
      <c r="S70" s="24"/>
      <c r="T70" s="36">
        <f t="shared" si="104"/>
        <v>28.9</v>
      </c>
      <c r="U70" s="36">
        <f t="shared" si="104"/>
        <v>3.4</v>
      </c>
      <c r="V70" s="36">
        <f t="shared" si="104"/>
        <v>5.7</v>
      </c>
      <c r="W70" s="36">
        <f t="shared" si="104"/>
        <v>10.8</v>
      </c>
      <c r="X70" s="36">
        <f t="shared" si="104"/>
        <v>26.7</v>
      </c>
      <c r="Y70" s="36">
        <f t="shared" si="104"/>
        <v>8.6999999999999993</v>
      </c>
      <c r="Z70" s="36">
        <f t="shared" si="104"/>
        <v>16.7</v>
      </c>
      <c r="AA70" s="36">
        <f t="shared" si="104"/>
        <v>16.100000000000001</v>
      </c>
      <c r="AB70" s="36">
        <f t="shared" si="104"/>
        <v>6.5</v>
      </c>
      <c r="AC70" s="36">
        <f t="shared" si="104"/>
        <v>4</v>
      </c>
      <c r="AD70" s="36">
        <f t="shared" si="105"/>
        <v>8.3000000000000007</v>
      </c>
      <c r="AE70" s="36">
        <f t="shared" si="105"/>
        <v>8.6999999999999993</v>
      </c>
      <c r="AF70" s="36">
        <f t="shared" si="105"/>
        <v>2.6</v>
      </c>
      <c r="AG70" s="36" t="str">
        <f t="shared" si="105"/>
        <v>0.0</v>
      </c>
      <c r="AH70" s="36">
        <f t="shared" si="105"/>
        <v>5.9</v>
      </c>
      <c r="AI70" s="36" t="str">
        <f t="shared" si="105"/>
        <v>0.0</v>
      </c>
      <c r="AJ70" s="36" t="str">
        <f t="shared" si="105"/>
        <v>0.0</v>
      </c>
      <c r="AK70" s="36" t="str">
        <f t="shared" si="105"/>
        <v>0.0</v>
      </c>
      <c r="AL70" s="36">
        <f t="shared" si="105"/>
        <v>4.8</v>
      </c>
      <c r="AM70" s="36" t="str">
        <f t="shared" si="105"/>
        <v>0.0</v>
      </c>
      <c r="AN70" s="36">
        <f t="shared" si="105"/>
        <v>7.7</v>
      </c>
      <c r="BJ70" s="600"/>
      <c r="BK70" s="601"/>
      <c r="BL70" s="601"/>
      <c r="BM70" s="601" t="s">
        <v>47</v>
      </c>
      <c r="BN70" s="601" t="s">
        <v>51</v>
      </c>
      <c r="BO70" s="602">
        <f t="shared" ref="BO70:CH70" si="108">IF($BJ25,IFERROR(VLOOKUP(BO$22&amp;"Female"&amp;"AllEth"&amp;22&amp;$BM70,Methodstable,9,FALSE),"0.0"),NA())</f>
        <v>21.1</v>
      </c>
      <c r="BP70" s="602">
        <f t="shared" si="108"/>
        <v>10.3</v>
      </c>
      <c r="BQ70" s="602">
        <f t="shared" si="108"/>
        <v>28.6</v>
      </c>
      <c r="BR70" s="602">
        <f t="shared" si="108"/>
        <v>8.1</v>
      </c>
      <c r="BS70" s="602">
        <f t="shared" si="108"/>
        <v>13.3</v>
      </c>
      <c r="BT70" s="602">
        <f t="shared" si="108"/>
        <v>21.7</v>
      </c>
      <c r="BU70" s="602">
        <f t="shared" si="108"/>
        <v>10</v>
      </c>
      <c r="BV70" s="602">
        <f t="shared" si="108"/>
        <v>9.6999999999999993</v>
      </c>
      <c r="BW70" s="602">
        <f t="shared" si="108"/>
        <v>6.5</v>
      </c>
      <c r="BX70" s="602">
        <f t="shared" si="108"/>
        <v>8</v>
      </c>
      <c r="BY70" s="602">
        <f t="shared" si="108"/>
        <v>8.3000000000000007</v>
      </c>
      <c r="BZ70" s="602">
        <f t="shared" si="108"/>
        <v>8.6999999999999993</v>
      </c>
      <c r="CA70" s="602">
        <f t="shared" si="108"/>
        <v>10.5</v>
      </c>
      <c r="CB70" s="602" t="str">
        <f t="shared" si="108"/>
        <v>0.0</v>
      </c>
      <c r="CC70" s="602">
        <f t="shared" si="108"/>
        <v>8.8000000000000007</v>
      </c>
      <c r="CD70" s="602">
        <f t="shared" si="108"/>
        <v>8.6</v>
      </c>
      <c r="CE70" s="602" t="str">
        <f t="shared" si="108"/>
        <v>0.0</v>
      </c>
      <c r="CF70" s="602">
        <f t="shared" si="108"/>
        <v>10.5</v>
      </c>
      <c r="CG70" s="602">
        <f t="shared" si="108"/>
        <v>4.8</v>
      </c>
      <c r="CH70" s="602">
        <f t="shared" si="108"/>
        <v>9.8000000000000007</v>
      </c>
      <c r="CI70" s="602">
        <f t="shared" ref="CI70" si="109">IF($BJ25,IFERROR(VLOOKUP(CI$22&amp;"Female"&amp;"AllEth"&amp;22&amp;$BM70,Methodstable,9,FALSE),"0.0"),NA())</f>
        <v>3.8</v>
      </c>
    </row>
    <row r="71" spans="2:87">
      <c r="B71" s="5"/>
      <c r="C71" s="70"/>
      <c r="D71" s="70"/>
      <c r="E71" s="70"/>
      <c r="F71" s="70"/>
      <c r="G71" s="70"/>
      <c r="H71" s="70"/>
      <c r="I71" s="70"/>
      <c r="J71" s="70"/>
      <c r="K71" s="70"/>
      <c r="L71" s="70"/>
      <c r="P71" s="25"/>
      <c r="Q71" s="25"/>
      <c r="R71" s="24" t="s">
        <v>47</v>
      </c>
      <c r="S71" s="24"/>
      <c r="T71" s="36">
        <f t="shared" si="104"/>
        <v>21.1</v>
      </c>
      <c r="U71" s="36">
        <f t="shared" si="104"/>
        <v>10.3</v>
      </c>
      <c r="V71" s="36">
        <f t="shared" si="104"/>
        <v>28.6</v>
      </c>
      <c r="W71" s="36">
        <f t="shared" si="104"/>
        <v>8.1</v>
      </c>
      <c r="X71" s="36">
        <f t="shared" si="104"/>
        <v>13.3</v>
      </c>
      <c r="Y71" s="36">
        <f t="shared" si="104"/>
        <v>21.7</v>
      </c>
      <c r="Z71" s="36">
        <f t="shared" si="104"/>
        <v>10</v>
      </c>
      <c r="AA71" s="36">
        <f t="shared" si="104"/>
        <v>9.6999999999999993</v>
      </c>
      <c r="AB71" s="36">
        <f t="shared" si="104"/>
        <v>6.5</v>
      </c>
      <c r="AC71" s="36">
        <f t="shared" si="104"/>
        <v>8</v>
      </c>
      <c r="AD71" s="36">
        <f t="shared" si="105"/>
        <v>8.3000000000000007</v>
      </c>
      <c r="AE71" s="36">
        <f t="shared" si="105"/>
        <v>8.6999999999999993</v>
      </c>
      <c r="AF71" s="36">
        <f t="shared" si="105"/>
        <v>10.5</v>
      </c>
      <c r="AG71" s="36" t="str">
        <f t="shared" si="105"/>
        <v>0.0</v>
      </c>
      <c r="AH71" s="36">
        <f t="shared" si="105"/>
        <v>8.8000000000000007</v>
      </c>
      <c r="AI71" s="36">
        <f t="shared" si="105"/>
        <v>8.6</v>
      </c>
      <c r="AJ71" s="36" t="str">
        <f t="shared" si="105"/>
        <v>0.0</v>
      </c>
      <c r="AK71" s="36">
        <f t="shared" si="105"/>
        <v>10.5</v>
      </c>
      <c r="AL71" s="36">
        <f t="shared" si="105"/>
        <v>4.8</v>
      </c>
      <c r="AM71" s="36">
        <f t="shared" si="105"/>
        <v>9.8000000000000007</v>
      </c>
      <c r="AN71" s="36">
        <f t="shared" si="105"/>
        <v>3.8</v>
      </c>
      <c r="BJ71" s="600"/>
      <c r="BK71" s="601"/>
      <c r="BL71" s="601"/>
      <c r="BM71" s="601" t="s">
        <v>42</v>
      </c>
      <c r="BN71" s="601" t="s">
        <v>51</v>
      </c>
      <c r="BO71" s="602" t="str">
        <f t="shared" ref="BO71:CH71" si="110">IF($BJ26,IFERROR(VLOOKUP(BO$22&amp;"Female"&amp;"AllEth"&amp;22&amp;$BM71,Methodstable,9,FALSE),"0.0"),NA())</f>
        <v>0.0</v>
      </c>
      <c r="BP71" s="602">
        <f t="shared" si="110"/>
        <v>3.4</v>
      </c>
      <c r="BQ71" s="602" t="str">
        <f t="shared" si="110"/>
        <v>0.0</v>
      </c>
      <c r="BR71" s="602">
        <f t="shared" si="110"/>
        <v>2.7</v>
      </c>
      <c r="BS71" s="602" t="str">
        <f t="shared" si="110"/>
        <v>0.0</v>
      </c>
      <c r="BT71" s="602" t="str">
        <f t="shared" si="110"/>
        <v>0.0</v>
      </c>
      <c r="BU71" s="602">
        <f t="shared" si="110"/>
        <v>3.3</v>
      </c>
      <c r="BV71" s="602">
        <f t="shared" si="110"/>
        <v>3.2</v>
      </c>
      <c r="BW71" s="602" t="str">
        <f t="shared" si="110"/>
        <v>0.0</v>
      </c>
      <c r="BX71" s="602">
        <f t="shared" si="110"/>
        <v>4</v>
      </c>
      <c r="BY71" s="602">
        <f t="shared" si="110"/>
        <v>4.2</v>
      </c>
      <c r="BZ71" s="602" t="str">
        <f t="shared" si="110"/>
        <v>0.0</v>
      </c>
      <c r="CA71" s="602">
        <f t="shared" si="110"/>
        <v>2.6</v>
      </c>
      <c r="CB71" s="602" t="str">
        <f t="shared" si="110"/>
        <v>0.0</v>
      </c>
      <c r="CC71" s="602">
        <f t="shared" si="110"/>
        <v>2.9</v>
      </c>
      <c r="CD71" s="602" t="str">
        <f t="shared" si="110"/>
        <v>0.0</v>
      </c>
      <c r="CE71" s="602" t="str">
        <f t="shared" si="110"/>
        <v>0.0</v>
      </c>
      <c r="CF71" s="602">
        <f t="shared" si="110"/>
        <v>2.6</v>
      </c>
      <c r="CG71" s="602" t="str">
        <f t="shared" si="110"/>
        <v>0.0</v>
      </c>
      <c r="CH71" s="602">
        <f t="shared" si="110"/>
        <v>2.4</v>
      </c>
      <c r="CI71" s="602" t="str">
        <f t="shared" ref="CI71" si="111">IF($BJ26,IFERROR(VLOOKUP(CI$22&amp;"Female"&amp;"AllEth"&amp;22&amp;$BM71,Methodstable,9,FALSE),"0.0"),NA())</f>
        <v>0.0</v>
      </c>
    </row>
    <row r="72" spans="2:87">
      <c r="B72" s="5"/>
      <c r="C72" s="70"/>
      <c r="D72" s="70"/>
      <c r="E72" s="70"/>
      <c r="F72" s="70"/>
      <c r="G72" s="70"/>
      <c r="H72" s="70"/>
      <c r="I72" s="70"/>
      <c r="J72" s="70"/>
      <c r="K72" s="70"/>
      <c r="L72" s="70"/>
      <c r="P72" s="25"/>
      <c r="Q72" s="25"/>
      <c r="R72" s="24" t="s">
        <v>42</v>
      </c>
      <c r="S72" s="24"/>
      <c r="T72" s="36" t="str">
        <f t="shared" si="104"/>
        <v>0.0</v>
      </c>
      <c r="U72" s="36">
        <f t="shared" si="104"/>
        <v>3.4</v>
      </c>
      <c r="V72" s="36" t="str">
        <f t="shared" si="104"/>
        <v>0.0</v>
      </c>
      <c r="W72" s="36">
        <f t="shared" si="104"/>
        <v>2.7</v>
      </c>
      <c r="X72" s="36" t="str">
        <f t="shared" si="104"/>
        <v>0.0</v>
      </c>
      <c r="Y72" s="36" t="str">
        <f t="shared" si="104"/>
        <v>0.0</v>
      </c>
      <c r="Z72" s="36">
        <f t="shared" si="104"/>
        <v>3.3</v>
      </c>
      <c r="AA72" s="36">
        <f t="shared" si="104"/>
        <v>3.2</v>
      </c>
      <c r="AB72" s="36" t="str">
        <f t="shared" si="104"/>
        <v>0.0</v>
      </c>
      <c r="AC72" s="36">
        <f t="shared" si="104"/>
        <v>4</v>
      </c>
      <c r="AD72" s="36">
        <f t="shared" si="105"/>
        <v>4.2</v>
      </c>
      <c r="AE72" s="36" t="str">
        <f t="shared" si="105"/>
        <v>0.0</v>
      </c>
      <c r="AF72" s="36">
        <f t="shared" si="105"/>
        <v>2.6</v>
      </c>
      <c r="AG72" s="36" t="str">
        <f t="shared" si="105"/>
        <v>0.0</v>
      </c>
      <c r="AH72" s="36">
        <f t="shared" si="105"/>
        <v>2.9</v>
      </c>
      <c r="AI72" s="36" t="str">
        <f t="shared" si="105"/>
        <v>0.0</v>
      </c>
      <c r="AJ72" s="36" t="str">
        <f t="shared" si="105"/>
        <v>0.0</v>
      </c>
      <c r="AK72" s="36">
        <f t="shared" si="105"/>
        <v>2.6</v>
      </c>
      <c r="AL72" s="36" t="str">
        <f t="shared" si="105"/>
        <v>0.0</v>
      </c>
      <c r="AM72" s="36">
        <f t="shared" si="105"/>
        <v>2.4</v>
      </c>
      <c r="AN72" s="36" t="str">
        <f t="shared" si="105"/>
        <v>0.0</v>
      </c>
      <c r="BJ72" s="600"/>
      <c r="BK72" s="601"/>
      <c r="BL72" s="601"/>
      <c r="BM72" s="601" t="s">
        <v>44</v>
      </c>
      <c r="BN72" s="601" t="s">
        <v>51</v>
      </c>
      <c r="BO72" s="602" t="e">
        <f t="shared" ref="BO72:CH72" si="112">IF($BJ27,IFERROR(VLOOKUP(BO$22&amp;"Female"&amp;"AllEth"&amp;22&amp;$BM72,Methodstable,9,FALSE),"0.0"),NA())</f>
        <v>#N/A</v>
      </c>
      <c r="BP72" s="602" t="e">
        <f t="shared" si="112"/>
        <v>#N/A</v>
      </c>
      <c r="BQ72" s="602" t="e">
        <f t="shared" si="112"/>
        <v>#N/A</v>
      </c>
      <c r="BR72" s="602" t="e">
        <f t="shared" si="112"/>
        <v>#N/A</v>
      </c>
      <c r="BS72" s="602" t="e">
        <f t="shared" si="112"/>
        <v>#N/A</v>
      </c>
      <c r="BT72" s="602" t="e">
        <f t="shared" si="112"/>
        <v>#N/A</v>
      </c>
      <c r="BU72" s="602" t="e">
        <f t="shared" si="112"/>
        <v>#N/A</v>
      </c>
      <c r="BV72" s="602" t="e">
        <f t="shared" si="112"/>
        <v>#N/A</v>
      </c>
      <c r="BW72" s="602" t="e">
        <f t="shared" si="112"/>
        <v>#N/A</v>
      </c>
      <c r="BX72" s="602" t="e">
        <f t="shared" si="112"/>
        <v>#N/A</v>
      </c>
      <c r="BY72" s="602" t="e">
        <f t="shared" si="112"/>
        <v>#N/A</v>
      </c>
      <c r="BZ72" s="602" t="e">
        <f t="shared" si="112"/>
        <v>#N/A</v>
      </c>
      <c r="CA72" s="602" t="e">
        <f t="shared" si="112"/>
        <v>#N/A</v>
      </c>
      <c r="CB72" s="602" t="e">
        <f t="shared" si="112"/>
        <v>#N/A</v>
      </c>
      <c r="CC72" s="602" t="e">
        <f t="shared" si="112"/>
        <v>#N/A</v>
      </c>
      <c r="CD72" s="602" t="e">
        <f t="shared" si="112"/>
        <v>#N/A</v>
      </c>
      <c r="CE72" s="602" t="e">
        <f t="shared" si="112"/>
        <v>#N/A</v>
      </c>
      <c r="CF72" s="602" t="e">
        <f t="shared" si="112"/>
        <v>#N/A</v>
      </c>
      <c r="CG72" s="602" t="e">
        <f t="shared" si="112"/>
        <v>#N/A</v>
      </c>
      <c r="CH72" s="602" t="e">
        <f t="shared" si="112"/>
        <v>#N/A</v>
      </c>
      <c r="CI72" s="602" t="e">
        <f t="shared" ref="CI72" si="113">IF($BJ27,IFERROR(VLOOKUP(CI$22&amp;"Female"&amp;"AllEth"&amp;22&amp;$BM72,Methodstable,9,FALSE),"0.0"),NA())</f>
        <v>#N/A</v>
      </c>
    </row>
    <row r="73" spans="2:87">
      <c r="B73" s="5"/>
      <c r="C73" s="76"/>
      <c r="D73" s="70"/>
      <c r="E73" s="108" t="s">
        <v>105</v>
      </c>
      <c r="F73" s="70"/>
      <c r="G73" s="70"/>
      <c r="H73" s="70"/>
      <c r="I73" s="108" t="s">
        <v>105</v>
      </c>
      <c r="J73" s="70"/>
      <c r="K73" s="70"/>
      <c r="L73" s="70"/>
      <c r="P73" s="25"/>
      <c r="Q73" s="25"/>
      <c r="R73" s="24" t="s">
        <v>44</v>
      </c>
      <c r="S73" s="24"/>
      <c r="T73" s="36">
        <f t="shared" si="104"/>
        <v>2.6</v>
      </c>
      <c r="U73" s="36" t="str">
        <f t="shared" si="104"/>
        <v>0.0</v>
      </c>
      <c r="V73" s="36" t="str">
        <f t="shared" si="104"/>
        <v>0.0</v>
      </c>
      <c r="W73" s="36">
        <f t="shared" si="104"/>
        <v>2.7</v>
      </c>
      <c r="X73" s="36">
        <f t="shared" si="104"/>
        <v>6.7</v>
      </c>
      <c r="Y73" s="36">
        <f t="shared" si="104"/>
        <v>8.6999999999999993</v>
      </c>
      <c r="Z73" s="36">
        <f t="shared" si="104"/>
        <v>3.3</v>
      </c>
      <c r="AA73" s="36">
        <f t="shared" si="104"/>
        <v>9.6999999999999993</v>
      </c>
      <c r="AB73" s="36" t="str">
        <f t="shared" si="104"/>
        <v>0.0</v>
      </c>
      <c r="AC73" s="36">
        <f t="shared" si="104"/>
        <v>4</v>
      </c>
      <c r="AD73" s="36" t="str">
        <f t="shared" si="105"/>
        <v>0.0</v>
      </c>
      <c r="AE73" s="36" t="str">
        <f t="shared" si="105"/>
        <v>0.0</v>
      </c>
      <c r="AF73" s="36" t="str">
        <f t="shared" si="105"/>
        <v>0.0</v>
      </c>
      <c r="AG73" s="36">
        <f t="shared" si="105"/>
        <v>4.8</v>
      </c>
      <c r="AH73" s="36" t="str">
        <f t="shared" si="105"/>
        <v>0.0</v>
      </c>
      <c r="AI73" s="36" t="str">
        <f t="shared" si="105"/>
        <v>0.0</v>
      </c>
      <c r="AJ73" s="36">
        <f t="shared" si="105"/>
        <v>4.9000000000000004</v>
      </c>
      <c r="AK73" s="36" t="str">
        <f t="shared" si="105"/>
        <v>0.0</v>
      </c>
      <c r="AL73" s="36" t="str">
        <f t="shared" si="105"/>
        <v>0.0</v>
      </c>
      <c r="AM73" s="36">
        <f t="shared" si="105"/>
        <v>2.4</v>
      </c>
      <c r="AN73" s="36">
        <f t="shared" si="105"/>
        <v>7.7</v>
      </c>
      <c r="BJ73" s="600"/>
      <c r="BK73" s="601"/>
      <c r="BL73" s="601"/>
      <c r="BM73" s="601" t="s">
        <v>49</v>
      </c>
      <c r="BN73" s="601" t="s">
        <v>51</v>
      </c>
      <c r="BO73" s="602" t="e">
        <f t="shared" ref="BO73:CH73" si="114">IF($BJ28,IFERROR(VLOOKUP(BO$22&amp;"Female"&amp;"AllEth"&amp;22&amp;$BM73,Methodstable,9,FALSE),"0.0"),NA())</f>
        <v>#N/A</v>
      </c>
      <c r="BP73" s="602" t="e">
        <f t="shared" si="114"/>
        <v>#N/A</v>
      </c>
      <c r="BQ73" s="602" t="e">
        <f t="shared" si="114"/>
        <v>#N/A</v>
      </c>
      <c r="BR73" s="602" t="e">
        <f t="shared" si="114"/>
        <v>#N/A</v>
      </c>
      <c r="BS73" s="602" t="e">
        <f t="shared" si="114"/>
        <v>#N/A</v>
      </c>
      <c r="BT73" s="602" t="e">
        <f t="shared" si="114"/>
        <v>#N/A</v>
      </c>
      <c r="BU73" s="602" t="e">
        <f t="shared" si="114"/>
        <v>#N/A</v>
      </c>
      <c r="BV73" s="602" t="e">
        <f t="shared" si="114"/>
        <v>#N/A</v>
      </c>
      <c r="BW73" s="602" t="e">
        <f t="shared" si="114"/>
        <v>#N/A</v>
      </c>
      <c r="BX73" s="602" t="e">
        <f t="shared" si="114"/>
        <v>#N/A</v>
      </c>
      <c r="BY73" s="602" t="e">
        <f t="shared" si="114"/>
        <v>#N/A</v>
      </c>
      <c r="BZ73" s="602" t="e">
        <f t="shared" si="114"/>
        <v>#N/A</v>
      </c>
      <c r="CA73" s="602" t="e">
        <f t="shared" si="114"/>
        <v>#N/A</v>
      </c>
      <c r="CB73" s="602" t="e">
        <f t="shared" si="114"/>
        <v>#N/A</v>
      </c>
      <c r="CC73" s="602" t="e">
        <f t="shared" si="114"/>
        <v>#N/A</v>
      </c>
      <c r="CD73" s="602" t="e">
        <f t="shared" si="114"/>
        <v>#N/A</v>
      </c>
      <c r="CE73" s="602" t="e">
        <f t="shared" si="114"/>
        <v>#N/A</v>
      </c>
      <c r="CF73" s="602" t="e">
        <f t="shared" si="114"/>
        <v>#N/A</v>
      </c>
      <c r="CG73" s="602" t="e">
        <f t="shared" si="114"/>
        <v>#N/A</v>
      </c>
      <c r="CH73" s="602" t="e">
        <f t="shared" si="114"/>
        <v>#N/A</v>
      </c>
      <c r="CI73" s="602" t="e">
        <f t="shared" ref="CI73" si="115">IF($BJ28,IFERROR(VLOOKUP(CI$22&amp;"Female"&amp;"AllEth"&amp;22&amp;$BM73,Methodstable,9,FALSE),"0.0"),NA())</f>
        <v>#N/A</v>
      </c>
    </row>
    <row r="74" spans="2:87">
      <c r="B74" s="5"/>
      <c r="C74" s="70"/>
      <c r="D74" s="70"/>
      <c r="E74" s="70"/>
      <c r="F74" s="70"/>
      <c r="G74" s="70"/>
      <c r="H74" s="70"/>
      <c r="I74" s="70"/>
      <c r="J74" s="70"/>
      <c r="K74" s="70"/>
      <c r="L74" s="70"/>
      <c r="P74" s="25"/>
      <c r="Q74" s="25"/>
      <c r="R74" s="24" t="s">
        <v>49</v>
      </c>
      <c r="S74" s="24"/>
      <c r="T74" s="36" t="str">
        <f t="shared" si="104"/>
        <v>0.0</v>
      </c>
      <c r="U74" s="36" t="str">
        <f t="shared" si="104"/>
        <v>0.0</v>
      </c>
      <c r="V74" s="36" t="str">
        <f t="shared" si="104"/>
        <v>0.0</v>
      </c>
      <c r="W74" s="36" t="str">
        <f t="shared" si="104"/>
        <v>0.0</v>
      </c>
      <c r="X74" s="36">
        <f t="shared" si="104"/>
        <v>6.7</v>
      </c>
      <c r="Y74" s="36">
        <f t="shared" si="104"/>
        <v>4.3</v>
      </c>
      <c r="Z74" s="36">
        <f t="shared" si="104"/>
        <v>3.3</v>
      </c>
      <c r="AA74" s="36" t="str">
        <f t="shared" si="104"/>
        <v>0.0</v>
      </c>
      <c r="AB74" s="36" t="str">
        <f t="shared" si="104"/>
        <v>0.0</v>
      </c>
      <c r="AC74" s="36" t="str">
        <f t="shared" si="104"/>
        <v>0.0</v>
      </c>
      <c r="AD74" s="36" t="str">
        <f t="shared" si="105"/>
        <v>0.0</v>
      </c>
      <c r="AE74" s="36">
        <f t="shared" si="105"/>
        <v>4.3</v>
      </c>
      <c r="AF74" s="36" t="str">
        <f t="shared" si="105"/>
        <v>0.0</v>
      </c>
      <c r="AG74" s="36" t="str">
        <f t="shared" si="105"/>
        <v>0.0</v>
      </c>
      <c r="AH74" s="36">
        <f t="shared" si="105"/>
        <v>2.9</v>
      </c>
      <c r="AI74" s="36">
        <f t="shared" si="105"/>
        <v>2.9</v>
      </c>
      <c r="AJ74" s="36" t="str">
        <f t="shared" si="105"/>
        <v>0.0</v>
      </c>
      <c r="AK74" s="36">
        <f t="shared" si="105"/>
        <v>7.9</v>
      </c>
      <c r="AL74" s="36" t="str">
        <f t="shared" si="105"/>
        <v>0.0</v>
      </c>
      <c r="AM74" s="36" t="str">
        <f t="shared" si="105"/>
        <v>0.0</v>
      </c>
      <c r="AN74" s="36" t="str">
        <f t="shared" si="105"/>
        <v>0.0</v>
      </c>
      <c r="BJ74" s="600"/>
      <c r="BK74" s="601"/>
      <c r="BL74" s="601"/>
      <c r="BM74" s="601" t="s">
        <v>48</v>
      </c>
      <c r="BN74" s="601" t="s">
        <v>51</v>
      </c>
      <c r="BO74" s="602" t="e">
        <f t="shared" ref="BO74:CH74" si="116">IF($BJ29,IFERROR(VLOOKUP(BO$22&amp;"Female"&amp;"AllEth"&amp;22&amp;$BM74,Methodstable,9,FALSE),"0.0"),NA())</f>
        <v>#N/A</v>
      </c>
      <c r="BP74" s="602" t="e">
        <f t="shared" si="116"/>
        <v>#N/A</v>
      </c>
      <c r="BQ74" s="602" t="e">
        <f t="shared" si="116"/>
        <v>#N/A</v>
      </c>
      <c r="BR74" s="602" t="e">
        <f t="shared" si="116"/>
        <v>#N/A</v>
      </c>
      <c r="BS74" s="602" t="e">
        <f t="shared" si="116"/>
        <v>#N/A</v>
      </c>
      <c r="BT74" s="602" t="e">
        <f t="shared" si="116"/>
        <v>#N/A</v>
      </c>
      <c r="BU74" s="602" t="e">
        <f t="shared" si="116"/>
        <v>#N/A</v>
      </c>
      <c r="BV74" s="602" t="e">
        <f t="shared" si="116"/>
        <v>#N/A</v>
      </c>
      <c r="BW74" s="602" t="e">
        <f t="shared" si="116"/>
        <v>#N/A</v>
      </c>
      <c r="BX74" s="602" t="e">
        <f t="shared" si="116"/>
        <v>#N/A</v>
      </c>
      <c r="BY74" s="602" t="e">
        <f t="shared" si="116"/>
        <v>#N/A</v>
      </c>
      <c r="BZ74" s="602" t="e">
        <f t="shared" si="116"/>
        <v>#N/A</v>
      </c>
      <c r="CA74" s="602" t="e">
        <f t="shared" si="116"/>
        <v>#N/A</v>
      </c>
      <c r="CB74" s="602" t="e">
        <f t="shared" si="116"/>
        <v>#N/A</v>
      </c>
      <c r="CC74" s="602" t="e">
        <f t="shared" si="116"/>
        <v>#N/A</v>
      </c>
      <c r="CD74" s="602" t="e">
        <f t="shared" si="116"/>
        <v>#N/A</v>
      </c>
      <c r="CE74" s="602" t="e">
        <f t="shared" si="116"/>
        <v>#N/A</v>
      </c>
      <c r="CF74" s="602" t="e">
        <f t="shared" si="116"/>
        <v>#N/A</v>
      </c>
      <c r="CG74" s="602" t="e">
        <f t="shared" si="116"/>
        <v>#N/A</v>
      </c>
      <c r="CH74" s="602" t="e">
        <f t="shared" si="116"/>
        <v>#N/A</v>
      </c>
      <c r="CI74" s="602" t="e">
        <f t="shared" ref="CI74" si="117">IF($BJ29,IFERROR(VLOOKUP(CI$22&amp;"Female"&amp;"AllEth"&amp;22&amp;$BM74,Methodstable,9,FALSE),"0.0"),NA())</f>
        <v>#N/A</v>
      </c>
    </row>
    <row r="75" spans="2:87">
      <c r="B75" s="5"/>
      <c r="C75" s="70"/>
      <c r="D75" s="70"/>
      <c r="E75" s="70"/>
      <c r="F75" s="70"/>
      <c r="G75" s="70"/>
      <c r="H75" s="70"/>
      <c r="I75" s="70"/>
      <c r="J75" s="70"/>
      <c r="K75" s="70"/>
      <c r="L75" s="70"/>
      <c r="P75" s="25"/>
      <c r="Q75" s="25"/>
      <c r="R75" s="24" t="s">
        <v>48</v>
      </c>
      <c r="S75" s="24"/>
      <c r="T75" s="36" t="str">
        <f t="shared" si="104"/>
        <v>0.0</v>
      </c>
      <c r="U75" s="36" t="str">
        <f t="shared" si="104"/>
        <v>0.0</v>
      </c>
      <c r="V75" s="36" t="str">
        <f t="shared" si="104"/>
        <v>0.0</v>
      </c>
      <c r="W75" s="36" t="str">
        <f t="shared" si="104"/>
        <v>0.0</v>
      </c>
      <c r="X75" s="36" t="str">
        <f t="shared" si="104"/>
        <v>0.0</v>
      </c>
      <c r="Y75" s="36" t="str">
        <f t="shared" si="104"/>
        <v>0.0</v>
      </c>
      <c r="Z75" s="36" t="str">
        <f t="shared" si="104"/>
        <v>0.0</v>
      </c>
      <c r="AA75" s="36" t="str">
        <f t="shared" si="104"/>
        <v>0.0</v>
      </c>
      <c r="AB75" s="36" t="str">
        <f t="shared" si="104"/>
        <v>0.0</v>
      </c>
      <c r="AC75" s="36" t="str">
        <f t="shared" si="104"/>
        <v>0.0</v>
      </c>
      <c r="AD75" s="36" t="str">
        <f t="shared" si="105"/>
        <v>0.0</v>
      </c>
      <c r="AE75" s="36" t="str">
        <f t="shared" si="105"/>
        <v>0.0</v>
      </c>
      <c r="AF75" s="36">
        <f t="shared" si="105"/>
        <v>2.6</v>
      </c>
      <c r="AG75" s="36" t="str">
        <f t="shared" si="105"/>
        <v>0.0</v>
      </c>
      <c r="AH75" s="36" t="str">
        <f t="shared" si="105"/>
        <v>0.0</v>
      </c>
      <c r="AI75" s="36" t="str">
        <f t="shared" si="105"/>
        <v>0.0</v>
      </c>
      <c r="AJ75" s="36" t="str">
        <f t="shared" si="105"/>
        <v>0.0</v>
      </c>
      <c r="AK75" s="36" t="str">
        <f t="shared" si="105"/>
        <v>0.0</v>
      </c>
      <c r="AL75" s="36">
        <f t="shared" si="105"/>
        <v>4.8</v>
      </c>
      <c r="AM75" s="36" t="str">
        <f t="shared" si="105"/>
        <v>0.0</v>
      </c>
      <c r="AN75" s="36">
        <f t="shared" si="105"/>
        <v>3.8</v>
      </c>
      <c r="BJ75" s="600"/>
      <c r="BK75" s="601"/>
      <c r="BL75" s="601"/>
      <c r="BM75" s="601" t="s">
        <v>45</v>
      </c>
      <c r="BN75" s="601" t="s">
        <v>51</v>
      </c>
      <c r="BO75" s="602" t="e">
        <f t="shared" ref="BO75:CH75" si="118">IF($BJ30,IFERROR(VLOOKUP(BO$22&amp;"Female"&amp;"AllEth"&amp;22&amp;$BM75,Methodstable,9,FALSE),"0.0"),NA())</f>
        <v>#N/A</v>
      </c>
      <c r="BP75" s="602" t="e">
        <f t="shared" si="118"/>
        <v>#N/A</v>
      </c>
      <c r="BQ75" s="602" t="e">
        <f t="shared" si="118"/>
        <v>#N/A</v>
      </c>
      <c r="BR75" s="602" t="e">
        <f t="shared" si="118"/>
        <v>#N/A</v>
      </c>
      <c r="BS75" s="602" t="e">
        <f t="shared" si="118"/>
        <v>#N/A</v>
      </c>
      <c r="BT75" s="602" t="e">
        <f t="shared" si="118"/>
        <v>#N/A</v>
      </c>
      <c r="BU75" s="602" t="e">
        <f t="shared" si="118"/>
        <v>#N/A</v>
      </c>
      <c r="BV75" s="602" t="e">
        <f t="shared" si="118"/>
        <v>#N/A</v>
      </c>
      <c r="BW75" s="602" t="e">
        <f t="shared" si="118"/>
        <v>#N/A</v>
      </c>
      <c r="BX75" s="602" t="e">
        <f t="shared" si="118"/>
        <v>#N/A</v>
      </c>
      <c r="BY75" s="602" t="e">
        <f t="shared" si="118"/>
        <v>#N/A</v>
      </c>
      <c r="BZ75" s="602" t="e">
        <f t="shared" si="118"/>
        <v>#N/A</v>
      </c>
      <c r="CA75" s="602" t="e">
        <f t="shared" si="118"/>
        <v>#N/A</v>
      </c>
      <c r="CB75" s="602" t="e">
        <f t="shared" si="118"/>
        <v>#N/A</v>
      </c>
      <c r="CC75" s="602" t="e">
        <f t="shared" si="118"/>
        <v>#N/A</v>
      </c>
      <c r="CD75" s="602" t="e">
        <f t="shared" si="118"/>
        <v>#N/A</v>
      </c>
      <c r="CE75" s="602" t="e">
        <f t="shared" si="118"/>
        <v>#N/A</v>
      </c>
      <c r="CF75" s="602" t="e">
        <f t="shared" si="118"/>
        <v>#N/A</v>
      </c>
      <c r="CG75" s="602" t="e">
        <f t="shared" si="118"/>
        <v>#N/A</v>
      </c>
      <c r="CH75" s="602" t="e">
        <f t="shared" si="118"/>
        <v>#N/A</v>
      </c>
      <c r="CI75" s="602" t="e">
        <f t="shared" ref="CI75" si="119">IF($BJ30,IFERROR(VLOOKUP(CI$22&amp;"Female"&amp;"AllEth"&amp;22&amp;$BM75,Methodstable,9,FALSE),"0.0"),NA())</f>
        <v>#N/A</v>
      </c>
    </row>
    <row r="76" spans="2:87">
      <c r="B76" s="5"/>
      <c r="C76" s="70"/>
      <c r="D76" s="70"/>
      <c r="E76" s="70"/>
      <c r="F76" s="70"/>
      <c r="G76" s="70"/>
      <c r="H76" s="70"/>
      <c r="I76" s="70"/>
      <c r="J76" s="70"/>
      <c r="K76" s="70"/>
      <c r="L76" s="70"/>
      <c r="P76" s="25"/>
      <c r="Q76" s="25"/>
      <c r="R76" s="24" t="s">
        <v>45</v>
      </c>
      <c r="S76" s="24"/>
      <c r="T76" s="36">
        <f t="shared" si="104"/>
        <v>2.6</v>
      </c>
      <c r="U76" s="36">
        <f t="shared" si="104"/>
        <v>3.4</v>
      </c>
      <c r="V76" s="36">
        <f t="shared" si="104"/>
        <v>5.7</v>
      </c>
      <c r="W76" s="36" t="str">
        <f t="shared" si="104"/>
        <v>0.0</v>
      </c>
      <c r="X76" s="36" t="str">
        <f t="shared" si="104"/>
        <v>0.0</v>
      </c>
      <c r="Y76" s="36">
        <f t="shared" si="104"/>
        <v>4.3</v>
      </c>
      <c r="Z76" s="36" t="str">
        <f t="shared" si="104"/>
        <v>0.0</v>
      </c>
      <c r="AA76" s="36" t="str">
        <f t="shared" si="104"/>
        <v>0.0</v>
      </c>
      <c r="AB76" s="36" t="str">
        <f t="shared" si="104"/>
        <v>0.0</v>
      </c>
      <c r="AC76" s="36">
        <f t="shared" si="104"/>
        <v>4</v>
      </c>
      <c r="AD76" s="36" t="str">
        <f t="shared" si="105"/>
        <v>0.0</v>
      </c>
      <c r="AE76" s="36" t="str">
        <f t="shared" si="105"/>
        <v>0.0</v>
      </c>
      <c r="AF76" s="36">
        <f t="shared" si="105"/>
        <v>5.3</v>
      </c>
      <c r="AG76" s="36" t="str">
        <f t="shared" si="105"/>
        <v>0.0</v>
      </c>
      <c r="AH76" s="36">
        <f t="shared" si="105"/>
        <v>2.9</v>
      </c>
      <c r="AI76" s="36" t="str">
        <f t="shared" si="105"/>
        <v>0.0</v>
      </c>
      <c r="AJ76" s="36" t="str">
        <f t="shared" si="105"/>
        <v>0.0</v>
      </c>
      <c r="AK76" s="36" t="str">
        <f t="shared" si="105"/>
        <v>0.0</v>
      </c>
      <c r="AL76" s="36" t="str">
        <f t="shared" si="105"/>
        <v>0.0</v>
      </c>
      <c r="AM76" s="36">
        <f t="shared" si="105"/>
        <v>4.9000000000000004</v>
      </c>
      <c r="AN76" s="36">
        <f t="shared" si="105"/>
        <v>3.8</v>
      </c>
      <c r="BJ76" s="600"/>
      <c r="BK76" s="601"/>
      <c r="BL76" s="601"/>
      <c r="BM76" s="601"/>
      <c r="BN76" s="601"/>
      <c r="BO76" s="601"/>
      <c r="BP76" s="601"/>
      <c r="BQ76" s="601"/>
      <c r="BR76" s="601"/>
      <c r="BS76" s="601"/>
      <c r="BT76" s="601"/>
      <c r="BU76" s="601"/>
      <c r="BV76" s="601"/>
      <c r="BW76" s="601"/>
      <c r="BX76" s="601"/>
      <c r="BY76" s="601"/>
      <c r="BZ76" s="601"/>
      <c r="CA76" s="601"/>
      <c r="CB76" s="601"/>
      <c r="CC76" s="601"/>
      <c r="CD76" s="601"/>
      <c r="CE76" s="601"/>
      <c r="CF76" s="601"/>
      <c r="CG76" s="601"/>
      <c r="CH76" s="601"/>
      <c r="CI76" s="601"/>
    </row>
    <row r="77" spans="2:87">
      <c r="B77" s="5"/>
      <c r="C77" s="70"/>
      <c r="D77" s="70"/>
      <c r="E77" s="70"/>
      <c r="F77" s="70"/>
      <c r="G77" s="70"/>
      <c r="H77" s="70"/>
      <c r="I77" s="70"/>
      <c r="J77" s="70"/>
      <c r="K77" s="70"/>
      <c r="L77" s="70"/>
      <c r="P77" s="28"/>
      <c r="Q77" s="28"/>
      <c r="R77" s="26"/>
      <c r="S77" s="26"/>
      <c r="T77" s="38"/>
      <c r="U77" s="38"/>
      <c r="V77" s="38"/>
      <c r="W77" s="38"/>
      <c r="X77" s="38"/>
      <c r="Y77" s="38"/>
      <c r="Z77" s="38"/>
      <c r="AA77" s="38"/>
      <c r="AB77" s="38"/>
      <c r="AC77" s="38"/>
      <c r="AD77" s="38"/>
      <c r="AE77" s="38"/>
      <c r="AF77" s="38"/>
      <c r="AG77" s="38"/>
      <c r="AH77" s="38"/>
      <c r="AI77" s="38"/>
      <c r="AJ77" s="38"/>
      <c r="AK77" s="38"/>
      <c r="AL77" s="38"/>
      <c r="AM77" s="38"/>
      <c r="AN77" s="38"/>
      <c r="BJ77" s="600"/>
      <c r="BK77" s="601" t="s">
        <v>8</v>
      </c>
      <c r="BL77" s="601" t="s">
        <v>24</v>
      </c>
      <c r="BM77" s="601" t="s">
        <v>43</v>
      </c>
      <c r="BN77" s="601" t="s">
        <v>51</v>
      </c>
      <c r="BO77" s="602">
        <f t="shared" ref="BO77:CH77" si="120">IF($BJ23,IFERROR(VLOOKUP(BO$22&amp;"Female"&amp;"AllEth"&amp;23&amp;$BM77,Methodstable,9,FALSE),"0.0"),NA())</f>
        <v>32.4</v>
      </c>
      <c r="BP77" s="602">
        <f t="shared" si="120"/>
        <v>23.6</v>
      </c>
      <c r="BQ77" s="602">
        <f t="shared" si="120"/>
        <v>59.3</v>
      </c>
      <c r="BR77" s="602">
        <f t="shared" si="120"/>
        <v>32.700000000000003</v>
      </c>
      <c r="BS77" s="602">
        <f t="shared" si="120"/>
        <v>34.200000000000003</v>
      </c>
      <c r="BT77" s="602">
        <f t="shared" si="120"/>
        <v>40</v>
      </c>
      <c r="BU77" s="602">
        <f t="shared" si="120"/>
        <v>34</v>
      </c>
      <c r="BV77" s="602">
        <f t="shared" si="120"/>
        <v>42.6</v>
      </c>
      <c r="BW77" s="602">
        <f t="shared" si="120"/>
        <v>37.5</v>
      </c>
      <c r="BX77" s="602">
        <f t="shared" si="120"/>
        <v>46.6</v>
      </c>
      <c r="BY77" s="602">
        <f t="shared" si="120"/>
        <v>51.7</v>
      </c>
      <c r="BZ77" s="602">
        <f t="shared" si="120"/>
        <v>35.4</v>
      </c>
      <c r="CA77" s="602">
        <f t="shared" si="120"/>
        <v>59.2</v>
      </c>
      <c r="CB77" s="602">
        <f t="shared" si="120"/>
        <v>43.9</v>
      </c>
      <c r="CC77" s="602">
        <f t="shared" si="120"/>
        <v>52.8</v>
      </c>
      <c r="CD77" s="602">
        <f t="shared" si="120"/>
        <v>60.6</v>
      </c>
      <c r="CE77" s="602">
        <f t="shared" si="120"/>
        <v>48.8</v>
      </c>
      <c r="CF77" s="602">
        <f t="shared" si="120"/>
        <v>63.8</v>
      </c>
      <c r="CG77" s="602">
        <f t="shared" si="120"/>
        <v>74</v>
      </c>
      <c r="CH77" s="602">
        <f t="shared" si="120"/>
        <v>69.400000000000006</v>
      </c>
      <c r="CI77" s="602">
        <f t="shared" ref="CI77" si="121">IF($BJ23,IFERROR(VLOOKUP(CI$22&amp;"Female"&amp;"AllEth"&amp;23&amp;$BM77,Methodstable,9,FALSE),"0.0"),NA())</f>
        <v>70.2</v>
      </c>
    </row>
    <row r="78" spans="2:87">
      <c r="B78" s="5"/>
      <c r="C78" s="70"/>
      <c r="D78" s="70"/>
      <c r="E78" s="70"/>
      <c r="F78" s="70"/>
      <c r="G78" s="70"/>
      <c r="H78" s="70"/>
      <c r="I78" s="70"/>
      <c r="J78" s="70"/>
      <c r="K78" s="70"/>
      <c r="L78" s="70"/>
      <c r="P78" s="25" t="s">
        <v>8</v>
      </c>
      <c r="Q78" s="25" t="s">
        <v>35</v>
      </c>
      <c r="R78" s="24" t="s">
        <v>43</v>
      </c>
      <c r="S78" s="24" t="s">
        <v>303</v>
      </c>
      <c r="T78" s="36">
        <f t="shared" ref="T78:AM78" si="122">IFERROR(VLOOKUP(T$13&amp;"Female"&amp;"AllEth"&amp;23&amp;$R69,Methodstable,9,FALSE),"0.0")</f>
        <v>32.4</v>
      </c>
      <c r="U78" s="36">
        <f t="shared" si="122"/>
        <v>23.6</v>
      </c>
      <c r="V78" s="36">
        <f t="shared" si="122"/>
        <v>59.3</v>
      </c>
      <c r="W78" s="36">
        <f t="shared" si="122"/>
        <v>32.700000000000003</v>
      </c>
      <c r="X78" s="36">
        <f t="shared" si="122"/>
        <v>34.200000000000003</v>
      </c>
      <c r="Y78" s="36">
        <f t="shared" si="122"/>
        <v>40</v>
      </c>
      <c r="Z78" s="36">
        <f t="shared" si="122"/>
        <v>34</v>
      </c>
      <c r="AA78" s="36">
        <f t="shared" si="122"/>
        <v>42.6</v>
      </c>
      <c r="AB78" s="36">
        <f t="shared" si="122"/>
        <v>37.5</v>
      </c>
      <c r="AC78" s="36">
        <f t="shared" si="122"/>
        <v>46.6</v>
      </c>
      <c r="AD78" s="36">
        <f t="shared" si="122"/>
        <v>51.7</v>
      </c>
      <c r="AE78" s="36">
        <f t="shared" si="122"/>
        <v>35.4</v>
      </c>
      <c r="AF78" s="36">
        <f t="shared" si="122"/>
        <v>59.2</v>
      </c>
      <c r="AG78" s="36">
        <f t="shared" si="122"/>
        <v>43.9</v>
      </c>
      <c r="AH78" s="36">
        <f t="shared" si="122"/>
        <v>52.8</v>
      </c>
      <c r="AI78" s="36">
        <f t="shared" si="122"/>
        <v>60.6</v>
      </c>
      <c r="AJ78" s="36">
        <f t="shared" si="122"/>
        <v>48.8</v>
      </c>
      <c r="AK78" s="36">
        <f t="shared" si="122"/>
        <v>63.8</v>
      </c>
      <c r="AL78" s="36">
        <f t="shared" si="122"/>
        <v>74</v>
      </c>
      <c r="AM78" s="36">
        <f t="shared" si="122"/>
        <v>69.400000000000006</v>
      </c>
      <c r="AN78" s="36">
        <f t="shared" ref="AN78" si="123">IFERROR(VLOOKUP(AN$13&amp;"Female"&amp;"AllEth"&amp;23&amp;$R69,Methodstable,9,FALSE),"0.0")</f>
        <v>70.2</v>
      </c>
      <c r="BJ78" s="600"/>
      <c r="BK78" s="601"/>
      <c r="BL78" s="601"/>
      <c r="BM78" s="601" t="s">
        <v>46</v>
      </c>
      <c r="BN78" s="601" t="s">
        <v>51</v>
      </c>
      <c r="BO78" s="602">
        <f t="shared" ref="BO78:CH78" si="124">IF($BJ24,IFERROR(VLOOKUP(BO$22&amp;"Female"&amp;"AllEth"&amp;23&amp;$BM78,Methodstable,9,FALSE),"0.0"),NA())</f>
        <v>32.4</v>
      </c>
      <c r="BP78" s="602">
        <f t="shared" si="124"/>
        <v>32.700000000000003</v>
      </c>
      <c r="BQ78" s="602">
        <f t="shared" si="124"/>
        <v>14.8</v>
      </c>
      <c r="BR78" s="602">
        <f t="shared" si="124"/>
        <v>25.5</v>
      </c>
      <c r="BS78" s="602">
        <f t="shared" si="124"/>
        <v>23.7</v>
      </c>
      <c r="BT78" s="602">
        <f t="shared" si="124"/>
        <v>24</v>
      </c>
      <c r="BU78" s="602">
        <f t="shared" si="124"/>
        <v>25.5</v>
      </c>
      <c r="BV78" s="602">
        <f t="shared" si="124"/>
        <v>24.1</v>
      </c>
      <c r="BW78" s="602">
        <f t="shared" si="124"/>
        <v>22.5</v>
      </c>
      <c r="BX78" s="602">
        <f t="shared" si="124"/>
        <v>19</v>
      </c>
      <c r="BY78" s="602">
        <f t="shared" si="124"/>
        <v>15</v>
      </c>
      <c r="BZ78" s="602">
        <f t="shared" si="124"/>
        <v>20.8</v>
      </c>
      <c r="CA78" s="602">
        <f t="shared" si="124"/>
        <v>12.2</v>
      </c>
      <c r="CB78" s="602">
        <f t="shared" si="124"/>
        <v>14.6</v>
      </c>
      <c r="CC78" s="602">
        <f t="shared" si="124"/>
        <v>9.4</v>
      </c>
      <c r="CD78" s="602">
        <f t="shared" si="124"/>
        <v>9.1</v>
      </c>
      <c r="CE78" s="602">
        <f t="shared" si="124"/>
        <v>7</v>
      </c>
      <c r="CF78" s="602">
        <f t="shared" si="124"/>
        <v>6.4</v>
      </c>
      <c r="CG78" s="602" t="str">
        <f t="shared" si="124"/>
        <v>0.0</v>
      </c>
      <c r="CH78" s="602" t="str">
        <f t="shared" si="124"/>
        <v>0.0</v>
      </c>
      <c r="CI78" s="602">
        <f t="shared" ref="CI78" si="125">IF($BJ24,IFERROR(VLOOKUP(CI$22&amp;"Female"&amp;"AllEth"&amp;23&amp;$BM78,Methodstable,9,FALSE),"0.0"),NA())</f>
        <v>8.8000000000000007</v>
      </c>
    </row>
    <row r="79" spans="2:87">
      <c r="B79" s="5"/>
      <c r="C79" s="70"/>
      <c r="D79" s="70"/>
      <c r="E79" s="70"/>
      <c r="F79" s="70"/>
      <c r="G79" s="70"/>
      <c r="H79" s="70"/>
      <c r="I79" s="70"/>
      <c r="J79" s="70"/>
      <c r="K79" s="70"/>
      <c r="L79" s="70"/>
      <c r="P79" s="25"/>
      <c r="Q79" s="25"/>
      <c r="R79" s="24" t="s">
        <v>46</v>
      </c>
      <c r="S79" s="24"/>
      <c r="T79" s="36">
        <f t="shared" ref="T79:AM79" si="126">IFERROR(VLOOKUP(T$13&amp;"Female"&amp;"AllEth"&amp;23&amp;$R70,Methodstable,9,FALSE),"0.0")</f>
        <v>32.4</v>
      </c>
      <c r="U79" s="36">
        <f t="shared" si="126"/>
        <v>32.700000000000003</v>
      </c>
      <c r="V79" s="36">
        <f t="shared" si="126"/>
        <v>14.8</v>
      </c>
      <c r="W79" s="36">
        <f t="shared" si="126"/>
        <v>25.5</v>
      </c>
      <c r="X79" s="36">
        <f t="shared" si="126"/>
        <v>23.7</v>
      </c>
      <c r="Y79" s="36">
        <f t="shared" si="126"/>
        <v>24</v>
      </c>
      <c r="Z79" s="36">
        <f t="shared" si="126"/>
        <v>25.5</v>
      </c>
      <c r="AA79" s="36">
        <f t="shared" si="126"/>
        <v>24.1</v>
      </c>
      <c r="AB79" s="36">
        <f t="shared" si="126"/>
        <v>22.5</v>
      </c>
      <c r="AC79" s="36">
        <f t="shared" si="126"/>
        <v>19</v>
      </c>
      <c r="AD79" s="36">
        <f t="shared" si="126"/>
        <v>15</v>
      </c>
      <c r="AE79" s="36">
        <f t="shared" si="126"/>
        <v>20.8</v>
      </c>
      <c r="AF79" s="36">
        <f t="shared" si="126"/>
        <v>12.2</v>
      </c>
      <c r="AG79" s="36">
        <f t="shared" si="126"/>
        <v>14.6</v>
      </c>
      <c r="AH79" s="36">
        <f t="shared" si="126"/>
        <v>9.4</v>
      </c>
      <c r="AI79" s="36">
        <f t="shared" si="126"/>
        <v>9.1</v>
      </c>
      <c r="AJ79" s="36">
        <f t="shared" si="126"/>
        <v>7</v>
      </c>
      <c r="AK79" s="36">
        <f t="shared" si="126"/>
        <v>6.4</v>
      </c>
      <c r="AL79" s="36" t="str">
        <f t="shared" si="126"/>
        <v>0.0</v>
      </c>
      <c r="AM79" s="36" t="str">
        <f t="shared" si="126"/>
        <v>0.0</v>
      </c>
      <c r="AN79" s="36">
        <f t="shared" ref="AN79" si="127">IFERROR(VLOOKUP(AN$13&amp;"Female"&amp;"AllEth"&amp;23&amp;$R70,Methodstable,9,FALSE),"0.0")</f>
        <v>8.8000000000000007</v>
      </c>
      <c r="BJ79" s="600"/>
      <c r="BK79" s="601"/>
      <c r="BL79" s="601"/>
      <c r="BM79" s="601" t="s">
        <v>47</v>
      </c>
      <c r="BN79" s="601" t="s">
        <v>51</v>
      </c>
      <c r="BO79" s="602">
        <f t="shared" ref="BO79:CH79" si="128">IF($BJ25,IFERROR(VLOOKUP(BO$22&amp;"Female"&amp;"AllEth"&amp;23&amp;$BM79,Methodstable,9,FALSE),"0.0"),NA())</f>
        <v>26.5</v>
      </c>
      <c r="BP79" s="602">
        <f t="shared" si="128"/>
        <v>27.3</v>
      </c>
      <c r="BQ79" s="602">
        <f t="shared" si="128"/>
        <v>14.8</v>
      </c>
      <c r="BR79" s="602">
        <f t="shared" si="128"/>
        <v>25.5</v>
      </c>
      <c r="BS79" s="602">
        <f t="shared" si="128"/>
        <v>26.3</v>
      </c>
      <c r="BT79" s="602">
        <f t="shared" si="128"/>
        <v>18</v>
      </c>
      <c r="BU79" s="602">
        <f t="shared" si="128"/>
        <v>21.3</v>
      </c>
      <c r="BV79" s="602">
        <f t="shared" si="128"/>
        <v>20.399999999999999</v>
      </c>
      <c r="BW79" s="602">
        <f t="shared" si="128"/>
        <v>22.5</v>
      </c>
      <c r="BX79" s="602">
        <f t="shared" si="128"/>
        <v>20.7</v>
      </c>
      <c r="BY79" s="602">
        <f t="shared" si="128"/>
        <v>20</v>
      </c>
      <c r="BZ79" s="602">
        <f t="shared" si="128"/>
        <v>27.1</v>
      </c>
      <c r="CA79" s="602">
        <f t="shared" si="128"/>
        <v>22.4</v>
      </c>
      <c r="CB79" s="602">
        <f t="shared" si="128"/>
        <v>24.4</v>
      </c>
      <c r="CC79" s="602">
        <f t="shared" si="128"/>
        <v>26.4</v>
      </c>
      <c r="CD79" s="602">
        <f t="shared" si="128"/>
        <v>12.1</v>
      </c>
      <c r="CE79" s="602">
        <f t="shared" si="128"/>
        <v>30.2</v>
      </c>
      <c r="CF79" s="602">
        <f t="shared" si="128"/>
        <v>19.100000000000001</v>
      </c>
      <c r="CG79" s="602">
        <f t="shared" si="128"/>
        <v>20</v>
      </c>
      <c r="CH79" s="602">
        <f t="shared" si="128"/>
        <v>25</v>
      </c>
      <c r="CI79" s="602">
        <f t="shared" ref="CI79" si="129">IF($BJ25,IFERROR(VLOOKUP(CI$22&amp;"Female"&amp;"AllEth"&amp;23&amp;$BM79,Methodstable,9,FALSE),"0.0"),NA())</f>
        <v>10.5</v>
      </c>
    </row>
    <row r="80" spans="2:87">
      <c r="B80" s="5"/>
      <c r="C80" s="70"/>
      <c r="D80" s="70"/>
      <c r="E80" s="70"/>
      <c r="F80" s="70"/>
      <c r="G80" s="70"/>
      <c r="H80" s="70"/>
      <c r="I80" s="70"/>
      <c r="J80" s="70"/>
      <c r="K80" s="70"/>
      <c r="L80" s="70"/>
      <c r="P80" s="25"/>
      <c r="Q80" s="25"/>
      <c r="R80" s="24" t="s">
        <v>47</v>
      </c>
      <c r="S80" s="24"/>
      <c r="T80" s="36">
        <f t="shared" ref="T80:AM80" si="130">IFERROR(VLOOKUP(T$13&amp;"Female"&amp;"AllEth"&amp;23&amp;$R71,Methodstable,9,FALSE),"0.0")</f>
        <v>26.5</v>
      </c>
      <c r="U80" s="36">
        <f t="shared" si="130"/>
        <v>27.3</v>
      </c>
      <c r="V80" s="36">
        <f t="shared" si="130"/>
        <v>14.8</v>
      </c>
      <c r="W80" s="36">
        <f t="shared" si="130"/>
        <v>25.5</v>
      </c>
      <c r="X80" s="36">
        <f t="shared" si="130"/>
        <v>26.3</v>
      </c>
      <c r="Y80" s="36">
        <f t="shared" si="130"/>
        <v>18</v>
      </c>
      <c r="Z80" s="36">
        <f t="shared" si="130"/>
        <v>21.3</v>
      </c>
      <c r="AA80" s="36">
        <f t="shared" si="130"/>
        <v>20.399999999999999</v>
      </c>
      <c r="AB80" s="36">
        <f t="shared" si="130"/>
        <v>22.5</v>
      </c>
      <c r="AC80" s="36">
        <f t="shared" si="130"/>
        <v>20.7</v>
      </c>
      <c r="AD80" s="36">
        <f t="shared" si="130"/>
        <v>20</v>
      </c>
      <c r="AE80" s="36">
        <f t="shared" si="130"/>
        <v>27.1</v>
      </c>
      <c r="AF80" s="36">
        <f t="shared" si="130"/>
        <v>22.4</v>
      </c>
      <c r="AG80" s="36">
        <f t="shared" si="130"/>
        <v>24.4</v>
      </c>
      <c r="AH80" s="36">
        <f t="shared" si="130"/>
        <v>26.4</v>
      </c>
      <c r="AI80" s="36">
        <f t="shared" si="130"/>
        <v>12.1</v>
      </c>
      <c r="AJ80" s="36">
        <f t="shared" si="130"/>
        <v>30.2</v>
      </c>
      <c r="AK80" s="36">
        <f t="shared" si="130"/>
        <v>19.100000000000001</v>
      </c>
      <c r="AL80" s="36">
        <f t="shared" si="130"/>
        <v>20</v>
      </c>
      <c r="AM80" s="36">
        <f t="shared" si="130"/>
        <v>25</v>
      </c>
      <c r="AN80" s="36">
        <f t="shared" ref="AN80" si="131">IFERROR(VLOOKUP(AN$13&amp;"Female"&amp;"AllEth"&amp;23&amp;$R71,Methodstable,9,FALSE),"0.0")</f>
        <v>10.5</v>
      </c>
      <c r="BJ80" s="600"/>
      <c r="BK80" s="601"/>
      <c r="BL80" s="601"/>
      <c r="BM80" s="601" t="s">
        <v>42</v>
      </c>
      <c r="BN80" s="601" t="s">
        <v>51</v>
      </c>
      <c r="BO80" s="602">
        <f t="shared" ref="BO80:CH80" si="132">IF($BJ26,IFERROR(VLOOKUP(BO$22&amp;"Female"&amp;"AllEth"&amp;23&amp;$BM80,Methodstable,9,FALSE),"0.0"),NA())</f>
        <v>2.9</v>
      </c>
      <c r="BP80" s="602">
        <f t="shared" si="132"/>
        <v>3.6</v>
      </c>
      <c r="BQ80" s="602" t="str">
        <f t="shared" si="132"/>
        <v>0.0</v>
      </c>
      <c r="BR80" s="602">
        <f t="shared" si="132"/>
        <v>3.6</v>
      </c>
      <c r="BS80" s="602">
        <f t="shared" si="132"/>
        <v>2.6</v>
      </c>
      <c r="BT80" s="602">
        <f t="shared" si="132"/>
        <v>2</v>
      </c>
      <c r="BU80" s="602">
        <f t="shared" si="132"/>
        <v>4.3</v>
      </c>
      <c r="BV80" s="602" t="str">
        <f t="shared" si="132"/>
        <v>0.0</v>
      </c>
      <c r="BW80" s="602">
        <f t="shared" si="132"/>
        <v>2.5</v>
      </c>
      <c r="BX80" s="602" t="str">
        <f t="shared" si="132"/>
        <v>0.0</v>
      </c>
      <c r="BY80" s="602">
        <f t="shared" si="132"/>
        <v>3.3</v>
      </c>
      <c r="BZ80" s="602">
        <f t="shared" si="132"/>
        <v>6.2</v>
      </c>
      <c r="CA80" s="602">
        <f t="shared" si="132"/>
        <v>2</v>
      </c>
      <c r="CB80" s="602" t="str">
        <f t="shared" si="132"/>
        <v>0.0</v>
      </c>
      <c r="CC80" s="602">
        <f t="shared" si="132"/>
        <v>1.9</v>
      </c>
      <c r="CD80" s="602" t="str">
        <f t="shared" si="132"/>
        <v>0.0</v>
      </c>
      <c r="CE80" s="602">
        <f t="shared" si="132"/>
        <v>2.2999999999999998</v>
      </c>
      <c r="CF80" s="602" t="str">
        <f t="shared" si="132"/>
        <v>0.0</v>
      </c>
      <c r="CG80" s="602">
        <f t="shared" si="132"/>
        <v>2</v>
      </c>
      <c r="CH80" s="602">
        <f t="shared" si="132"/>
        <v>2.8</v>
      </c>
      <c r="CI80" s="602" t="str">
        <f t="shared" ref="CI80" si="133">IF($BJ26,IFERROR(VLOOKUP(CI$22&amp;"Female"&amp;"AllEth"&amp;23&amp;$BM80,Methodstable,9,FALSE),"0.0"),NA())</f>
        <v>0.0</v>
      </c>
    </row>
    <row r="81" spans="2:87">
      <c r="B81" s="5"/>
      <c r="C81" s="70"/>
      <c r="D81" s="70"/>
      <c r="E81" s="70"/>
      <c r="F81" s="70"/>
      <c r="G81" s="70"/>
      <c r="H81" s="70"/>
      <c r="I81" s="70"/>
      <c r="J81" s="70"/>
      <c r="K81" s="70"/>
      <c r="L81" s="70"/>
      <c r="P81" s="25"/>
      <c r="Q81" s="25"/>
      <c r="R81" s="24" t="s">
        <v>42</v>
      </c>
      <c r="S81" s="24"/>
      <c r="T81" s="36">
        <f t="shared" ref="T81:AM81" si="134">IFERROR(VLOOKUP(T$13&amp;"Female"&amp;"AllEth"&amp;23&amp;$R72,Methodstable,9,FALSE),"0.0")</f>
        <v>2.9</v>
      </c>
      <c r="U81" s="36">
        <f t="shared" si="134"/>
        <v>3.6</v>
      </c>
      <c r="V81" s="36" t="str">
        <f t="shared" si="134"/>
        <v>0.0</v>
      </c>
      <c r="W81" s="36">
        <f t="shared" si="134"/>
        <v>3.6</v>
      </c>
      <c r="X81" s="36">
        <f t="shared" si="134"/>
        <v>2.6</v>
      </c>
      <c r="Y81" s="36">
        <f t="shared" si="134"/>
        <v>2</v>
      </c>
      <c r="Z81" s="36">
        <f t="shared" si="134"/>
        <v>4.3</v>
      </c>
      <c r="AA81" s="36" t="str">
        <f t="shared" si="134"/>
        <v>0.0</v>
      </c>
      <c r="AB81" s="36">
        <f t="shared" si="134"/>
        <v>2.5</v>
      </c>
      <c r="AC81" s="36" t="str">
        <f t="shared" si="134"/>
        <v>0.0</v>
      </c>
      <c r="AD81" s="36">
        <f t="shared" si="134"/>
        <v>3.3</v>
      </c>
      <c r="AE81" s="36">
        <f t="shared" si="134"/>
        <v>6.2</v>
      </c>
      <c r="AF81" s="36">
        <f t="shared" si="134"/>
        <v>2</v>
      </c>
      <c r="AG81" s="36" t="str">
        <f t="shared" si="134"/>
        <v>0.0</v>
      </c>
      <c r="AH81" s="36">
        <f t="shared" si="134"/>
        <v>1.9</v>
      </c>
      <c r="AI81" s="36" t="str">
        <f t="shared" si="134"/>
        <v>0.0</v>
      </c>
      <c r="AJ81" s="36">
        <f t="shared" si="134"/>
        <v>2.2999999999999998</v>
      </c>
      <c r="AK81" s="36" t="str">
        <f t="shared" si="134"/>
        <v>0.0</v>
      </c>
      <c r="AL81" s="36">
        <f t="shared" si="134"/>
        <v>2</v>
      </c>
      <c r="AM81" s="36">
        <f t="shared" si="134"/>
        <v>2.8</v>
      </c>
      <c r="AN81" s="36" t="str">
        <f t="shared" ref="AN81" si="135">IFERROR(VLOOKUP(AN$13&amp;"Female"&amp;"AllEth"&amp;23&amp;$R72,Methodstable,9,FALSE),"0.0")</f>
        <v>0.0</v>
      </c>
      <c r="BJ81" s="600"/>
      <c r="BK81" s="601"/>
      <c r="BL81" s="601"/>
      <c r="BM81" s="601" t="s">
        <v>44</v>
      </c>
      <c r="BN81" s="601" t="s">
        <v>51</v>
      </c>
      <c r="BO81" s="602" t="e">
        <f t="shared" ref="BO81:CH81" si="136">IF($BJ27,IFERROR(VLOOKUP(BO$22&amp;"Female"&amp;"AllEth"&amp;23&amp;$BM81,Methodstable,9,FALSE),"0.0"),NA())</f>
        <v>#N/A</v>
      </c>
      <c r="BP81" s="602" t="e">
        <f t="shared" si="136"/>
        <v>#N/A</v>
      </c>
      <c r="BQ81" s="602" t="e">
        <f t="shared" si="136"/>
        <v>#N/A</v>
      </c>
      <c r="BR81" s="602" t="e">
        <f t="shared" si="136"/>
        <v>#N/A</v>
      </c>
      <c r="BS81" s="602" t="e">
        <f t="shared" si="136"/>
        <v>#N/A</v>
      </c>
      <c r="BT81" s="602" t="e">
        <f t="shared" si="136"/>
        <v>#N/A</v>
      </c>
      <c r="BU81" s="602" t="e">
        <f t="shared" si="136"/>
        <v>#N/A</v>
      </c>
      <c r="BV81" s="602" t="e">
        <f t="shared" si="136"/>
        <v>#N/A</v>
      </c>
      <c r="BW81" s="602" t="e">
        <f t="shared" si="136"/>
        <v>#N/A</v>
      </c>
      <c r="BX81" s="602" t="e">
        <f t="shared" si="136"/>
        <v>#N/A</v>
      </c>
      <c r="BY81" s="602" t="e">
        <f t="shared" si="136"/>
        <v>#N/A</v>
      </c>
      <c r="BZ81" s="602" t="e">
        <f t="shared" si="136"/>
        <v>#N/A</v>
      </c>
      <c r="CA81" s="602" t="e">
        <f t="shared" si="136"/>
        <v>#N/A</v>
      </c>
      <c r="CB81" s="602" t="e">
        <f t="shared" si="136"/>
        <v>#N/A</v>
      </c>
      <c r="CC81" s="602" t="e">
        <f t="shared" si="136"/>
        <v>#N/A</v>
      </c>
      <c r="CD81" s="602" t="e">
        <f t="shared" si="136"/>
        <v>#N/A</v>
      </c>
      <c r="CE81" s="602" t="e">
        <f t="shared" si="136"/>
        <v>#N/A</v>
      </c>
      <c r="CF81" s="602" t="e">
        <f t="shared" si="136"/>
        <v>#N/A</v>
      </c>
      <c r="CG81" s="602" t="e">
        <f t="shared" si="136"/>
        <v>#N/A</v>
      </c>
      <c r="CH81" s="602" t="e">
        <f t="shared" si="136"/>
        <v>#N/A</v>
      </c>
      <c r="CI81" s="602" t="e">
        <f t="shared" ref="CI81" si="137">IF($BJ27,IFERROR(VLOOKUP(CI$22&amp;"Female"&amp;"AllEth"&amp;23&amp;$BM81,Methodstable,9,FALSE),"0.0"),NA())</f>
        <v>#N/A</v>
      </c>
    </row>
    <row r="82" spans="2:87">
      <c r="B82" s="5"/>
      <c r="C82" s="70"/>
      <c r="D82" s="70"/>
      <c r="E82" s="70"/>
      <c r="F82" s="70"/>
      <c r="G82" s="70"/>
      <c r="H82" s="70"/>
      <c r="I82" s="70"/>
      <c r="J82" s="70"/>
      <c r="K82" s="70"/>
      <c r="L82" s="70"/>
      <c r="P82" s="25"/>
      <c r="Q82" s="25"/>
      <c r="R82" s="24" t="s">
        <v>44</v>
      </c>
      <c r="S82" s="24"/>
      <c r="T82" s="36" t="str">
        <f t="shared" ref="T82:AM82" si="138">IFERROR(VLOOKUP(T$13&amp;"Female"&amp;"AllEth"&amp;23&amp;$R73,Methodstable,9,FALSE),"0.0")</f>
        <v>0.0</v>
      </c>
      <c r="U82" s="36">
        <f t="shared" si="138"/>
        <v>3.6</v>
      </c>
      <c r="V82" s="36">
        <f t="shared" si="138"/>
        <v>5.6</v>
      </c>
      <c r="W82" s="36">
        <f t="shared" si="138"/>
        <v>1.8</v>
      </c>
      <c r="X82" s="36">
        <f t="shared" si="138"/>
        <v>2.6</v>
      </c>
      <c r="Y82" s="36">
        <f t="shared" si="138"/>
        <v>8</v>
      </c>
      <c r="Z82" s="36">
        <f t="shared" si="138"/>
        <v>10.6</v>
      </c>
      <c r="AA82" s="36">
        <f t="shared" si="138"/>
        <v>3.7</v>
      </c>
      <c r="AB82" s="36">
        <f t="shared" si="138"/>
        <v>2.5</v>
      </c>
      <c r="AC82" s="36">
        <f t="shared" si="138"/>
        <v>5.2</v>
      </c>
      <c r="AD82" s="36">
        <f t="shared" si="138"/>
        <v>3.3</v>
      </c>
      <c r="AE82" s="36">
        <f t="shared" si="138"/>
        <v>4.2</v>
      </c>
      <c r="AF82" s="36">
        <f t="shared" si="138"/>
        <v>2</v>
      </c>
      <c r="AG82" s="36">
        <f t="shared" si="138"/>
        <v>4.9000000000000004</v>
      </c>
      <c r="AH82" s="36">
        <f t="shared" si="138"/>
        <v>3.8</v>
      </c>
      <c r="AI82" s="36">
        <f t="shared" si="138"/>
        <v>3</v>
      </c>
      <c r="AJ82" s="36">
        <f t="shared" si="138"/>
        <v>4.7</v>
      </c>
      <c r="AK82" s="36">
        <f t="shared" si="138"/>
        <v>2.1</v>
      </c>
      <c r="AL82" s="36" t="str">
        <f t="shared" si="138"/>
        <v>0.0</v>
      </c>
      <c r="AM82" s="36">
        <f t="shared" si="138"/>
        <v>2.8</v>
      </c>
      <c r="AN82" s="36">
        <f t="shared" ref="AN82" si="139">IFERROR(VLOOKUP(AN$13&amp;"Female"&amp;"AllEth"&amp;23&amp;$R73,Methodstable,9,FALSE),"0.0")</f>
        <v>5.3</v>
      </c>
      <c r="BJ82" s="600"/>
      <c r="BK82" s="601"/>
      <c r="BL82" s="601"/>
      <c r="BM82" s="601" t="s">
        <v>49</v>
      </c>
      <c r="BN82" s="601" t="s">
        <v>51</v>
      </c>
      <c r="BO82" s="602" t="e">
        <f t="shared" ref="BO82:CH82" si="140">IF($BJ28,IFERROR(VLOOKUP(BO$22&amp;"Female"&amp;"AllEth"&amp;23&amp;$BM82,Methodstable,9,FALSE),"0.0"),NA())</f>
        <v>#N/A</v>
      </c>
      <c r="BP82" s="602" t="e">
        <f t="shared" si="140"/>
        <v>#N/A</v>
      </c>
      <c r="BQ82" s="602" t="e">
        <f t="shared" si="140"/>
        <v>#N/A</v>
      </c>
      <c r="BR82" s="602" t="e">
        <f t="shared" si="140"/>
        <v>#N/A</v>
      </c>
      <c r="BS82" s="602" t="e">
        <f t="shared" si="140"/>
        <v>#N/A</v>
      </c>
      <c r="BT82" s="602" t="e">
        <f t="shared" si="140"/>
        <v>#N/A</v>
      </c>
      <c r="BU82" s="602" t="e">
        <f t="shared" si="140"/>
        <v>#N/A</v>
      </c>
      <c r="BV82" s="602" t="e">
        <f t="shared" si="140"/>
        <v>#N/A</v>
      </c>
      <c r="BW82" s="602" t="e">
        <f t="shared" si="140"/>
        <v>#N/A</v>
      </c>
      <c r="BX82" s="602" t="e">
        <f t="shared" si="140"/>
        <v>#N/A</v>
      </c>
      <c r="BY82" s="602" t="e">
        <f t="shared" si="140"/>
        <v>#N/A</v>
      </c>
      <c r="BZ82" s="602" t="e">
        <f t="shared" si="140"/>
        <v>#N/A</v>
      </c>
      <c r="CA82" s="602" t="e">
        <f t="shared" si="140"/>
        <v>#N/A</v>
      </c>
      <c r="CB82" s="602" t="e">
        <f t="shared" si="140"/>
        <v>#N/A</v>
      </c>
      <c r="CC82" s="602" t="e">
        <f t="shared" si="140"/>
        <v>#N/A</v>
      </c>
      <c r="CD82" s="602" t="e">
        <f t="shared" si="140"/>
        <v>#N/A</v>
      </c>
      <c r="CE82" s="602" t="e">
        <f t="shared" si="140"/>
        <v>#N/A</v>
      </c>
      <c r="CF82" s="602" t="e">
        <f t="shared" si="140"/>
        <v>#N/A</v>
      </c>
      <c r="CG82" s="602" t="e">
        <f t="shared" si="140"/>
        <v>#N/A</v>
      </c>
      <c r="CH82" s="602" t="e">
        <f t="shared" si="140"/>
        <v>#N/A</v>
      </c>
      <c r="CI82" s="602" t="e">
        <f t="shared" ref="CI82" si="141">IF($BJ28,IFERROR(VLOOKUP(CI$22&amp;"Female"&amp;"AllEth"&amp;23&amp;$BM82,Methodstable,9,FALSE),"0.0"),NA())</f>
        <v>#N/A</v>
      </c>
    </row>
    <row r="83" spans="2:87">
      <c r="B83" s="5"/>
      <c r="C83" s="70"/>
      <c r="D83" s="70"/>
      <c r="E83" s="70"/>
      <c r="F83" s="70"/>
      <c r="G83" s="70"/>
      <c r="H83" s="70"/>
      <c r="I83" s="70"/>
      <c r="J83" s="70"/>
      <c r="K83" s="70"/>
      <c r="L83" s="70"/>
      <c r="P83" s="25"/>
      <c r="Q83" s="25"/>
      <c r="R83" s="24" t="s">
        <v>49</v>
      </c>
      <c r="S83" s="24"/>
      <c r="T83" s="36" t="str">
        <f t="shared" ref="T83:AM83" si="142">IFERROR(VLOOKUP(T$13&amp;"Female"&amp;"AllEth"&amp;23&amp;$R74,Methodstable,9,FALSE),"0.0")</f>
        <v>0.0</v>
      </c>
      <c r="U83" s="36">
        <f t="shared" si="142"/>
        <v>3.6</v>
      </c>
      <c r="V83" s="36">
        <f t="shared" si="142"/>
        <v>1.9</v>
      </c>
      <c r="W83" s="36">
        <f t="shared" si="142"/>
        <v>1.8</v>
      </c>
      <c r="X83" s="36">
        <f t="shared" si="142"/>
        <v>5.3</v>
      </c>
      <c r="Y83" s="36" t="str">
        <f t="shared" si="142"/>
        <v>0.0</v>
      </c>
      <c r="Z83" s="36">
        <f t="shared" si="142"/>
        <v>2.1</v>
      </c>
      <c r="AA83" s="36">
        <f t="shared" si="142"/>
        <v>5.6</v>
      </c>
      <c r="AB83" s="36">
        <f t="shared" si="142"/>
        <v>2.5</v>
      </c>
      <c r="AC83" s="36">
        <f t="shared" si="142"/>
        <v>3.4</v>
      </c>
      <c r="AD83" s="36" t="str">
        <f t="shared" si="142"/>
        <v>0.0</v>
      </c>
      <c r="AE83" s="36">
        <f t="shared" si="142"/>
        <v>6.2</v>
      </c>
      <c r="AF83" s="36">
        <f t="shared" si="142"/>
        <v>2</v>
      </c>
      <c r="AG83" s="36">
        <f t="shared" si="142"/>
        <v>2.4</v>
      </c>
      <c r="AH83" s="36">
        <f t="shared" si="142"/>
        <v>1.9</v>
      </c>
      <c r="AI83" s="36">
        <f t="shared" si="142"/>
        <v>3</v>
      </c>
      <c r="AJ83" s="36">
        <f t="shared" si="142"/>
        <v>2.2999999999999998</v>
      </c>
      <c r="AK83" s="36">
        <f t="shared" si="142"/>
        <v>2.1</v>
      </c>
      <c r="AL83" s="36">
        <f t="shared" si="142"/>
        <v>2</v>
      </c>
      <c r="AM83" s="36" t="str">
        <f t="shared" si="142"/>
        <v>0.0</v>
      </c>
      <c r="AN83" s="36">
        <f t="shared" ref="AN83" si="143">IFERROR(VLOOKUP(AN$13&amp;"Female"&amp;"AllEth"&amp;23&amp;$R74,Methodstable,9,FALSE),"0.0")</f>
        <v>1.8</v>
      </c>
      <c r="BJ83" s="600"/>
      <c r="BK83" s="601"/>
      <c r="BL83" s="601"/>
      <c r="BM83" s="601" t="s">
        <v>48</v>
      </c>
      <c r="BN83" s="601" t="s">
        <v>51</v>
      </c>
      <c r="BO83" s="602" t="e">
        <f t="shared" ref="BO83:CH83" si="144">IF($BJ29,IFERROR(VLOOKUP(BO$22&amp;"Female"&amp;"AllEth"&amp;23&amp;$BM83,Methodstable,9,FALSE),"0.0"),NA())</f>
        <v>#N/A</v>
      </c>
      <c r="BP83" s="602" t="e">
        <f t="shared" si="144"/>
        <v>#N/A</v>
      </c>
      <c r="BQ83" s="602" t="e">
        <f t="shared" si="144"/>
        <v>#N/A</v>
      </c>
      <c r="BR83" s="602" t="e">
        <f t="shared" si="144"/>
        <v>#N/A</v>
      </c>
      <c r="BS83" s="602" t="e">
        <f t="shared" si="144"/>
        <v>#N/A</v>
      </c>
      <c r="BT83" s="602" t="e">
        <f t="shared" si="144"/>
        <v>#N/A</v>
      </c>
      <c r="BU83" s="602" t="e">
        <f t="shared" si="144"/>
        <v>#N/A</v>
      </c>
      <c r="BV83" s="602" t="e">
        <f t="shared" si="144"/>
        <v>#N/A</v>
      </c>
      <c r="BW83" s="602" t="e">
        <f t="shared" si="144"/>
        <v>#N/A</v>
      </c>
      <c r="BX83" s="602" t="e">
        <f t="shared" si="144"/>
        <v>#N/A</v>
      </c>
      <c r="BY83" s="602" t="e">
        <f t="shared" si="144"/>
        <v>#N/A</v>
      </c>
      <c r="BZ83" s="602" t="e">
        <f t="shared" si="144"/>
        <v>#N/A</v>
      </c>
      <c r="CA83" s="602" t="e">
        <f t="shared" si="144"/>
        <v>#N/A</v>
      </c>
      <c r="CB83" s="602" t="e">
        <f t="shared" si="144"/>
        <v>#N/A</v>
      </c>
      <c r="CC83" s="602" t="e">
        <f t="shared" si="144"/>
        <v>#N/A</v>
      </c>
      <c r="CD83" s="602" t="e">
        <f t="shared" si="144"/>
        <v>#N/A</v>
      </c>
      <c r="CE83" s="602" t="e">
        <f t="shared" si="144"/>
        <v>#N/A</v>
      </c>
      <c r="CF83" s="602" t="e">
        <f t="shared" si="144"/>
        <v>#N/A</v>
      </c>
      <c r="CG83" s="602" t="e">
        <f t="shared" si="144"/>
        <v>#N/A</v>
      </c>
      <c r="CH83" s="602" t="e">
        <f t="shared" si="144"/>
        <v>#N/A</v>
      </c>
      <c r="CI83" s="602" t="e">
        <f t="shared" ref="CI83" si="145">IF($BJ29,IFERROR(VLOOKUP(CI$22&amp;"Female"&amp;"AllEth"&amp;23&amp;$BM83,Methodstable,9,FALSE),"0.0"),NA())</f>
        <v>#N/A</v>
      </c>
    </row>
    <row r="84" spans="2:87">
      <c r="B84" s="5"/>
      <c r="C84" s="70"/>
      <c r="D84" s="70"/>
      <c r="E84" s="70"/>
      <c r="F84" s="70"/>
      <c r="G84" s="70"/>
      <c r="H84" s="70"/>
      <c r="I84" s="70"/>
      <c r="J84" s="70"/>
      <c r="K84" s="70"/>
      <c r="L84" s="70"/>
      <c r="P84" s="25"/>
      <c r="Q84" s="25"/>
      <c r="R84" s="24" t="s">
        <v>48</v>
      </c>
      <c r="S84" s="24"/>
      <c r="T84" s="36" t="str">
        <f t="shared" ref="T84:AM84" si="146">IFERROR(VLOOKUP(T$13&amp;"Female"&amp;"AllEth"&amp;23&amp;$R75,Methodstable,9,FALSE),"0.0")</f>
        <v>0.0</v>
      </c>
      <c r="U84" s="36">
        <f t="shared" si="146"/>
        <v>1.8</v>
      </c>
      <c r="V84" s="36" t="str">
        <f t="shared" si="146"/>
        <v>0.0</v>
      </c>
      <c r="W84" s="36">
        <f t="shared" si="146"/>
        <v>3.6</v>
      </c>
      <c r="X84" s="36">
        <f t="shared" si="146"/>
        <v>2.6</v>
      </c>
      <c r="Y84" s="36">
        <f t="shared" si="146"/>
        <v>2</v>
      </c>
      <c r="Z84" s="36" t="str">
        <f t="shared" si="146"/>
        <v>0.0</v>
      </c>
      <c r="AA84" s="36">
        <f t="shared" si="146"/>
        <v>3.7</v>
      </c>
      <c r="AB84" s="36" t="str">
        <f t="shared" si="146"/>
        <v>0.0</v>
      </c>
      <c r="AC84" s="36">
        <f t="shared" si="146"/>
        <v>1.7</v>
      </c>
      <c r="AD84" s="36">
        <f t="shared" si="146"/>
        <v>1.7</v>
      </c>
      <c r="AE84" s="36" t="str">
        <f t="shared" si="146"/>
        <v>0.0</v>
      </c>
      <c r="AF84" s="36" t="str">
        <f t="shared" si="146"/>
        <v>0.0</v>
      </c>
      <c r="AG84" s="36" t="str">
        <f t="shared" si="146"/>
        <v>0.0</v>
      </c>
      <c r="AH84" s="36" t="str">
        <f t="shared" si="146"/>
        <v>0.0</v>
      </c>
      <c r="AI84" s="36">
        <f t="shared" si="146"/>
        <v>3</v>
      </c>
      <c r="AJ84" s="36" t="str">
        <f t="shared" si="146"/>
        <v>0.0</v>
      </c>
      <c r="AK84" s="36" t="str">
        <f t="shared" si="146"/>
        <v>0.0</v>
      </c>
      <c r="AL84" s="36">
        <f t="shared" si="146"/>
        <v>2</v>
      </c>
      <c r="AM84" s="36" t="str">
        <f t="shared" si="146"/>
        <v>0.0</v>
      </c>
      <c r="AN84" s="36" t="str">
        <f t="shared" ref="AN84" si="147">IFERROR(VLOOKUP(AN$13&amp;"Female"&amp;"AllEth"&amp;23&amp;$R75,Methodstable,9,FALSE),"0.0")</f>
        <v>0.0</v>
      </c>
      <c r="BJ84" s="600"/>
      <c r="BK84" s="601"/>
      <c r="BL84" s="601"/>
      <c r="BM84" s="601" t="s">
        <v>45</v>
      </c>
      <c r="BN84" s="601" t="s">
        <v>51</v>
      </c>
      <c r="BO84" s="602" t="e">
        <f t="shared" ref="BO84:CH84" si="148">IF($BJ30,IFERROR(VLOOKUP(BO$22&amp;"Female"&amp;"AllEth"&amp;23&amp;$BM84,Methodstable,9,FALSE),"0.0"),NA())</f>
        <v>#N/A</v>
      </c>
      <c r="BP84" s="602" t="e">
        <f t="shared" si="148"/>
        <v>#N/A</v>
      </c>
      <c r="BQ84" s="602" t="e">
        <f t="shared" si="148"/>
        <v>#N/A</v>
      </c>
      <c r="BR84" s="602" t="e">
        <f t="shared" si="148"/>
        <v>#N/A</v>
      </c>
      <c r="BS84" s="602" t="e">
        <f t="shared" si="148"/>
        <v>#N/A</v>
      </c>
      <c r="BT84" s="602" t="e">
        <f t="shared" si="148"/>
        <v>#N/A</v>
      </c>
      <c r="BU84" s="602" t="e">
        <f t="shared" si="148"/>
        <v>#N/A</v>
      </c>
      <c r="BV84" s="602" t="e">
        <f t="shared" si="148"/>
        <v>#N/A</v>
      </c>
      <c r="BW84" s="602" t="e">
        <f t="shared" si="148"/>
        <v>#N/A</v>
      </c>
      <c r="BX84" s="602" t="e">
        <f t="shared" si="148"/>
        <v>#N/A</v>
      </c>
      <c r="BY84" s="602" t="e">
        <f t="shared" si="148"/>
        <v>#N/A</v>
      </c>
      <c r="BZ84" s="602" t="e">
        <f t="shared" si="148"/>
        <v>#N/A</v>
      </c>
      <c r="CA84" s="602" t="e">
        <f t="shared" si="148"/>
        <v>#N/A</v>
      </c>
      <c r="CB84" s="602" t="e">
        <f t="shared" si="148"/>
        <v>#N/A</v>
      </c>
      <c r="CC84" s="602" t="e">
        <f t="shared" si="148"/>
        <v>#N/A</v>
      </c>
      <c r="CD84" s="602" t="e">
        <f t="shared" si="148"/>
        <v>#N/A</v>
      </c>
      <c r="CE84" s="602" t="e">
        <f t="shared" si="148"/>
        <v>#N/A</v>
      </c>
      <c r="CF84" s="602" t="e">
        <f t="shared" si="148"/>
        <v>#N/A</v>
      </c>
      <c r="CG84" s="602" t="e">
        <f t="shared" si="148"/>
        <v>#N/A</v>
      </c>
      <c r="CH84" s="602" t="e">
        <f t="shared" si="148"/>
        <v>#N/A</v>
      </c>
      <c r="CI84" s="602" t="e">
        <f t="shared" ref="CI84" si="149">IF($BJ30,IFERROR(VLOOKUP(CI$22&amp;"Female"&amp;"AllEth"&amp;23&amp;$BM84,Methodstable,9,FALSE),"0.0"),NA())</f>
        <v>#N/A</v>
      </c>
    </row>
    <row r="85" spans="2:87">
      <c r="B85" s="5"/>
      <c r="C85" s="70"/>
      <c r="D85" s="70"/>
      <c r="E85" s="70"/>
      <c r="F85" s="70"/>
      <c r="G85" s="70"/>
      <c r="H85" s="70"/>
      <c r="I85" s="70"/>
      <c r="J85" s="70"/>
      <c r="K85" s="70"/>
      <c r="L85" s="70"/>
      <c r="P85" s="25"/>
      <c r="Q85" s="25"/>
      <c r="R85" s="24" t="s">
        <v>45</v>
      </c>
      <c r="S85" s="24"/>
      <c r="T85" s="36">
        <f t="shared" ref="T85:AM85" si="150">IFERROR(VLOOKUP(T$13&amp;"Female"&amp;"AllEth"&amp;23&amp;$R76,Methodstable,9,FALSE),"0.0")</f>
        <v>5.9</v>
      </c>
      <c r="U85" s="36">
        <f t="shared" si="150"/>
        <v>3.6</v>
      </c>
      <c r="V85" s="36">
        <f t="shared" si="150"/>
        <v>3.7</v>
      </c>
      <c r="W85" s="36">
        <f t="shared" si="150"/>
        <v>5.5</v>
      </c>
      <c r="X85" s="36">
        <f t="shared" si="150"/>
        <v>2.6</v>
      </c>
      <c r="Y85" s="36">
        <f t="shared" si="150"/>
        <v>6</v>
      </c>
      <c r="Z85" s="36">
        <f t="shared" si="150"/>
        <v>2.1</v>
      </c>
      <c r="AA85" s="36" t="str">
        <f t="shared" si="150"/>
        <v>0.0</v>
      </c>
      <c r="AB85" s="36">
        <f t="shared" si="150"/>
        <v>10</v>
      </c>
      <c r="AC85" s="36">
        <f t="shared" si="150"/>
        <v>3.4</v>
      </c>
      <c r="AD85" s="36">
        <f t="shared" si="150"/>
        <v>5</v>
      </c>
      <c r="AE85" s="36" t="str">
        <f t="shared" si="150"/>
        <v>0.0</v>
      </c>
      <c r="AF85" s="36" t="str">
        <f t="shared" si="150"/>
        <v>0.0</v>
      </c>
      <c r="AG85" s="36">
        <f t="shared" si="150"/>
        <v>9.8000000000000007</v>
      </c>
      <c r="AH85" s="36">
        <f t="shared" si="150"/>
        <v>3.8</v>
      </c>
      <c r="AI85" s="36">
        <f t="shared" si="150"/>
        <v>9.1</v>
      </c>
      <c r="AJ85" s="36">
        <f t="shared" si="150"/>
        <v>4.7</v>
      </c>
      <c r="AK85" s="36">
        <f t="shared" si="150"/>
        <v>6.4</v>
      </c>
      <c r="AL85" s="36" t="str">
        <f t="shared" si="150"/>
        <v>0.0</v>
      </c>
      <c r="AM85" s="36" t="str">
        <f t="shared" si="150"/>
        <v>0.0</v>
      </c>
      <c r="AN85" s="36">
        <f t="shared" ref="AN85" si="151">IFERROR(VLOOKUP(AN$13&amp;"Female"&amp;"AllEth"&amp;23&amp;$R76,Methodstable,9,FALSE),"0.0")</f>
        <v>3.5</v>
      </c>
      <c r="BJ85" s="600"/>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row>
    <row r="86" spans="2:87">
      <c r="B86" s="5"/>
      <c r="C86" s="60" t="s">
        <v>100</v>
      </c>
      <c r="D86" s="5"/>
      <c r="E86" s="5"/>
      <c r="F86" s="5"/>
      <c r="G86" s="5"/>
      <c r="H86" s="5"/>
      <c r="I86" s="5"/>
      <c r="J86" s="5"/>
      <c r="K86" s="5"/>
      <c r="L86" s="5"/>
      <c r="P86" s="28"/>
      <c r="Q86" s="28"/>
      <c r="R86" s="26"/>
      <c r="S86" s="26"/>
      <c r="T86" s="38"/>
      <c r="U86" s="38"/>
      <c r="V86" s="38"/>
      <c r="W86" s="38"/>
      <c r="X86" s="38"/>
      <c r="Y86" s="38"/>
      <c r="Z86" s="38"/>
      <c r="AA86" s="38"/>
      <c r="AB86" s="38"/>
      <c r="AC86" s="38"/>
      <c r="AD86" s="38"/>
      <c r="AE86" s="38"/>
      <c r="AF86" s="38"/>
      <c r="AG86" s="38"/>
      <c r="AH86" s="38"/>
      <c r="AI86" s="38"/>
      <c r="AJ86" s="38"/>
      <c r="AK86" s="38"/>
      <c r="AL86" s="38"/>
      <c r="AM86" s="38"/>
      <c r="AN86" s="38"/>
      <c r="BJ86" s="600"/>
      <c r="BK86" s="601" t="s">
        <v>8</v>
      </c>
      <c r="BL86" s="601" t="s">
        <v>25</v>
      </c>
      <c r="BM86" s="601" t="s">
        <v>43</v>
      </c>
      <c r="BN86" s="601" t="s">
        <v>51</v>
      </c>
      <c r="BO86" s="602">
        <f t="shared" ref="BO86:CH86" si="152">IF($BJ23,IFERROR(VLOOKUP(BO$22&amp;"Female"&amp;"AllEth"&amp;24&amp;$BM86,Methodstable,9,FALSE),"0.0"),NA())</f>
        <v>22.7</v>
      </c>
      <c r="BP86" s="602">
        <f t="shared" si="152"/>
        <v>34.6</v>
      </c>
      <c r="BQ86" s="602">
        <f t="shared" si="152"/>
        <v>4.2</v>
      </c>
      <c r="BR86" s="602">
        <f t="shared" si="152"/>
        <v>28.6</v>
      </c>
      <c r="BS86" s="602">
        <f t="shared" si="152"/>
        <v>30.4</v>
      </c>
      <c r="BT86" s="602">
        <f t="shared" si="152"/>
        <v>40.700000000000003</v>
      </c>
      <c r="BU86" s="602">
        <f t="shared" si="152"/>
        <v>52</v>
      </c>
      <c r="BV86" s="602">
        <f t="shared" si="152"/>
        <v>20</v>
      </c>
      <c r="BW86" s="602">
        <f t="shared" si="152"/>
        <v>43.3</v>
      </c>
      <c r="BX86" s="602">
        <f t="shared" si="152"/>
        <v>45.2</v>
      </c>
      <c r="BY86" s="602">
        <f t="shared" si="152"/>
        <v>38.700000000000003</v>
      </c>
      <c r="BZ86" s="602">
        <f t="shared" si="152"/>
        <v>32.5</v>
      </c>
      <c r="CA86" s="602">
        <f t="shared" si="152"/>
        <v>47.1</v>
      </c>
      <c r="CB86" s="602">
        <f t="shared" si="152"/>
        <v>51.3</v>
      </c>
      <c r="CC86" s="602">
        <f t="shared" si="152"/>
        <v>39.5</v>
      </c>
      <c r="CD86" s="602">
        <f t="shared" si="152"/>
        <v>27.3</v>
      </c>
      <c r="CE86" s="602">
        <f t="shared" si="152"/>
        <v>40.5</v>
      </c>
      <c r="CF86" s="602">
        <f t="shared" si="152"/>
        <v>35.799999999999997</v>
      </c>
      <c r="CG86" s="602">
        <f t="shared" si="152"/>
        <v>24.4</v>
      </c>
      <c r="CH86" s="602">
        <f t="shared" si="152"/>
        <v>36.200000000000003</v>
      </c>
      <c r="CI86" s="602">
        <f t="shared" ref="CI86" si="153">IF($BJ23,IFERROR(VLOOKUP(CI$22&amp;"Female"&amp;"AllEth"&amp;24&amp;$BM86,Methodstable,9,FALSE),"0.0"),NA())</f>
        <v>45.5</v>
      </c>
    </row>
    <row r="87" spans="2:87">
      <c r="B87" s="5"/>
      <c r="C87" s="5"/>
      <c r="D87" s="5"/>
      <c r="E87" s="5"/>
      <c r="F87" s="5"/>
      <c r="G87" s="5"/>
      <c r="H87" s="5"/>
      <c r="I87" s="5"/>
      <c r="J87" s="5"/>
      <c r="K87" s="5"/>
      <c r="L87" s="5"/>
      <c r="P87" s="25" t="s">
        <v>8</v>
      </c>
      <c r="Q87" s="25" t="s">
        <v>36</v>
      </c>
      <c r="R87" s="24" t="s">
        <v>43</v>
      </c>
      <c r="S87" s="24" t="s">
        <v>303</v>
      </c>
      <c r="T87" s="36">
        <f t="shared" ref="T87:AC94" si="154">IFERROR(VLOOKUP(T$13&amp;"Female"&amp;"AllEth"&amp;24&amp;$R87,Methodstable,9,FALSE),"0.0")</f>
        <v>22.7</v>
      </c>
      <c r="U87" s="36">
        <f t="shared" si="154"/>
        <v>34.6</v>
      </c>
      <c r="V87" s="36">
        <f t="shared" si="154"/>
        <v>4.2</v>
      </c>
      <c r="W87" s="36">
        <f t="shared" si="154"/>
        <v>28.6</v>
      </c>
      <c r="X87" s="36">
        <f t="shared" si="154"/>
        <v>30.4</v>
      </c>
      <c r="Y87" s="36">
        <f t="shared" si="154"/>
        <v>40.700000000000003</v>
      </c>
      <c r="Z87" s="36">
        <f t="shared" si="154"/>
        <v>52</v>
      </c>
      <c r="AA87" s="36">
        <f t="shared" si="154"/>
        <v>20</v>
      </c>
      <c r="AB87" s="36">
        <f t="shared" si="154"/>
        <v>43.3</v>
      </c>
      <c r="AC87" s="36">
        <f t="shared" si="154"/>
        <v>45.2</v>
      </c>
      <c r="AD87" s="36">
        <f t="shared" ref="AD87:AN94" si="155">IFERROR(VLOOKUP(AD$13&amp;"Female"&amp;"AllEth"&amp;24&amp;$R87,Methodstable,9,FALSE),"0.0")</f>
        <v>38.700000000000003</v>
      </c>
      <c r="AE87" s="36">
        <f t="shared" si="155"/>
        <v>32.5</v>
      </c>
      <c r="AF87" s="36">
        <f t="shared" si="155"/>
        <v>47.1</v>
      </c>
      <c r="AG87" s="36">
        <f t="shared" si="155"/>
        <v>51.3</v>
      </c>
      <c r="AH87" s="36">
        <f t="shared" si="155"/>
        <v>39.5</v>
      </c>
      <c r="AI87" s="36">
        <f t="shared" si="155"/>
        <v>27.3</v>
      </c>
      <c r="AJ87" s="36">
        <f t="shared" si="155"/>
        <v>40.5</v>
      </c>
      <c r="AK87" s="36">
        <f t="shared" si="155"/>
        <v>35.799999999999997</v>
      </c>
      <c r="AL87" s="36">
        <f t="shared" si="155"/>
        <v>24.4</v>
      </c>
      <c r="AM87" s="36">
        <f t="shared" si="155"/>
        <v>36.200000000000003</v>
      </c>
      <c r="AN87" s="36">
        <f t="shared" si="155"/>
        <v>45.5</v>
      </c>
      <c r="BJ87" s="600"/>
      <c r="BK87" s="601"/>
      <c r="BL87" s="601"/>
      <c r="BM87" s="601" t="s">
        <v>46</v>
      </c>
      <c r="BN87" s="601" t="s">
        <v>51</v>
      </c>
      <c r="BO87" s="602">
        <f t="shared" ref="BO87:CH87" si="156">IF($BJ24,IFERROR(VLOOKUP(BO$22&amp;"Female"&amp;"AllEth"&amp;24&amp;$BM87,Methodstable,9,FALSE),"0.0"),NA())</f>
        <v>31.8</v>
      </c>
      <c r="BP87" s="602">
        <f t="shared" si="156"/>
        <v>15.4</v>
      </c>
      <c r="BQ87" s="602">
        <f t="shared" si="156"/>
        <v>29.2</v>
      </c>
      <c r="BR87" s="602">
        <f t="shared" si="156"/>
        <v>9.5</v>
      </c>
      <c r="BS87" s="602">
        <f t="shared" si="156"/>
        <v>43.5</v>
      </c>
      <c r="BT87" s="602">
        <f t="shared" si="156"/>
        <v>22.2</v>
      </c>
      <c r="BU87" s="602">
        <f t="shared" si="156"/>
        <v>8</v>
      </c>
      <c r="BV87" s="602">
        <f t="shared" si="156"/>
        <v>22.9</v>
      </c>
      <c r="BW87" s="602">
        <f t="shared" si="156"/>
        <v>6.7</v>
      </c>
      <c r="BX87" s="602">
        <f t="shared" si="156"/>
        <v>22.6</v>
      </c>
      <c r="BY87" s="602">
        <f t="shared" si="156"/>
        <v>19.399999999999999</v>
      </c>
      <c r="BZ87" s="602">
        <f t="shared" si="156"/>
        <v>17.5</v>
      </c>
      <c r="CA87" s="602">
        <f t="shared" si="156"/>
        <v>8.8000000000000007</v>
      </c>
      <c r="CB87" s="602">
        <f t="shared" si="156"/>
        <v>2.6</v>
      </c>
      <c r="CC87" s="602">
        <f t="shared" si="156"/>
        <v>4.7</v>
      </c>
      <c r="CD87" s="602">
        <f t="shared" si="156"/>
        <v>6.1</v>
      </c>
      <c r="CE87" s="602">
        <f t="shared" si="156"/>
        <v>4.8</v>
      </c>
      <c r="CF87" s="602">
        <f t="shared" si="156"/>
        <v>5.7</v>
      </c>
      <c r="CG87" s="602">
        <f t="shared" si="156"/>
        <v>17.8</v>
      </c>
      <c r="CH87" s="602">
        <f t="shared" si="156"/>
        <v>12.8</v>
      </c>
      <c r="CI87" s="602">
        <f t="shared" ref="CI87" si="157">IF($BJ24,IFERROR(VLOOKUP(CI$22&amp;"Female"&amp;"AllEth"&amp;24&amp;$BM87,Methodstable,9,FALSE),"0.0"),NA())</f>
        <v>11.4</v>
      </c>
    </row>
    <row r="88" spans="2:87">
      <c r="P88" s="25"/>
      <c r="Q88" s="25"/>
      <c r="R88" s="24" t="s">
        <v>46</v>
      </c>
      <c r="S88" s="24"/>
      <c r="T88" s="36">
        <f t="shared" si="154"/>
        <v>31.8</v>
      </c>
      <c r="U88" s="36">
        <f t="shared" si="154"/>
        <v>15.4</v>
      </c>
      <c r="V88" s="36">
        <f t="shared" si="154"/>
        <v>29.2</v>
      </c>
      <c r="W88" s="36">
        <f t="shared" si="154"/>
        <v>9.5</v>
      </c>
      <c r="X88" s="36">
        <f t="shared" si="154"/>
        <v>43.5</v>
      </c>
      <c r="Y88" s="36">
        <f t="shared" si="154"/>
        <v>22.2</v>
      </c>
      <c r="Z88" s="36">
        <f t="shared" si="154"/>
        <v>8</v>
      </c>
      <c r="AA88" s="36">
        <f t="shared" si="154"/>
        <v>22.9</v>
      </c>
      <c r="AB88" s="36">
        <f t="shared" si="154"/>
        <v>6.7</v>
      </c>
      <c r="AC88" s="36">
        <f t="shared" si="154"/>
        <v>22.6</v>
      </c>
      <c r="AD88" s="36">
        <f t="shared" si="155"/>
        <v>19.399999999999999</v>
      </c>
      <c r="AE88" s="36">
        <f t="shared" si="155"/>
        <v>17.5</v>
      </c>
      <c r="AF88" s="36">
        <f t="shared" si="155"/>
        <v>8.8000000000000007</v>
      </c>
      <c r="AG88" s="36">
        <f t="shared" si="155"/>
        <v>2.6</v>
      </c>
      <c r="AH88" s="36">
        <f t="shared" si="155"/>
        <v>4.7</v>
      </c>
      <c r="AI88" s="36">
        <f t="shared" si="155"/>
        <v>6.1</v>
      </c>
      <c r="AJ88" s="36">
        <f t="shared" si="155"/>
        <v>4.8</v>
      </c>
      <c r="AK88" s="36">
        <f t="shared" si="155"/>
        <v>5.7</v>
      </c>
      <c r="AL88" s="36">
        <f t="shared" si="155"/>
        <v>17.8</v>
      </c>
      <c r="AM88" s="36">
        <f t="shared" si="155"/>
        <v>12.8</v>
      </c>
      <c r="AN88" s="36">
        <f t="shared" si="155"/>
        <v>11.4</v>
      </c>
      <c r="BJ88" s="600"/>
      <c r="BK88" s="601"/>
      <c r="BL88" s="601"/>
      <c r="BM88" s="601" t="s">
        <v>47</v>
      </c>
      <c r="BN88" s="601" t="s">
        <v>51</v>
      </c>
      <c r="BO88" s="602">
        <f t="shared" ref="BO88:CH88" si="158">IF($BJ25,IFERROR(VLOOKUP(BO$22&amp;"Female"&amp;"AllEth"&amp;24&amp;$BM88,Methodstable,9,FALSE),"0.0"),NA())</f>
        <v>27.3</v>
      </c>
      <c r="BP88" s="602">
        <f t="shared" si="158"/>
        <v>38.5</v>
      </c>
      <c r="BQ88" s="602">
        <f t="shared" si="158"/>
        <v>45.8</v>
      </c>
      <c r="BR88" s="602">
        <f t="shared" si="158"/>
        <v>42.9</v>
      </c>
      <c r="BS88" s="602">
        <f t="shared" si="158"/>
        <v>4.3</v>
      </c>
      <c r="BT88" s="602">
        <f t="shared" si="158"/>
        <v>18.5</v>
      </c>
      <c r="BU88" s="602">
        <f t="shared" si="158"/>
        <v>28</v>
      </c>
      <c r="BV88" s="602">
        <f t="shared" si="158"/>
        <v>25.7</v>
      </c>
      <c r="BW88" s="602">
        <f t="shared" si="158"/>
        <v>26.7</v>
      </c>
      <c r="BX88" s="602">
        <f t="shared" si="158"/>
        <v>19.399999999999999</v>
      </c>
      <c r="BY88" s="602">
        <f t="shared" si="158"/>
        <v>25.8</v>
      </c>
      <c r="BZ88" s="602">
        <f t="shared" si="158"/>
        <v>30</v>
      </c>
      <c r="CA88" s="602">
        <f t="shared" si="158"/>
        <v>32.4</v>
      </c>
      <c r="CB88" s="602">
        <f t="shared" si="158"/>
        <v>30.8</v>
      </c>
      <c r="CC88" s="602">
        <f t="shared" si="158"/>
        <v>37.200000000000003</v>
      </c>
      <c r="CD88" s="602">
        <f t="shared" si="158"/>
        <v>39.4</v>
      </c>
      <c r="CE88" s="602">
        <f t="shared" si="158"/>
        <v>40.5</v>
      </c>
      <c r="CF88" s="602">
        <f t="shared" si="158"/>
        <v>35.799999999999997</v>
      </c>
      <c r="CG88" s="602">
        <f t="shared" si="158"/>
        <v>37.799999999999997</v>
      </c>
      <c r="CH88" s="602">
        <f t="shared" si="158"/>
        <v>31.9</v>
      </c>
      <c r="CI88" s="602">
        <f t="shared" ref="CI88" si="159">IF($BJ25,IFERROR(VLOOKUP(CI$22&amp;"Female"&amp;"AllEth"&amp;24&amp;$BM88,Methodstable,9,FALSE),"0.0"),NA())</f>
        <v>38.6</v>
      </c>
    </row>
    <row r="89" spans="2:87">
      <c r="P89" s="25"/>
      <c r="Q89" s="25"/>
      <c r="R89" s="24" t="s">
        <v>47</v>
      </c>
      <c r="S89" s="24"/>
      <c r="T89" s="36">
        <f t="shared" si="154"/>
        <v>27.3</v>
      </c>
      <c r="U89" s="36">
        <f t="shared" si="154"/>
        <v>38.5</v>
      </c>
      <c r="V89" s="36">
        <f t="shared" si="154"/>
        <v>45.8</v>
      </c>
      <c r="W89" s="36">
        <f t="shared" si="154"/>
        <v>42.9</v>
      </c>
      <c r="X89" s="36">
        <f t="shared" si="154"/>
        <v>4.3</v>
      </c>
      <c r="Y89" s="36">
        <f t="shared" si="154"/>
        <v>18.5</v>
      </c>
      <c r="Z89" s="36">
        <f t="shared" si="154"/>
        <v>28</v>
      </c>
      <c r="AA89" s="36">
        <f t="shared" si="154"/>
        <v>25.7</v>
      </c>
      <c r="AB89" s="36">
        <f t="shared" si="154"/>
        <v>26.7</v>
      </c>
      <c r="AC89" s="36">
        <f t="shared" si="154"/>
        <v>19.399999999999999</v>
      </c>
      <c r="AD89" s="36">
        <f t="shared" si="155"/>
        <v>25.8</v>
      </c>
      <c r="AE89" s="36">
        <f t="shared" si="155"/>
        <v>30</v>
      </c>
      <c r="AF89" s="36">
        <f t="shared" si="155"/>
        <v>32.4</v>
      </c>
      <c r="AG89" s="36">
        <f t="shared" si="155"/>
        <v>30.8</v>
      </c>
      <c r="AH89" s="36">
        <f t="shared" si="155"/>
        <v>37.200000000000003</v>
      </c>
      <c r="AI89" s="36">
        <f t="shared" si="155"/>
        <v>39.4</v>
      </c>
      <c r="AJ89" s="36">
        <f t="shared" si="155"/>
        <v>40.5</v>
      </c>
      <c r="AK89" s="36">
        <f t="shared" si="155"/>
        <v>35.799999999999997</v>
      </c>
      <c r="AL89" s="36">
        <f t="shared" si="155"/>
        <v>37.799999999999997</v>
      </c>
      <c r="AM89" s="36">
        <f t="shared" si="155"/>
        <v>31.9</v>
      </c>
      <c r="AN89" s="36">
        <f t="shared" si="155"/>
        <v>38.6</v>
      </c>
      <c r="BJ89" s="600"/>
      <c r="BK89" s="601"/>
      <c r="BL89" s="601"/>
      <c r="BM89" s="601" t="s">
        <v>42</v>
      </c>
      <c r="BN89" s="601" t="s">
        <v>51</v>
      </c>
      <c r="BO89" s="602" t="str">
        <f t="shared" ref="BO89:CH89" si="160">IF($BJ26,IFERROR(VLOOKUP(BO$22&amp;"Female"&amp;"AllEth"&amp;24&amp;$BM89,Methodstable,9,FALSE),"0.0"),NA())</f>
        <v>0.0</v>
      </c>
      <c r="BP89" s="602" t="str">
        <f t="shared" si="160"/>
        <v>0.0</v>
      </c>
      <c r="BQ89" s="602">
        <f t="shared" si="160"/>
        <v>4.2</v>
      </c>
      <c r="BR89" s="602" t="str">
        <f t="shared" si="160"/>
        <v>0.0</v>
      </c>
      <c r="BS89" s="602">
        <f t="shared" si="160"/>
        <v>4.3</v>
      </c>
      <c r="BT89" s="602" t="str">
        <f t="shared" si="160"/>
        <v>0.0</v>
      </c>
      <c r="BU89" s="602" t="str">
        <f t="shared" si="160"/>
        <v>0.0</v>
      </c>
      <c r="BV89" s="602">
        <f t="shared" si="160"/>
        <v>2.9</v>
      </c>
      <c r="BW89" s="602">
        <f t="shared" si="160"/>
        <v>3.3</v>
      </c>
      <c r="BX89" s="602" t="str">
        <f t="shared" si="160"/>
        <v>0.0</v>
      </c>
      <c r="BY89" s="602">
        <f t="shared" si="160"/>
        <v>9.6999999999999993</v>
      </c>
      <c r="BZ89" s="602">
        <f t="shared" si="160"/>
        <v>2.5</v>
      </c>
      <c r="CA89" s="602" t="str">
        <f t="shared" si="160"/>
        <v>0.0</v>
      </c>
      <c r="CB89" s="602" t="str">
        <f t="shared" si="160"/>
        <v>0.0</v>
      </c>
      <c r="CC89" s="602" t="str">
        <f t="shared" si="160"/>
        <v>0.0</v>
      </c>
      <c r="CD89" s="602">
        <f t="shared" si="160"/>
        <v>6.1</v>
      </c>
      <c r="CE89" s="602">
        <f t="shared" si="160"/>
        <v>2.4</v>
      </c>
      <c r="CF89" s="602">
        <f t="shared" si="160"/>
        <v>1.9</v>
      </c>
      <c r="CG89" s="602">
        <f t="shared" si="160"/>
        <v>2.2000000000000002</v>
      </c>
      <c r="CH89" s="602">
        <f t="shared" si="160"/>
        <v>2.1</v>
      </c>
      <c r="CI89" s="602" t="str">
        <f t="shared" ref="CI89" si="161">IF($BJ26,IFERROR(VLOOKUP(CI$22&amp;"Female"&amp;"AllEth"&amp;24&amp;$BM89,Methodstable,9,FALSE),"0.0"),NA())</f>
        <v>0.0</v>
      </c>
    </row>
    <row r="90" spans="2:87">
      <c r="P90" s="25"/>
      <c r="Q90" s="25"/>
      <c r="R90" s="24" t="s">
        <v>42</v>
      </c>
      <c r="S90" s="24"/>
      <c r="T90" s="36" t="str">
        <f t="shared" si="154"/>
        <v>0.0</v>
      </c>
      <c r="U90" s="36" t="str">
        <f t="shared" si="154"/>
        <v>0.0</v>
      </c>
      <c r="V90" s="36">
        <f t="shared" si="154"/>
        <v>4.2</v>
      </c>
      <c r="W90" s="36" t="str">
        <f t="shared" si="154"/>
        <v>0.0</v>
      </c>
      <c r="X90" s="36">
        <f t="shared" si="154"/>
        <v>4.3</v>
      </c>
      <c r="Y90" s="36" t="str">
        <f t="shared" si="154"/>
        <v>0.0</v>
      </c>
      <c r="Z90" s="36" t="str">
        <f t="shared" si="154"/>
        <v>0.0</v>
      </c>
      <c r="AA90" s="36">
        <f t="shared" si="154"/>
        <v>2.9</v>
      </c>
      <c r="AB90" s="36">
        <f t="shared" si="154"/>
        <v>3.3</v>
      </c>
      <c r="AC90" s="36" t="str">
        <f t="shared" si="154"/>
        <v>0.0</v>
      </c>
      <c r="AD90" s="36">
        <f t="shared" si="155"/>
        <v>9.6999999999999993</v>
      </c>
      <c r="AE90" s="36">
        <f t="shared" si="155"/>
        <v>2.5</v>
      </c>
      <c r="AF90" s="36" t="str">
        <f t="shared" si="155"/>
        <v>0.0</v>
      </c>
      <c r="AG90" s="36" t="str">
        <f t="shared" si="155"/>
        <v>0.0</v>
      </c>
      <c r="AH90" s="36" t="str">
        <f t="shared" si="155"/>
        <v>0.0</v>
      </c>
      <c r="AI90" s="36">
        <f t="shared" si="155"/>
        <v>6.1</v>
      </c>
      <c r="AJ90" s="36">
        <f t="shared" si="155"/>
        <v>2.4</v>
      </c>
      <c r="AK90" s="36">
        <f t="shared" si="155"/>
        <v>1.9</v>
      </c>
      <c r="AL90" s="36">
        <f t="shared" si="155"/>
        <v>2.2000000000000002</v>
      </c>
      <c r="AM90" s="36">
        <f t="shared" si="155"/>
        <v>2.1</v>
      </c>
      <c r="AN90" s="36" t="str">
        <f t="shared" si="155"/>
        <v>0.0</v>
      </c>
      <c r="BJ90" s="600"/>
      <c r="BK90" s="601"/>
      <c r="BL90" s="601"/>
      <c r="BM90" s="601" t="s">
        <v>44</v>
      </c>
      <c r="BN90" s="601" t="s">
        <v>51</v>
      </c>
      <c r="BO90" s="602" t="e">
        <f t="shared" ref="BO90:CH90" si="162">IF($BJ27,IFERROR(VLOOKUP(BO$22&amp;"Female"&amp;"AllEth"&amp;24&amp;$BM90,Methodstable,9,FALSE),"0.0"),NA())</f>
        <v>#N/A</v>
      </c>
      <c r="BP90" s="602" t="e">
        <f t="shared" si="162"/>
        <v>#N/A</v>
      </c>
      <c r="BQ90" s="602" t="e">
        <f t="shared" si="162"/>
        <v>#N/A</v>
      </c>
      <c r="BR90" s="602" t="e">
        <f t="shared" si="162"/>
        <v>#N/A</v>
      </c>
      <c r="BS90" s="602" t="e">
        <f t="shared" si="162"/>
        <v>#N/A</v>
      </c>
      <c r="BT90" s="602" t="e">
        <f t="shared" si="162"/>
        <v>#N/A</v>
      </c>
      <c r="BU90" s="602" t="e">
        <f t="shared" si="162"/>
        <v>#N/A</v>
      </c>
      <c r="BV90" s="602" t="e">
        <f t="shared" si="162"/>
        <v>#N/A</v>
      </c>
      <c r="BW90" s="602" t="e">
        <f t="shared" si="162"/>
        <v>#N/A</v>
      </c>
      <c r="BX90" s="602" t="e">
        <f t="shared" si="162"/>
        <v>#N/A</v>
      </c>
      <c r="BY90" s="602" t="e">
        <f t="shared" si="162"/>
        <v>#N/A</v>
      </c>
      <c r="BZ90" s="602" t="e">
        <f t="shared" si="162"/>
        <v>#N/A</v>
      </c>
      <c r="CA90" s="602" t="e">
        <f t="shared" si="162"/>
        <v>#N/A</v>
      </c>
      <c r="CB90" s="602" t="e">
        <f t="shared" si="162"/>
        <v>#N/A</v>
      </c>
      <c r="CC90" s="602" t="e">
        <f t="shared" si="162"/>
        <v>#N/A</v>
      </c>
      <c r="CD90" s="602" t="e">
        <f t="shared" si="162"/>
        <v>#N/A</v>
      </c>
      <c r="CE90" s="602" t="e">
        <f t="shared" si="162"/>
        <v>#N/A</v>
      </c>
      <c r="CF90" s="602" t="e">
        <f t="shared" si="162"/>
        <v>#N/A</v>
      </c>
      <c r="CG90" s="602" t="e">
        <f t="shared" si="162"/>
        <v>#N/A</v>
      </c>
      <c r="CH90" s="602" t="e">
        <f t="shared" si="162"/>
        <v>#N/A</v>
      </c>
      <c r="CI90" s="602" t="e">
        <f t="shared" ref="CI90" si="163">IF($BJ27,IFERROR(VLOOKUP(CI$22&amp;"Female"&amp;"AllEth"&amp;24&amp;$BM90,Methodstable,9,FALSE),"0.0"),NA())</f>
        <v>#N/A</v>
      </c>
    </row>
    <row r="91" spans="2:87">
      <c r="P91" s="25"/>
      <c r="Q91" s="25"/>
      <c r="R91" s="24" t="s">
        <v>44</v>
      </c>
      <c r="S91" s="24"/>
      <c r="T91" s="36" t="str">
        <f t="shared" si="154"/>
        <v>0.0</v>
      </c>
      <c r="U91" s="36" t="str">
        <f t="shared" si="154"/>
        <v>0.0</v>
      </c>
      <c r="V91" s="36">
        <f t="shared" si="154"/>
        <v>4.2</v>
      </c>
      <c r="W91" s="36" t="str">
        <f t="shared" si="154"/>
        <v>0.0</v>
      </c>
      <c r="X91" s="36">
        <f t="shared" si="154"/>
        <v>13</v>
      </c>
      <c r="Y91" s="36">
        <f t="shared" si="154"/>
        <v>3.7</v>
      </c>
      <c r="Z91" s="36">
        <f t="shared" si="154"/>
        <v>4</v>
      </c>
      <c r="AA91" s="36">
        <f t="shared" si="154"/>
        <v>8.6</v>
      </c>
      <c r="AB91" s="36">
        <f t="shared" si="154"/>
        <v>6.7</v>
      </c>
      <c r="AC91" s="36" t="str">
        <f t="shared" si="154"/>
        <v>0.0</v>
      </c>
      <c r="AD91" s="36" t="str">
        <f t="shared" si="155"/>
        <v>0.0</v>
      </c>
      <c r="AE91" s="36">
        <f t="shared" si="155"/>
        <v>2.5</v>
      </c>
      <c r="AF91" s="36">
        <f t="shared" si="155"/>
        <v>2.9</v>
      </c>
      <c r="AG91" s="36">
        <f t="shared" si="155"/>
        <v>5.0999999999999996</v>
      </c>
      <c r="AH91" s="36">
        <f t="shared" si="155"/>
        <v>2.2999999999999998</v>
      </c>
      <c r="AI91" s="36">
        <f t="shared" si="155"/>
        <v>6.1</v>
      </c>
      <c r="AJ91" s="36">
        <f t="shared" si="155"/>
        <v>4.8</v>
      </c>
      <c r="AK91" s="36">
        <f t="shared" si="155"/>
        <v>7.5</v>
      </c>
      <c r="AL91" s="36">
        <f t="shared" si="155"/>
        <v>6.7</v>
      </c>
      <c r="AM91" s="36">
        <f t="shared" si="155"/>
        <v>2.1</v>
      </c>
      <c r="AN91" s="36" t="str">
        <f t="shared" si="155"/>
        <v>0.0</v>
      </c>
      <c r="BJ91" s="600"/>
      <c r="BK91" s="601"/>
      <c r="BL91" s="601"/>
      <c r="BM91" s="601" t="s">
        <v>49</v>
      </c>
      <c r="BN91" s="601" t="s">
        <v>51</v>
      </c>
      <c r="BO91" s="602" t="e">
        <f t="shared" ref="BO91:CH91" si="164">IF($BJ28,IFERROR(VLOOKUP(BO$22&amp;"Female"&amp;"AllEth"&amp;24&amp;$BM91,Methodstable,9,FALSE),"0.0"),NA())</f>
        <v>#N/A</v>
      </c>
      <c r="BP91" s="602" t="e">
        <f t="shared" si="164"/>
        <v>#N/A</v>
      </c>
      <c r="BQ91" s="602" t="e">
        <f t="shared" si="164"/>
        <v>#N/A</v>
      </c>
      <c r="BR91" s="602" t="e">
        <f t="shared" si="164"/>
        <v>#N/A</v>
      </c>
      <c r="BS91" s="602" t="e">
        <f t="shared" si="164"/>
        <v>#N/A</v>
      </c>
      <c r="BT91" s="602" t="e">
        <f t="shared" si="164"/>
        <v>#N/A</v>
      </c>
      <c r="BU91" s="602" t="e">
        <f t="shared" si="164"/>
        <v>#N/A</v>
      </c>
      <c r="BV91" s="602" t="e">
        <f t="shared" si="164"/>
        <v>#N/A</v>
      </c>
      <c r="BW91" s="602" t="e">
        <f t="shared" si="164"/>
        <v>#N/A</v>
      </c>
      <c r="BX91" s="602" t="e">
        <f t="shared" si="164"/>
        <v>#N/A</v>
      </c>
      <c r="BY91" s="602" t="e">
        <f t="shared" si="164"/>
        <v>#N/A</v>
      </c>
      <c r="BZ91" s="602" t="e">
        <f t="shared" si="164"/>
        <v>#N/A</v>
      </c>
      <c r="CA91" s="602" t="e">
        <f t="shared" si="164"/>
        <v>#N/A</v>
      </c>
      <c r="CB91" s="602" t="e">
        <f t="shared" si="164"/>
        <v>#N/A</v>
      </c>
      <c r="CC91" s="602" t="e">
        <f t="shared" si="164"/>
        <v>#N/A</v>
      </c>
      <c r="CD91" s="602" t="e">
        <f t="shared" si="164"/>
        <v>#N/A</v>
      </c>
      <c r="CE91" s="602" t="e">
        <f t="shared" si="164"/>
        <v>#N/A</v>
      </c>
      <c r="CF91" s="602" t="e">
        <f t="shared" si="164"/>
        <v>#N/A</v>
      </c>
      <c r="CG91" s="602" t="e">
        <f t="shared" si="164"/>
        <v>#N/A</v>
      </c>
      <c r="CH91" s="602" t="e">
        <f t="shared" si="164"/>
        <v>#N/A</v>
      </c>
      <c r="CI91" s="602" t="e">
        <f t="shared" ref="CI91" si="165">IF($BJ28,IFERROR(VLOOKUP(CI$22&amp;"Female"&amp;"AllEth"&amp;24&amp;$BM91,Methodstable,9,FALSE),"0.0"),NA())</f>
        <v>#N/A</v>
      </c>
    </row>
    <row r="92" spans="2:87">
      <c r="P92" s="25"/>
      <c r="Q92" s="25"/>
      <c r="R92" s="24" t="s">
        <v>49</v>
      </c>
      <c r="S92" s="24"/>
      <c r="T92" s="36">
        <f t="shared" si="154"/>
        <v>9.1</v>
      </c>
      <c r="U92" s="36">
        <f t="shared" si="154"/>
        <v>7.7</v>
      </c>
      <c r="V92" s="36">
        <f t="shared" si="154"/>
        <v>4.2</v>
      </c>
      <c r="W92" s="36">
        <f t="shared" si="154"/>
        <v>14.3</v>
      </c>
      <c r="X92" s="36" t="str">
        <f t="shared" si="154"/>
        <v>0.0</v>
      </c>
      <c r="Y92" s="36">
        <f t="shared" si="154"/>
        <v>11.1</v>
      </c>
      <c r="Z92" s="36" t="str">
        <f t="shared" si="154"/>
        <v>0.0</v>
      </c>
      <c r="AA92" s="36">
        <f t="shared" si="154"/>
        <v>8.6</v>
      </c>
      <c r="AB92" s="36">
        <f t="shared" si="154"/>
        <v>3.3</v>
      </c>
      <c r="AC92" s="36">
        <f t="shared" si="154"/>
        <v>6.5</v>
      </c>
      <c r="AD92" s="36">
        <f t="shared" si="155"/>
        <v>3.2</v>
      </c>
      <c r="AE92" s="36">
        <f t="shared" si="155"/>
        <v>2.5</v>
      </c>
      <c r="AF92" s="36" t="str">
        <f t="shared" si="155"/>
        <v>0.0</v>
      </c>
      <c r="AG92" s="36">
        <f t="shared" si="155"/>
        <v>5.0999999999999996</v>
      </c>
      <c r="AH92" s="36">
        <f t="shared" si="155"/>
        <v>7</v>
      </c>
      <c r="AI92" s="36">
        <f t="shared" si="155"/>
        <v>9.1</v>
      </c>
      <c r="AJ92" s="36" t="str">
        <f t="shared" si="155"/>
        <v>0.0</v>
      </c>
      <c r="AK92" s="36">
        <f t="shared" si="155"/>
        <v>7.5</v>
      </c>
      <c r="AL92" s="36">
        <f t="shared" si="155"/>
        <v>2.2000000000000002</v>
      </c>
      <c r="AM92" s="36">
        <f t="shared" si="155"/>
        <v>6.4</v>
      </c>
      <c r="AN92" s="36">
        <f t="shared" si="155"/>
        <v>2.2999999999999998</v>
      </c>
      <c r="BJ92" s="600"/>
      <c r="BK92" s="601"/>
      <c r="BL92" s="601"/>
      <c r="BM92" s="601" t="s">
        <v>48</v>
      </c>
      <c r="BN92" s="601" t="s">
        <v>51</v>
      </c>
      <c r="BO92" s="602" t="e">
        <f t="shared" ref="BO92:CH92" si="166">IF($BJ29,IFERROR(VLOOKUP(BO$22&amp;"Female"&amp;"AllEth"&amp;24&amp;$BM92,Methodstable,9,FALSE),"0.0"),NA())</f>
        <v>#N/A</v>
      </c>
      <c r="BP92" s="602" t="e">
        <f t="shared" si="166"/>
        <v>#N/A</v>
      </c>
      <c r="BQ92" s="602" t="e">
        <f t="shared" si="166"/>
        <v>#N/A</v>
      </c>
      <c r="BR92" s="602" t="e">
        <f t="shared" si="166"/>
        <v>#N/A</v>
      </c>
      <c r="BS92" s="602" t="e">
        <f t="shared" si="166"/>
        <v>#N/A</v>
      </c>
      <c r="BT92" s="602" t="e">
        <f t="shared" si="166"/>
        <v>#N/A</v>
      </c>
      <c r="BU92" s="602" t="e">
        <f t="shared" si="166"/>
        <v>#N/A</v>
      </c>
      <c r="BV92" s="602" t="e">
        <f t="shared" si="166"/>
        <v>#N/A</v>
      </c>
      <c r="BW92" s="602" t="e">
        <f t="shared" si="166"/>
        <v>#N/A</v>
      </c>
      <c r="BX92" s="602" t="e">
        <f t="shared" si="166"/>
        <v>#N/A</v>
      </c>
      <c r="BY92" s="602" t="e">
        <f t="shared" si="166"/>
        <v>#N/A</v>
      </c>
      <c r="BZ92" s="602" t="e">
        <f t="shared" si="166"/>
        <v>#N/A</v>
      </c>
      <c r="CA92" s="602" t="e">
        <f t="shared" si="166"/>
        <v>#N/A</v>
      </c>
      <c r="CB92" s="602" t="e">
        <f t="shared" si="166"/>
        <v>#N/A</v>
      </c>
      <c r="CC92" s="602" t="e">
        <f t="shared" si="166"/>
        <v>#N/A</v>
      </c>
      <c r="CD92" s="602" t="e">
        <f t="shared" si="166"/>
        <v>#N/A</v>
      </c>
      <c r="CE92" s="602" t="e">
        <f t="shared" si="166"/>
        <v>#N/A</v>
      </c>
      <c r="CF92" s="602" t="e">
        <f t="shared" si="166"/>
        <v>#N/A</v>
      </c>
      <c r="CG92" s="602" t="e">
        <f t="shared" si="166"/>
        <v>#N/A</v>
      </c>
      <c r="CH92" s="602" t="e">
        <f t="shared" si="166"/>
        <v>#N/A</v>
      </c>
      <c r="CI92" s="602" t="e">
        <f t="shared" ref="CI92" si="167">IF($BJ29,IFERROR(VLOOKUP(CI$22&amp;"Female"&amp;"AllEth"&amp;24&amp;$BM92,Methodstable,9,FALSE),"0.0"),NA())</f>
        <v>#N/A</v>
      </c>
    </row>
    <row r="93" spans="2:87">
      <c r="P93" s="25"/>
      <c r="Q93" s="25"/>
      <c r="R93" s="24" t="s">
        <v>48</v>
      </c>
      <c r="S93" s="24"/>
      <c r="T93" s="36">
        <f t="shared" si="154"/>
        <v>9.1</v>
      </c>
      <c r="U93" s="36">
        <f t="shared" si="154"/>
        <v>3.8</v>
      </c>
      <c r="V93" s="36">
        <f t="shared" si="154"/>
        <v>4.2</v>
      </c>
      <c r="W93" s="36" t="str">
        <f t="shared" si="154"/>
        <v>0.0</v>
      </c>
      <c r="X93" s="36" t="str">
        <f t="shared" si="154"/>
        <v>0.0</v>
      </c>
      <c r="Y93" s="36" t="str">
        <f t="shared" si="154"/>
        <v>0.0</v>
      </c>
      <c r="Z93" s="36" t="str">
        <f t="shared" si="154"/>
        <v>0.0</v>
      </c>
      <c r="AA93" s="36">
        <f t="shared" si="154"/>
        <v>5.7</v>
      </c>
      <c r="AB93" s="36">
        <f t="shared" si="154"/>
        <v>6.7</v>
      </c>
      <c r="AC93" s="36">
        <f t="shared" si="154"/>
        <v>6.5</v>
      </c>
      <c r="AD93" s="36" t="str">
        <f t="shared" si="155"/>
        <v>0.0</v>
      </c>
      <c r="AE93" s="36" t="str">
        <f t="shared" si="155"/>
        <v>0.0</v>
      </c>
      <c r="AF93" s="36" t="str">
        <f t="shared" si="155"/>
        <v>0.0</v>
      </c>
      <c r="AG93" s="36">
        <f t="shared" si="155"/>
        <v>5.0999999999999996</v>
      </c>
      <c r="AH93" s="36">
        <f t="shared" si="155"/>
        <v>4.7</v>
      </c>
      <c r="AI93" s="36" t="str">
        <f t="shared" si="155"/>
        <v>0.0</v>
      </c>
      <c r="AJ93" s="36" t="str">
        <f t="shared" si="155"/>
        <v>0.0</v>
      </c>
      <c r="AK93" s="36">
        <f t="shared" si="155"/>
        <v>1.9</v>
      </c>
      <c r="AL93" s="36">
        <f t="shared" si="155"/>
        <v>6.7</v>
      </c>
      <c r="AM93" s="36" t="str">
        <f t="shared" si="155"/>
        <v>0.0</v>
      </c>
      <c r="AN93" s="36" t="str">
        <f t="shared" si="155"/>
        <v>0.0</v>
      </c>
      <c r="BJ93" s="600"/>
      <c r="BK93" s="601"/>
      <c r="BL93" s="601"/>
      <c r="BM93" s="601" t="s">
        <v>45</v>
      </c>
      <c r="BN93" s="601" t="s">
        <v>51</v>
      </c>
      <c r="BO93" s="602" t="e">
        <f t="shared" ref="BO93:CH93" si="168">IF($BJ30,IFERROR(VLOOKUP(BO$22&amp;"Female"&amp;"AllEth"&amp;24&amp;$BM93,Methodstable,9,FALSE),"0.0"),NA())</f>
        <v>#N/A</v>
      </c>
      <c r="BP93" s="602" t="e">
        <f t="shared" si="168"/>
        <v>#N/A</v>
      </c>
      <c r="BQ93" s="602" t="e">
        <f t="shared" si="168"/>
        <v>#N/A</v>
      </c>
      <c r="BR93" s="602" t="e">
        <f t="shared" si="168"/>
        <v>#N/A</v>
      </c>
      <c r="BS93" s="602" t="e">
        <f t="shared" si="168"/>
        <v>#N/A</v>
      </c>
      <c r="BT93" s="602" t="e">
        <f t="shared" si="168"/>
        <v>#N/A</v>
      </c>
      <c r="BU93" s="602" t="e">
        <f t="shared" si="168"/>
        <v>#N/A</v>
      </c>
      <c r="BV93" s="602" t="e">
        <f t="shared" si="168"/>
        <v>#N/A</v>
      </c>
      <c r="BW93" s="602" t="e">
        <f t="shared" si="168"/>
        <v>#N/A</v>
      </c>
      <c r="BX93" s="602" t="e">
        <f t="shared" si="168"/>
        <v>#N/A</v>
      </c>
      <c r="BY93" s="602" t="e">
        <f t="shared" si="168"/>
        <v>#N/A</v>
      </c>
      <c r="BZ93" s="602" t="e">
        <f t="shared" si="168"/>
        <v>#N/A</v>
      </c>
      <c r="CA93" s="602" t="e">
        <f t="shared" si="168"/>
        <v>#N/A</v>
      </c>
      <c r="CB93" s="602" t="e">
        <f t="shared" si="168"/>
        <v>#N/A</v>
      </c>
      <c r="CC93" s="602" t="e">
        <f t="shared" si="168"/>
        <v>#N/A</v>
      </c>
      <c r="CD93" s="602" t="e">
        <f t="shared" si="168"/>
        <v>#N/A</v>
      </c>
      <c r="CE93" s="602" t="e">
        <f t="shared" si="168"/>
        <v>#N/A</v>
      </c>
      <c r="CF93" s="602" t="e">
        <f t="shared" si="168"/>
        <v>#N/A</v>
      </c>
      <c r="CG93" s="602" t="e">
        <f t="shared" si="168"/>
        <v>#N/A</v>
      </c>
      <c r="CH93" s="602" t="e">
        <f t="shared" si="168"/>
        <v>#N/A</v>
      </c>
      <c r="CI93" s="602" t="e">
        <f t="shared" ref="CI93" si="169">IF($BJ30,IFERROR(VLOOKUP(CI$22&amp;"Female"&amp;"AllEth"&amp;24&amp;$BM93,Methodstable,9,FALSE),"0.0"),NA())</f>
        <v>#N/A</v>
      </c>
    </row>
    <row r="94" spans="2:87">
      <c r="P94" s="25"/>
      <c r="Q94" s="25"/>
      <c r="R94" s="24" t="s">
        <v>45</v>
      </c>
      <c r="S94" s="24"/>
      <c r="T94" s="36" t="str">
        <f t="shared" si="154"/>
        <v>0.0</v>
      </c>
      <c r="U94" s="36" t="str">
        <f t="shared" si="154"/>
        <v>0.0</v>
      </c>
      <c r="V94" s="36">
        <f t="shared" si="154"/>
        <v>4.2</v>
      </c>
      <c r="W94" s="36">
        <f t="shared" si="154"/>
        <v>4.8</v>
      </c>
      <c r="X94" s="36">
        <f t="shared" si="154"/>
        <v>4.3</v>
      </c>
      <c r="Y94" s="36">
        <f t="shared" si="154"/>
        <v>3.7</v>
      </c>
      <c r="Z94" s="36">
        <f t="shared" si="154"/>
        <v>8</v>
      </c>
      <c r="AA94" s="36">
        <f t="shared" si="154"/>
        <v>5.7</v>
      </c>
      <c r="AB94" s="36">
        <f t="shared" si="154"/>
        <v>3.3</v>
      </c>
      <c r="AC94" s="36" t="str">
        <f t="shared" si="154"/>
        <v>0.0</v>
      </c>
      <c r="AD94" s="36">
        <f t="shared" si="155"/>
        <v>3.2</v>
      </c>
      <c r="AE94" s="36">
        <f t="shared" si="155"/>
        <v>12.5</v>
      </c>
      <c r="AF94" s="36">
        <f t="shared" si="155"/>
        <v>8.8000000000000007</v>
      </c>
      <c r="AG94" s="36" t="str">
        <f t="shared" si="155"/>
        <v>0.0</v>
      </c>
      <c r="AH94" s="36">
        <f t="shared" si="155"/>
        <v>4.7</v>
      </c>
      <c r="AI94" s="36">
        <f t="shared" si="155"/>
        <v>6.1</v>
      </c>
      <c r="AJ94" s="36">
        <f t="shared" si="155"/>
        <v>7.1</v>
      </c>
      <c r="AK94" s="36">
        <f t="shared" si="155"/>
        <v>3.8</v>
      </c>
      <c r="AL94" s="36">
        <f t="shared" si="155"/>
        <v>2.2000000000000002</v>
      </c>
      <c r="AM94" s="36">
        <f t="shared" si="155"/>
        <v>8.5</v>
      </c>
      <c r="AN94" s="36">
        <f t="shared" si="155"/>
        <v>2.2999999999999998</v>
      </c>
      <c r="BJ94" s="600"/>
      <c r="BK94" s="601"/>
      <c r="BL94" s="601"/>
      <c r="BM94" s="601"/>
      <c r="BN94" s="601"/>
      <c r="BO94" s="601"/>
      <c r="BP94" s="601"/>
      <c r="BQ94" s="601"/>
      <c r="BR94" s="601"/>
      <c r="BS94" s="601"/>
      <c r="BT94" s="601"/>
      <c r="BU94" s="601"/>
      <c r="BV94" s="601"/>
      <c r="BW94" s="601"/>
      <c r="BX94" s="601"/>
      <c r="BY94" s="601"/>
      <c r="BZ94" s="601"/>
      <c r="CA94" s="601"/>
      <c r="CB94" s="601"/>
      <c r="CC94" s="601"/>
      <c r="CD94" s="601"/>
      <c r="CE94" s="601"/>
      <c r="CF94" s="601"/>
      <c r="CG94" s="601"/>
      <c r="CH94" s="601"/>
      <c r="CI94" s="601"/>
    </row>
    <row r="95" spans="2:87">
      <c r="P95" s="28"/>
      <c r="Q95" s="28"/>
      <c r="R95" s="26"/>
      <c r="S95" s="26"/>
      <c r="T95" s="38"/>
      <c r="U95" s="38"/>
      <c r="V95" s="38"/>
      <c r="W95" s="38"/>
      <c r="X95" s="38"/>
      <c r="Y95" s="38"/>
      <c r="Z95" s="38"/>
      <c r="AA95" s="38"/>
      <c r="AB95" s="38"/>
      <c r="AC95" s="38"/>
      <c r="AD95" s="38"/>
      <c r="AE95" s="38"/>
      <c r="AF95" s="38"/>
      <c r="AG95" s="38"/>
      <c r="AH95" s="38"/>
      <c r="AI95" s="38"/>
      <c r="AJ95" s="38"/>
      <c r="AK95" s="38"/>
      <c r="AL95" s="38"/>
      <c r="AM95" s="38"/>
      <c r="AN95" s="38"/>
      <c r="BJ95" s="600"/>
      <c r="BK95" s="601" t="s">
        <v>8</v>
      </c>
      <c r="BL95" s="601" t="s">
        <v>26</v>
      </c>
      <c r="BM95" s="601" t="s">
        <v>43</v>
      </c>
      <c r="BN95" s="601" t="s">
        <v>51</v>
      </c>
      <c r="BO95" s="602">
        <f t="shared" ref="BO95:CH95" si="170">IF($BJ23,IFERROR(VLOOKUP(BO$22&amp;"Female"&amp;"AllEth"&amp;25&amp;$BM95,Methodstable,9,FALSE),"0.0"),NA())</f>
        <v>30.8</v>
      </c>
      <c r="BP95" s="602">
        <f t="shared" si="170"/>
        <v>12.5</v>
      </c>
      <c r="BQ95" s="602">
        <f t="shared" si="170"/>
        <v>25</v>
      </c>
      <c r="BR95" s="602">
        <f t="shared" si="170"/>
        <v>37.5</v>
      </c>
      <c r="BS95" s="602">
        <f t="shared" si="170"/>
        <v>16.7</v>
      </c>
      <c r="BT95" s="602">
        <f t="shared" si="170"/>
        <v>43.8</v>
      </c>
      <c r="BU95" s="602">
        <f t="shared" si="170"/>
        <v>25</v>
      </c>
      <c r="BV95" s="602">
        <f t="shared" si="170"/>
        <v>57.1</v>
      </c>
      <c r="BW95" s="602">
        <f t="shared" si="170"/>
        <v>22.2</v>
      </c>
      <c r="BX95" s="602">
        <f t="shared" si="170"/>
        <v>6.2</v>
      </c>
      <c r="BY95" s="602">
        <f t="shared" si="170"/>
        <v>44.4</v>
      </c>
      <c r="BZ95" s="602">
        <f t="shared" si="170"/>
        <v>62.5</v>
      </c>
      <c r="CA95" s="602">
        <f t="shared" si="170"/>
        <v>20</v>
      </c>
      <c r="CB95" s="602">
        <f t="shared" si="170"/>
        <v>30.8</v>
      </c>
      <c r="CC95" s="602">
        <f t="shared" si="170"/>
        <v>42.9</v>
      </c>
      <c r="CD95" s="602">
        <f t="shared" si="170"/>
        <v>42.9</v>
      </c>
      <c r="CE95" s="602">
        <f t="shared" si="170"/>
        <v>42.9</v>
      </c>
      <c r="CF95" s="602">
        <f t="shared" si="170"/>
        <v>25</v>
      </c>
      <c r="CG95" s="602">
        <f t="shared" si="170"/>
        <v>18.2</v>
      </c>
      <c r="CH95" s="602">
        <f t="shared" si="170"/>
        <v>31.2</v>
      </c>
      <c r="CI95" s="602">
        <f t="shared" ref="CI95" si="171">IF($BJ23,IFERROR(VLOOKUP(CI$22&amp;"Female"&amp;"AllEth"&amp;25&amp;$BM95,Methodstable,9,FALSE),"0.0"),NA())</f>
        <v>41.7</v>
      </c>
    </row>
    <row r="96" spans="2:87">
      <c r="P96" s="25" t="s">
        <v>8</v>
      </c>
      <c r="Q96" s="25" t="s">
        <v>26</v>
      </c>
      <c r="R96" s="24" t="s">
        <v>43</v>
      </c>
      <c r="S96" s="24" t="s">
        <v>303</v>
      </c>
      <c r="T96" s="36">
        <f t="shared" ref="T96:AC103" si="172">IFERROR(VLOOKUP(T$13&amp;"Female"&amp;"AllEth"&amp;25&amp;$R96,Methodstable,9,FALSE),"0.0")</f>
        <v>30.8</v>
      </c>
      <c r="U96" s="36">
        <f t="shared" si="172"/>
        <v>12.5</v>
      </c>
      <c r="V96" s="36">
        <f t="shared" si="172"/>
        <v>25</v>
      </c>
      <c r="W96" s="36">
        <f t="shared" si="172"/>
        <v>37.5</v>
      </c>
      <c r="X96" s="36">
        <f t="shared" si="172"/>
        <v>16.7</v>
      </c>
      <c r="Y96" s="36">
        <f t="shared" si="172"/>
        <v>43.8</v>
      </c>
      <c r="Z96" s="36">
        <f t="shared" si="172"/>
        <v>25</v>
      </c>
      <c r="AA96" s="36">
        <f t="shared" si="172"/>
        <v>57.1</v>
      </c>
      <c r="AB96" s="36">
        <f t="shared" si="172"/>
        <v>22.2</v>
      </c>
      <c r="AC96" s="36">
        <f t="shared" si="172"/>
        <v>6.2</v>
      </c>
      <c r="AD96" s="36">
        <f t="shared" ref="AD96:AN103" si="173">IFERROR(VLOOKUP(AD$13&amp;"Female"&amp;"AllEth"&amp;25&amp;$R96,Methodstable,9,FALSE),"0.0")</f>
        <v>44.4</v>
      </c>
      <c r="AE96" s="36">
        <f t="shared" si="173"/>
        <v>62.5</v>
      </c>
      <c r="AF96" s="36">
        <f t="shared" si="173"/>
        <v>20</v>
      </c>
      <c r="AG96" s="36">
        <f t="shared" si="173"/>
        <v>30.8</v>
      </c>
      <c r="AH96" s="36">
        <f t="shared" si="173"/>
        <v>42.9</v>
      </c>
      <c r="AI96" s="36">
        <f t="shared" si="173"/>
        <v>42.9</v>
      </c>
      <c r="AJ96" s="36">
        <f t="shared" si="173"/>
        <v>42.9</v>
      </c>
      <c r="AK96" s="36">
        <f t="shared" si="173"/>
        <v>25</v>
      </c>
      <c r="AL96" s="36">
        <f t="shared" si="173"/>
        <v>18.2</v>
      </c>
      <c r="AM96" s="36">
        <f t="shared" si="173"/>
        <v>31.2</v>
      </c>
      <c r="AN96" s="36">
        <f t="shared" si="173"/>
        <v>41.7</v>
      </c>
      <c r="BJ96" s="600"/>
      <c r="BK96" s="601"/>
      <c r="BL96" s="601"/>
      <c r="BM96" s="601" t="s">
        <v>46</v>
      </c>
      <c r="BN96" s="601" t="s">
        <v>51</v>
      </c>
      <c r="BO96" s="602">
        <f t="shared" ref="BO96:CH96" si="174">IF($BJ24,IFERROR(VLOOKUP(BO$22&amp;"Female"&amp;"AllEth"&amp;25&amp;$BM96,Methodstable,9,FALSE),"0.0"),NA())</f>
        <v>15.4</v>
      </c>
      <c r="BP96" s="602" t="str">
        <f t="shared" si="174"/>
        <v>0.0</v>
      </c>
      <c r="BQ96" s="602">
        <f t="shared" si="174"/>
        <v>37.5</v>
      </c>
      <c r="BR96" s="602">
        <f t="shared" si="174"/>
        <v>12.5</v>
      </c>
      <c r="BS96" s="602">
        <f t="shared" si="174"/>
        <v>16.7</v>
      </c>
      <c r="BT96" s="602" t="str">
        <f t="shared" si="174"/>
        <v>0.0</v>
      </c>
      <c r="BU96" s="602">
        <f t="shared" si="174"/>
        <v>16.7</v>
      </c>
      <c r="BV96" s="602">
        <f t="shared" si="174"/>
        <v>14.3</v>
      </c>
      <c r="BW96" s="602">
        <f t="shared" si="174"/>
        <v>11.1</v>
      </c>
      <c r="BX96" s="602">
        <f t="shared" si="174"/>
        <v>18.8</v>
      </c>
      <c r="BY96" s="602">
        <f t="shared" si="174"/>
        <v>16.7</v>
      </c>
      <c r="BZ96" s="602">
        <f t="shared" si="174"/>
        <v>12.5</v>
      </c>
      <c r="CA96" s="602" t="str">
        <f t="shared" si="174"/>
        <v>0.0</v>
      </c>
      <c r="CB96" s="602">
        <f t="shared" si="174"/>
        <v>30.8</v>
      </c>
      <c r="CC96" s="602">
        <f t="shared" si="174"/>
        <v>7.1</v>
      </c>
      <c r="CD96" s="602" t="str">
        <f t="shared" si="174"/>
        <v>0.0</v>
      </c>
      <c r="CE96" s="602">
        <f t="shared" si="174"/>
        <v>7.1</v>
      </c>
      <c r="CF96" s="602" t="str">
        <f t="shared" si="174"/>
        <v>0.0</v>
      </c>
      <c r="CG96" s="602" t="str">
        <f t="shared" si="174"/>
        <v>0.0</v>
      </c>
      <c r="CH96" s="602">
        <f t="shared" si="174"/>
        <v>12.5</v>
      </c>
      <c r="CI96" s="602" t="str">
        <f t="shared" ref="CI96" si="175">IF($BJ24,IFERROR(VLOOKUP(CI$22&amp;"Female"&amp;"AllEth"&amp;25&amp;$BM96,Methodstable,9,FALSE),"0.0"),NA())</f>
        <v>0.0</v>
      </c>
    </row>
    <row r="97" spans="16:87">
      <c r="P97" s="25"/>
      <c r="Q97" s="25"/>
      <c r="R97" s="24" t="s">
        <v>46</v>
      </c>
      <c r="S97" s="24"/>
      <c r="T97" s="36">
        <f t="shared" si="172"/>
        <v>15.4</v>
      </c>
      <c r="U97" s="36" t="str">
        <f t="shared" si="172"/>
        <v>0.0</v>
      </c>
      <c r="V97" s="36">
        <f t="shared" si="172"/>
        <v>37.5</v>
      </c>
      <c r="W97" s="36">
        <f t="shared" si="172"/>
        <v>12.5</v>
      </c>
      <c r="X97" s="36">
        <f t="shared" si="172"/>
        <v>16.7</v>
      </c>
      <c r="Y97" s="36" t="str">
        <f t="shared" si="172"/>
        <v>0.0</v>
      </c>
      <c r="Z97" s="36">
        <f t="shared" si="172"/>
        <v>16.7</v>
      </c>
      <c r="AA97" s="36">
        <f t="shared" si="172"/>
        <v>14.3</v>
      </c>
      <c r="AB97" s="36">
        <f t="shared" si="172"/>
        <v>11.1</v>
      </c>
      <c r="AC97" s="36">
        <f t="shared" si="172"/>
        <v>18.8</v>
      </c>
      <c r="AD97" s="36">
        <f t="shared" si="173"/>
        <v>16.7</v>
      </c>
      <c r="AE97" s="36">
        <f t="shared" si="173"/>
        <v>12.5</v>
      </c>
      <c r="AF97" s="36" t="str">
        <f t="shared" si="173"/>
        <v>0.0</v>
      </c>
      <c r="AG97" s="36">
        <f t="shared" si="173"/>
        <v>30.8</v>
      </c>
      <c r="AH97" s="36">
        <f t="shared" si="173"/>
        <v>7.1</v>
      </c>
      <c r="AI97" s="36" t="str">
        <f t="shared" si="173"/>
        <v>0.0</v>
      </c>
      <c r="AJ97" s="36">
        <f t="shared" si="173"/>
        <v>7.1</v>
      </c>
      <c r="AK97" s="36" t="str">
        <f t="shared" si="173"/>
        <v>0.0</v>
      </c>
      <c r="AL97" s="36" t="str">
        <f t="shared" si="173"/>
        <v>0.0</v>
      </c>
      <c r="AM97" s="36">
        <f t="shared" si="173"/>
        <v>12.5</v>
      </c>
      <c r="AN97" s="36" t="str">
        <f t="shared" si="173"/>
        <v>0.0</v>
      </c>
      <c r="BJ97" s="600"/>
      <c r="BK97" s="601"/>
      <c r="BL97" s="601"/>
      <c r="BM97" s="601" t="s">
        <v>47</v>
      </c>
      <c r="BN97" s="601" t="s">
        <v>51</v>
      </c>
      <c r="BO97" s="602">
        <f t="shared" ref="BO97:CH97" si="176">IF($BJ25,IFERROR(VLOOKUP(BO$22&amp;"Female"&amp;"AllEth"&amp;25&amp;$BM97,Methodstable,9,FALSE),"0.0"),NA())</f>
        <v>38.5</v>
      </c>
      <c r="BP97" s="602">
        <f t="shared" si="176"/>
        <v>50</v>
      </c>
      <c r="BQ97" s="602">
        <f t="shared" si="176"/>
        <v>18.8</v>
      </c>
      <c r="BR97" s="602">
        <f t="shared" si="176"/>
        <v>25</v>
      </c>
      <c r="BS97" s="602">
        <f t="shared" si="176"/>
        <v>50</v>
      </c>
      <c r="BT97" s="602">
        <f t="shared" si="176"/>
        <v>37.5</v>
      </c>
      <c r="BU97" s="602">
        <f t="shared" si="176"/>
        <v>25</v>
      </c>
      <c r="BV97" s="602">
        <f t="shared" si="176"/>
        <v>14.3</v>
      </c>
      <c r="BW97" s="602">
        <f t="shared" si="176"/>
        <v>55.6</v>
      </c>
      <c r="BX97" s="602">
        <f t="shared" si="176"/>
        <v>25</v>
      </c>
      <c r="BY97" s="602">
        <f t="shared" si="176"/>
        <v>16.7</v>
      </c>
      <c r="BZ97" s="602">
        <f t="shared" si="176"/>
        <v>12.5</v>
      </c>
      <c r="CA97" s="602">
        <f t="shared" si="176"/>
        <v>53.3</v>
      </c>
      <c r="CB97" s="602">
        <f t="shared" si="176"/>
        <v>30.8</v>
      </c>
      <c r="CC97" s="602">
        <f t="shared" si="176"/>
        <v>42.9</v>
      </c>
      <c r="CD97" s="602">
        <f t="shared" si="176"/>
        <v>42.9</v>
      </c>
      <c r="CE97" s="602">
        <f t="shared" si="176"/>
        <v>35.700000000000003</v>
      </c>
      <c r="CF97" s="602">
        <f t="shared" si="176"/>
        <v>75</v>
      </c>
      <c r="CG97" s="602">
        <f t="shared" si="176"/>
        <v>63.6</v>
      </c>
      <c r="CH97" s="602">
        <f t="shared" si="176"/>
        <v>37.5</v>
      </c>
      <c r="CI97" s="602">
        <f t="shared" ref="CI97" si="177">IF($BJ25,IFERROR(VLOOKUP(CI$22&amp;"Female"&amp;"AllEth"&amp;25&amp;$BM97,Methodstable,9,FALSE),"0.0"),NA())</f>
        <v>50</v>
      </c>
    </row>
    <row r="98" spans="16:87">
      <c r="P98" s="25"/>
      <c r="Q98" s="25"/>
      <c r="R98" s="24" t="s">
        <v>47</v>
      </c>
      <c r="S98" s="24"/>
      <c r="T98" s="36">
        <f t="shared" si="172"/>
        <v>38.5</v>
      </c>
      <c r="U98" s="36">
        <f t="shared" si="172"/>
        <v>50</v>
      </c>
      <c r="V98" s="36">
        <f t="shared" si="172"/>
        <v>18.8</v>
      </c>
      <c r="W98" s="36">
        <f t="shared" si="172"/>
        <v>25</v>
      </c>
      <c r="X98" s="36">
        <f t="shared" si="172"/>
        <v>50</v>
      </c>
      <c r="Y98" s="36">
        <f t="shared" si="172"/>
        <v>37.5</v>
      </c>
      <c r="Z98" s="36">
        <f t="shared" si="172"/>
        <v>25</v>
      </c>
      <c r="AA98" s="36">
        <f t="shared" si="172"/>
        <v>14.3</v>
      </c>
      <c r="AB98" s="36">
        <f t="shared" si="172"/>
        <v>55.6</v>
      </c>
      <c r="AC98" s="36">
        <f t="shared" si="172"/>
        <v>25</v>
      </c>
      <c r="AD98" s="36">
        <f t="shared" si="173"/>
        <v>16.7</v>
      </c>
      <c r="AE98" s="36">
        <f t="shared" si="173"/>
        <v>12.5</v>
      </c>
      <c r="AF98" s="36">
        <f t="shared" si="173"/>
        <v>53.3</v>
      </c>
      <c r="AG98" s="36">
        <f t="shared" si="173"/>
        <v>30.8</v>
      </c>
      <c r="AH98" s="36">
        <f t="shared" si="173"/>
        <v>42.9</v>
      </c>
      <c r="AI98" s="36">
        <f t="shared" si="173"/>
        <v>42.9</v>
      </c>
      <c r="AJ98" s="36">
        <f t="shared" si="173"/>
        <v>35.700000000000003</v>
      </c>
      <c r="AK98" s="36">
        <f t="shared" si="173"/>
        <v>75</v>
      </c>
      <c r="AL98" s="36">
        <f t="shared" si="173"/>
        <v>63.6</v>
      </c>
      <c r="AM98" s="36">
        <f t="shared" si="173"/>
        <v>37.5</v>
      </c>
      <c r="AN98" s="36">
        <f t="shared" si="173"/>
        <v>50</v>
      </c>
      <c r="BJ98" s="600"/>
      <c r="BK98" s="601"/>
      <c r="BL98" s="601"/>
      <c r="BM98" s="601" t="s">
        <v>42</v>
      </c>
      <c r="BN98" s="601" t="s">
        <v>51</v>
      </c>
      <c r="BO98" s="602" t="str">
        <f t="shared" ref="BO98:CH98" si="178">IF($BJ26,IFERROR(VLOOKUP(BO$22&amp;"Female"&amp;"AllEth"&amp;25&amp;$BM98,Methodstable,9,FALSE),"0.0"),NA())</f>
        <v>0.0</v>
      </c>
      <c r="BP98" s="602" t="str">
        <f t="shared" si="178"/>
        <v>0.0</v>
      </c>
      <c r="BQ98" s="602" t="str">
        <f t="shared" si="178"/>
        <v>0.0</v>
      </c>
      <c r="BR98" s="602">
        <f t="shared" si="178"/>
        <v>6.2</v>
      </c>
      <c r="BS98" s="602" t="str">
        <f t="shared" si="178"/>
        <v>0.0</v>
      </c>
      <c r="BT98" s="602" t="str">
        <f t="shared" si="178"/>
        <v>0.0</v>
      </c>
      <c r="BU98" s="602" t="str">
        <f t="shared" si="178"/>
        <v>0.0</v>
      </c>
      <c r="BV98" s="602">
        <f t="shared" si="178"/>
        <v>9.5</v>
      </c>
      <c r="BW98" s="602" t="str">
        <f t="shared" si="178"/>
        <v>0.0</v>
      </c>
      <c r="BX98" s="602">
        <f t="shared" si="178"/>
        <v>6.2</v>
      </c>
      <c r="BY98" s="602" t="str">
        <f t="shared" si="178"/>
        <v>0.0</v>
      </c>
      <c r="BZ98" s="602" t="str">
        <f t="shared" si="178"/>
        <v>0.0</v>
      </c>
      <c r="CA98" s="602" t="str">
        <f t="shared" si="178"/>
        <v>0.0</v>
      </c>
      <c r="CB98" s="602" t="str">
        <f t="shared" si="178"/>
        <v>0.0</v>
      </c>
      <c r="CC98" s="602" t="str">
        <f t="shared" si="178"/>
        <v>0.0</v>
      </c>
      <c r="CD98" s="602" t="str">
        <f t="shared" si="178"/>
        <v>0.0</v>
      </c>
      <c r="CE98" s="602" t="str">
        <f t="shared" si="178"/>
        <v>0.0</v>
      </c>
      <c r="CF98" s="602" t="str">
        <f t="shared" si="178"/>
        <v>0.0</v>
      </c>
      <c r="CG98" s="602" t="str">
        <f t="shared" si="178"/>
        <v>0.0</v>
      </c>
      <c r="CH98" s="602" t="str">
        <f t="shared" si="178"/>
        <v>0.0</v>
      </c>
      <c r="CI98" s="602" t="str">
        <f t="shared" ref="CI98" si="179">IF($BJ26,IFERROR(VLOOKUP(CI$22&amp;"Female"&amp;"AllEth"&amp;25&amp;$BM98,Methodstable,9,FALSE),"0.0"),NA())</f>
        <v>0.0</v>
      </c>
    </row>
    <row r="99" spans="16:87">
      <c r="P99" s="25"/>
      <c r="Q99" s="25"/>
      <c r="R99" s="24" t="s">
        <v>42</v>
      </c>
      <c r="S99" s="24"/>
      <c r="T99" s="36" t="str">
        <f t="shared" si="172"/>
        <v>0.0</v>
      </c>
      <c r="U99" s="36" t="str">
        <f t="shared" si="172"/>
        <v>0.0</v>
      </c>
      <c r="V99" s="36" t="str">
        <f t="shared" si="172"/>
        <v>0.0</v>
      </c>
      <c r="W99" s="36">
        <f t="shared" si="172"/>
        <v>6.2</v>
      </c>
      <c r="X99" s="36" t="str">
        <f t="shared" si="172"/>
        <v>0.0</v>
      </c>
      <c r="Y99" s="36" t="str">
        <f t="shared" si="172"/>
        <v>0.0</v>
      </c>
      <c r="Z99" s="36" t="str">
        <f t="shared" si="172"/>
        <v>0.0</v>
      </c>
      <c r="AA99" s="36">
        <f t="shared" si="172"/>
        <v>9.5</v>
      </c>
      <c r="AB99" s="36" t="str">
        <f t="shared" si="172"/>
        <v>0.0</v>
      </c>
      <c r="AC99" s="36">
        <f t="shared" si="172"/>
        <v>6.2</v>
      </c>
      <c r="AD99" s="36" t="str">
        <f t="shared" si="173"/>
        <v>0.0</v>
      </c>
      <c r="AE99" s="36" t="str">
        <f t="shared" si="173"/>
        <v>0.0</v>
      </c>
      <c r="AF99" s="36" t="str">
        <f t="shared" si="173"/>
        <v>0.0</v>
      </c>
      <c r="AG99" s="36" t="str">
        <f t="shared" si="173"/>
        <v>0.0</v>
      </c>
      <c r="AH99" s="36" t="str">
        <f t="shared" si="173"/>
        <v>0.0</v>
      </c>
      <c r="AI99" s="36" t="str">
        <f t="shared" si="173"/>
        <v>0.0</v>
      </c>
      <c r="AJ99" s="36" t="str">
        <f t="shared" si="173"/>
        <v>0.0</v>
      </c>
      <c r="AK99" s="36" t="str">
        <f t="shared" si="173"/>
        <v>0.0</v>
      </c>
      <c r="AL99" s="36" t="str">
        <f t="shared" si="173"/>
        <v>0.0</v>
      </c>
      <c r="AM99" s="36" t="str">
        <f t="shared" si="173"/>
        <v>0.0</v>
      </c>
      <c r="AN99" s="36" t="str">
        <f t="shared" si="173"/>
        <v>0.0</v>
      </c>
      <c r="BJ99" s="600"/>
      <c r="BK99" s="601"/>
      <c r="BL99" s="601"/>
      <c r="BM99" s="601" t="s">
        <v>44</v>
      </c>
      <c r="BN99" s="601" t="s">
        <v>51</v>
      </c>
      <c r="BO99" s="602" t="e">
        <f t="shared" ref="BO99:CH99" si="180">IF($BJ27,IFERROR(VLOOKUP(BO$22&amp;"Female"&amp;"AllEth"&amp;25&amp;$BM99,Methodstable,9,FALSE),"0.0"),NA())</f>
        <v>#N/A</v>
      </c>
      <c r="BP99" s="602" t="e">
        <f t="shared" si="180"/>
        <v>#N/A</v>
      </c>
      <c r="BQ99" s="602" t="e">
        <f t="shared" si="180"/>
        <v>#N/A</v>
      </c>
      <c r="BR99" s="602" t="e">
        <f t="shared" si="180"/>
        <v>#N/A</v>
      </c>
      <c r="BS99" s="602" t="e">
        <f t="shared" si="180"/>
        <v>#N/A</v>
      </c>
      <c r="BT99" s="602" t="e">
        <f t="shared" si="180"/>
        <v>#N/A</v>
      </c>
      <c r="BU99" s="602" t="e">
        <f t="shared" si="180"/>
        <v>#N/A</v>
      </c>
      <c r="BV99" s="602" t="e">
        <f t="shared" si="180"/>
        <v>#N/A</v>
      </c>
      <c r="BW99" s="602" t="e">
        <f t="shared" si="180"/>
        <v>#N/A</v>
      </c>
      <c r="BX99" s="602" t="e">
        <f t="shared" si="180"/>
        <v>#N/A</v>
      </c>
      <c r="BY99" s="602" t="e">
        <f t="shared" si="180"/>
        <v>#N/A</v>
      </c>
      <c r="BZ99" s="602" t="e">
        <f t="shared" si="180"/>
        <v>#N/A</v>
      </c>
      <c r="CA99" s="602" t="e">
        <f t="shared" si="180"/>
        <v>#N/A</v>
      </c>
      <c r="CB99" s="602" t="e">
        <f t="shared" si="180"/>
        <v>#N/A</v>
      </c>
      <c r="CC99" s="602" t="e">
        <f t="shared" si="180"/>
        <v>#N/A</v>
      </c>
      <c r="CD99" s="602" t="e">
        <f t="shared" si="180"/>
        <v>#N/A</v>
      </c>
      <c r="CE99" s="602" t="e">
        <f t="shared" si="180"/>
        <v>#N/A</v>
      </c>
      <c r="CF99" s="602" t="e">
        <f t="shared" si="180"/>
        <v>#N/A</v>
      </c>
      <c r="CG99" s="602" t="e">
        <f t="shared" si="180"/>
        <v>#N/A</v>
      </c>
      <c r="CH99" s="602" t="e">
        <f t="shared" si="180"/>
        <v>#N/A</v>
      </c>
      <c r="CI99" s="602" t="e">
        <f t="shared" ref="CI99" si="181">IF($BJ27,IFERROR(VLOOKUP(CI$22&amp;"Female"&amp;"AllEth"&amp;25&amp;$BM99,Methodstable,9,FALSE),"0.0"),NA())</f>
        <v>#N/A</v>
      </c>
    </row>
    <row r="100" spans="16:87">
      <c r="P100" s="25"/>
      <c r="Q100" s="25"/>
      <c r="R100" s="24" t="s">
        <v>44</v>
      </c>
      <c r="S100" s="24"/>
      <c r="T100" s="36" t="str">
        <f t="shared" si="172"/>
        <v>0.0</v>
      </c>
      <c r="U100" s="36" t="str">
        <f t="shared" si="172"/>
        <v>0.0</v>
      </c>
      <c r="V100" s="36">
        <f t="shared" si="172"/>
        <v>6.2</v>
      </c>
      <c r="W100" s="36">
        <f t="shared" si="172"/>
        <v>12.5</v>
      </c>
      <c r="X100" s="36" t="str">
        <f t="shared" si="172"/>
        <v>0.0</v>
      </c>
      <c r="Y100" s="36">
        <f t="shared" si="172"/>
        <v>12.5</v>
      </c>
      <c r="Z100" s="36" t="str">
        <f t="shared" si="172"/>
        <v>0.0</v>
      </c>
      <c r="AA100" s="36" t="str">
        <f t="shared" si="172"/>
        <v>0.0</v>
      </c>
      <c r="AB100" s="36" t="str">
        <f t="shared" si="172"/>
        <v>0.0</v>
      </c>
      <c r="AC100" s="36" t="str">
        <f t="shared" si="172"/>
        <v>0.0</v>
      </c>
      <c r="AD100" s="36">
        <f t="shared" si="173"/>
        <v>11.1</v>
      </c>
      <c r="AE100" s="36" t="str">
        <f t="shared" si="173"/>
        <v>0.0</v>
      </c>
      <c r="AF100" s="36" t="str">
        <f t="shared" si="173"/>
        <v>0.0</v>
      </c>
      <c r="AG100" s="36" t="str">
        <f t="shared" si="173"/>
        <v>0.0</v>
      </c>
      <c r="AH100" s="36" t="str">
        <f t="shared" si="173"/>
        <v>0.0</v>
      </c>
      <c r="AI100" s="36" t="str">
        <f t="shared" si="173"/>
        <v>0.0</v>
      </c>
      <c r="AJ100" s="36">
        <f t="shared" si="173"/>
        <v>7.1</v>
      </c>
      <c r="AK100" s="36" t="str">
        <f t="shared" si="173"/>
        <v>0.0</v>
      </c>
      <c r="AL100" s="36">
        <f t="shared" si="173"/>
        <v>9.1</v>
      </c>
      <c r="AM100" s="36" t="str">
        <f t="shared" si="173"/>
        <v>0.0</v>
      </c>
      <c r="AN100" s="36" t="str">
        <f t="shared" si="173"/>
        <v>0.0</v>
      </c>
      <c r="BJ100" s="600"/>
      <c r="BK100" s="601"/>
      <c r="BL100" s="601"/>
      <c r="BM100" s="601" t="s">
        <v>49</v>
      </c>
      <c r="BN100" s="601" t="s">
        <v>51</v>
      </c>
      <c r="BO100" s="602" t="e">
        <f t="shared" ref="BO100:CH100" si="182">IF($BJ28,IFERROR(VLOOKUP(BO$22&amp;"Female"&amp;"AllEth"&amp;25&amp;$BM100,Methodstable,9,FALSE),"0.0"),NA())</f>
        <v>#N/A</v>
      </c>
      <c r="BP100" s="602" t="e">
        <f t="shared" si="182"/>
        <v>#N/A</v>
      </c>
      <c r="BQ100" s="602" t="e">
        <f t="shared" si="182"/>
        <v>#N/A</v>
      </c>
      <c r="BR100" s="602" t="e">
        <f t="shared" si="182"/>
        <v>#N/A</v>
      </c>
      <c r="BS100" s="602" t="e">
        <f t="shared" si="182"/>
        <v>#N/A</v>
      </c>
      <c r="BT100" s="602" t="e">
        <f t="shared" si="182"/>
        <v>#N/A</v>
      </c>
      <c r="BU100" s="602" t="e">
        <f t="shared" si="182"/>
        <v>#N/A</v>
      </c>
      <c r="BV100" s="602" t="e">
        <f t="shared" si="182"/>
        <v>#N/A</v>
      </c>
      <c r="BW100" s="602" t="e">
        <f t="shared" si="182"/>
        <v>#N/A</v>
      </c>
      <c r="BX100" s="602" t="e">
        <f t="shared" si="182"/>
        <v>#N/A</v>
      </c>
      <c r="BY100" s="602" t="e">
        <f t="shared" si="182"/>
        <v>#N/A</v>
      </c>
      <c r="BZ100" s="602" t="e">
        <f t="shared" si="182"/>
        <v>#N/A</v>
      </c>
      <c r="CA100" s="602" t="e">
        <f t="shared" si="182"/>
        <v>#N/A</v>
      </c>
      <c r="CB100" s="602" t="e">
        <f t="shared" si="182"/>
        <v>#N/A</v>
      </c>
      <c r="CC100" s="602" t="e">
        <f t="shared" si="182"/>
        <v>#N/A</v>
      </c>
      <c r="CD100" s="602" t="e">
        <f t="shared" si="182"/>
        <v>#N/A</v>
      </c>
      <c r="CE100" s="602" t="e">
        <f t="shared" si="182"/>
        <v>#N/A</v>
      </c>
      <c r="CF100" s="602" t="e">
        <f t="shared" si="182"/>
        <v>#N/A</v>
      </c>
      <c r="CG100" s="602" t="e">
        <f t="shared" si="182"/>
        <v>#N/A</v>
      </c>
      <c r="CH100" s="602" t="e">
        <f t="shared" si="182"/>
        <v>#N/A</v>
      </c>
      <c r="CI100" s="602" t="e">
        <f t="shared" ref="CI100" si="183">IF($BJ28,IFERROR(VLOOKUP(CI$22&amp;"Female"&amp;"AllEth"&amp;25&amp;$BM100,Methodstable,9,FALSE),"0.0"),NA())</f>
        <v>#N/A</v>
      </c>
    </row>
    <row r="101" spans="16:87">
      <c r="P101" s="25"/>
      <c r="Q101" s="25"/>
      <c r="R101" s="24" t="s">
        <v>49</v>
      </c>
      <c r="S101" s="24"/>
      <c r="T101" s="36">
        <f t="shared" si="172"/>
        <v>7.7</v>
      </c>
      <c r="U101" s="36">
        <f t="shared" si="172"/>
        <v>25</v>
      </c>
      <c r="V101" s="36">
        <f t="shared" si="172"/>
        <v>6.2</v>
      </c>
      <c r="W101" s="36">
        <f t="shared" si="172"/>
        <v>6.2</v>
      </c>
      <c r="X101" s="36" t="str">
        <f t="shared" si="172"/>
        <v>0.0</v>
      </c>
      <c r="Y101" s="36">
        <f t="shared" si="172"/>
        <v>6.2</v>
      </c>
      <c r="Z101" s="36">
        <f t="shared" si="172"/>
        <v>25</v>
      </c>
      <c r="AA101" s="36">
        <f t="shared" si="172"/>
        <v>4.8</v>
      </c>
      <c r="AB101" s="36" t="str">
        <f t="shared" si="172"/>
        <v>0.0</v>
      </c>
      <c r="AC101" s="36">
        <f t="shared" si="172"/>
        <v>31.2</v>
      </c>
      <c r="AD101" s="36">
        <f t="shared" si="173"/>
        <v>5.6</v>
      </c>
      <c r="AE101" s="36">
        <f t="shared" si="173"/>
        <v>12.5</v>
      </c>
      <c r="AF101" s="36">
        <f t="shared" si="173"/>
        <v>13.3</v>
      </c>
      <c r="AG101" s="36" t="str">
        <f t="shared" si="173"/>
        <v>0.0</v>
      </c>
      <c r="AH101" s="36" t="str">
        <f t="shared" si="173"/>
        <v>0.0</v>
      </c>
      <c r="AI101" s="36">
        <f t="shared" si="173"/>
        <v>14.3</v>
      </c>
      <c r="AJ101" s="36">
        <f t="shared" si="173"/>
        <v>7.1</v>
      </c>
      <c r="AK101" s="36" t="str">
        <f t="shared" si="173"/>
        <v>0.0</v>
      </c>
      <c r="AL101" s="36" t="str">
        <f t="shared" si="173"/>
        <v>0.0</v>
      </c>
      <c r="AM101" s="36">
        <f t="shared" si="173"/>
        <v>6.2</v>
      </c>
      <c r="AN101" s="36">
        <f t="shared" si="173"/>
        <v>8.3000000000000007</v>
      </c>
      <c r="BJ101" s="600"/>
      <c r="BK101" s="601"/>
      <c r="BL101" s="601"/>
      <c r="BM101" s="601" t="s">
        <v>48</v>
      </c>
      <c r="BN101" s="601" t="s">
        <v>51</v>
      </c>
      <c r="BO101" s="602" t="e">
        <f t="shared" ref="BO101:CH101" si="184">IF($BJ29,IFERROR(VLOOKUP(BO$22&amp;"Female"&amp;"AllEth"&amp;25&amp;$BM101,Methodstable,9,FALSE),"0.0"),NA())</f>
        <v>#N/A</v>
      </c>
      <c r="BP101" s="602" t="e">
        <f t="shared" si="184"/>
        <v>#N/A</v>
      </c>
      <c r="BQ101" s="602" t="e">
        <f t="shared" si="184"/>
        <v>#N/A</v>
      </c>
      <c r="BR101" s="602" t="e">
        <f t="shared" si="184"/>
        <v>#N/A</v>
      </c>
      <c r="BS101" s="602" t="e">
        <f t="shared" si="184"/>
        <v>#N/A</v>
      </c>
      <c r="BT101" s="602" t="e">
        <f t="shared" si="184"/>
        <v>#N/A</v>
      </c>
      <c r="BU101" s="602" t="e">
        <f t="shared" si="184"/>
        <v>#N/A</v>
      </c>
      <c r="BV101" s="602" t="e">
        <f t="shared" si="184"/>
        <v>#N/A</v>
      </c>
      <c r="BW101" s="602" t="e">
        <f t="shared" si="184"/>
        <v>#N/A</v>
      </c>
      <c r="BX101" s="602" t="e">
        <f t="shared" si="184"/>
        <v>#N/A</v>
      </c>
      <c r="BY101" s="602" t="e">
        <f t="shared" si="184"/>
        <v>#N/A</v>
      </c>
      <c r="BZ101" s="602" t="e">
        <f t="shared" si="184"/>
        <v>#N/A</v>
      </c>
      <c r="CA101" s="602" t="e">
        <f t="shared" si="184"/>
        <v>#N/A</v>
      </c>
      <c r="CB101" s="602" t="e">
        <f t="shared" si="184"/>
        <v>#N/A</v>
      </c>
      <c r="CC101" s="602" t="e">
        <f t="shared" si="184"/>
        <v>#N/A</v>
      </c>
      <c r="CD101" s="602" t="e">
        <f t="shared" si="184"/>
        <v>#N/A</v>
      </c>
      <c r="CE101" s="602" t="e">
        <f t="shared" si="184"/>
        <v>#N/A</v>
      </c>
      <c r="CF101" s="602" t="e">
        <f t="shared" si="184"/>
        <v>#N/A</v>
      </c>
      <c r="CG101" s="602" t="e">
        <f t="shared" si="184"/>
        <v>#N/A</v>
      </c>
      <c r="CH101" s="602" t="e">
        <f t="shared" si="184"/>
        <v>#N/A</v>
      </c>
      <c r="CI101" s="602" t="e">
        <f t="shared" ref="CI101" si="185">IF($BJ29,IFERROR(VLOOKUP(CI$22&amp;"Female"&amp;"AllEth"&amp;25&amp;$BM101,Methodstable,9,FALSE),"0.0"),NA())</f>
        <v>#N/A</v>
      </c>
    </row>
    <row r="102" spans="16:87">
      <c r="P102" s="25"/>
      <c r="Q102" s="25"/>
      <c r="R102" s="24" t="s">
        <v>48</v>
      </c>
      <c r="S102" s="24"/>
      <c r="T102" s="36" t="str">
        <f t="shared" si="172"/>
        <v>0.0</v>
      </c>
      <c r="U102" s="36">
        <f t="shared" si="172"/>
        <v>12.5</v>
      </c>
      <c r="V102" s="36" t="str">
        <f t="shared" si="172"/>
        <v>0.0</v>
      </c>
      <c r="W102" s="36" t="str">
        <f t="shared" si="172"/>
        <v>0.0</v>
      </c>
      <c r="X102" s="36">
        <f t="shared" si="172"/>
        <v>16.7</v>
      </c>
      <c r="Y102" s="36" t="str">
        <f t="shared" si="172"/>
        <v>0.0</v>
      </c>
      <c r="Z102" s="36" t="str">
        <f t="shared" si="172"/>
        <v>0.0</v>
      </c>
      <c r="AA102" s="36" t="str">
        <f t="shared" si="172"/>
        <v>0.0</v>
      </c>
      <c r="AB102" s="36" t="str">
        <f t="shared" si="172"/>
        <v>0.0</v>
      </c>
      <c r="AC102" s="36" t="str">
        <f t="shared" si="172"/>
        <v>0.0</v>
      </c>
      <c r="AD102" s="36" t="str">
        <f t="shared" si="173"/>
        <v>0.0</v>
      </c>
      <c r="AE102" s="36" t="str">
        <f t="shared" si="173"/>
        <v>0.0</v>
      </c>
      <c r="AF102" s="36">
        <f t="shared" si="173"/>
        <v>6.7</v>
      </c>
      <c r="AG102" s="36" t="str">
        <f t="shared" si="173"/>
        <v>0.0</v>
      </c>
      <c r="AH102" s="36" t="str">
        <f t="shared" si="173"/>
        <v>0.0</v>
      </c>
      <c r="AI102" s="36" t="str">
        <f t="shared" si="173"/>
        <v>0.0</v>
      </c>
      <c r="AJ102" s="36" t="str">
        <f t="shared" si="173"/>
        <v>0.0</v>
      </c>
      <c r="AK102" s="36" t="str">
        <f t="shared" si="173"/>
        <v>0.0</v>
      </c>
      <c r="AL102" s="36">
        <f t="shared" si="173"/>
        <v>9.1</v>
      </c>
      <c r="AM102" s="36" t="str">
        <f t="shared" si="173"/>
        <v>0.0</v>
      </c>
      <c r="AN102" s="36" t="str">
        <f t="shared" si="173"/>
        <v>0.0</v>
      </c>
      <c r="BJ102" s="600"/>
      <c r="BK102" s="601"/>
      <c r="BL102" s="601"/>
      <c r="BM102" s="601" t="s">
        <v>45</v>
      </c>
      <c r="BN102" s="601" t="s">
        <v>51</v>
      </c>
      <c r="BO102" s="602" t="e">
        <f t="shared" ref="BO102:CH102" si="186">IF($BJ30,IFERROR(VLOOKUP(BO$22&amp;"Female"&amp;"AllEth"&amp;25&amp;$BM102,Methodstable,9,FALSE),"0.0"),NA())</f>
        <v>#N/A</v>
      </c>
      <c r="BP102" s="602" t="e">
        <f t="shared" si="186"/>
        <v>#N/A</v>
      </c>
      <c r="BQ102" s="602" t="e">
        <f t="shared" si="186"/>
        <v>#N/A</v>
      </c>
      <c r="BR102" s="602" t="e">
        <f t="shared" si="186"/>
        <v>#N/A</v>
      </c>
      <c r="BS102" s="602" t="e">
        <f t="shared" si="186"/>
        <v>#N/A</v>
      </c>
      <c r="BT102" s="602" t="e">
        <f t="shared" si="186"/>
        <v>#N/A</v>
      </c>
      <c r="BU102" s="602" t="e">
        <f t="shared" si="186"/>
        <v>#N/A</v>
      </c>
      <c r="BV102" s="602" t="e">
        <f t="shared" si="186"/>
        <v>#N/A</v>
      </c>
      <c r="BW102" s="602" t="e">
        <f t="shared" si="186"/>
        <v>#N/A</v>
      </c>
      <c r="BX102" s="602" t="e">
        <f t="shared" si="186"/>
        <v>#N/A</v>
      </c>
      <c r="BY102" s="602" t="e">
        <f t="shared" si="186"/>
        <v>#N/A</v>
      </c>
      <c r="BZ102" s="602" t="e">
        <f t="shared" si="186"/>
        <v>#N/A</v>
      </c>
      <c r="CA102" s="602" t="e">
        <f t="shared" si="186"/>
        <v>#N/A</v>
      </c>
      <c r="CB102" s="602" t="e">
        <f t="shared" si="186"/>
        <v>#N/A</v>
      </c>
      <c r="CC102" s="602" t="e">
        <f t="shared" si="186"/>
        <v>#N/A</v>
      </c>
      <c r="CD102" s="602" t="e">
        <f t="shared" si="186"/>
        <v>#N/A</v>
      </c>
      <c r="CE102" s="602" t="e">
        <f t="shared" si="186"/>
        <v>#N/A</v>
      </c>
      <c r="CF102" s="602" t="e">
        <f t="shared" si="186"/>
        <v>#N/A</v>
      </c>
      <c r="CG102" s="602" t="e">
        <f t="shared" si="186"/>
        <v>#N/A</v>
      </c>
      <c r="CH102" s="602" t="e">
        <f t="shared" si="186"/>
        <v>#N/A</v>
      </c>
      <c r="CI102" s="602" t="e">
        <f t="shared" ref="CI102" si="187">IF($BJ30,IFERROR(VLOOKUP(CI$22&amp;"Female"&amp;"AllEth"&amp;25&amp;$BM102,Methodstable,9,FALSE),"0.0"),NA())</f>
        <v>#N/A</v>
      </c>
    </row>
    <row r="103" spans="16:87">
      <c r="P103" s="25"/>
      <c r="Q103" s="25"/>
      <c r="R103" s="24" t="s">
        <v>45</v>
      </c>
      <c r="S103" s="24"/>
      <c r="T103" s="36">
        <f t="shared" si="172"/>
        <v>7.7</v>
      </c>
      <c r="U103" s="36" t="str">
        <f t="shared" si="172"/>
        <v>0.0</v>
      </c>
      <c r="V103" s="36">
        <f t="shared" si="172"/>
        <v>6.2</v>
      </c>
      <c r="W103" s="36" t="str">
        <f t="shared" si="172"/>
        <v>0.0</v>
      </c>
      <c r="X103" s="36" t="str">
        <f t="shared" si="172"/>
        <v>0.0</v>
      </c>
      <c r="Y103" s="36" t="str">
        <f t="shared" si="172"/>
        <v>0.0</v>
      </c>
      <c r="Z103" s="36">
        <f t="shared" si="172"/>
        <v>8.3000000000000007</v>
      </c>
      <c r="AA103" s="36" t="str">
        <f t="shared" si="172"/>
        <v>0.0</v>
      </c>
      <c r="AB103" s="36">
        <f t="shared" si="172"/>
        <v>11.1</v>
      </c>
      <c r="AC103" s="36">
        <f t="shared" si="172"/>
        <v>12.5</v>
      </c>
      <c r="AD103" s="36">
        <f t="shared" si="173"/>
        <v>5.6</v>
      </c>
      <c r="AE103" s="36" t="str">
        <f t="shared" si="173"/>
        <v>0.0</v>
      </c>
      <c r="AF103" s="36">
        <f t="shared" si="173"/>
        <v>6.7</v>
      </c>
      <c r="AG103" s="36">
        <f t="shared" si="173"/>
        <v>7.7</v>
      </c>
      <c r="AH103" s="36">
        <f t="shared" si="173"/>
        <v>7.1</v>
      </c>
      <c r="AI103" s="36" t="str">
        <f t="shared" si="173"/>
        <v>0.0</v>
      </c>
      <c r="AJ103" s="36" t="str">
        <f t="shared" si="173"/>
        <v>0.0</v>
      </c>
      <c r="AK103" s="36" t="str">
        <f t="shared" si="173"/>
        <v>0.0</v>
      </c>
      <c r="AL103" s="36" t="str">
        <f t="shared" si="173"/>
        <v>0.0</v>
      </c>
      <c r="AM103" s="36">
        <f t="shared" si="173"/>
        <v>12.5</v>
      </c>
      <c r="AN103" s="36" t="str">
        <f t="shared" si="173"/>
        <v>0.0</v>
      </c>
      <c r="BJ103" s="600"/>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row>
    <row r="104" spans="16:87">
      <c r="P104" s="44"/>
      <c r="Q104" s="44"/>
      <c r="T104" s="41"/>
      <c r="U104" s="41"/>
      <c r="V104" s="41"/>
      <c r="W104" s="41"/>
      <c r="X104" s="41"/>
      <c r="Y104" s="41"/>
      <c r="Z104" s="41"/>
      <c r="AA104" s="41"/>
      <c r="AB104" s="41"/>
      <c r="AC104" s="41"/>
      <c r="AD104" s="41"/>
      <c r="AE104" s="41"/>
      <c r="AF104" s="41"/>
      <c r="AG104" s="41"/>
      <c r="AH104" s="41"/>
      <c r="AI104" s="41"/>
      <c r="AJ104" s="41"/>
      <c r="AK104" s="41"/>
      <c r="AL104" s="41"/>
      <c r="AM104" s="41"/>
    </row>
    <row r="105" spans="16:87">
      <c r="P105" s="50" t="s">
        <v>141</v>
      </c>
      <c r="Q105" s="50" t="s">
        <v>144</v>
      </c>
    </row>
    <row r="106" spans="16:87">
      <c r="P106" s="20"/>
      <c r="Q106" s="20"/>
      <c r="R106" s="20"/>
      <c r="S106" s="2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20"/>
    </row>
    <row r="107" spans="16:87">
      <c r="T107" s="41"/>
      <c r="U107" s="41"/>
      <c r="V107" s="41"/>
      <c r="W107" s="41"/>
      <c r="X107" s="41"/>
      <c r="Y107" s="41"/>
      <c r="Z107" s="41"/>
      <c r="AA107" s="41"/>
      <c r="AB107" s="41"/>
      <c r="AC107" s="41"/>
      <c r="AD107" s="41"/>
      <c r="AE107" s="41"/>
      <c r="AF107" s="41"/>
      <c r="AG107" s="41"/>
      <c r="AH107" s="41"/>
      <c r="AI107" s="41"/>
      <c r="AJ107" s="41"/>
      <c r="AK107" s="41"/>
      <c r="AL107" s="41"/>
      <c r="AM107" s="41"/>
    </row>
    <row r="108" spans="16:87">
      <c r="T108" s="41"/>
      <c r="U108" s="41"/>
      <c r="V108" s="41"/>
      <c r="W108" s="41"/>
      <c r="X108" s="41"/>
      <c r="Y108" s="41"/>
      <c r="Z108" s="41"/>
      <c r="AA108" s="41"/>
      <c r="AB108" s="41"/>
      <c r="AC108" s="41"/>
      <c r="AD108" s="41"/>
      <c r="AE108" s="41"/>
      <c r="AF108" s="41"/>
      <c r="AG108" s="41"/>
      <c r="AH108" s="41"/>
      <c r="AI108" s="41"/>
      <c r="AJ108" s="41"/>
      <c r="AK108" s="41"/>
      <c r="AL108" s="41"/>
      <c r="AM108" s="41"/>
    </row>
    <row r="109" spans="16:87">
      <c r="T109" s="41"/>
      <c r="U109" s="41"/>
      <c r="V109" s="41"/>
      <c r="W109" s="41"/>
      <c r="X109" s="41"/>
      <c r="Y109" s="41"/>
      <c r="Z109" s="41"/>
      <c r="AA109" s="41"/>
      <c r="AB109" s="41"/>
      <c r="AC109" s="41"/>
      <c r="AD109" s="41"/>
      <c r="AE109" s="41"/>
      <c r="AF109" s="41"/>
      <c r="AG109" s="41"/>
      <c r="AH109" s="41"/>
      <c r="AI109" s="41"/>
      <c r="AJ109" s="41"/>
      <c r="AK109" s="41"/>
      <c r="AL109" s="41"/>
      <c r="AM109" s="41"/>
    </row>
    <row r="110" spans="16:87">
      <c r="T110" s="41"/>
      <c r="U110" s="41"/>
      <c r="V110" s="41"/>
      <c r="W110" s="41"/>
      <c r="X110" s="41"/>
      <c r="Y110" s="41"/>
      <c r="Z110" s="41"/>
      <c r="AA110" s="41"/>
      <c r="AB110" s="41"/>
      <c r="AC110" s="41"/>
      <c r="AD110" s="41"/>
      <c r="AE110" s="41"/>
      <c r="AF110" s="41"/>
      <c r="AG110" s="41"/>
      <c r="AH110" s="41"/>
      <c r="AI110" s="41"/>
      <c r="AJ110" s="41"/>
      <c r="AK110" s="41"/>
      <c r="AL110" s="41"/>
      <c r="AM110" s="41"/>
    </row>
    <row r="111" spans="16:87">
      <c r="T111" s="41"/>
      <c r="U111" s="41"/>
      <c r="V111" s="41"/>
      <c r="W111" s="41"/>
      <c r="X111" s="41"/>
      <c r="Y111" s="41"/>
      <c r="Z111" s="41"/>
      <c r="AA111" s="41"/>
      <c r="AB111" s="41"/>
      <c r="AC111" s="41"/>
      <c r="AD111" s="41"/>
      <c r="AE111" s="41"/>
      <c r="AF111" s="41"/>
      <c r="AG111" s="41"/>
      <c r="AH111" s="41"/>
      <c r="AI111" s="41"/>
      <c r="AJ111" s="41"/>
      <c r="AK111" s="41"/>
      <c r="AL111" s="41"/>
      <c r="AM111" s="41"/>
    </row>
    <row r="112" spans="16:87">
      <c r="T112" s="41"/>
      <c r="U112" s="41"/>
      <c r="V112" s="41"/>
      <c r="W112" s="41"/>
      <c r="X112" s="41"/>
      <c r="Y112" s="41"/>
      <c r="Z112" s="41"/>
      <c r="AA112" s="41"/>
      <c r="AB112" s="41"/>
      <c r="AC112" s="41"/>
      <c r="AD112" s="41"/>
      <c r="AE112" s="41"/>
      <c r="AF112" s="41"/>
      <c r="AG112" s="41"/>
      <c r="AH112" s="41"/>
      <c r="AI112" s="41"/>
      <c r="AJ112" s="41"/>
      <c r="AK112" s="41"/>
      <c r="AL112" s="41"/>
      <c r="AM112" s="41"/>
    </row>
    <row r="113" spans="20:39">
      <c r="T113" s="41"/>
      <c r="U113" s="41"/>
      <c r="V113" s="41"/>
      <c r="W113" s="41"/>
      <c r="X113" s="41"/>
      <c r="Y113" s="41"/>
      <c r="Z113" s="41"/>
      <c r="AA113" s="41"/>
      <c r="AB113" s="41"/>
      <c r="AC113" s="41"/>
      <c r="AD113" s="41"/>
      <c r="AE113" s="41"/>
      <c r="AF113" s="41"/>
      <c r="AG113" s="41"/>
      <c r="AH113" s="41"/>
      <c r="AI113" s="41"/>
      <c r="AJ113" s="41"/>
      <c r="AK113" s="41"/>
      <c r="AL113" s="41"/>
      <c r="AM113" s="41"/>
    </row>
    <row r="114" spans="20:39">
      <c r="T114" s="41"/>
      <c r="U114" s="41"/>
      <c r="V114" s="41"/>
      <c r="W114" s="41"/>
      <c r="X114" s="41"/>
      <c r="Y114" s="41"/>
      <c r="Z114" s="41"/>
      <c r="AA114" s="41"/>
      <c r="AB114" s="41"/>
      <c r="AC114" s="41"/>
      <c r="AD114" s="41"/>
      <c r="AE114" s="41"/>
      <c r="AF114" s="41"/>
      <c r="AG114" s="41"/>
      <c r="AH114" s="41"/>
      <c r="AI114" s="41"/>
      <c r="AJ114" s="41"/>
      <c r="AK114" s="41"/>
      <c r="AL114" s="41"/>
      <c r="AM114" s="41"/>
    </row>
    <row r="115" spans="20:39">
      <c r="T115" s="41"/>
      <c r="U115" s="41"/>
      <c r="V115" s="41"/>
      <c r="W115" s="41"/>
      <c r="X115" s="41"/>
      <c r="Y115" s="41"/>
      <c r="Z115" s="41"/>
      <c r="AA115" s="41"/>
      <c r="AB115" s="41"/>
      <c r="AC115" s="41"/>
      <c r="AD115" s="41"/>
      <c r="AE115" s="41"/>
      <c r="AF115" s="41"/>
      <c r="AG115" s="41"/>
      <c r="AH115" s="41"/>
      <c r="AI115" s="41"/>
      <c r="AJ115" s="41"/>
      <c r="AK115" s="41"/>
      <c r="AL115" s="41"/>
      <c r="AM115" s="41"/>
    </row>
    <row r="116" spans="20:39">
      <c r="T116" s="41"/>
      <c r="U116" s="41"/>
      <c r="V116" s="41"/>
      <c r="W116" s="41"/>
      <c r="X116" s="41"/>
      <c r="Y116" s="41"/>
      <c r="Z116" s="41"/>
      <c r="AA116" s="41"/>
      <c r="AB116" s="41"/>
      <c r="AC116" s="41"/>
      <c r="AD116" s="41"/>
      <c r="AE116" s="41"/>
      <c r="AF116" s="41"/>
      <c r="AG116" s="41"/>
      <c r="AH116" s="41"/>
      <c r="AI116" s="41"/>
      <c r="AJ116" s="41"/>
      <c r="AK116" s="41"/>
      <c r="AL116" s="41"/>
      <c r="AM116" s="41"/>
    </row>
    <row r="117" spans="20:39">
      <c r="T117" s="41"/>
      <c r="U117" s="41"/>
      <c r="V117" s="41"/>
      <c r="W117" s="41"/>
      <c r="X117" s="41"/>
      <c r="Y117" s="41"/>
      <c r="Z117" s="41"/>
      <c r="AA117" s="41"/>
      <c r="AB117" s="41"/>
      <c r="AC117" s="41"/>
      <c r="AD117" s="41"/>
      <c r="AE117" s="41"/>
      <c r="AF117" s="41"/>
      <c r="AG117" s="41"/>
      <c r="AH117" s="41"/>
      <c r="AI117" s="41"/>
      <c r="AJ117" s="41"/>
      <c r="AK117" s="41"/>
      <c r="AL117" s="41"/>
      <c r="AM117" s="41"/>
    </row>
    <row r="118" spans="20:39">
      <c r="T118" s="41"/>
      <c r="U118" s="41"/>
      <c r="V118" s="41"/>
      <c r="W118" s="41"/>
      <c r="X118" s="41"/>
      <c r="Y118" s="41"/>
      <c r="Z118" s="41"/>
      <c r="AA118" s="41"/>
      <c r="AB118" s="41"/>
      <c r="AC118" s="41"/>
      <c r="AD118" s="41"/>
      <c r="AE118" s="41"/>
      <c r="AF118" s="41"/>
      <c r="AG118" s="41"/>
      <c r="AH118" s="41"/>
      <c r="AI118" s="41"/>
      <c r="AJ118" s="41"/>
      <c r="AK118" s="41"/>
      <c r="AL118" s="41"/>
      <c r="AM118" s="41"/>
    </row>
    <row r="119" spans="20:39">
      <c r="T119" s="41"/>
      <c r="U119" s="41"/>
      <c r="V119" s="41"/>
      <c r="W119" s="41"/>
      <c r="X119" s="41"/>
      <c r="Y119" s="41"/>
      <c r="Z119" s="41"/>
      <c r="AA119" s="41"/>
      <c r="AB119" s="41"/>
      <c r="AC119" s="41"/>
      <c r="AD119" s="41"/>
      <c r="AE119" s="41"/>
      <c r="AF119" s="41"/>
      <c r="AG119" s="41"/>
      <c r="AH119" s="41"/>
      <c r="AI119" s="41"/>
      <c r="AJ119" s="41"/>
      <c r="AK119" s="41"/>
      <c r="AL119" s="41"/>
      <c r="AM119" s="41"/>
    </row>
    <row r="120" spans="20:39">
      <c r="T120" s="41"/>
      <c r="U120" s="41"/>
      <c r="V120" s="41"/>
      <c r="W120" s="41"/>
      <c r="X120" s="41"/>
      <c r="Y120" s="41"/>
      <c r="Z120" s="41"/>
      <c r="AA120" s="41"/>
      <c r="AB120" s="41"/>
      <c r="AC120" s="41"/>
      <c r="AD120" s="41"/>
      <c r="AE120" s="41"/>
      <c r="AF120" s="41"/>
      <c r="AG120" s="41"/>
      <c r="AH120" s="41"/>
      <c r="AI120" s="41"/>
      <c r="AJ120" s="41"/>
      <c r="AK120" s="41"/>
      <c r="AL120" s="41"/>
      <c r="AM120" s="41"/>
    </row>
  </sheetData>
  <hyperlinks>
    <hyperlink ref="P1" location="'Key findings'!A1" display="Back to Key Findings" xr:uid="{00000000-0004-0000-0700-000000000000}"/>
    <hyperlink ref="P2" location="'MĀORI NON-MĀORI'!A200" display="See distribution of methods used by Māori and non-Māori" xr:uid="{00000000-0004-0000-0700-000001000000}"/>
    <hyperlink ref="N62" location="'MĀORI NON-MĀORI'!A200" display="See distribution of methods used by Māori and non-Māori" xr:uid="{00000000-0004-0000-0700-000002000000}"/>
    <hyperlink ref="P4" location="'Ethnic group'!A150" display="See distribution of methods used by ethnic groups" xr:uid="{00000000-0004-0000-0700-000003000000}"/>
  </hyperlinks>
  <pageMargins left="0.25" right="0.25" top="0.75" bottom="0.75" header="0.3" footer="0.3"/>
  <pageSetup paperSize="9" scale="36" orientation="landscape" r:id="rId1"/>
  <rowBreaks count="1" manualBreakCount="1">
    <brk id="31"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12</xdr:col>
                    <xdr:colOff>238125</xdr:colOff>
                    <xdr:row>10</xdr:row>
                    <xdr:rowOff>104775</xdr:rowOff>
                  </from>
                  <to>
                    <xdr:col>12</xdr:col>
                    <xdr:colOff>542925</xdr:colOff>
                    <xdr:row>12</xdr:row>
                    <xdr:rowOff>28575</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12</xdr:col>
                    <xdr:colOff>238125</xdr:colOff>
                    <xdr:row>12</xdr:row>
                    <xdr:rowOff>19050</xdr:rowOff>
                  </from>
                  <to>
                    <xdr:col>12</xdr:col>
                    <xdr:colOff>419100</xdr:colOff>
                    <xdr:row>13</xdr:row>
                    <xdr:rowOff>85725</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12</xdr:col>
                    <xdr:colOff>238125</xdr:colOff>
                    <xdr:row>13</xdr:row>
                    <xdr:rowOff>66675</xdr:rowOff>
                  </from>
                  <to>
                    <xdr:col>12</xdr:col>
                    <xdr:colOff>466725</xdr:colOff>
                    <xdr:row>14</xdr:row>
                    <xdr:rowOff>95250</xdr:rowOff>
                  </to>
                </anchor>
              </controlPr>
            </control>
          </mc:Choice>
        </mc:AlternateContent>
        <mc:AlternateContent xmlns:mc="http://schemas.openxmlformats.org/markup-compatibility/2006">
          <mc:Choice Requires="x14">
            <control shapeId="3079" r:id="rId7" name="Check Box 7">
              <controlPr defaultSize="0" autoFill="0" autoLine="0" autoPict="0">
                <anchor moveWithCells="1">
                  <from>
                    <xdr:col>12</xdr:col>
                    <xdr:colOff>238125</xdr:colOff>
                    <xdr:row>14</xdr:row>
                    <xdr:rowOff>85725</xdr:rowOff>
                  </from>
                  <to>
                    <xdr:col>12</xdr:col>
                    <xdr:colOff>447675</xdr:colOff>
                    <xdr:row>15</xdr:row>
                    <xdr:rowOff>123825</xdr:rowOff>
                  </to>
                </anchor>
              </controlPr>
            </control>
          </mc:Choice>
        </mc:AlternateContent>
        <mc:AlternateContent xmlns:mc="http://schemas.openxmlformats.org/markup-compatibility/2006">
          <mc:Choice Requires="x14">
            <control shapeId="3080" r:id="rId8" name="Check Box 8">
              <controlPr defaultSize="0" autoFill="0" autoLine="0" autoPict="0">
                <anchor moveWithCells="1">
                  <from>
                    <xdr:col>12</xdr:col>
                    <xdr:colOff>238125</xdr:colOff>
                    <xdr:row>15</xdr:row>
                    <xdr:rowOff>95250</xdr:rowOff>
                  </from>
                  <to>
                    <xdr:col>12</xdr:col>
                    <xdr:colOff>438150</xdr:colOff>
                    <xdr:row>17</xdr:row>
                    <xdr:rowOff>28575</xdr:rowOff>
                  </to>
                </anchor>
              </controlPr>
            </control>
          </mc:Choice>
        </mc:AlternateContent>
        <mc:AlternateContent xmlns:mc="http://schemas.openxmlformats.org/markup-compatibility/2006">
          <mc:Choice Requires="x14">
            <control shapeId="3081" r:id="rId9" name="Check Box 9">
              <controlPr defaultSize="0" autoFill="0" autoLine="0" autoPict="0">
                <anchor moveWithCells="1">
                  <from>
                    <xdr:col>12</xdr:col>
                    <xdr:colOff>238125</xdr:colOff>
                    <xdr:row>16</xdr:row>
                    <xdr:rowOff>152400</xdr:rowOff>
                  </from>
                  <to>
                    <xdr:col>12</xdr:col>
                    <xdr:colOff>438150</xdr:colOff>
                    <xdr:row>18</xdr:row>
                    <xdr:rowOff>47625</xdr:rowOff>
                  </to>
                </anchor>
              </controlPr>
            </control>
          </mc:Choice>
        </mc:AlternateContent>
        <mc:AlternateContent xmlns:mc="http://schemas.openxmlformats.org/markup-compatibility/2006">
          <mc:Choice Requires="x14">
            <control shapeId="3083" r:id="rId10" name="Check Box 11">
              <controlPr defaultSize="0" autoFill="0" autoLine="0" autoPict="0">
                <anchor moveWithCells="1">
                  <from>
                    <xdr:col>12</xdr:col>
                    <xdr:colOff>238125</xdr:colOff>
                    <xdr:row>19</xdr:row>
                    <xdr:rowOff>95250</xdr:rowOff>
                  </from>
                  <to>
                    <xdr:col>12</xdr:col>
                    <xdr:colOff>447675</xdr:colOff>
                    <xdr:row>21</xdr:row>
                    <xdr:rowOff>0</xdr:rowOff>
                  </to>
                </anchor>
              </controlPr>
            </control>
          </mc:Choice>
        </mc:AlternateContent>
        <mc:AlternateContent xmlns:mc="http://schemas.openxmlformats.org/markup-compatibility/2006">
          <mc:Choice Requires="x14">
            <control shapeId="3084" r:id="rId11" name="Check Box 12">
              <controlPr defaultSize="0" autoFill="0" autoLine="0" autoPict="0">
                <anchor moveWithCells="1">
                  <from>
                    <xdr:col>12</xdr:col>
                    <xdr:colOff>238125</xdr:colOff>
                    <xdr:row>18</xdr:row>
                    <xdr:rowOff>38100</xdr:rowOff>
                  </from>
                  <to>
                    <xdr:col>12</xdr:col>
                    <xdr:colOff>447675</xdr:colOff>
                    <xdr:row>19</xdr:row>
                    <xdr:rowOff>104775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BK132"/>
  <sheetViews>
    <sheetView showGridLines="0" zoomScaleNormal="100" workbookViewId="0">
      <selection activeCell="AZ16" sqref="AZ1:BK1048576"/>
    </sheetView>
  </sheetViews>
  <sheetFormatPr defaultRowHeight="12.75"/>
  <cols>
    <col min="1" max="1" width="4.7109375" style="174" customWidth="1"/>
    <col min="2" max="2" width="2.5703125" style="174" customWidth="1"/>
    <col min="3" max="3" width="9.140625" style="174" customWidth="1"/>
    <col min="4" max="18" width="9.140625" style="174"/>
    <col min="19" max="19" width="2.85546875" style="174" customWidth="1"/>
    <col min="20" max="20" width="3.42578125" style="174" customWidth="1"/>
    <col min="21" max="21" width="7.7109375" style="174" customWidth="1"/>
    <col min="22" max="22" width="6.7109375" style="174" customWidth="1"/>
    <col min="23" max="23" width="9.140625" style="175"/>
    <col min="24" max="24" width="19.7109375" style="174" customWidth="1"/>
    <col min="25" max="25" width="23.28515625" style="174" customWidth="1"/>
    <col min="26" max="26" width="9.85546875" style="174" customWidth="1"/>
    <col min="27" max="27" width="10.7109375" style="174" customWidth="1"/>
    <col min="28" max="28" width="10.28515625" style="174" customWidth="1"/>
    <col min="29" max="51" width="9.140625" style="174"/>
    <col min="52" max="63" width="9.140625" style="600"/>
    <col min="64" max="16384" width="9.140625" style="174"/>
  </cols>
  <sheetData>
    <row r="1" spans="2:47">
      <c r="W1" s="180" t="s">
        <v>371</v>
      </c>
    </row>
    <row r="2" spans="2:47" ht="23.25">
      <c r="C2" s="179" t="s">
        <v>283</v>
      </c>
      <c r="D2" s="171"/>
      <c r="E2" s="171"/>
      <c r="F2" s="171"/>
      <c r="G2" s="171"/>
      <c r="H2" s="171"/>
      <c r="I2" s="171"/>
      <c r="J2" s="171"/>
      <c r="K2" s="171"/>
      <c r="L2" s="171"/>
    </row>
    <row r="3" spans="2:47">
      <c r="C3" s="171"/>
      <c r="D3" s="171"/>
      <c r="E3" s="171"/>
      <c r="F3" s="171"/>
      <c r="G3" s="171"/>
      <c r="H3" s="171"/>
      <c r="I3" s="171"/>
      <c r="J3" s="171"/>
      <c r="K3" s="171"/>
      <c r="L3" s="171"/>
      <c r="M3" s="171"/>
      <c r="N3" s="171"/>
      <c r="V3" s="387"/>
      <c r="W3" s="431"/>
      <c r="X3" s="387"/>
      <c r="Y3" s="387"/>
    </row>
    <row r="4" spans="2:47" ht="16.5" customHeight="1">
      <c r="C4" s="656" t="s">
        <v>438</v>
      </c>
      <c r="D4" s="670"/>
      <c r="E4" s="670"/>
      <c r="F4" s="670"/>
      <c r="G4" s="670"/>
      <c r="H4" s="670"/>
      <c r="I4" s="670"/>
      <c r="J4" s="670"/>
      <c r="K4" s="670"/>
      <c r="L4" s="670"/>
      <c r="M4" s="670"/>
      <c r="N4" s="670"/>
      <c r="O4" s="671"/>
      <c r="P4" s="671"/>
      <c r="Q4" s="671"/>
      <c r="R4" s="671"/>
      <c r="V4" s="387"/>
      <c r="W4" s="431"/>
      <c r="X4" s="387"/>
      <c r="Y4" s="387"/>
    </row>
    <row r="5" spans="2:47" ht="30" customHeight="1">
      <c r="C5" s="656" t="s">
        <v>439</v>
      </c>
      <c r="D5" s="671"/>
      <c r="E5" s="671"/>
      <c r="F5" s="671"/>
      <c r="G5" s="671"/>
      <c r="H5" s="671"/>
      <c r="I5" s="671"/>
      <c r="J5" s="671"/>
      <c r="K5" s="671"/>
      <c r="L5" s="671"/>
      <c r="M5" s="671"/>
      <c r="N5" s="671"/>
      <c r="O5" s="671"/>
      <c r="P5" s="671"/>
      <c r="Q5" s="671"/>
      <c r="R5" s="671"/>
      <c r="V5" s="387"/>
      <c r="W5" s="431"/>
      <c r="X5" s="387"/>
      <c r="Y5" s="387"/>
    </row>
    <row r="6" spans="2:47" ht="30" customHeight="1">
      <c r="C6" s="656" t="s">
        <v>448</v>
      </c>
      <c r="D6" s="671"/>
      <c r="E6" s="671"/>
      <c r="F6" s="671"/>
      <c r="G6" s="671"/>
      <c r="H6" s="671"/>
      <c r="I6" s="671"/>
      <c r="J6" s="671"/>
      <c r="K6" s="671"/>
      <c r="L6" s="671"/>
      <c r="M6" s="671"/>
      <c r="N6" s="671"/>
      <c r="O6" s="671"/>
      <c r="P6" s="671"/>
      <c r="Q6" s="671"/>
      <c r="R6" s="671"/>
      <c r="V6" s="387"/>
      <c r="W6" s="431"/>
      <c r="X6" s="387"/>
      <c r="Y6" s="387"/>
    </row>
    <row r="7" spans="2:47" ht="50.25" customHeight="1">
      <c r="C7" s="656" t="s">
        <v>453</v>
      </c>
      <c r="D7" s="671"/>
      <c r="E7" s="671"/>
      <c r="F7" s="671"/>
      <c r="G7" s="671"/>
      <c r="H7" s="671"/>
      <c r="I7" s="671"/>
      <c r="J7" s="671"/>
      <c r="K7" s="671"/>
      <c r="L7" s="671"/>
      <c r="M7" s="671"/>
      <c r="N7" s="671"/>
      <c r="O7" s="671"/>
      <c r="P7" s="671"/>
      <c r="Q7" s="671"/>
      <c r="R7" s="671"/>
      <c r="V7" s="387"/>
      <c r="W7" s="431"/>
      <c r="X7" s="387"/>
      <c r="Y7" s="387"/>
    </row>
    <row r="8" spans="2:47" ht="14.25" customHeight="1">
      <c r="B8" s="70"/>
      <c r="C8" s="156"/>
      <c r="D8" s="169"/>
      <c r="E8" s="169"/>
      <c r="F8" s="169"/>
      <c r="G8" s="169"/>
      <c r="H8" s="169"/>
      <c r="I8" s="169"/>
      <c r="J8" s="169"/>
      <c r="K8" s="169"/>
      <c r="L8" s="169"/>
      <c r="M8" s="169"/>
      <c r="N8" s="169"/>
      <c r="O8" s="308"/>
      <c r="P8" s="308"/>
      <c r="Q8" s="308"/>
      <c r="R8" s="308"/>
      <c r="S8" s="70"/>
      <c r="W8" s="674" t="s">
        <v>467</v>
      </c>
      <c r="X8" s="635"/>
      <c r="Y8" s="635"/>
      <c r="Z8" s="635"/>
      <c r="AA8" s="635"/>
      <c r="AB8" s="635"/>
      <c r="AC8" s="195"/>
      <c r="AD8" s="195"/>
      <c r="AE8" s="195"/>
      <c r="AF8" s="195"/>
      <c r="AG8" s="195"/>
      <c r="AH8" s="195"/>
      <c r="AI8" s="195"/>
      <c r="AJ8" s="195"/>
      <c r="AK8" s="195"/>
      <c r="AL8" s="195"/>
      <c r="AM8" s="195"/>
      <c r="AN8" s="195"/>
      <c r="AO8" s="195"/>
      <c r="AP8" s="195"/>
      <c r="AQ8" s="195"/>
      <c r="AR8" s="195"/>
      <c r="AS8" s="195"/>
      <c r="AT8" s="195"/>
      <c r="AU8" s="195"/>
    </row>
    <row r="9" spans="2:47" ht="24" customHeight="1">
      <c r="B9" s="70"/>
      <c r="C9" s="661" t="s">
        <v>555</v>
      </c>
      <c r="D9" s="635"/>
      <c r="E9" s="635"/>
      <c r="F9" s="635"/>
      <c r="G9" s="635"/>
      <c r="H9" s="635"/>
      <c r="I9" s="635"/>
      <c r="J9" s="635"/>
      <c r="K9" s="635"/>
      <c r="L9" s="635"/>
      <c r="M9" s="635"/>
      <c r="N9" s="635"/>
      <c r="O9" s="635"/>
      <c r="P9" s="635"/>
      <c r="Q9" s="70"/>
      <c r="R9" s="70"/>
      <c r="S9" s="70"/>
      <c r="W9" s="635"/>
      <c r="X9" s="635"/>
      <c r="Y9" s="635"/>
      <c r="Z9" s="635"/>
      <c r="AA9" s="635"/>
      <c r="AB9" s="635"/>
      <c r="AD9" s="387"/>
      <c r="AE9" s="387"/>
      <c r="AF9" s="387"/>
      <c r="AG9" s="387"/>
      <c r="AH9" s="387"/>
      <c r="AI9" s="387"/>
      <c r="AJ9" s="387"/>
      <c r="AK9" s="387"/>
      <c r="AL9" s="387"/>
      <c r="AM9" s="387"/>
      <c r="AN9" s="387"/>
      <c r="AO9" s="387"/>
      <c r="AP9" s="387"/>
      <c r="AQ9" s="387"/>
    </row>
    <row r="10" spans="2:47" ht="13.5" customHeight="1">
      <c r="B10" s="70"/>
      <c r="C10" s="70"/>
      <c r="D10" s="70"/>
      <c r="E10" s="70"/>
      <c r="F10" s="70"/>
      <c r="G10" s="70"/>
      <c r="H10" s="70"/>
      <c r="I10" s="70"/>
      <c r="J10" s="70"/>
      <c r="K10" s="70"/>
      <c r="L10" s="70"/>
      <c r="M10" s="70"/>
      <c r="N10" s="70"/>
      <c r="O10" s="70"/>
      <c r="P10" s="70"/>
      <c r="Q10" s="70"/>
      <c r="R10" s="70"/>
      <c r="S10" s="70"/>
      <c r="AD10" s="387"/>
      <c r="AE10" s="387"/>
      <c r="AF10" s="387"/>
      <c r="AG10" s="387"/>
      <c r="AH10" s="387"/>
      <c r="AI10" s="387"/>
      <c r="AJ10" s="387"/>
      <c r="AK10" s="387"/>
      <c r="AL10" s="387"/>
      <c r="AM10" s="387"/>
      <c r="AN10" s="387"/>
      <c r="AO10" s="387"/>
      <c r="AP10" s="387"/>
      <c r="AQ10" s="387"/>
    </row>
    <row r="11" spans="2:47" ht="12.75" customHeight="1">
      <c r="B11" s="70"/>
      <c r="C11" s="70"/>
      <c r="D11" s="70"/>
      <c r="E11" s="70"/>
      <c r="F11" s="70"/>
      <c r="G11" s="70"/>
      <c r="H11" s="70"/>
      <c r="I11" s="70"/>
      <c r="J11" s="70"/>
      <c r="K11" s="70"/>
      <c r="L11" s="70"/>
      <c r="M11" s="70"/>
      <c r="N11" s="70"/>
      <c r="O11" s="70"/>
      <c r="P11" s="70"/>
      <c r="Q11" s="70"/>
      <c r="R11" s="70"/>
      <c r="S11" s="70"/>
      <c r="W11" s="256" t="s">
        <v>9</v>
      </c>
      <c r="X11" s="256" t="s">
        <v>7</v>
      </c>
      <c r="Y11" s="274"/>
      <c r="Z11" s="370" t="s">
        <v>462</v>
      </c>
      <c r="AA11" s="370" t="s">
        <v>463</v>
      </c>
      <c r="AB11" s="370" t="s">
        <v>464</v>
      </c>
      <c r="AD11" s="387"/>
      <c r="AE11" s="387"/>
      <c r="AF11" s="387"/>
      <c r="AG11" s="387"/>
      <c r="AH11" s="387"/>
      <c r="AI11" s="387"/>
      <c r="AJ11" s="387"/>
      <c r="AK11" s="387"/>
      <c r="AL11" s="387"/>
      <c r="AM11" s="387"/>
      <c r="AN11" s="387"/>
      <c r="AO11" s="387"/>
      <c r="AP11" s="387"/>
      <c r="AQ11" s="387"/>
    </row>
    <row r="12" spans="2:47">
      <c r="B12" s="70"/>
      <c r="C12" s="70"/>
      <c r="D12" s="70"/>
      <c r="E12" s="70"/>
      <c r="F12" s="70"/>
      <c r="G12" s="70"/>
      <c r="H12" s="70"/>
      <c r="I12" s="70"/>
      <c r="J12" s="70"/>
      <c r="K12" s="70"/>
      <c r="L12" s="70"/>
      <c r="M12" s="70"/>
      <c r="N12" s="70"/>
      <c r="O12" s="70"/>
      <c r="P12" s="70"/>
      <c r="Q12" s="70"/>
      <c r="R12" s="70"/>
      <c r="S12" s="70"/>
      <c r="W12" s="256"/>
      <c r="X12" s="274" t="s">
        <v>74</v>
      </c>
      <c r="Y12" s="274" t="s">
        <v>410</v>
      </c>
      <c r="Z12" s="371">
        <f>VLOOKUP("AllSex"&amp;"AllEth"&amp;19&amp;ref!$AB1,DHB5yrNatRate,5,FALSE)</f>
        <v>2525</v>
      </c>
      <c r="AA12" s="371">
        <f>VLOOKUP("AllSex"&amp;"AllEth"&amp;19&amp;ref!$AB2,DHB5yrNatRate,5,FALSE)</f>
        <v>2560</v>
      </c>
      <c r="AB12" s="371">
        <f>VLOOKUP("AllSex"&amp;"AllEth"&amp;19&amp;ref!$AB3,DHB5yrNatRate,5,FALSE)</f>
        <v>2656</v>
      </c>
    </row>
    <row r="13" spans="2:47">
      <c r="B13" s="70"/>
      <c r="C13" s="70"/>
      <c r="D13" s="70"/>
      <c r="E13" s="70"/>
      <c r="F13" s="70"/>
      <c r="G13" s="70"/>
      <c r="H13" s="70"/>
      <c r="I13" s="70"/>
      <c r="J13" s="70"/>
      <c r="K13" s="70"/>
      <c r="L13" s="70"/>
      <c r="M13" s="70"/>
      <c r="N13" s="70"/>
      <c r="O13" s="70"/>
      <c r="P13" s="70"/>
      <c r="Q13" s="70"/>
      <c r="R13" s="70"/>
      <c r="S13" s="70"/>
      <c r="W13" s="372"/>
      <c r="X13" s="274" t="s">
        <v>54</v>
      </c>
      <c r="Y13" s="371"/>
      <c r="Z13" s="371">
        <f>VLOOKUP(20022006&amp;"AllSex"&amp;"AllEth"&amp;19&amp;ref!Z2,DHB5yr,7,FALSE)</f>
        <v>110</v>
      </c>
      <c r="AA13" s="373">
        <f>VLOOKUP(20072011&amp;"AllSex"&amp;"AllEth"&amp;19&amp;ref!Z2,DHB5yr,7,FALSE)</f>
        <v>89</v>
      </c>
      <c r="AB13" s="371">
        <f>VLOOKUP(20122016&amp;"AllSex"&amp;"AllEth"&amp;19&amp;ref!Z2,DHB5yr,7,FALSE)</f>
        <v>123</v>
      </c>
    </row>
    <row r="14" spans="2:47">
      <c r="B14" s="70"/>
      <c r="C14" s="70"/>
      <c r="D14" s="70"/>
      <c r="E14" s="70"/>
      <c r="F14" s="70"/>
      <c r="G14" s="70"/>
      <c r="H14" s="70"/>
      <c r="I14" s="70"/>
      <c r="J14" s="70"/>
      <c r="K14" s="70"/>
      <c r="L14" s="70"/>
      <c r="M14" s="70"/>
      <c r="N14" s="70"/>
      <c r="O14" s="70"/>
      <c r="P14" s="70"/>
      <c r="Q14" s="70"/>
      <c r="R14" s="70"/>
      <c r="S14" s="70"/>
      <c r="W14" s="372"/>
      <c r="X14" s="274" t="s">
        <v>55</v>
      </c>
      <c r="Y14" s="274"/>
      <c r="Z14" s="371">
        <f>VLOOKUP(20022006&amp;"AllSex"&amp;"AllEth"&amp;19&amp;ref!Z3,DHB5yr,7,FALSE)</f>
        <v>247</v>
      </c>
      <c r="AA14" s="373">
        <f>VLOOKUP(20072011&amp;"AllSex"&amp;"AllEth"&amp;19&amp;ref!Z3,DHB5yr,7,FALSE)</f>
        <v>265</v>
      </c>
      <c r="AB14" s="371">
        <f>VLOOKUP(20122016&amp;"AllSex"&amp;"AllEth"&amp;19&amp;ref!Z3,DHB5yr,7,FALSE)</f>
        <v>257</v>
      </c>
    </row>
    <row r="15" spans="2:47">
      <c r="B15" s="70"/>
      <c r="C15" s="70"/>
      <c r="D15" s="70"/>
      <c r="E15" s="70"/>
      <c r="F15" s="70"/>
      <c r="G15" s="70"/>
      <c r="H15" s="70"/>
      <c r="I15" s="70"/>
      <c r="J15" s="70"/>
      <c r="K15" s="70"/>
      <c r="L15" s="70"/>
      <c r="M15" s="70"/>
      <c r="N15" s="70"/>
      <c r="O15" s="70"/>
      <c r="P15" s="70"/>
      <c r="Q15" s="70"/>
      <c r="R15" s="70"/>
      <c r="S15" s="70"/>
      <c r="W15" s="372"/>
      <c r="X15" s="274" t="s">
        <v>56</v>
      </c>
      <c r="Y15" s="274"/>
      <c r="Z15" s="371">
        <f>VLOOKUP(20022006&amp;"AllSex"&amp;"AllEth"&amp;19&amp;ref!Z4,DHB5yr,7,FALSE)</f>
        <v>212</v>
      </c>
      <c r="AA15" s="373">
        <f>VLOOKUP(20072011&amp;"AllSex"&amp;"AllEth"&amp;19&amp;ref!Z4,DHB5yr,7,FALSE)</f>
        <v>210</v>
      </c>
      <c r="AB15" s="371">
        <f>VLOOKUP(20122016&amp;"AllSex"&amp;"AllEth"&amp;19&amp;ref!Z4,DHB5yr,7,FALSE)</f>
        <v>221</v>
      </c>
    </row>
    <row r="16" spans="2:47">
      <c r="B16" s="70"/>
      <c r="C16" s="70"/>
      <c r="D16" s="70"/>
      <c r="E16" s="70"/>
      <c r="F16" s="70"/>
      <c r="G16" s="70"/>
      <c r="H16" s="70"/>
      <c r="I16" s="70"/>
      <c r="J16" s="70"/>
      <c r="K16" s="70"/>
      <c r="L16" s="70"/>
      <c r="M16" s="70"/>
      <c r="N16" s="70"/>
      <c r="O16" s="70"/>
      <c r="P16" s="70"/>
      <c r="Q16" s="70"/>
      <c r="R16" s="70"/>
      <c r="S16" s="70"/>
      <c r="W16" s="372"/>
      <c r="X16" s="274" t="s">
        <v>57</v>
      </c>
      <c r="Y16" s="274"/>
      <c r="Z16" s="371">
        <f>VLOOKUP(20022006&amp;"AllSex"&amp;"AllEth"&amp;19&amp;ref!Z5,DHB5yr,7,FALSE)</f>
        <v>256</v>
      </c>
      <c r="AA16" s="373">
        <f>VLOOKUP(20072011&amp;"AllSex"&amp;"AllEth"&amp;19&amp;ref!Z5,DHB5yr,7,FALSE)</f>
        <v>252</v>
      </c>
      <c r="AB16" s="371">
        <f>VLOOKUP(20122016&amp;"AllSex"&amp;"AllEth"&amp;19&amp;ref!Z5,DHB5yr,7,FALSE)</f>
        <v>236</v>
      </c>
    </row>
    <row r="17" spans="2:60">
      <c r="B17" s="70"/>
      <c r="C17" s="70"/>
      <c r="D17" s="70"/>
      <c r="E17" s="70"/>
      <c r="F17" s="70"/>
      <c r="G17" s="70"/>
      <c r="H17" s="70"/>
      <c r="I17" s="70"/>
      <c r="J17" s="70"/>
      <c r="K17" s="70"/>
      <c r="L17" s="70"/>
      <c r="M17" s="70"/>
      <c r="N17" s="70"/>
      <c r="O17" s="70"/>
      <c r="P17" s="70"/>
      <c r="Q17" s="70"/>
      <c r="R17" s="70"/>
      <c r="S17" s="70"/>
      <c r="W17" s="372"/>
      <c r="X17" s="274" t="s">
        <v>58</v>
      </c>
      <c r="Y17" s="274"/>
      <c r="Z17" s="371">
        <f>VLOOKUP(20022006&amp;"AllSex"&amp;"AllEth"&amp;19&amp;ref!Z6,DHB5yr,7,FALSE)</f>
        <v>198</v>
      </c>
      <c r="AA17" s="373">
        <f>VLOOKUP(20072011&amp;"AllSex"&amp;"AllEth"&amp;19&amp;ref!Z6,DHB5yr,7,FALSE)</f>
        <v>208</v>
      </c>
      <c r="AB17" s="371">
        <f>VLOOKUP(20122016&amp;"AllSex"&amp;"AllEth"&amp;19&amp;ref!Z6,DHB5yr,7,FALSE)</f>
        <v>232</v>
      </c>
    </row>
    <row r="18" spans="2:60">
      <c r="B18" s="70"/>
      <c r="C18" s="70"/>
      <c r="D18" s="70"/>
      <c r="E18" s="70"/>
      <c r="F18" s="70"/>
      <c r="G18" s="70"/>
      <c r="H18" s="70"/>
      <c r="I18" s="70"/>
      <c r="J18" s="70"/>
      <c r="K18" s="70"/>
      <c r="L18" s="70"/>
      <c r="M18" s="70"/>
      <c r="N18" s="70"/>
      <c r="O18" s="70"/>
      <c r="P18" s="70"/>
      <c r="Q18" s="70"/>
      <c r="R18" s="70"/>
      <c r="S18" s="70"/>
      <c r="W18" s="372"/>
      <c r="X18" s="274" t="s">
        <v>59</v>
      </c>
      <c r="Y18" s="274"/>
      <c r="Z18" s="371">
        <f>VLOOKUP(20022006&amp;"AllSex"&amp;"AllEth"&amp;19&amp;ref!Z7,DHB5yr,7,FALSE)</f>
        <v>67</v>
      </c>
      <c r="AA18" s="373">
        <f>VLOOKUP(20072011&amp;"AllSex"&amp;"AllEth"&amp;19&amp;ref!Z7,DHB5yr,7,FALSE)</f>
        <v>81</v>
      </c>
      <c r="AB18" s="371">
        <f>VLOOKUP(20122016&amp;"AllSex"&amp;"AllEth"&amp;19&amp;ref!Z7,DHB5yr,7,FALSE)</f>
        <v>81</v>
      </c>
    </row>
    <row r="19" spans="2:60">
      <c r="B19" s="70"/>
      <c r="C19" s="70"/>
      <c r="D19" s="70"/>
      <c r="E19" s="70"/>
      <c r="F19" s="70"/>
      <c r="G19" s="70"/>
      <c r="H19" s="70"/>
      <c r="I19" s="70"/>
      <c r="J19" s="70"/>
      <c r="K19" s="70"/>
      <c r="L19" s="70"/>
      <c r="M19" s="70"/>
      <c r="N19" s="70"/>
      <c r="O19" s="70"/>
      <c r="P19" s="70"/>
      <c r="Q19" s="70"/>
      <c r="R19" s="70"/>
      <c r="S19" s="70"/>
      <c r="W19" s="372"/>
      <c r="X19" s="274" t="s">
        <v>60</v>
      </c>
      <c r="Y19" s="274"/>
      <c r="Z19" s="371">
        <f>VLOOKUP(20022006&amp;"AllSex"&amp;"AllEth"&amp;19&amp;ref!Z8,DHB5yr,7,FALSE)</f>
        <v>149</v>
      </c>
      <c r="AA19" s="373">
        <f>VLOOKUP(20072011&amp;"AllSex"&amp;"AllEth"&amp;19&amp;ref!Z8,DHB5yr,7,FALSE)</f>
        <v>144</v>
      </c>
      <c r="AB19" s="371">
        <f>VLOOKUP(20122016&amp;"AllSex"&amp;"AllEth"&amp;19&amp;ref!Z8,DHB5yr,7,FALSE)</f>
        <v>159</v>
      </c>
    </row>
    <row r="20" spans="2:60">
      <c r="B20" s="70"/>
      <c r="C20" s="70"/>
      <c r="D20" s="70"/>
      <c r="E20" s="70"/>
      <c r="F20" s="70"/>
      <c r="G20" s="70"/>
      <c r="H20" s="70"/>
      <c r="I20" s="70"/>
      <c r="J20" s="70"/>
      <c r="K20" s="70"/>
      <c r="L20" s="70"/>
      <c r="M20" s="70"/>
      <c r="N20" s="70"/>
      <c r="O20" s="70"/>
      <c r="P20" s="70"/>
      <c r="Q20" s="70"/>
      <c r="R20" s="70"/>
      <c r="S20" s="70"/>
      <c r="W20" s="372"/>
      <c r="X20" s="274" t="s">
        <v>112</v>
      </c>
      <c r="Y20" s="274"/>
      <c r="Z20" s="371">
        <f>VLOOKUP(20022006&amp;"AllSex"&amp;"AllEth"&amp;19&amp;ref!Z9,DHB5yr,7,FALSE)</f>
        <v>39</v>
      </c>
      <c r="AA20" s="373">
        <f>VLOOKUP(20072011&amp;"AllSex"&amp;"AllEth"&amp;19&amp;ref!Z9,DHB5yr,7,FALSE)</f>
        <v>40</v>
      </c>
      <c r="AB20" s="371">
        <f>VLOOKUP(20122016&amp;"AllSex"&amp;"AllEth"&amp;19&amp;ref!Z9,DHB5yr,7,FALSE)</f>
        <v>35</v>
      </c>
    </row>
    <row r="21" spans="2:60">
      <c r="B21" s="70"/>
      <c r="C21" s="70"/>
      <c r="D21" s="70"/>
      <c r="E21" s="70"/>
      <c r="F21" s="70"/>
      <c r="G21" s="70"/>
      <c r="H21" s="70"/>
      <c r="I21" s="70"/>
      <c r="J21" s="70"/>
      <c r="K21" s="70"/>
      <c r="L21" s="70"/>
      <c r="M21" s="70"/>
      <c r="N21" s="70"/>
      <c r="O21" s="70"/>
      <c r="P21" s="70"/>
      <c r="Q21" s="70"/>
      <c r="R21" s="70"/>
      <c r="S21" s="70"/>
      <c r="W21" s="372"/>
      <c r="X21" s="274" t="s">
        <v>62</v>
      </c>
      <c r="Y21" s="274"/>
      <c r="Z21" s="371">
        <f>VLOOKUP(20022006&amp;"AllSex"&amp;"AllEth"&amp;19&amp;ref!Z10,DHB5yr,7,FALSE)</f>
        <v>125</v>
      </c>
      <c r="AA21" s="373">
        <f>VLOOKUP(20072011&amp;"AllSex"&amp;"AllEth"&amp;19&amp;ref!Z10,DHB5yr,7,FALSE)</f>
        <v>101</v>
      </c>
      <c r="AB21" s="371">
        <f>VLOOKUP(20122016&amp;"AllSex"&amp;"AllEth"&amp;19&amp;ref!Z10,DHB5yr,7,FALSE)</f>
        <v>110</v>
      </c>
    </row>
    <row r="22" spans="2:60">
      <c r="B22" s="70"/>
      <c r="C22" s="70"/>
      <c r="D22" s="70"/>
      <c r="E22" s="70"/>
      <c r="F22" s="70"/>
      <c r="G22" s="70"/>
      <c r="H22" s="70"/>
      <c r="I22" s="70"/>
      <c r="J22" s="70"/>
      <c r="K22" s="70"/>
      <c r="L22" s="70"/>
      <c r="M22" s="70"/>
      <c r="N22" s="70"/>
      <c r="O22" s="70"/>
      <c r="P22" s="70"/>
      <c r="Q22" s="70"/>
      <c r="R22" s="70"/>
      <c r="S22" s="70"/>
      <c r="W22" s="372"/>
      <c r="X22" s="274" t="s">
        <v>63</v>
      </c>
      <c r="Y22" s="274"/>
      <c r="Z22" s="371">
        <f>VLOOKUP(20022006&amp;"AllSex"&amp;"AllEth"&amp;19&amp;ref!Z11,DHB5yr,7,FALSE)</f>
        <v>65</v>
      </c>
      <c r="AA22" s="373">
        <f>VLOOKUP(20072011&amp;"AllSex"&amp;"AllEth"&amp;19&amp;ref!Z11,DHB5yr,7,FALSE)</f>
        <v>73</v>
      </c>
      <c r="AB22" s="371">
        <f>VLOOKUP(20122016&amp;"AllSex"&amp;"AllEth"&amp;19&amp;ref!Z11,DHB5yr,7,FALSE)</f>
        <v>74</v>
      </c>
    </row>
    <row r="23" spans="2:60">
      <c r="B23" s="70"/>
      <c r="C23" s="70"/>
      <c r="D23" s="70"/>
      <c r="E23" s="70"/>
      <c r="F23" s="70"/>
      <c r="G23" s="70"/>
      <c r="H23" s="70"/>
      <c r="I23" s="70"/>
      <c r="J23" s="70"/>
      <c r="K23" s="70"/>
      <c r="L23" s="70"/>
      <c r="M23" s="70"/>
      <c r="N23" s="70"/>
      <c r="O23" s="70"/>
      <c r="P23" s="70"/>
      <c r="Q23" s="70"/>
      <c r="R23" s="70"/>
      <c r="S23" s="70"/>
      <c r="W23" s="372"/>
      <c r="X23" s="274" t="s">
        <v>64</v>
      </c>
      <c r="Y23" s="274"/>
      <c r="Z23" s="371">
        <f>VLOOKUP(20022006&amp;"AllSex"&amp;"AllEth"&amp;19&amp;ref!Z12,DHB5yr,7,FALSE)</f>
        <v>129</v>
      </c>
      <c r="AA23" s="373">
        <f>VLOOKUP(20072011&amp;"AllSex"&amp;"AllEth"&amp;19&amp;ref!Z12,DHB5yr,7,FALSE)</f>
        <v>128</v>
      </c>
      <c r="AB23" s="371">
        <f>VLOOKUP(20122016&amp;"AllSex"&amp;"AllEth"&amp;19&amp;ref!Z12,DHB5yr,7,FALSE)</f>
        <v>132</v>
      </c>
    </row>
    <row r="24" spans="2:60">
      <c r="B24" s="70"/>
      <c r="C24" s="70"/>
      <c r="D24" s="70"/>
      <c r="E24" s="70"/>
      <c r="F24" s="70"/>
      <c r="G24" s="70"/>
      <c r="H24" s="70"/>
      <c r="I24" s="70"/>
      <c r="J24" s="70"/>
      <c r="K24" s="70"/>
      <c r="L24" s="70"/>
      <c r="M24" s="70"/>
      <c r="N24" s="70"/>
      <c r="O24" s="70"/>
      <c r="P24" s="70"/>
      <c r="Q24" s="70"/>
      <c r="R24" s="70"/>
      <c r="S24" s="70"/>
      <c r="W24" s="372"/>
      <c r="X24" s="274" t="s">
        <v>65</v>
      </c>
      <c r="Y24" s="274"/>
      <c r="Z24" s="371">
        <f>VLOOKUP(20022006&amp;"AllSex"&amp;"AllEth"&amp;19&amp;ref!Z13,DHB5yr,7,FALSE)</f>
        <v>50</v>
      </c>
      <c r="AA24" s="373">
        <f>VLOOKUP(20072011&amp;"AllSex"&amp;"AllEth"&amp;19&amp;ref!Z13,DHB5yr,7,FALSE)</f>
        <v>53</v>
      </c>
      <c r="AB24" s="371">
        <f>VLOOKUP(20122016&amp;"AllSex"&amp;"AllEth"&amp;19&amp;ref!Z13,DHB5yr,7,FALSE)</f>
        <v>42</v>
      </c>
    </row>
    <row r="25" spans="2:60">
      <c r="B25" s="70"/>
      <c r="C25" s="70"/>
      <c r="D25" s="70"/>
      <c r="E25" s="70"/>
      <c r="F25" s="70"/>
      <c r="G25" s="70"/>
      <c r="H25" s="70"/>
      <c r="I25" s="70"/>
      <c r="J25" s="70"/>
      <c r="K25" s="70"/>
      <c r="L25" s="70"/>
      <c r="M25" s="70"/>
      <c r="N25" s="70"/>
      <c r="O25" s="70"/>
      <c r="P25" s="70"/>
      <c r="Q25" s="70"/>
      <c r="R25" s="70"/>
      <c r="S25" s="70"/>
      <c r="W25" s="372"/>
      <c r="X25" s="274" t="s">
        <v>66</v>
      </c>
      <c r="Y25" s="274"/>
      <c r="Z25" s="371">
        <f>VLOOKUP(20022006&amp;"AllSex"&amp;"AllEth"&amp;19&amp;ref!Z14,DHB5yr,7,FALSE)</f>
        <v>137</v>
      </c>
      <c r="AA25" s="373">
        <f>VLOOKUP(20072011&amp;"AllSex"&amp;"AllEth"&amp;19&amp;ref!Z14,DHB5yr,7,FALSE)</f>
        <v>117</v>
      </c>
      <c r="AB25" s="371">
        <f>VLOOKUP(20122016&amp;"AllSex"&amp;"AllEth"&amp;19&amp;ref!Z14,DHB5yr,7,FALSE)</f>
        <v>143</v>
      </c>
    </row>
    <row r="26" spans="2:60">
      <c r="B26" s="70"/>
      <c r="C26" s="70"/>
      <c r="D26" s="70"/>
      <c r="E26" s="70"/>
      <c r="F26" s="70"/>
      <c r="G26" s="70"/>
      <c r="H26" s="70"/>
      <c r="I26" s="70"/>
      <c r="J26" s="70"/>
      <c r="K26" s="70"/>
      <c r="L26" s="70"/>
      <c r="M26" s="70"/>
      <c r="N26" s="70"/>
      <c r="O26" s="70"/>
      <c r="P26" s="70"/>
      <c r="Q26" s="70"/>
      <c r="R26" s="70"/>
      <c r="S26" s="70"/>
      <c r="W26" s="372"/>
      <c r="X26" s="274" t="s">
        <v>67</v>
      </c>
      <c r="Y26" s="274"/>
      <c r="Z26" s="371">
        <f>VLOOKUP(20022006&amp;"AllSex"&amp;"AllEth"&amp;19&amp;ref!Z15,DHB5yr,7,FALSE)</f>
        <v>65</v>
      </c>
      <c r="AA26" s="373">
        <f>VLOOKUP(20072011&amp;"AllSex"&amp;"AllEth"&amp;19&amp;ref!Z15,DHB5yr,7,FALSE)</f>
        <v>79</v>
      </c>
      <c r="AB26" s="371">
        <f>VLOOKUP(20122016&amp;"AllSex"&amp;"AllEth"&amp;19&amp;ref!Z15,DHB5yr,7,FALSE)</f>
        <v>92</v>
      </c>
    </row>
    <row r="27" spans="2:60">
      <c r="B27" s="70"/>
      <c r="C27" s="70"/>
      <c r="D27" s="70"/>
      <c r="E27" s="70"/>
      <c r="F27" s="70"/>
      <c r="G27" s="70"/>
      <c r="H27" s="70"/>
      <c r="I27" s="70"/>
      <c r="J27" s="70"/>
      <c r="K27" s="70"/>
      <c r="L27" s="70"/>
      <c r="M27" s="70"/>
      <c r="N27" s="70"/>
      <c r="O27" s="70"/>
      <c r="P27" s="70"/>
      <c r="Q27" s="70"/>
      <c r="R27" s="70"/>
      <c r="S27" s="70"/>
      <c r="W27" s="372"/>
      <c r="X27" s="274" t="s">
        <v>68</v>
      </c>
      <c r="Y27" s="274"/>
      <c r="Z27" s="371">
        <f>VLOOKUP(20022006&amp;"AllSex"&amp;"AllEth"&amp;19&amp;ref!Z16,DHB5yr,7,FALSE)</f>
        <v>35</v>
      </c>
      <c r="AA27" s="373">
        <f>VLOOKUP(20072011&amp;"AllSex"&amp;"AllEth"&amp;19&amp;ref!Z16,DHB5yr,7,FALSE)</f>
        <v>29</v>
      </c>
      <c r="AB27" s="371">
        <f>VLOOKUP(20122016&amp;"AllSex"&amp;"AllEth"&amp;19&amp;ref!Z16,DHB5yr,7,FALSE)</f>
        <v>37</v>
      </c>
    </row>
    <row r="28" spans="2:60">
      <c r="B28" s="70"/>
      <c r="C28" s="70"/>
      <c r="D28" s="70"/>
      <c r="E28" s="70"/>
      <c r="F28" s="70"/>
      <c r="G28" s="70"/>
      <c r="H28" s="70"/>
      <c r="I28" s="70"/>
      <c r="J28" s="70"/>
      <c r="K28" s="70"/>
      <c r="L28" s="70"/>
      <c r="M28" s="70"/>
      <c r="N28" s="70"/>
      <c r="O28" s="70"/>
      <c r="P28" s="70"/>
      <c r="Q28" s="70"/>
      <c r="R28" s="70"/>
      <c r="S28" s="70"/>
      <c r="W28" s="372"/>
      <c r="X28" s="274" t="s">
        <v>69</v>
      </c>
      <c r="Y28" s="274"/>
      <c r="Z28" s="371">
        <f>VLOOKUP(20022006&amp;"AllSex"&amp;"AllEth"&amp;19&amp;ref!Z17,DHB5yr,7,FALSE)</f>
        <v>78</v>
      </c>
      <c r="AA28" s="373">
        <f>VLOOKUP(20072011&amp;"AllSex"&amp;"AllEth"&amp;19&amp;ref!Z17,DHB5yr,7,FALSE)</f>
        <v>84</v>
      </c>
      <c r="AB28" s="371">
        <f>VLOOKUP(20122016&amp;"AllSex"&amp;"AllEth"&amp;19&amp;ref!Z17,DHB5yr,7,FALSE)</f>
        <v>85</v>
      </c>
    </row>
    <row r="29" spans="2:60">
      <c r="B29" s="70"/>
      <c r="C29" s="70"/>
      <c r="D29" s="70"/>
      <c r="E29" s="70"/>
      <c r="F29" s="70"/>
      <c r="G29" s="70"/>
      <c r="H29" s="70"/>
      <c r="I29" s="70"/>
      <c r="J29" s="70"/>
      <c r="K29" s="70"/>
      <c r="L29" s="70"/>
      <c r="M29" s="70"/>
      <c r="N29" s="70"/>
      <c r="O29" s="70"/>
      <c r="P29" s="70"/>
      <c r="Q29" s="70"/>
      <c r="R29" s="70"/>
      <c r="S29" s="70"/>
      <c r="W29" s="372"/>
      <c r="X29" s="274" t="s">
        <v>70</v>
      </c>
      <c r="Y29" s="274"/>
      <c r="Z29" s="371">
        <f>VLOOKUP(20022006&amp;"AllSex"&amp;"AllEth"&amp;19&amp;ref!Z18,DHB5yr,7,FALSE)</f>
        <v>22</v>
      </c>
      <c r="AA29" s="373">
        <f>VLOOKUP(20072011&amp;"AllSex"&amp;"AllEth"&amp;19&amp;ref!Z18,DHB5yr,7,FALSE)</f>
        <v>25</v>
      </c>
      <c r="AB29" s="371">
        <f>VLOOKUP(20122016&amp;"AllSex"&amp;"AllEth"&amp;19&amp;ref!Z18,DHB5yr,7,FALSE)</f>
        <v>37</v>
      </c>
      <c r="BB29" s="600" t="s">
        <v>16</v>
      </c>
      <c r="BF29" s="600" t="s">
        <v>407</v>
      </c>
    </row>
    <row r="30" spans="2:60">
      <c r="B30" s="70"/>
      <c r="C30" s="70"/>
      <c r="D30" s="70"/>
      <c r="E30" s="70"/>
      <c r="F30" s="70"/>
      <c r="G30" s="70"/>
      <c r="H30" s="70"/>
      <c r="I30" s="70"/>
      <c r="J30" s="70"/>
      <c r="K30" s="70"/>
      <c r="L30" s="70"/>
      <c r="M30" s="70"/>
      <c r="N30" s="70"/>
      <c r="O30" s="70"/>
      <c r="P30" s="70"/>
      <c r="Q30" s="70"/>
      <c r="R30" s="70"/>
      <c r="S30" s="70"/>
      <c r="W30" s="372"/>
      <c r="X30" s="274" t="s">
        <v>71</v>
      </c>
      <c r="Y30" s="274"/>
      <c r="Z30" s="371">
        <f>VLOOKUP(20022006&amp;"AllSex"&amp;"AllEth"&amp;19&amp;ref!Z19,DHB5yr,7,FALSE)</f>
        <v>309</v>
      </c>
      <c r="AA30" s="373">
        <f>VLOOKUP(20072011&amp;"AllSex"&amp;"AllEth"&amp;19&amp;ref!Z19,DHB5yr,7,FALSE)</f>
        <v>315</v>
      </c>
      <c r="AB30" s="371">
        <f>VLOOKUP(20122016&amp;"AllSex"&amp;"AllEth"&amp;19&amp;ref!Z19,DHB5yr,7,FALSE)</f>
        <v>309</v>
      </c>
      <c r="BB30" s="600" t="s">
        <v>462</v>
      </c>
      <c r="BC30" s="600" t="s">
        <v>463</v>
      </c>
      <c r="BD30" s="600" t="s">
        <v>464</v>
      </c>
      <c r="BF30" s="600" t="s">
        <v>462</v>
      </c>
      <c r="BG30" s="600" t="s">
        <v>463</v>
      </c>
      <c r="BH30" s="600" t="s">
        <v>464</v>
      </c>
    </row>
    <row r="31" spans="2:60">
      <c r="B31" s="70"/>
      <c r="C31" s="70"/>
      <c r="D31" s="70"/>
      <c r="E31" s="70"/>
      <c r="F31" s="70"/>
      <c r="G31" s="70"/>
      <c r="H31" s="70"/>
      <c r="I31" s="70"/>
      <c r="J31" s="70"/>
      <c r="K31" s="70"/>
      <c r="L31" s="70"/>
      <c r="M31" s="70"/>
      <c r="N31" s="70"/>
      <c r="O31" s="70"/>
      <c r="P31" s="70"/>
      <c r="Q31" s="70"/>
      <c r="R31" s="70"/>
      <c r="S31" s="70"/>
      <c r="W31" s="372"/>
      <c r="X31" s="274" t="s">
        <v>72</v>
      </c>
      <c r="Y31" s="274"/>
      <c r="Z31" s="371">
        <f>VLOOKUP(20022006&amp;"AllSex"&amp;"AllEth"&amp;19&amp;ref!Z20,DHB5yr,7,FALSE)</f>
        <v>27</v>
      </c>
      <c r="AA31" s="373">
        <f>VLOOKUP(20072011&amp;"AllSex"&amp;"AllEth"&amp;19&amp;ref!Z20,DHB5yr,7,FALSE)</f>
        <v>46</v>
      </c>
      <c r="AB31" s="371">
        <f>VLOOKUP(20122016&amp;"AllSex"&amp;"AllEth"&amp;19&amp;ref!Z20,DHB5yr,7,FALSE)</f>
        <v>34</v>
      </c>
      <c r="BA31" s="601" t="s">
        <v>54</v>
      </c>
      <c r="BB31" s="600">
        <f>VLOOKUP(20022006&amp;"AllSex"&amp;"AllEth"&amp;19&amp;ref!Z2,DHB5yr,9,FALSE)</f>
        <v>4.0999999999999996</v>
      </c>
      <c r="BC31" s="600">
        <f>VLOOKUP(20072011&amp;"AllSex"&amp;"AllEth"&amp;19&amp;ref!Z2,DHB5yr,9,FALSE)</f>
        <v>3.3</v>
      </c>
      <c r="BD31" s="600">
        <f>VLOOKUP(20122016&amp;"AllSex"&amp;"AllEth"&amp;19&amp;ref!Z2,DHB5yr,9,FALSE)</f>
        <v>3.7</v>
      </c>
      <c r="BF31" s="603">
        <f t="shared" ref="BF31:BF50" si="0">BB31/Z37*100</f>
        <v>24.854501470375119</v>
      </c>
      <c r="BG31" s="603">
        <f t="shared" ref="BG31:BG50" si="1">BC31/AA37*100</f>
        <v>27.071734344630716</v>
      </c>
      <c r="BH31" s="603">
        <f t="shared" ref="BH31:BH50" si="2">BD31/AB37*100</f>
        <v>23.037521317165947</v>
      </c>
    </row>
    <row r="32" spans="2:60">
      <c r="B32" s="70"/>
      <c r="C32" s="70"/>
      <c r="D32" s="70"/>
      <c r="E32" s="70"/>
      <c r="F32" s="70"/>
      <c r="G32" s="70"/>
      <c r="H32" s="70"/>
      <c r="I32" s="70"/>
      <c r="J32" s="70"/>
      <c r="K32" s="70"/>
      <c r="L32" s="70"/>
      <c r="M32" s="70"/>
      <c r="N32" s="70"/>
      <c r="O32" s="70"/>
      <c r="P32" s="70"/>
      <c r="Q32" s="70"/>
      <c r="R32" s="70"/>
      <c r="S32" s="70"/>
      <c r="W32" s="372"/>
      <c r="X32" s="274" t="s">
        <v>73</v>
      </c>
      <c r="Y32" s="274"/>
      <c r="Z32" s="371">
        <f>VLOOKUP(20022006&amp;"AllSex"&amp;"AllEth"&amp;19&amp;ref!Z21,DHB5yr,7,FALSE)</f>
        <v>194</v>
      </c>
      <c r="AA32" s="373">
        <f>VLOOKUP(20072011&amp;"AllSex"&amp;"AllEth"&amp;19&amp;ref!Z21,DHB5yr,7,FALSE)</f>
        <v>206</v>
      </c>
      <c r="AB32" s="371">
        <f>VLOOKUP(20122016&amp;"AllSex"&amp;"AllEth"&amp;19&amp;ref!Z21,DHB5yr,7,FALSE)</f>
        <v>206</v>
      </c>
      <c r="BA32" s="601" t="s">
        <v>55</v>
      </c>
      <c r="BB32" s="600">
        <f>VLOOKUP(20022006&amp;"AllSex"&amp;"AllEth"&amp;19&amp;ref!Z3,DHB5yr,9,FALSE)</f>
        <v>1.6</v>
      </c>
      <c r="BC32" s="600">
        <f>VLOOKUP(20072011&amp;"AllSex"&amp;"AllEth"&amp;19&amp;ref!Z3,DHB5yr,9,FALSE)</f>
        <v>1.5</v>
      </c>
      <c r="BD32" s="600">
        <f>VLOOKUP(20122016&amp;"AllSex"&amp;"AllEth"&amp;19&amp;ref!Z3,DHB5yr,9,FALSE)</f>
        <v>1.3</v>
      </c>
      <c r="BF32" s="603">
        <f t="shared" si="0"/>
        <v>16.244878783375981</v>
      </c>
      <c r="BG32" s="603">
        <f t="shared" si="1"/>
        <v>15.852227383802287</v>
      </c>
      <c r="BH32" s="603">
        <f t="shared" si="2"/>
        <v>15.489412498972053</v>
      </c>
    </row>
    <row r="33" spans="2:60">
      <c r="B33" s="70"/>
      <c r="C33" s="70"/>
      <c r="D33" s="70"/>
      <c r="E33" s="70"/>
      <c r="F33" s="70"/>
      <c r="G33" s="70"/>
      <c r="H33" s="70"/>
      <c r="I33" s="70"/>
      <c r="J33" s="70"/>
      <c r="K33" s="70"/>
      <c r="L33" s="70"/>
      <c r="M33" s="70"/>
      <c r="N33" s="70"/>
      <c r="O33" s="70"/>
      <c r="P33" s="70"/>
      <c r="Q33" s="70"/>
      <c r="R33" s="70"/>
      <c r="S33" s="70"/>
      <c r="W33" s="372"/>
      <c r="X33" s="274" t="s">
        <v>75</v>
      </c>
      <c r="Y33" s="274"/>
      <c r="Z33" s="371">
        <f>VLOOKUP(20022006&amp;"AllSex"&amp;"AllEth"&amp;19&amp;ref!Z22,DHB5yr,7,FALSE)</f>
        <v>11</v>
      </c>
      <c r="AA33" s="373">
        <f>VLOOKUP(20072011&amp;"AllSex"&amp;"AllEth"&amp;19&amp;ref!Z22,DHB5yr,7,FALSE)</f>
        <v>15</v>
      </c>
      <c r="AB33" s="371">
        <f>VLOOKUP(20122016&amp;"AllSex"&amp;"AllEth"&amp;19&amp;ref!Z22,DHB5yr,7,FALSE)</f>
        <v>11</v>
      </c>
      <c r="BA33" s="601" t="s">
        <v>56</v>
      </c>
      <c r="BB33" s="600">
        <f>VLOOKUP(20022006&amp;"AllSex"&amp;"AllEth"&amp;19&amp;ref!Z4,DHB5yr,9,FALSE)</f>
        <v>1.6</v>
      </c>
      <c r="BC33" s="600">
        <f>VLOOKUP(20072011&amp;"AllSex"&amp;"AllEth"&amp;19&amp;ref!Z4,DHB5yr,9,FALSE)</f>
        <v>1.6</v>
      </c>
      <c r="BD33" s="600">
        <f>VLOOKUP(20122016&amp;"AllSex"&amp;"AllEth"&amp;19&amp;ref!Z4,DHB5yr,9,FALSE)</f>
        <v>1.4</v>
      </c>
      <c r="BF33" s="603">
        <f t="shared" si="0"/>
        <v>17.463774201090274</v>
      </c>
      <c r="BG33" s="603">
        <f t="shared" si="1"/>
        <v>18.226966913937208</v>
      </c>
      <c r="BH33" s="603">
        <f t="shared" si="2"/>
        <v>16.769888970248072</v>
      </c>
    </row>
    <row r="34" spans="2:60">
      <c r="B34" s="70"/>
      <c r="C34" s="70"/>
      <c r="D34" s="70"/>
      <c r="E34" s="70"/>
      <c r="F34" s="70"/>
      <c r="G34" s="70"/>
      <c r="H34" s="70"/>
      <c r="I34" s="70"/>
      <c r="J34" s="70"/>
      <c r="K34" s="70"/>
      <c r="L34" s="70"/>
      <c r="M34" s="70"/>
      <c r="N34" s="70"/>
      <c r="O34" s="70"/>
      <c r="P34" s="70"/>
      <c r="Q34" s="70"/>
      <c r="R34" s="70"/>
      <c r="S34" s="70"/>
      <c r="W34" s="176"/>
      <c r="X34" s="177"/>
      <c r="Y34" s="177"/>
      <c r="Z34" s="177"/>
      <c r="AA34" s="177"/>
      <c r="AB34" s="177"/>
      <c r="BA34" s="601" t="s">
        <v>57</v>
      </c>
      <c r="BB34" s="600">
        <f>VLOOKUP(20022006&amp;"AllSex"&amp;"AllEth"&amp;19&amp;ref!Z5,DHB5yr,9,FALSE)</f>
        <v>2</v>
      </c>
      <c r="BC34" s="600">
        <f>VLOOKUP(20072011&amp;"AllSex"&amp;"AllEth"&amp;19&amp;ref!Z5,DHB5yr,9,FALSE)</f>
        <v>1.8</v>
      </c>
      <c r="BD34" s="600">
        <f>VLOOKUP(20122016&amp;"AllSex"&amp;"AllEth"&amp;19&amp;ref!Z5,DHB5yr,9,FALSE)</f>
        <v>1.5</v>
      </c>
      <c r="BF34" s="603">
        <f t="shared" si="0"/>
        <v>16.469345030102954</v>
      </c>
      <c r="BG34" s="603">
        <f t="shared" si="1"/>
        <v>16.686601274031588</v>
      </c>
      <c r="BH34" s="603">
        <f t="shared" si="2"/>
        <v>16.384848900769143</v>
      </c>
    </row>
    <row r="35" spans="2:60">
      <c r="B35" s="70"/>
      <c r="C35" s="70"/>
      <c r="D35" s="70"/>
      <c r="E35" s="70"/>
      <c r="F35" s="70"/>
      <c r="G35" s="70"/>
      <c r="H35" s="70"/>
      <c r="I35" s="70"/>
      <c r="J35" s="70"/>
      <c r="K35" s="70"/>
      <c r="L35" s="70"/>
      <c r="M35" s="70"/>
      <c r="N35" s="70"/>
      <c r="O35" s="70"/>
      <c r="P35" s="70"/>
      <c r="Q35" s="70"/>
      <c r="R35" s="70"/>
      <c r="S35" s="70"/>
      <c r="W35" s="374" t="s">
        <v>9</v>
      </c>
      <c r="X35" s="375"/>
      <c r="Y35" s="274"/>
      <c r="Z35" s="370" t="s">
        <v>462</v>
      </c>
      <c r="AA35" s="370" t="s">
        <v>463</v>
      </c>
      <c r="AB35" s="370" t="s">
        <v>464</v>
      </c>
      <c r="BA35" s="601" t="s">
        <v>58</v>
      </c>
      <c r="BB35" s="600">
        <f>VLOOKUP(20022006&amp;"AllSex"&amp;"AllEth"&amp;19&amp;ref!Z6,DHB5yr,9,FALSE)</f>
        <v>2.1</v>
      </c>
      <c r="BC35" s="600">
        <f>VLOOKUP(20072011&amp;"AllSex"&amp;"AllEth"&amp;19&amp;ref!Z6,DHB5yr,9,FALSE)</f>
        <v>2</v>
      </c>
      <c r="BD35" s="600">
        <f>VLOOKUP(20122016&amp;"AllSex"&amp;"AllEth"&amp;19&amp;ref!Z6,DHB5yr,9,FALSE)</f>
        <v>2</v>
      </c>
      <c r="BF35" s="603">
        <f t="shared" si="0"/>
        <v>18.042166746797847</v>
      </c>
      <c r="BG35" s="603">
        <f t="shared" si="1"/>
        <v>17.676905959083339</v>
      </c>
      <c r="BH35" s="603">
        <f t="shared" si="2"/>
        <v>17.048556535255376</v>
      </c>
    </row>
    <row r="36" spans="2:60">
      <c r="B36" s="70"/>
      <c r="C36" s="70"/>
      <c r="D36" s="70"/>
      <c r="E36" s="70"/>
      <c r="F36" s="70"/>
      <c r="G36" s="70"/>
      <c r="H36" s="70"/>
      <c r="I36" s="70"/>
      <c r="J36" s="70"/>
      <c r="K36" s="70"/>
      <c r="L36" s="70"/>
      <c r="M36" s="70"/>
      <c r="N36" s="70"/>
      <c r="O36" s="70"/>
      <c r="P36" s="70"/>
      <c r="Q36" s="70"/>
      <c r="R36" s="70"/>
      <c r="S36" s="70"/>
      <c r="W36" s="372"/>
      <c r="X36" s="274" t="s">
        <v>74</v>
      </c>
      <c r="Y36" s="274" t="s">
        <v>392</v>
      </c>
      <c r="Z36" s="567">
        <f>VLOOKUP("AllSex"&amp;"AllEth"&amp;19&amp;ref!$AB1,DHB5yrNatRate,6,FALSE)</f>
        <v>12.07150766</v>
      </c>
      <c r="AA36" s="567">
        <f>VLOOKUP("AllSex"&amp;"AllEth"&amp;19&amp;ref!$AB2,DHB5yrNatRate,6,FALSE)</f>
        <v>11.547666789999999</v>
      </c>
      <c r="AB36" s="567">
        <f>VLOOKUP("AllSex"&amp;"AllEth"&amp;19&amp;ref!$AB3,DHB5yrNatRate,6,FALSE)</f>
        <v>11.32357595</v>
      </c>
      <c r="BA36" s="601" t="s">
        <v>59</v>
      </c>
      <c r="BB36" s="600">
        <f>VLOOKUP(20022006&amp;"AllSex"&amp;"AllEth"&amp;19&amp;ref!Z7,DHB5yr,9,FALSE)</f>
        <v>4.4000000000000004</v>
      </c>
      <c r="BC36" s="600">
        <f>VLOOKUP(20072011&amp;"AllSex"&amp;"AllEth"&amp;19&amp;ref!Z7,DHB5yr,9,FALSE)</f>
        <v>4.5999999999999996</v>
      </c>
      <c r="BD36" s="600">
        <f>VLOOKUP(20122016&amp;"AllSex"&amp;"AllEth"&amp;19&amp;ref!Z7,DHB5yr,9,FALSE)</f>
        <v>4.8</v>
      </c>
      <c r="BF36" s="603">
        <f t="shared" si="0"/>
        <v>31.728554247073003</v>
      </c>
      <c r="BG36" s="603">
        <f t="shared" si="1"/>
        <v>28.692983834671317</v>
      </c>
      <c r="BH36" s="603">
        <f t="shared" si="2"/>
        <v>28.715905166138644</v>
      </c>
    </row>
    <row r="37" spans="2:60">
      <c r="B37" s="70"/>
      <c r="C37" s="70"/>
      <c r="D37" s="70"/>
      <c r="E37" s="70"/>
      <c r="F37" s="70"/>
      <c r="G37" s="70"/>
      <c r="H37" s="70"/>
      <c r="I37" s="70"/>
      <c r="J37" s="70"/>
      <c r="K37" s="70"/>
      <c r="L37" s="70"/>
      <c r="M37" s="70"/>
      <c r="N37" s="70"/>
      <c r="O37" s="70"/>
      <c r="P37" s="70"/>
      <c r="Q37" s="70"/>
      <c r="R37" s="70"/>
      <c r="S37" s="70"/>
      <c r="W37" s="372"/>
      <c r="X37" s="274" t="s">
        <v>54</v>
      </c>
      <c r="Y37" s="274"/>
      <c r="Z37" s="376">
        <f>IF(Z13&lt;5,"-",VLOOKUP(20022006&amp;"AllSex"&amp;"AllEth"&amp;19&amp;ref!Z2,DHB5yr,8,FALSE))</f>
        <v>16.496005783447</v>
      </c>
      <c r="AA37" s="376">
        <f>IF(AA13&lt;5,"-",VLOOKUP(20072011&amp;"AllSex"&amp;"AllEth"&amp;19&amp;ref!Z2,DHB5yr,8,FALSE))</f>
        <v>12.189835929941101</v>
      </c>
      <c r="AB37" s="376">
        <f>IF(AB13&lt;5,"-",VLOOKUP(20122016&amp;"AllSex"&amp;"AllEth"&amp;19&amp;ref!Z2,DHB5yr,8,FALSE))</f>
        <v>16.060755621495701</v>
      </c>
      <c r="BA37" s="601" t="s">
        <v>60</v>
      </c>
      <c r="BB37" s="600">
        <f>VLOOKUP(20022006&amp;"AllSex"&amp;"AllEth"&amp;19&amp;ref!Z8,DHB5yr,9,FALSE)</f>
        <v>3.2</v>
      </c>
      <c r="BC37" s="600">
        <f>VLOOKUP(20072011&amp;"AllSex"&amp;"AllEth"&amp;19&amp;ref!Z8,DHB5yr,9,FALSE)</f>
        <v>3.2</v>
      </c>
      <c r="BD37" s="600">
        <f>VLOOKUP(20122016&amp;"AllSex"&amp;"AllEth"&amp;19&amp;ref!Z8,DHB5yr,9,FALSE)</f>
        <v>3.1</v>
      </c>
      <c r="BF37" s="603">
        <f t="shared" si="0"/>
        <v>21.078555925148244</v>
      </c>
      <c r="BG37" s="603">
        <f t="shared" si="1"/>
        <v>21.769635748060949</v>
      </c>
      <c r="BH37" s="603">
        <f t="shared" si="2"/>
        <v>20.579686809747233</v>
      </c>
    </row>
    <row r="38" spans="2:60">
      <c r="B38" s="70"/>
      <c r="C38" s="70"/>
      <c r="D38" s="70"/>
      <c r="E38" s="70"/>
      <c r="F38" s="70"/>
      <c r="G38" s="70"/>
      <c r="H38" s="70"/>
      <c r="I38" s="70"/>
      <c r="J38" s="70"/>
      <c r="K38" s="70"/>
      <c r="L38" s="70"/>
      <c r="M38" s="70"/>
      <c r="N38" s="70"/>
      <c r="O38" s="70"/>
      <c r="P38" s="70"/>
      <c r="Q38" s="70"/>
      <c r="R38" s="70"/>
      <c r="S38" s="70"/>
      <c r="W38" s="372"/>
      <c r="X38" s="274" t="s">
        <v>55</v>
      </c>
      <c r="Y38" s="274"/>
      <c r="Z38" s="376">
        <f>IF(Z14&lt;5,"-",VLOOKUP(20022006&amp;"AllSex"&amp;"AllEth"&amp;19&amp;ref!Z3,DHB5yr,8,FALSE))</f>
        <v>9.8492578574199197</v>
      </c>
      <c r="AA38" s="376">
        <f>IF(AA14&lt;5,"-",VLOOKUP(20072011&amp;"AllSex"&amp;"AllEth"&amp;19&amp;ref!Z3,DHB5yr,8,FALSE))</f>
        <v>9.4623926574046706</v>
      </c>
      <c r="AB38" s="376">
        <f>IF(AB14&lt;5,"-",VLOOKUP(20122016&amp;"AllSex"&amp;"AllEth"&amp;19&amp;ref!Z3,DHB5yr,8,FALSE))</f>
        <v>8.3928296188527103</v>
      </c>
      <c r="BA38" s="601" t="s">
        <v>112</v>
      </c>
      <c r="BB38" s="600">
        <f>VLOOKUP(20022006&amp;"AllSex"&amp;"AllEth"&amp;19&amp;ref!Z9,DHB5yr,9,FALSE)</f>
        <v>7.2</v>
      </c>
      <c r="BC38" s="600">
        <f>VLOOKUP(20072011&amp;"AllSex"&amp;"AllEth"&amp;19&amp;ref!Z9,DHB5yr,9,FALSE)</f>
        <v>7.8</v>
      </c>
      <c r="BD38" s="600">
        <f>VLOOKUP(20122016&amp;"AllSex"&amp;"AllEth"&amp;19&amp;ref!Z9,DHB5yr,9,FALSE)</f>
        <v>6.6</v>
      </c>
      <c r="BF38" s="603">
        <f t="shared" si="0"/>
        <v>41.43334414297199</v>
      </c>
      <c r="BG38" s="603">
        <f t="shared" si="1"/>
        <v>40.809836450831192</v>
      </c>
      <c r="BH38" s="603">
        <f t="shared" si="2"/>
        <v>43.243772717734544</v>
      </c>
    </row>
    <row r="39" spans="2:60">
      <c r="B39" s="70"/>
      <c r="C39" s="70"/>
      <c r="D39" s="70"/>
      <c r="E39" s="70"/>
      <c r="F39" s="70"/>
      <c r="G39" s="70"/>
      <c r="H39" s="70"/>
      <c r="I39" s="70"/>
      <c r="J39" s="70"/>
      <c r="K39" s="70"/>
      <c r="L39" s="70"/>
      <c r="M39" s="70"/>
      <c r="N39" s="70"/>
      <c r="O39" s="70"/>
      <c r="P39" s="70"/>
      <c r="Q39" s="70"/>
      <c r="R39" s="70"/>
      <c r="S39" s="70"/>
      <c r="W39" s="372"/>
      <c r="X39" s="274" t="s">
        <v>56</v>
      </c>
      <c r="Y39" s="274"/>
      <c r="Z39" s="376">
        <f>IF(Z15&lt;5,"-",VLOOKUP(20022006&amp;"AllSex"&amp;"AllEth"&amp;19&amp;ref!Z4,DHB5yr,8,FALSE))</f>
        <v>9.1618225337574</v>
      </c>
      <c r="AA39" s="376">
        <f>IF(AA15&lt;5,"-",VLOOKUP(20072011&amp;"AllSex"&amp;"AllEth"&amp;19&amp;ref!Z4,DHB5yr,8,FALSE))</f>
        <v>8.7782021416660605</v>
      </c>
      <c r="AB39" s="376">
        <f>IF(AB15&lt;5,"-",VLOOKUP(20122016&amp;"AllSex"&amp;"AllEth"&amp;19&amp;ref!Z4,DHB5yr,8,FALSE))</f>
        <v>8.3482961782500702</v>
      </c>
      <c r="BA39" s="601" t="s">
        <v>62</v>
      </c>
      <c r="BB39" s="600">
        <f>VLOOKUP(20022006&amp;"AllSex"&amp;"AllEth"&amp;19&amp;ref!Z10,DHB5yr,9,FALSE)</f>
        <v>4</v>
      </c>
      <c r="BC39" s="600">
        <f>VLOOKUP(20072011&amp;"AllSex"&amp;"AllEth"&amp;19&amp;ref!Z10,DHB5yr,9,FALSE)</f>
        <v>3.5</v>
      </c>
      <c r="BD39" s="600">
        <f>VLOOKUP(20122016&amp;"AllSex"&amp;"AllEth"&amp;19&amp;ref!Z10,DHB5yr,9,FALSE)</f>
        <v>3.7</v>
      </c>
      <c r="BF39" s="603">
        <f t="shared" si="0"/>
        <v>23.125422800368657</v>
      </c>
      <c r="BG39" s="603">
        <f t="shared" si="1"/>
        <v>25.715085140180548</v>
      </c>
      <c r="BH39" s="603">
        <f t="shared" si="2"/>
        <v>24.355787957213899</v>
      </c>
    </row>
    <row r="40" spans="2:60">
      <c r="B40" s="70"/>
      <c r="C40" s="70"/>
      <c r="D40" s="70"/>
      <c r="E40" s="70"/>
      <c r="F40" s="70"/>
      <c r="G40" s="70"/>
      <c r="H40" s="70"/>
      <c r="I40" s="70"/>
      <c r="J40" s="70"/>
      <c r="K40" s="70"/>
      <c r="L40" s="70"/>
      <c r="M40" s="70"/>
      <c r="N40" s="70"/>
      <c r="O40" s="70"/>
      <c r="P40" s="70"/>
      <c r="Q40" s="70"/>
      <c r="R40" s="70"/>
      <c r="S40" s="70"/>
      <c r="W40" s="372"/>
      <c r="X40" s="274" t="s">
        <v>57</v>
      </c>
      <c r="Y40" s="274"/>
      <c r="Z40" s="376">
        <f>IF(Z16&lt;5,"-",VLOOKUP(20022006&amp;"AllSex"&amp;"AllEth"&amp;19&amp;ref!Z5,DHB5yr,8,FALSE))</f>
        <v>12.1437737587279</v>
      </c>
      <c r="AA40" s="376">
        <f>IF(AA16&lt;5,"-",VLOOKUP(20072011&amp;"AllSex"&amp;"AllEth"&amp;19&amp;ref!Z5,DHB5yr,8,FALSE))</f>
        <v>10.7870978064373</v>
      </c>
      <c r="AB40" s="376">
        <f>IF(AB16&lt;5,"-",VLOOKUP(20122016&amp;"AllSex"&amp;"AllEth"&amp;19&amp;ref!Z5,DHB5yr,8,FALSE))</f>
        <v>9.1547991018067094</v>
      </c>
      <c r="BA40" s="601" t="s">
        <v>63</v>
      </c>
      <c r="BB40" s="600">
        <f>VLOOKUP(20022006&amp;"AllSex"&amp;"AllEth"&amp;19&amp;ref!Z11,DHB5yr,9,FALSE)</f>
        <v>4</v>
      </c>
      <c r="BC40" s="600">
        <f>VLOOKUP(20072011&amp;"AllSex"&amp;"AllEth"&amp;19&amp;ref!Z11,DHB5yr,9,FALSE)</f>
        <v>4</v>
      </c>
      <c r="BD40" s="600">
        <f>VLOOKUP(20122016&amp;"AllSex"&amp;"AllEth"&amp;19&amp;ref!Z11,DHB5yr,9,FALSE)</f>
        <v>3.9</v>
      </c>
      <c r="BF40" s="603">
        <f t="shared" si="0"/>
        <v>31.848863571151043</v>
      </c>
      <c r="BG40" s="603">
        <f t="shared" si="1"/>
        <v>30.225794482733676</v>
      </c>
      <c r="BH40" s="603">
        <f t="shared" si="2"/>
        <v>29.753509474256649</v>
      </c>
    </row>
    <row r="41" spans="2:60">
      <c r="B41" s="70"/>
      <c r="C41" s="70"/>
      <c r="D41" s="70"/>
      <c r="E41" s="70"/>
      <c r="F41" s="70"/>
      <c r="G41" s="70"/>
      <c r="H41" s="70"/>
      <c r="I41" s="70"/>
      <c r="J41" s="70"/>
      <c r="K41" s="70"/>
      <c r="L41" s="70"/>
      <c r="M41" s="70"/>
      <c r="N41" s="70"/>
      <c r="O41" s="70"/>
      <c r="P41" s="70"/>
      <c r="Q41" s="70"/>
      <c r="R41" s="70"/>
      <c r="S41" s="70"/>
      <c r="W41" s="372"/>
      <c r="X41" s="274" t="s">
        <v>58</v>
      </c>
      <c r="Y41" s="274"/>
      <c r="Z41" s="376">
        <f>IF(Z17&lt;5,"-",VLOOKUP(20022006&amp;"AllSex"&amp;"AllEth"&amp;19&amp;ref!Z6,DHB5yr,8,FALSE))</f>
        <v>11.6394002420619</v>
      </c>
      <c r="AA41" s="376">
        <f>IF(AA17&lt;5,"-",VLOOKUP(20072011&amp;"AllSex"&amp;"AllEth"&amp;19&amp;ref!Z6,DHB5yr,8,FALSE))</f>
        <v>11.314197205265399</v>
      </c>
      <c r="AB41" s="376">
        <f>IF(AB17&lt;5,"-",VLOOKUP(20122016&amp;"AllSex"&amp;"AllEth"&amp;19&amp;ref!Z6,DHB5yr,8,FALSE))</f>
        <v>11.731198449934</v>
      </c>
      <c r="BA41" s="601" t="s">
        <v>64</v>
      </c>
      <c r="BB41" s="600">
        <f>VLOOKUP(20022006&amp;"AllSex"&amp;"AllEth"&amp;19&amp;ref!Z12,DHB5yr,9,FALSE)</f>
        <v>3.5</v>
      </c>
      <c r="BC41" s="600">
        <f>VLOOKUP(20072011&amp;"AllSex"&amp;"AllEth"&amp;19&amp;ref!Z12,DHB5yr,9,FALSE)</f>
        <v>3.5</v>
      </c>
      <c r="BD41" s="600">
        <f>VLOOKUP(20122016&amp;"AllSex"&amp;"AllEth"&amp;19&amp;ref!Z12,DHB5yr,9,FALSE)</f>
        <v>3.4</v>
      </c>
      <c r="BF41" s="603">
        <f t="shared" si="0"/>
        <v>22.494559916355918</v>
      </c>
      <c r="BG41" s="603">
        <f t="shared" si="1"/>
        <v>23.013351884174877</v>
      </c>
      <c r="BH41" s="603">
        <f t="shared" si="2"/>
        <v>22.157636926570166</v>
      </c>
    </row>
    <row r="42" spans="2:60">
      <c r="B42" s="70"/>
      <c r="C42" s="70"/>
      <c r="D42" s="70"/>
      <c r="E42" s="70"/>
      <c r="F42" s="70"/>
      <c r="G42" s="70"/>
      <c r="H42" s="70"/>
      <c r="I42" s="70"/>
      <c r="J42" s="70"/>
      <c r="K42" s="70"/>
      <c r="L42" s="70"/>
      <c r="M42" s="70"/>
      <c r="N42" s="70"/>
      <c r="O42" s="70"/>
      <c r="P42" s="70"/>
      <c r="Q42" s="70"/>
      <c r="R42" s="70"/>
      <c r="S42" s="70"/>
      <c r="W42" s="372"/>
      <c r="X42" s="274" t="s">
        <v>59</v>
      </c>
      <c r="Y42" s="274"/>
      <c r="Z42" s="376">
        <f>IF(Z18&lt;5,"-",VLOOKUP(20022006&amp;"AllSex"&amp;"AllEth"&amp;19&amp;ref!Z7,DHB5yr,8,FALSE))</f>
        <v>13.8676347044899</v>
      </c>
      <c r="AA42" s="376">
        <f>IF(AA18&lt;5,"-",VLOOKUP(20072011&amp;"AllSex"&amp;"AllEth"&amp;19&amp;ref!Z7,DHB5yr,8,FALSE))</f>
        <v>16.031793788004599</v>
      </c>
      <c r="AB42" s="376">
        <f>IF(AB18&lt;5,"-",VLOOKUP(20122016&amp;"AllSex"&amp;"AllEth"&amp;19&amp;ref!Z7,DHB5yr,8,FALSE))</f>
        <v>16.715475177359501</v>
      </c>
      <c r="BA42" s="601" t="s">
        <v>65</v>
      </c>
      <c r="BB42" s="600">
        <f>VLOOKUP(20022006&amp;"AllSex"&amp;"AllEth"&amp;19&amp;ref!Z13,DHB5yr,9,FALSE)</f>
        <v>5.8</v>
      </c>
      <c r="BC42" s="600">
        <f>VLOOKUP(20072011&amp;"AllSex"&amp;"AllEth"&amp;19&amp;ref!Z13,DHB5yr,9,FALSE)</f>
        <v>6.3</v>
      </c>
      <c r="BD42" s="600">
        <f>VLOOKUP(20122016&amp;"AllSex"&amp;"AllEth"&amp;19&amp;ref!Z13,DHB5yr,9,FALSE)</f>
        <v>5.8</v>
      </c>
      <c r="BF42" s="603">
        <f t="shared" si="0"/>
        <v>36.655352629654608</v>
      </c>
      <c r="BG42" s="603">
        <f t="shared" si="1"/>
        <v>35.397842603122307</v>
      </c>
      <c r="BH42" s="603">
        <f t="shared" si="2"/>
        <v>39.879214844660147</v>
      </c>
    </row>
    <row r="43" spans="2:60">
      <c r="B43" s="70"/>
      <c r="C43" s="70"/>
      <c r="D43" s="70"/>
      <c r="E43" s="70"/>
      <c r="F43" s="70"/>
      <c r="G43" s="70"/>
      <c r="H43" s="70"/>
      <c r="I43" s="70"/>
      <c r="J43" s="70"/>
      <c r="K43" s="70"/>
      <c r="L43" s="70"/>
      <c r="M43" s="70"/>
      <c r="N43" s="70"/>
      <c r="O43" s="70"/>
      <c r="P43" s="70"/>
      <c r="Q43" s="70"/>
      <c r="R43" s="70"/>
      <c r="S43" s="70"/>
      <c r="W43" s="372"/>
      <c r="X43" s="274" t="s">
        <v>60</v>
      </c>
      <c r="Y43" s="274"/>
      <c r="Z43" s="376">
        <f>IF(Z19&lt;5,"-",VLOOKUP(20022006&amp;"AllSex"&amp;"AllEth"&amp;19&amp;ref!Z8,DHB5yr,8,FALSE))</f>
        <v>15.181305642395399</v>
      </c>
      <c r="AA43" s="376">
        <f>IF(AA19&lt;5,"-",VLOOKUP(20072011&amp;"AllSex"&amp;"AllEth"&amp;19&amp;ref!Z8,DHB5yr,8,FALSE))</f>
        <v>14.6993731867334</v>
      </c>
      <c r="AB43" s="376">
        <f>IF(AB19&lt;5,"-",VLOOKUP(20122016&amp;"AllSex"&amp;"AllEth"&amp;19&amp;ref!Z8,DHB5yr,8,FALSE))</f>
        <v>15.0633973619644</v>
      </c>
      <c r="BA43" s="601" t="s">
        <v>66</v>
      </c>
      <c r="BB43" s="600">
        <f>VLOOKUP(20022006&amp;"AllSex"&amp;"AllEth"&amp;19&amp;ref!Z14,DHB5yr,9,FALSE)</f>
        <v>2.1</v>
      </c>
      <c r="BC43" s="600">
        <f>VLOOKUP(20072011&amp;"AllSex"&amp;"AllEth"&amp;19&amp;ref!Z14,DHB5yr,9,FALSE)</f>
        <v>1.8</v>
      </c>
      <c r="BD43" s="600">
        <f>VLOOKUP(20122016&amp;"AllSex"&amp;"AllEth"&amp;19&amp;ref!Z14,DHB5yr,9,FALSE)</f>
        <v>1.9</v>
      </c>
      <c r="BF43" s="603">
        <f t="shared" si="0"/>
        <v>21.848802927345297</v>
      </c>
      <c r="BG43" s="603">
        <f t="shared" si="1"/>
        <v>23.505465074677197</v>
      </c>
      <c r="BH43" s="603">
        <f t="shared" si="2"/>
        <v>21.230799233998198</v>
      </c>
    </row>
    <row r="44" spans="2:60">
      <c r="B44" s="70"/>
      <c r="C44" s="70"/>
      <c r="D44" s="70"/>
      <c r="E44" s="70"/>
      <c r="F44" s="70"/>
      <c r="G44" s="70"/>
      <c r="H44" s="70"/>
      <c r="I44" s="70"/>
      <c r="J44" s="70"/>
      <c r="K44" s="70"/>
      <c r="L44" s="70"/>
      <c r="M44" s="70"/>
      <c r="N44" s="70"/>
      <c r="O44" s="70"/>
      <c r="P44" s="70"/>
      <c r="Q44" s="70"/>
      <c r="R44" s="70"/>
      <c r="S44" s="70"/>
      <c r="W44" s="372"/>
      <c r="X44" s="274" t="s">
        <v>112</v>
      </c>
      <c r="Y44" s="274"/>
      <c r="Z44" s="376">
        <f>IF(Z20&lt;5,"-",VLOOKUP(20022006&amp;"AllSex"&amp;"AllEth"&amp;19&amp;ref!Z9,DHB5yr,8,FALSE))</f>
        <v>17.3773084189278</v>
      </c>
      <c r="AA44" s="376">
        <f>IF(AA20&lt;5,"-",VLOOKUP(20072011&amp;"AllSex"&amp;"AllEth"&amp;19&amp;ref!Z9,DHB5yr,8,FALSE))</f>
        <v>19.1130391061421</v>
      </c>
      <c r="AB44" s="376">
        <f>IF(AB20&lt;5,"-",VLOOKUP(20122016&amp;"AllSex"&amp;"AllEth"&amp;19&amp;ref!Z9,DHB5yr,8,FALSE))</f>
        <v>15.2623131267483</v>
      </c>
      <c r="BA44" s="601" t="s">
        <v>67</v>
      </c>
      <c r="BB44" s="600">
        <f>VLOOKUP(20022006&amp;"AllSex"&amp;"AllEth"&amp;19&amp;ref!Z15,DHB5yr,9,FALSE)</f>
        <v>3</v>
      </c>
      <c r="BC44" s="600">
        <f>VLOOKUP(20072011&amp;"AllSex"&amp;"AllEth"&amp;19&amp;ref!Z15,DHB5yr,9,FALSE)</f>
        <v>3</v>
      </c>
      <c r="BD44" s="600">
        <f>VLOOKUP(20122016&amp;"AllSex"&amp;"AllEth"&amp;19&amp;ref!Z15,DHB5yr,9,FALSE)</f>
        <v>3.3</v>
      </c>
      <c r="BF44" s="603">
        <f t="shared" si="0"/>
        <v>31.692540774869489</v>
      </c>
      <c r="BG44" s="603">
        <f t="shared" si="1"/>
        <v>28.515442293066574</v>
      </c>
      <c r="BH44" s="603">
        <f t="shared" si="2"/>
        <v>26.674160595971763</v>
      </c>
    </row>
    <row r="45" spans="2:60">
      <c r="B45" s="70"/>
      <c r="C45" s="70"/>
      <c r="D45" s="70"/>
      <c r="E45" s="70"/>
      <c r="F45" s="70"/>
      <c r="G45" s="70"/>
      <c r="H45" s="70"/>
      <c r="I45" s="70"/>
      <c r="J45" s="70"/>
      <c r="K45" s="70"/>
      <c r="L45" s="70"/>
      <c r="M45" s="70"/>
      <c r="N45" s="70"/>
      <c r="O45" s="70"/>
      <c r="P45" s="70"/>
      <c r="Q45" s="70"/>
      <c r="R45" s="70"/>
      <c r="S45" s="70"/>
      <c r="W45" s="372"/>
      <c r="X45" s="274" t="s">
        <v>62</v>
      </c>
      <c r="Y45" s="274"/>
      <c r="Z45" s="376">
        <f>IF(Z21&lt;5,"-",VLOOKUP(20022006&amp;"AllSex"&amp;"AllEth"&amp;19&amp;ref!Z10,DHB5yr,8,FALSE))</f>
        <v>17.296981052109601</v>
      </c>
      <c r="AA45" s="376">
        <f>IF(AA21&lt;5,"-",VLOOKUP(20072011&amp;"AllSex"&amp;"AllEth"&amp;19&amp;ref!Z10,DHB5yr,8,FALSE))</f>
        <v>13.6106879713618</v>
      </c>
      <c r="AB45" s="376">
        <f>IF(AB21&lt;5,"-",VLOOKUP(20122016&amp;"AllSex"&amp;"AllEth"&amp;19&amp;ref!Z10,DHB5yr,8,FALSE))</f>
        <v>15.191460881905501</v>
      </c>
      <c r="BA45" s="601" t="s">
        <v>68</v>
      </c>
      <c r="BB45" s="600">
        <f>VLOOKUP(20022006&amp;"AllSex"&amp;"AllEth"&amp;19&amp;ref!Z16,DHB5yr,9,FALSE)</f>
        <v>8.4</v>
      </c>
      <c r="BC45" s="600">
        <f>VLOOKUP(20072011&amp;"AllSex"&amp;"AllEth"&amp;19&amp;ref!Z16,DHB5yr,9,FALSE)</f>
        <v>8.5</v>
      </c>
      <c r="BD45" s="600">
        <f>VLOOKUP(20122016&amp;"AllSex"&amp;"AllEth"&amp;19&amp;ref!Z16,DHB5yr,9,FALSE)</f>
        <v>7.5</v>
      </c>
      <c r="BF45" s="603">
        <f t="shared" si="0"/>
        <v>43.527306864695099</v>
      </c>
      <c r="BG45" s="603">
        <f t="shared" si="1"/>
        <v>47.811376185698215</v>
      </c>
      <c r="BH45" s="603">
        <f t="shared" si="2"/>
        <v>42.340787071118271</v>
      </c>
    </row>
    <row r="46" spans="2:60">
      <c r="B46" s="70"/>
      <c r="C46" s="70"/>
      <c r="D46" s="70"/>
      <c r="E46" s="70"/>
      <c r="F46" s="70"/>
      <c r="G46" s="70"/>
      <c r="H46" s="70"/>
      <c r="I46" s="70"/>
      <c r="J46" s="70"/>
      <c r="K46" s="70"/>
      <c r="L46" s="70"/>
      <c r="M46" s="70"/>
      <c r="N46" s="70"/>
      <c r="O46" s="70"/>
      <c r="P46" s="70"/>
      <c r="Q46" s="70"/>
      <c r="R46" s="70"/>
      <c r="S46" s="70"/>
      <c r="W46" s="372"/>
      <c r="X46" s="274" t="s">
        <v>63</v>
      </c>
      <c r="Y46" s="274"/>
      <c r="Z46" s="376">
        <f>IF(Z22&lt;5,"-",VLOOKUP(20022006&amp;"AllSex"&amp;"AllEth"&amp;19&amp;ref!Z11,DHB5yr,8,FALSE))</f>
        <v>12.559317826408201</v>
      </c>
      <c r="AA46" s="376">
        <f>IF(AA22&lt;5,"-",VLOOKUP(20072011&amp;"AllSex"&amp;"AllEth"&amp;19&amp;ref!Z11,DHB5yr,8,FALSE))</f>
        <v>13.233729893468899</v>
      </c>
      <c r="AB46" s="376">
        <f>IF(AB22&lt;5,"-",VLOOKUP(20122016&amp;"AllSex"&amp;"AllEth"&amp;19&amp;ref!Z11,DHB5yr,8,FALSE))</f>
        <v>13.1076974411182</v>
      </c>
      <c r="BA46" s="601" t="s">
        <v>69</v>
      </c>
      <c r="BB46" s="600">
        <f>VLOOKUP(20022006&amp;"AllSex"&amp;"AllEth"&amp;19&amp;ref!Z17,DHB5yr,9,FALSE)</f>
        <v>3.3</v>
      </c>
      <c r="BC46" s="600">
        <f>VLOOKUP(20072011&amp;"AllSex"&amp;"AllEth"&amp;19&amp;ref!Z17,DHB5yr,9,FALSE)</f>
        <v>3.3</v>
      </c>
      <c r="BD46" s="600">
        <f>VLOOKUP(20122016&amp;"AllSex"&amp;"AllEth"&amp;19&amp;ref!Z17,DHB5yr,9,FALSE)</f>
        <v>3.1</v>
      </c>
      <c r="BF46" s="603">
        <f t="shared" si="0"/>
        <v>29.077416672274804</v>
      </c>
      <c r="BG46" s="603">
        <f t="shared" si="1"/>
        <v>27.784110403314312</v>
      </c>
      <c r="BH46" s="603">
        <f t="shared" si="2"/>
        <v>27.547628663657314</v>
      </c>
    </row>
    <row r="47" spans="2:60">
      <c r="B47" s="70"/>
      <c r="C47" s="70"/>
      <c r="D47" s="70"/>
      <c r="E47" s="70"/>
      <c r="F47" s="70"/>
      <c r="G47" s="70"/>
      <c r="H47" s="70"/>
      <c r="I47" s="70"/>
      <c r="J47" s="70"/>
      <c r="K47" s="70"/>
      <c r="L47" s="70"/>
      <c r="M47" s="70"/>
      <c r="N47" s="70"/>
      <c r="O47" s="70"/>
      <c r="P47" s="70"/>
      <c r="Q47" s="70"/>
      <c r="R47" s="70"/>
      <c r="S47" s="70"/>
      <c r="W47" s="372"/>
      <c r="X47" s="274" t="s">
        <v>64</v>
      </c>
      <c r="Y47" s="274"/>
      <c r="Z47" s="376">
        <f>IF(Z23&lt;5,"-",VLOOKUP(20022006&amp;"AllSex"&amp;"AllEth"&amp;19&amp;ref!Z12,DHB5yr,8,FALSE))</f>
        <v>15.559317510609</v>
      </c>
      <c r="AA47" s="376">
        <f>IF(AA23&lt;5,"-",VLOOKUP(20072011&amp;"AllSex"&amp;"AllEth"&amp;19&amp;ref!Z12,DHB5yr,8,FALSE))</f>
        <v>15.2085624797958</v>
      </c>
      <c r="AB47" s="376">
        <f>IF(AB23&lt;5,"-",VLOOKUP(20122016&amp;"AllSex"&amp;"AllEth"&amp;19&amp;ref!Z12,DHB5yr,8,FALSE))</f>
        <v>15.3445965888308</v>
      </c>
      <c r="BA47" s="601" t="s">
        <v>70</v>
      </c>
      <c r="BB47" s="600">
        <f>VLOOKUP(20022006&amp;"AllSex"&amp;"AllEth"&amp;19&amp;ref!Z18,DHB5yr,9,FALSE)</f>
        <v>7.4</v>
      </c>
      <c r="BC47" s="600">
        <f>VLOOKUP(20072011&amp;"AllSex"&amp;"AllEth"&amp;19&amp;ref!Z18,DHB5yr,9,FALSE)</f>
        <v>7</v>
      </c>
      <c r="BD47" s="600">
        <f>VLOOKUP(20122016&amp;"AllSex"&amp;"AllEth"&amp;19&amp;ref!Z18,DHB5yr,9,FALSE)</f>
        <v>10.8</v>
      </c>
      <c r="BF47" s="603">
        <f t="shared" si="0"/>
        <v>54.968729212289524</v>
      </c>
      <c r="BG47" s="603">
        <f t="shared" si="1"/>
        <v>51.544349128585111</v>
      </c>
      <c r="BH47" s="603">
        <f t="shared" si="2"/>
        <v>42.344834533708294</v>
      </c>
    </row>
    <row r="48" spans="2:60">
      <c r="B48" s="70"/>
      <c r="C48" s="70"/>
      <c r="D48" s="70"/>
      <c r="E48" s="70"/>
      <c r="F48" s="70"/>
      <c r="G48" s="70"/>
      <c r="H48" s="70"/>
      <c r="I48" s="70"/>
      <c r="J48" s="70"/>
      <c r="K48" s="70"/>
      <c r="L48" s="70"/>
      <c r="M48" s="70"/>
      <c r="N48" s="70"/>
      <c r="O48" s="70"/>
      <c r="P48" s="70"/>
      <c r="Q48" s="70"/>
      <c r="R48" s="70"/>
      <c r="S48" s="70"/>
      <c r="W48" s="372"/>
      <c r="X48" s="274" t="s">
        <v>65</v>
      </c>
      <c r="Y48" s="274"/>
      <c r="Z48" s="376">
        <f>IF(Z24&lt;5,"-",VLOOKUP(20022006&amp;"AllSex"&amp;"AllEth"&amp;19&amp;ref!Z13,DHB5yr,8,FALSE))</f>
        <v>15.8230642563993</v>
      </c>
      <c r="AA48" s="376">
        <f>IF(AA24&lt;5,"-",VLOOKUP(20072011&amp;"AllSex"&amp;"AllEth"&amp;19&amp;ref!Z13,DHB5yr,8,FALSE))</f>
        <v>17.797694821786401</v>
      </c>
      <c r="AB48" s="376">
        <f>IF(AB24&lt;5,"-",VLOOKUP(20122016&amp;"AllSex"&amp;"AllEth"&amp;19&amp;ref!Z13,DHB5yr,8,FALSE))</f>
        <v>14.5439172325546</v>
      </c>
      <c r="BA48" s="601" t="s">
        <v>71</v>
      </c>
      <c r="BB48" s="600">
        <f>VLOOKUP(20022006&amp;"AllSex"&amp;"AllEth"&amp;19&amp;ref!Z19,DHB5yr,9,FALSE)</f>
        <v>1.8</v>
      </c>
      <c r="BC48" s="600">
        <f>VLOOKUP(20072011&amp;"AllSex"&amp;"AllEth"&amp;19&amp;ref!Z19,DHB5yr,9,FALSE)</f>
        <v>1.7</v>
      </c>
      <c r="BD48" s="600">
        <f>VLOOKUP(20122016&amp;"AllSex"&amp;"AllEth"&amp;19&amp;ref!Z19,DHB5yr,9,FALSE)</f>
        <v>1.7</v>
      </c>
      <c r="BF48" s="603">
        <f t="shared" si="0"/>
        <v>14.567819273609246</v>
      </c>
      <c r="BG48" s="603">
        <f t="shared" si="1"/>
        <v>14.378020971857566</v>
      </c>
      <c r="BH48" s="603">
        <f t="shared" si="2"/>
        <v>14.913312618262031</v>
      </c>
    </row>
    <row r="49" spans="2:63">
      <c r="B49" s="70"/>
      <c r="C49" s="70"/>
      <c r="D49" s="70"/>
      <c r="E49" s="70"/>
      <c r="F49" s="70"/>
      <c r="G49" s="70"/>
      <c r="H49" s="70"/>
      <c r="I49" s="70"/>
      <c r="J49" s="70"/>
      <c r="K49" s="70"/>
      <c r="L49" s="70"/>
      <c r="M49" s="70"/>
      <c r="N49" s="70"/>
      <c r="O49" s="70"/>
      <c r="P49" s="70"/>
      <c r="Q49" s="70"/>
      <c r="R49" s="70"/>
      <c r="S49" s="70"/>
      <c r="W49" s="372"/>
      <c r="X49" s="274" t="s">
        <v>66</v>
      </c>
      <c r="Y49" s="274"/>
      <c r="Z49" s="376">
        <f>IF(Z25&lt;5,"-",VLOOKUP(20022006&amp;"AllSex"&amp;"AllEth"&amp;19&amp;ref!Z14,DHB5yr,8,FALSE))</f>
        <v>9.6115105572749897</v>
      </c>
      <c r="AA49" s="376">
        <f>IF(AA25&lt;5,"-",VLOOKUP(20072011&amp;"AllSex"&amp;"AllEth"&amp;19&amp;ref!Z14,DHB5yr,8,FALSE))</f>
        <v>7.6577935994092199</v>
      </c>
      <c r="AB49" s="376">
        <f>IF(AB25&lt;5,"-",VLOOKUP(20122016&amp;"AllSex"&amp;"AllEth"&amp;19&amp;ref!Z14,DHB5yr,8,FALSE))</f>
        <v>8.9492627152604403</v>
      </c>
      <c r="BA49" s="601" t="s">
        <v>72</v>
      </c>
      <c r="BB49" s="600">
        <f>VLOOKUP(20022006&amp;"AllSex"&amp;"AllEth"&amp;19&amp;ref!Z20,DHB5yr,9,FALSE)</f>
        <v>5.2</v>
      </c>
      <c r="BC49" s="600">
        <f>VLOOKUP(20072011&amp;"AllSex"&amp;"AllEth"&amp;19&amp;ref!Z20,DHB5yr,9,FALSE)</f>
        <v>7.4</v>
      </c>
      <c r="BD49" s="600">
        <f>VLOOKUP(20122016&amp;"AllSex"&amp;"AllEth"&amp;19&amp;ref!Z20,DHB5yr,9,FALSE)</f>
        <v>6</v>
      </c>
      <c r="BF49" s="603">
        <f t="shared" si="0"/>
        <v>49.629936539809911</v>
      </c>
      <c r="BG49" s="603">
        <f t="shared" si="1"/>
        <v>38.057399768741156</v>
      </c>
      <c r="BH49" s="603">
        <f t="shared" si="2"/>
        <v>44.052344155785114</v>
      </c>
    </row>
    <row r="50" spans="2:63">
      <c r="B50" s="70"/>
      <c r="C50" s="70"/>
      <c r="D50" s="70"/>
      <c r="E50" s="70"/>
      <c r="F50" s="70"/>
      <c r="G50" s="70"/>
      <c r="H50" s="70"/>
      <c r="I50" s="70"/>
      <c r="J50" s="70"/>
      <c r="K50" s="70"/>
      <c r="L50" s="70"/>
      <c r="M50" s="70"/>
      <c r="N50" s="70"/>
      <c r="O50" s="70"/>
      <c r="P50" s="70"/>
      <c r="Q50" s="70"/>
      <c r="R50" s="70"/>
      <c r="S50" s="70"/>
      <c r="W50" s="372"/>
      <c r="X50" s="274" t="s">
        <v>67</v>
      </c>
      <c r="Y50" s="274"/>
      <c r="Z50" s="376">
        <f>IF(Z26&lt;5,"-",VLOOKUP(20022006&amp;"AllSex"&amp;"AllEth"&amp;19&amp;ref!Z15,DHB5yr,8,FALSE))</f>
        <v>9.4659497997044202</v>
      </c>
      <c r="AA50" s="376">
        <f>IF(AA26&lt;5,"-",VLOOKUP(20072011&amp;"AllSex"&amp;"AllEth"&amp;19&amp;ref!Z15,DHB5yr,8,FALSE))</f>
        <v>10.5206153534902</v>
      </c>
      <c r="AB50" s="376">
        <f>IF(AB26&lt;5,"-",VLOOKUP(20122016&amp;"AllSex"&amp;"AllEth"&amp;19&amp;ref!Z15,DHB5yr,8,FALSE))</f>
        <v>12.371523325455099</v>
      </c>
      <c r="BA50" s="601" t="s">
        <v>73</v>
      </c>
      <c r="BB50" s="600">
        <f>VLOOKUP(20022006&amp;"AllSex"&amp;"AllEth"&amp;19&amp;ref!Z21,DHB5yr,9,FALSE)</f>
        <v>2.4</v>
      </c>
      <c r="BC50" s="600">
        <f>VLOOKUP(20072011&amp;"AllSex"&amp;"AllEth"&amp;19&amp;ref!Z21,DHB5yr,9,FALSE)</f>
        <v>2.4</v>
      </c>
      <c r="BD50" s="600">
        <f>VLOOKUP(20122016&amp;"AllSex"&amp;"AllEth"&amp;19&amp;ref!Z21,DHB5yr,9,FALSE)</f>
        <v>2.4</v>
      </c>
      <c r="BF50" s="603">
        <f t="shared" si="0"/>
        <v>18.436207958711531</v>
      </c>
      <c r="BG50" s="603">
        <f t="shared" si="1"/>
        <v>17.710154688710457</v>
      </c>
      <c r="BH50" s="603">
        <f t="shared" si="2"/>
        <v>18.107809406966734</v>
      </c>
    </row>
    <row r="51" spans="2:63">
      <c r="B51" s="70"/>
      <c r="C51" s="70"/>
      <c r="D51" s="70"/>
      <c r="E51" s="70"/>
      <c r="F51" s="70"/>
      <c r="G51" s="70"/>
      <c r="H51" s="70"/>
      <c r="I51" s="70"/>
      <c r="J51" s="70"/>
      <c r="K51" s="70"/>
      <c r="L51" s="70"/>
      <c r="M51" s="70"/>
      <c r="N51" s="70"/>
      <c r="O51" s="70"/>
      <c r="P51" s="70"/>
      <c r="Q51" s="70"/>
      <c r="R51" s="70"/>
      <c r="S51" s="70"/>
      <c r="W51" s="372"/>
      <c r="X51" s="274" t="s">
        <v>68</v>
      </c>
      <c r="Y51" s="274"/>
      <c r="Z51" s="376">
        <f>IF(Z27&lt;5,"-",VLOOKUP(20022006&amp;"AllSex"&amp;"AllEth"&amp;19&amp;ref!Z16,DHB5yr,8,FALSE))</f>
        <v>19.298230478884101</v>
      </c>
      <c r="AA51" s="376">
        <f>IF(AA27&lt;5,"-",VLOOKUP(20072011&amp;"AllSex"&amp;"AllEth"&amp;19&amp;ref!Z16,DHB5yr,8,FALSE))</f>
        <v>17.778195647383601</v>
      </c>
      <c r="AB51" s="376">
        <f>IF(AB27&lt;5,"-",VLOOKUP(20122016&amp;"AllSex"&amp;"AllEth"&amp;19&amp;ref!Z16,DHB5yr,8,FALSE))</f>
        <v>17.713416586712299</v>
      </c>
    </row>
    <row r="52" spans="2:63">
      <c r="B52" s="70"/>
      <c r="C52" s="70"/>
      <c r="D52" s="70"/>
      <c r="E52" s="70"/>
      <c r="F52" s="70"/>
      <c r="G52" s="70"/>
      <c r="H52" s="70"/>
      <c r="I52" s="70"/>
      <c r="J52" s="70"/>
      <c r="K52" s="70"/>
      <c r="L52" s="70"/>
      <c r="M52" s="70"/>
      <c r="N52" s="70"/>
      <c r="O52" s="70"/>
      <c r="P52" s="70"/>
      <c r="Q52" s="70"/>
      <c r="R52" s="70"/>
      <c r="S52" s="70"/>
      <c r="W52" s="372"/>
      <c r="X52" s="274" t="s">
        <v>69</v>
      </c>
      <c r="Y52" s="274"/>
      <c r="Z52" s="376">
        <f>IF(Z28&lt;5,"-",VLOOKUP(20022006&amp;"AllSex"&amp;"AllEth"&amp;19&amp;ref!Z17,DHB5yr,8,FALSE))</f>
        <v>11.3490136940072</v>
      </c>
      <c r="AA52" s="376">
        <f>IF(AA28&lt;5,"-",VLOOKUP(20072011&amp;"AllSex"&amp;"AllEth"&amp;19&amp;ref!Z17,DHB5yr,8,FALSE))</f>
        <v>11.877292280001701</v>
      </c>
      <c r="AB52" s="376">
        <f>IF(AB28&lt;5,"-",VLOOKUP(20122016&amp;"AllSex"&amp;"AllEth"&amp;19&amp;ref!Z17,DHB5yr,8,FALSE))</f>
        <v>11.253237212717799</v>
      </c>
    </row>
    <row r="53" spans="2:63">
      <c r="B53" s="70"/>
      <c r="C53" s="70"/>
      <c r="D53" s="70"/>
      <c r="E53" s="70"/>
      <c r="F53" s="70"/>
      <c r="G53" s="70"/>
      <c r="H53" s="70"/>
      <c r="I53" s="70"/>
      <c r="J53" s="70"/>
      <c r="K53" s="70"/>
      <c r="L53" s="70"/>
      <c r="M53" s="70"/>
      <c r="N53" s="70"/>
      <c r="O53" s="70"/>
      <c r="P53" s="70"/>
      <c r="Q53" s="70"/>
      <c r="R53" s="70"/>
      <c r="S53" s="70"/>
      <c r="W53" s="372"/>
      <c r="X53" s="274" t="s">
        <v>70</v>
      </c>
      <c r="Y53" s="274"/>
      <c r="Z53" s="376">
        <f>IF(Z29&lt;5,"-",VLOOKUP(20022006&amp;"AllSex"&amp;"AllEth"&amp;19&amp;ref!Z18,DHB5yr,8,FALSE))</f>
        <v>13.4621995196963</v>
      </c>
      <c r="AA53" s="376">
        <f>IF(AA29&lt;5,"-",VLOOKUP(20072011&amp;"AllSex"&amp;"AllEth"&amp;19&amp;ref!Z18,DHB5yr,8,FALSE))</f>
        <v>13.580538154701401</v>
      </c>
      <c r="AB53" s="376">
        <f>IF(AB29&lt;5,"-",VLOOKUP(20122016&amp;"AllSex"&amp;"AllEth"&amp;19&amp;ref!Z18,DHB5yr,8,FALSE))</f>
        <v>25.504881808908099</v>
      </c>
    </row>
    <row r="54" spans="2:63" ht="13.5" customHeight="1">
      <c r="B54" s="70"/>
      <c r="C54" s="70"/>
      <c r="D54" s="70"/>
      <c r="E54" s="70"/>
      <c r="F54" s="70"/>
      <c r="G54" s="70"/>
      <c r="H54" s="70"/>
      <c r="I54" s="70"/>
      <c r="J54" s="70"/>
      <c r="K54" s="70"/>
      <c r="L54" s="70"/>
      <c r="M54" s="70"/>
      <c r="N54" s="70"/>
      <c r="O54" s="70"/>
      <c r="P54" s="70"/>
      <c r="Q54" s="70"/>
      <c r="R54" s="70"/>
      <c r="S54" s="70"/>
      <c r="W54" s="372"/>
      <c r="X54" s="274" t="s">
        <v>71</v>
      </c>
      <c r="Y54" s="274"/>
      <c r="Z54" s="376">
        <f>IF(Z30&lt;5,"-",VLOOKUP(20022006&amp;"AllSex"&amp;"AllEth"&amp;19&amp;ref!Z19,DHB5yr,8,FALSE))</f>
        <v>12.356001719906301</v>
      </c>
      <c r="AA54" s="376">
        <f>IF(AA30&lt;5,"-",VLOOKUP(20072011&amp;"AllSex"&amp;"AllEth"&amp;19&amp;ref!Z19,DHB5yr,8,FALSE))</f>
        <v>11.8236021725622</v>
      </c>
      <c r="AB54" s="376">
        <f>IF(AB30&lt;5,"-",VLOOKUP(20122016&amp;"AllSex"&amp;"AllEth"&amp;19&amp;ref!Z19,DHB5yr,8,FALSE))</f>
        <v>11.399211184765701</v>
      </c>
    </row>
    <row r="55" spans="2:63">
      <c r="B55" s="70"/>
      <c r="C55" s="70"/>
      <c r="D55" s="70"/>
      <c r="E55" s="70"/>
      <c r="F55" s="70"/>
      <c r="G55" s="70"/>
      <c r="H55" s="70"/>
      <c r="I55" s="70"/>
      <c r="J55" s="70"/>
      <c r="K55" s="70"/>
      <c r="L55" s="70"/>
      <c r="M55" s="70"/>
      <c r="N55" s="70"/>
      <c r="O55" s="70"/>
      <c r="P55" s="70"/>
      <c r="Q55" s="70"/>
      <c r="R55" s="70"/>
      <c r="S55" s="70"/>
      <c r="W55" s="372"/>
      <c r="X55" s="274" t="s">
        <v>72</v>
      </c>
      <c r="Y55" s="274"/>
      <c r="Z55" s="376">
        <f>IF(Z31&lt;5,"-",VLOOKUP(20022006&amp;"AllSex"&amp;"AllEth"&amp;19&amp;ref!Z20,DHB5yr,8,FALSE))</f>
        <v>10.4775471470307</v>
      </c>
      <c r="AA55" s="376">
        <f>IF(AA31&lt;5,"-",VLOOKUP(20072011&amp;"AllSex"&amp;"AllEth"&amp;19&amp;ref!Z20,DHB5yr,8,FALSE))</f>
        <v>19.444313182105699</v>
      </c>
      <c r="AB55" s="376">
        <f>IF(AB31&lt;5,"-",VLOOKUP(20122016&amp;"AllSex"&amp;"AllEth"&amp;19&amp;ref!Z20,DHB5yr,8,FALSE))</f>
        <v>13.6201605498718</v>
      </c>
    </row>
    <row r="56" spans="2:63">
      <c r="B56" s="70"/>
      <c r="C56" s="70"/>
      <c r="D56" s="70"/>
      <c r="E56" s="70"/>
      <c r="F56" s="70"/>
      <c r="G56" s="70"/>
      <c r="H56" s="70"/>
      <c r="I56" s="70"/>
      <c r="J56" s="70"/>
      <c r="K56" s="70"/>
      <c r="L56" s="70"/>
      <c r="M56" s="70"/>
      <c r="N56" s="70"/>
      <c r="O56" s="70"/>
      <c r="P56" s="70"/>
      <c r="Q56" s="70"/>
      <c r="R56" s="70"/>
      <c r="S56" s="70"/>
      <c r="W56" s="372"/>
      <c r="X56" s="274" t="s">
        <v>73</v>
      </c>
      <c r="Y56" s="274"/>
      <c r="Z56" s="376">
        <f>IF(Z32&lt;5,"-",VLOOKUP(20022006&amp;"AllSex"&amp;"AllEth"&amp;19&amp;ref!Z21,DHB5yr,8,FALSE))</f>
        <v>13.017861402815999</v>
      </c>
      <c r="AA56" s="376">
        <f>IF(AA32&lt;5,"-",VLOOKUP(20072011&amp;"AllSex"&amp;"AllEth"&amp;19&amp;ref!Z21,DHB5yr,8,FALSE))</f>
        <v>13.551547359040899</v>
      </c>
      <c r="AB56" s="376">
        <f>IF(AB32&lt;5,"-",VLOOKUP(20122016&amp;"AllSex"&amp;"AllEth"&amp;19&amp;ref!Z21,DHB5yr,8,FALSE))</f>
        <v>13.2539499729693</v>
      </c>
    </row>
    <row r="57" spans="2:63">
      <c r="B57" s="70"/>
      <c r="C57" s="662" t="s">
        <v>282</v>
      </c>
      <c r="D57" s="672"/>
      <c r="E57" s="672"/>
      <c r="F57" s="672"/>
      <c r="G57" s="672"/>
      <c r="H57" s="672"/>
      <c r="I57" s="672"/>
      <c r="J57" s="672"/>
      <c r="K57" s="672"/>
      <c r="L57" s="672"/>
      <c r="M57" s="672"/>
      <c r="N57" s="672"/>
      <c r="O57" s="672"/>
      <c r="P57" s="672"/>
      <c r="Q57" s="672"/>
      <c r="R57" s="672"/>
      <c r="S57" s="70"/>
      <c r="Z57" s="178"/>
      <c r="AA57" s="178"/>
      <c r="AB57" s="178"/>
    </row>
    <row r="58" spans="2:63">
      <c r="B58" s="70"/>
      <c r="C58" s="662" t="s">
        <v>352</v>
      </c>
      <c r="D58" s="672"/>
      <c r="E58" s="672"/>
      <c r="F58" s="672"/>
      <c r="G58" s="672"/>
      <c r="H58" s="672"/>
      <c r="I58" s="672"/>
      <c r="J58" s="672"/>
      <c r="K58" s="672"/>
      <c r="L58" s="672"/>
      <c r="M58" s="672"/>
      <c r="N58" s="672"/>
      <c r="O58" s="672"/>
      <c r="P58" s="672"/>
      <c r="Q58" s="672"/>
      <c r="R58" s="672"/>
      <c r="S58" s="70"/>
      <c r="X58" s="673" t="s">
        <v>140</v>
      </c>
      <c r="Y58" s="633"/>
      <c r="Z58" s="633"/>
      <c r="AA58" s="633"/>
      <c r="AB58" s="633"/>
    </row>
    <row r="59" spans="2:63">
      <c r="B59" s="70"/>
      <c r="C59" s="81" t="s">
        <v>391</v>
      </c>
      <c r="D59" s="70"/>
      <c r="E59" s="70"/>
      <c r="F59" s="70"/>
      <c r="G59" s="244"/>
      <c r="H59" s="182"/>
      <c r="I59" s="182"/>
      <c r="J59" s="182"/>
      <c r="K59" s="182"/>
      <c r="L59" s="182"/>
      <c r="M59" s="182"/>
      <c r="N59" s="182"/>
      <c r="O59" s="182"/>
      <c r="P59" s="182"/>
      <c r="Q59" s="182"/>
      <c r="R59" s="182"/>
      <c r="S59" s="70"/>
      <c r="X59" s="417" t="s">
        <v>411</v>
      </c>
    </row>
    <row r="60" spans="2:63" ht="12.75" customHeight="1">
      <c r="B60" s="140"/>
      <c r="C60" s="182" t="s">
        <v>430</v>
      </c>
      <c r="D60" s="182"/>
      <c r="E60" s="182"/>
      <c r="F60" s="182"/>
      <c r="G60" s="182"/>
      <c r="H60" s="182"/>
      <c r="I60" s="182"/>
      <c r="J60" s="182"/>
      <c r="K60" s="182"/>
      <c r="L60" s="182"/>
      <c r="M60" s="182"/>
      <c r="N60" s="182"/>
      <c r="O60" s="182"/>
      <c r="P60" s="182"/>
      <c r="Q60" s="182"/>
      <c r="R60" s="182"/>
      <c r="S60" s="140"/>
      <c r="X60" s="190" t="s">
        <v>408</v>
      </c>
      <c r="AC60" s="187"/>
    </row>
    <row r="61" spans="2:63" ht="12" customHeight="1">
      <c r="B61" s="70"/>
      <c r="C61" s="182" t="s">
        <v>440</v>
      </c>
      <c r="D61" s="182"/>
      <c r="E61" s="182"/>
      <c r="F61" s="182"/>
      <c r="G61" s="182"/>
      <c r="H61" s="182"/>
      <c r="I61" s="182"/>
      <c r="J61" s="182"/>
      <c r="K61" s="182"/>
      <c r="L61" s="182"/>
      <c r="M61" s="182"/>
      <c r="N61" s="182"/>
      <c r="O61" s="182"/>
      <c r="P61" s="182"/>
      <c r="Q61" s="182"/>
      <c r="R61" s="182"/>
      <c r="S61" s="70"/>
      <c r="X61" s="188" t="s">
        <v>100</v>
      </c>
      <c r="Y61" s="183"/>
      <c r="AD61" s="187"/>
    </row>
    <row r="62" spans="2:63" s="183" customFormat="1">
      <c r="B62" s="70"/>
      <c r="C62" s="182" t="s">
        <v>100</v>
      </c>
      <c r="D62" s="182"/>
      <c r="E62" s="182"/>
      <c r="F62" s="182"/>
      <c r="G62" s="182"/>
      <c r="H62" s="182"/>
      <c r="I62" s="182"/>
      <c r="J62" s="182"/>
      <c r="K62" s="182"/>
      <c r="L62" s="182"/>
      <c r="M62" s="182"/>
      <c r="N62" s="182"/>
      <c r="O62" s="182"/>
      <c r="P62" s="182"/>
      <c r="Q62" s="182"/>
      <c r="R62" s="182"/>
      <c r="S62" s="70"/>
      <c r="W62" s="176"/>
      <c r="X62" s="177"/>
      <c r="Y62" s="177"/>
      <c r="Z62" s="177"/>
      <c r="AA62" s="177"/>
      <c r="AB62" s="177"/>
      <c r="AG62" s="452"/>
      <c r="AH62" s="452"/>
      <c r="AI62" s="452"/>
      <c r="AJ62" s="452"/>
      <c r="AK62" s="452"/>
      <c r="AL62" s="452"/>
      <c r="AM62" s="452"/>
      <c r="AN62" s="452"/>
      <c r="AO62" s="452"/>
      <c r="AP62" s="452"/>
      <c r="AQ62" s="452"/>
      <c r="AS62" s="452"/>
      <c r="AT62" s="452"/>
      <c r="AU62" s="452"/>
      <c r="AZ62" s="604"/>
      <c r="BA62" s="604"/>
      <c r="BB62" s="604"/>
      <c r="BC62" s="604"/>
      <c r="BD62" s="604"/>
      <c r="BE62" s="604"/>
      <c r="BF62" s="604"/>
      <c r="BG62" s="604"/>
      <c r="BH62" s="604"/>
      <c r="BI62" s="604"/>
      <c r="BJ62" s="604"/>
      <c r="BK62" s="604"/>
    </row>
    <row r="63" spans="2:63" ht="11.25" customHeight="1">
      <c r="B63" s="70"/>
      <c r="C63" s="70"/>
      <c r="D63" s="182"/>
      <c r="E63" s="182"/>
      <c r="F63" s="182"/>
      <c r="G63" s="70"/>
      <c r="H63" s="70"/>
      <c r="I63" s="70"/>
      <c r="J63" s="70"/>
      <c r="K63" s="70"/>
      <c r="L63" s="70"/>
      <c r="M63" s="70"/>
      <c r="N63" s="70"/>
      <c r="O63" s="70"/>
      <c r="P63" s="70"/>
      <c r="Q63" s="70"/>
      <c r="R63" s="70"/>
      <c r="S63" s="70"/>
    </row>
    <row r="64" spans="2:63">
      <c r="B64" s="387"/>
      <c r="C64" s="387"/>
      <c r="D64" s="387"/>
      <c r="E64" s="387"/>
      <c r="F64" s="387"/>
      <c r="G64" s="387"/>
      <c r="H64" s="387"/>
      <c r="I64" s="387"/>
      <c r="J64" s="387"/>
      <c r="K64" s="387"/>
      <c r="L64" s="387"/>
      <c r="M64" s="387"/>
      <c r="N64" s="387"/>
      <c r="O64" s="387"/>
      <c r="P64" s="387"/>
      <c r="Q64" s="387"/>
      <c r="R64" s="387"/>
      <c r="S64" s="387"/>
      <c r="W64" s="174"/>
      <c r="AC64" s="187"/>
      <c r="AD64" s="187"/>
    </row>
    <row r="65" spans="2:56">
      <c r="W65" s="174"/>
      <c r="AA65" s="175"/>
    </row>
    <row r="67" spans="2:56" ht="15.75">
      <c r="C67" s="253" t="s">
        <v>554</v>
      </c>
    </row>
    <row r="69" spans="2:56">
      <c r="B69" s="70"/>
      <c r="C69" s="70"/>
      <c r="D69" s="70"/>
      <c r="E69" s="70"/>
      <c r="F69" s="70"/>
      <c r="G69" s="70"/>
      <c r="H69" s="70"/>
      <c r="I69" s="70"/>
      <c r="J69" s="70"/>
      <c r="K69" s="70"/>
      <c r="L69" s="70"/>
      <c r="M69" s="70"/>
      <c r="N69" s="70"/>
      <c r="O69" s="70"/>
    </row>
    <row r="70" spans="2:56" ht="24" customHeight="1">
      <c r="B70" s="70"/>
      <c r="C70" s="240" t="s">
        <v>466</v>
      </c>
      <c r="D70" s="70"/>
      <c r="E70" s="70"/>
      <c r="F70" s="70"/>
      <c r="G70" s="70"/>
      <c r="H70" s="70"/>
      <c r="I70" s="70"/>
      <c r="J70" s="70"/>
      <c r="K70" s="70"/>
      <c r="L70" s="70"/>
      <c r="M70" s="70"/>
      <c r="N70" s="70"/>
      <c r="O70" s="70"/>
      <c r="W70" s="677" t="s">
        <v>465</v>
      </c>
      <c r="X70" s="635"/>
      <c r="Y70" s="635"/>
      <c r="Z70" s="635"/>
      <c r="AA70" s="635"/>
    </row>
    <row r="71" spans="2:56">
      <c r="B71" s="70"/>
      <c r="C71" s="70"/>
      <c r="D71" s="70"/>
      <c r="E71" s="70"/>
      <c r="F71" s="70"/>
      <c r="G71" s="70"/>
      <c r="H71" s="70"/>
      <c r="I71" s="70"/>
      <c r="J71" s="70"/>
      <c r="K71" s="70"/>
      <c r="L71" s="70"/>
      <c r="M71" s="70"/>
      <c r="N71" s="70"/>
      <c r="O71" s="70"/>
    </row>
    <row r="72" spans="2:56">
      <c r="B72" s="70"/>
      <c r="C72" s="70"/>
      <c r="D72" s="70"/>
      <c r="E72" s="70"/>
      <c r="F72" s="70"/>
      <c r="G72" s="70"/>
      <c r="H72" s="70"/>
      <c r="I72" s="70"/>
      <c r="J72" s="70"/>
      <c r="K72" s="70"/>
      <c r="L72" s="70"/>
      <c r="M72" s="70"/>
      <c r="N72" s="70"/>
      <c r="O72" s="70"/>
      <c r="X72" s="175" t="s">
        <v>7</v>
      </c>
      <c r="Z72" s="251" t="s">
        <v>347</v>
      </c>
      <c r="AA72" s="251" t="s">
        <v>22</v>
      </c>
      <c r="AD72" s="387"/>
    </row>
    <row r="73" spans="2:56">
      <c r="B73" s="70"/>
      <c r="C73" s="70"/>
      <c r="D73" s="70"/>
      <c r="E73" s="70"/>
      <c r="F73" s="70"/>
      <c r="G73" s="70"/>
      <c r="H73" s="70"/>
      <c r="I73" s="70"/>
      <c r="J73" s="70"/>
      <c r="K73" s="70"/>
      <c r="L73" s="70"/>
      <c r="M73" s="70"/>
      <c r="N73" s="70"/>
      <c r="O73" s="70"/>
    </row>
    <row r="74" spans="2:56">
      <c r="B74" s="70"/>
      <c r="C74" s="70"/>
      <c r="D74" s="70"/>
      <c r="E74" s="70"/>
      <c r="F74" s="70"/>
      <c r="G74" s="70"/>
      <c r="H74" s="70"/>
      <c r="I74" s="70"/>
      <c r="J74" s="70"/>
      <c r="K74" s="70"/>
      <c r="L74" s="70"/>
      <c r="M74" s="70"/>
      <c r="N74" s="70"/>
      <c r="O74" s="70"/>
      <c r="W74" s="372" t="s">
        <v>138</v>
      </c>
      <c r="X74" s="274" t="s">
        <v>74</v>
      </c>
      <c r="Y74" s="274"/>
      <c r="Z74" s="274">
        <v>2592</v>
      </c>
      <c r="AA74" s="274">
        <v>11.3</v>
      </c>
      <c r="BA74" s="600" t="s">
        <v>114</v>
      </c>
      <c r="BB74" s="600" t="s">
        <v>316</v>
      </c>
      <c r="BD74" s="600" t="s">
        <v>406</v>
      </c>
    </row>
    <row r="75" spans="2:56">
      <c r="B75" s="70"/>
      <c r="C75" s="70"/>
      <c r="D75" s="70"/>
      <c r="E75" s="70"/>
      <c r="F75" s="70"/>
      <c r="G75" s="70"/>
      <c r="H75" s="70"/>
      <c r="I75" s="70"/>
      <c r="J75" s="70"/>
      <c r="K75" s="70"/>
      <c r="L75" s="70"/>
      <c r="M75" s="70"/>
      <c r="N75" s="70"/>
      <c r="O75" s="70"/>
      <c r="W75" s="372"/>
      <c r="X75" s="274" t="s">
        <v>54</v>
      </c>
      <c r="Y75" s="274"/>
      <c r="Z75" s="378">
        <f>VLOOKUP("20122016"&amp;"AllSex"&amp;"AllEth"&amp;19&amp;ref!Z2,DHB5yr,7,FALSE)</f>
        <v>123</v>
      </c>
      <c r="AA75" s="376">
        <f>IF(Z75&lt;5,"-",VLOOKUP("20122016"&amp;"AllSex"&amp;"AllEth"&amp;19&amp;ref!Z2,DHB5yr,8,FALSE))</f>
        <v>16.060755621495701</v>
      </c>
      <c r="BA75" s="600" t="s">
        <v>54</v>
      </c>
      <c r="BB75" s="605">
        <f>VLOOKUP("20122016"&amp;"AllSex"&amp;"AllEth"&amp;19&amp;ref!Z2,DHB5yr,9,FALSE)</f>
        <v>3.7</v>
      </c>
      <c r="BD75" s="605">
        <f t="shared" ref="BD75:BD94" si="3">BB75/AA75*100</f>
        <v>23.037521317165947</v>
      </c>
    </row>
    <row r="76" spans="2:56">
      <c r="B76" s="70"/>
      <c r="C76" s="70"/>
      <c r="D76" s="70"/>
      <c r="E76" s="70"/>
      <c r="F76" s="70"/>
      <c r="G76" s="70"/>
      <c r="H76" s="70"/>
      <c r="I76" s="70"/>
      <c r="J76" s="70"/>
      <c r="K76" s="70"/>
      <c r="L76" s="70"/>
      <c r="M76" s="70"/>
      <c r="N76" s="70"/>
      <c r="O76" s="70"/>
      <c r="W76" s="372"/>
      <c r="X76" s="274" t="s">
        <v>55</v>
      </c>
      <c r="Y76" s="274"/>
      <c r="Z76" s="378">
        <f>VLOOKUP("20122016"&amp;"AllSex"&amp;"AllEth"&amp;19&amp;ref!Z3,DHB5yr,7,FALSE)</f>
        <v>257</v>
      </c>
      <c r="AA76" s="376">
        <f>IF(Z76&lt;5,"-",VLOOKUP("20122016"&amp;"AllSex"&amp;"AllEth"&amp;19&amp;ref!Z3,DHB5yr,8,FALSE))</f>
        <v>8.3928296188527103</v>
      </c>
      <c r="BA76" s="600" t="s">
        <v>55</v>
      </c>
      <c r="BB76" s="605">
        <f>VLOOKUP("20122016"&amp;"AllSex"&amp;"AllEth"&amp;19&amp;ref!Z3,DHB5yr,9,FALSE)</f>
        <v>1.3</v>
      </c>
      <c r="BD76" s="605">
        <f t="shared" si="3"/>
        <v>15.489412498972053</v>
      </c>
    </row>
    <row r="77" spans="2:56">
      <c r="B77" s="70"/>
      <c r="C77" s="70"/>
      <c r="D77" s="70"/>
      <c r="E77" s="70"/>
      <c r="F77" s="70"/>
      <c r="G77" s="70"/>
      <c r="H77" s="70"/>
      <c r="I77" s="70"/>
      <c r="J77" s="70"/>
      <c r="K77" s="70"/>
      <c r="L77" s="70"/>
      <c r="M77" s="70"/>
      <c r="N77" s="70"/>
      <c r="O77" s="70"/>
      <c r="W77" s="372"/>
      <c r="X77" s="274" t="s">
        <v>56</v>
      </c>
      <c r="Y77" s="274"/>
      <c r="Z77" s="378">
        <f>VLOOKUP("20122016"&amp;"AllSex"&amp;"AllEth"&amp;19&amp;ref!Z4,DHB5yr,7,FALSE)</f>
        <v>221</v>
      </c>
      <c r="AA77" s="376">
        <f>IF(Z77&lt;5,"-",VLOOKUP("20122016"&amp;"AllSex"&amp;"AllEth"&amp;19&amp;ref!Z4,DHB5yr,8,FALSE))</f>
        <v>8.3482961782500702</v>
      </c>
      <c r="BA77" s="600" t="s">
        <v>56</v>
      </c>
      <c r="BB77" s="605">
        <f>VLOOKUP("20122016"&amp;"AllSex"&amp;"AllEth"&amp;19&amp;ref!Z4,DHB5yr,9,FALSE)</f>
        <v>1.4</v>
      </c>
      <c r="BD77" s="605">
        <f t="shared" si="3"/>
        <v>16.769888970248072</v>
      </c>
    </row>
    <row r="78" spans="2:56">
      <c r="B78" s="70"/>
      <c r="C78" s="70"/>
      <c r="D78" s="70"/>
      <c r="E78" s="70"/>
      <c r="F78" s="70"/>
      <c r="G78" s="70"/>
      <c r="H78" s="70"/>
      <c r="I78" s="70"/>
      <c r="J78" s="70"/>
      <c r="K78" s="70"/>
      <c r="L78" s="70"/>
      <c r="M78" s="70"/>
      <c r="N78" s="70"/>
      <c r="O78" s="70"/>
      <c r="W78" s="372"/>
      <c r="X78" s="274" t="s">
        <v>57</v>
      </c>
      <c r="Y78" s="274"/>
      <c r="Z78" s="378">
        <f>VLOOKUP("20122016"&amp;"AllSex"&amp;"AllEth"&amp;19&amp;ref!Z5,DHB5yr,7,FALSE)</f>
        <v>236</v>
      </c>
      <c r="AA78" s="376">
        <f>IF(Z78&lt;5,"-",VLOOKUP("20122016"&amp;"AllSex"&amp;"AllEth"&amp;19&amp;ref!Z5,DHB5yr,8,FALSE))</f>
        <v>9.1547991018067094</v>
      </c>
      <c r="BA78" s="600" t="s">
        <v>57</v>
      </c>
      <c r="BB78" s="605">
        <f>VLOOKUP("20122016"&amp;"AllSex"&amp;"AllEth"&amp;19&amp;ref!Z5,DHB5yr,9,FALSE)</f>
        <v>1.5</v>
      </c>
      <c r="BD78" s="605">
        <f t="shared" si="3"/>
        <v>16.384848900769143</v>
      </c>
    </row>
    <row r="79" spans="2:56">
      <c r="B79" s="70"/>
      <c r="C79" s="70"/>
      <c r="D79" s="70"/>
      <c r="E79" s="70"/>
      <c r="F79" s="70"/>
      <c r="G79" s="70"/>
      <c r="H79" s="70"/>
      <c r="I79" s="70"/>
      <c r="J79" s="70"/>
      <c r="K79" s="70"/>
      <c r="L79" s="70"/>
      <c r="M79" s="70"/>
      <c r="N79" s="70"/>
      <c r="O79" s="70"/>
      <c r="W79" s="372"/>
      <c r="X79" s="274" t="s">
        <v>58</v>
      </c>
      <c r="Y79" s="274"/>
      <c r="Z79" s="378">
        <f>VLOOKUP("20122016"&amp;"AllSex"&amp;"AllEth"&amp;19&amp;ref!Z6,DHB5yr,7,FALSE)</f>
        <v>232</v>
      </c>
      <c r="AA79" s="376">
        <f>IF(Z79&lt;5,"-",VLOOKUP("20122016"&amp;"AllSex"&amp;"AllEth"&amp;19&amp;ref!Z6,DHB5yr,8,FALSE))</f>
        <v>11.731198449934</v>
      </c>
      <c r="BA79" s="600" t="s">
        <v>58</v>
      </c>
      <c r="BB79" s="605">
        <f>VLOOKUP("20122016"&amp;"AllSex"&amp;"AllEth"&amp;19&amp;ref!Z6,DHB5yr,9,FALSE)</f>
        <v>2</v>
      </c>
      <c r="BD79" s="605">
        <f t="shared" si="3"/>
        <v>17.048556535255376</v>
      </c>
    </row>
    <row r="80" spans="2:56">
      <c r="B80" s="70"/>
      <c r="C80" s="70"/>
      <c r="D80" s="70"/>
      <c r="E80" s="70"/>
      <c r="F80" s="70"/>
      <c r="G80" s="70"/>
      <c r="H80" s="70"/>
      <c r="I80" s="70"/>
      <c r="J80" s="70"/>
      <c r="K80" s="70"/>
      <c r="L80" s="70"/>
      <c r="M80" s="70"/>
      <c r="N80" s="70"/>
      <c r="O80" s="70"/>
      <c r="W80" s="372"/>
      <c r="X80" s="274" t="s">
        <v>59</v>
      </c>
      <c r="Y80" s="274"/>
      <c r="Z80" s="378">
        <f>VLOOKUP("20122016"&amp;"AllSex"&amp;"AllEth"&amp;19&amp;ref!Z7,DHB5yr,7,FALSE)</f>
        <v>81</v>
      </c>
      <c r="AA80" s="376">
        <f>IF(Z80&lt;5,"-",VLOOKUP("20122016"&amp;"AllSex"&amp;"AllEth"&amp;19&amp;ref!Z7,DHB5yr,8,FALSE))</f>
        <v>16.715475177359501</v>
      </c>
      <c r="BA80" s="600" t="s">
        <v>59</v>
      </c>
      <c r="BB80" s="605">
        <f>VLOOKUP("20122016"&amp;"AllSex"&amp;"AllEth"&amp;19&amp;ref!Z7,DHB5yr,9,FALSE)</f>
        <v>4.8</v>
      </c>
      <c r="BD80" s="605">
        <f t="shared" si="3"/>
        <v>28.715905166138644</v>
      </c>
    </row>
    <row r="81" spans="2:56">
      <c r="B81" s="70"/>
      <c r="C81" s="70"/>
      <c r="D81" s="70"/>
      <c r="E81" s="70"/>
      <c r="F81" s="70"/>
      <c r="G81" s="70"/>
      <c r="H81" s="70"/>
      <c r="I81" s="70"/>
      <c r="J81" s="70"/>
      <c r="K81" s="70"/>
      <c r="L81" s="70"/>
      <c r="M81" s="70"/>
      <c r="N81" s="70"/>
      <c r="O81" s="70"/>
      <c r="W81" s="372"/>
      <c r="X81" s="274" t="s">
        <v>60</v>
      </c>
      <c r="Y81" s="274"/>
      <c r="Z81" s="378">
        <f>VLOOKUP("20122016"&amp;"AllSex"&amp;"AllEth"&amp;19&amp;ref!Z8,DHB5yr,7,FALSE)</f>
        <v>159</v>
      </c>
      <c r="AA81" s="376">
        <f>IF(Z81&lt;5,"-",VLOOKUP("20122016"&amp;"AllSex"&amp;"AllEth"&amp;19&amp;ref!Z8,DHB5yr,8,FALSE))</f>
        <v>15.0633973619644</v>
      </c>
      <c r="BA81" s="600" t="s">
        <v>60</v>
      </c>
      <c r="BB81" s="605">
        <f>VLOOKUP("20122016"&amp;"AllSex"&amp;"AllEth"&amp;19&amp;ref!Z8,DHB5yr,9,FALSE)</f>
        <v>3.1</v>
      </c>
      <c r="BD81" s="605">
        <f t="shared" si="3"/>
        <v>20.579686809747233</v>
      </c>
    </row>
    <row r="82" spans="2:56">
      <c r="B82" s="70"/>
      <c r="C82" s="70"/>
      <c r="D82" s="70"/>
      <c r="E82" s="70"/>
      <c r="F82" s="70"/>
      <c r="G82" s="70"/>
      <c r="H82" s="70"/>
      <c r="I82" s="70"/>
      <c r="J82" s="70"/>
      <c r="K82" s="70"/>
      <c r="L82" s="70"/>
      <c r="M82" s="70"/>
      <c r="N82" s="70"/>
      <c r="O82" s="70"/>
      <c r="W82" s="372"/>
      <c r="X82" s="274" t="s">
        <v>112</v>
      </c>
      <c r="Y82" s="274"/>
      <c r="Z82" s="378">
        <f>VLOOKUP("20122016"&amp;"AllSex"&amp;"AllEth"&amp;19&amp;ref!Z9,DHB5yr,7,FALSE)</f>
        <v>35</v>
      </c>
      <c r="AA82" s="376">
        <f>IF(Z82&lt;5,"-",VLOOKUP("20122016"&amp;"AllSex"&amp;"AllEth"&amp;19&amp;ref!Z9,DHB5yr,8,FALSE))</f>
        <v>15.2623131267483</v>
      </c>
      <c r="BA82" s="600" t="s">
        <v>61</v>
      </c>
      <c r="BB82" s="605">
        <f>VLOOKUP("20122016"&amp;"AllSex"&amp;"AllEth"&amp;19&amp;ref!Z9,DHB5yr,9,FALSE)</f>
        <v>6.6</v>
      </c>
      <c r="BD82" s="605">
        <f t="shared" si="3"/>
        <v>43.243772717734544</v>
      </c>
    </row>
    <row r="83" spans="2:56">
      <c r="B83" s="70"/>
      <c r="C83" s="70"/>
      <c r="D83" s="70"/>
      <c r="E83" s="70"/>
      <c r="F83" s="70"/>
      <c r="G83" s="70"/>
      <c r="H83" s="70"/>
      <c r="I83" s="70"/>
      <c r="J83" s="70"/>
      <c r="K83" s="70"/>
      <c r="L83" s="70"/>
      <c r="M83" s="70"/>
      <c r="N83" s="70"/>
      <c r="O83" s="70"/>
      <c r="W83" s="372"/>
      <c r="X83" s="274" t="s">
        <v>62</v>
      </c>
      <c r="Y83" s="274"/>
      <c r="Z83" s="378">
        <f>VLOOKUP("20122016"&amp;"AllSex"&amp;"AllEth"&amp;19&amp;ref!Z10,DHB5yr,7,FALSE)</f>
        <v>110</v>
      </c>
      <c r="AA83" s="376">
        <f>IF(Z83&lt;5,"-",VLOOKUP("20122016"&amp;"AllSex"&amp;"AllEth"&amp;19&amp;ref!Z10,DHB5yr,8,FALSE))</f>
        <v>15.191460881905501</v>
      </c>
      <c r="BA83" s="600" t="s">
        <v>62</v>
      </c>
      <c r="BB83" s="605">
        <f>VLOOKUP("20122016"&amp;"AllSex"&amp;"AllEth"&amp;19&amp;ref!Z10,DHB5yr,9,FALSE)</f>
        <v>3.7</v>
      </c>
      <c r="BD83" s="605">
        <f t="shared" si="3"/>
        <v>24.355787957213899</v>
      </c>
    </row>
    <row r="84" spans="2:56">
      <c r="B84" s="70"/>
      <c r="C84" s="70"/>
      <c r="D84" s="70"/>
      <c r="E84" s="70"/>
      <c r="F84" s="70"/>
      <c r="G84" s="70"/>
      <c r="H84" s="70"/>
      <c r="I84" s="70"/>
      <c r="J84" s="70"/>
      <c r="K84" s="70"/>
      <c r="L84" s="70"/>
      <c r="M84" s="70"/>
      <c r="N84" s="70"/>
      <c r="O84" s="70"/>
      <c r="W84" s="372"/>
      <c r="X84" s="274" t="s">
        <v>63</v>
      </c>
      <c r="Y84" s="274"/>
      <c r="Z84" s="378">
        <f>VLOOKUP("20122016"&amp;"AllSex"&amp;"AllEth"&amp;19&amp;ref!Z11,DHB5yr,7,FALSE)</f>
        <v>74</v>
      </c>
      <c r="AA84" s="376">
        <f>IF(Z84&lt;5,"-",VLOOKUP("20122016"&amp;"AllSex"&amp;"AllEth"&amp;19&amp;ref!Z11,DHB5yr,8,FALSE))</f>
        <v>13.1076974411182</v>
      </c>
      <c r="BA84" s="600" t="s">
        <v>63</v>
      </c>
      <c r="BB84" s="605">
        <f>VLOOKUP("20122016"&amp;"AllSex"&amp;"AllEth"&amp;19&amp;ref!Z11,DHB5yr,9,FALSE)</f>
        <v>3.9</v>
      </c>
      <c r="BD84" s="605">
        <f t="shared" si="3"/>
        <v>29.753509474256649</v>
      </c>
    </row>
    <row r="85" spans="2:56">
      <c r="B85" s="70"/>
      <c r="C85" s="70"/>
      <c r="D85" s="70"/>
      <c r="E85" s="70"/>
      <c r="F85" s="70"/>
      <c r="G85" s="70"/>
      <c r="H85" s="70"/>
      <c r="I85" s="70"/>
      <c r="J85" s="70"/>
      <c r="K85" s="70"/>
      <c r="L85" s="70"/>
      <c r="M85" s="70"/>
      <c r="N85" s="70"/>
      <c r="O85" s="70"/>
      <c r="W85" s="372"/>
      <c r="X85" s="274" t="s">
        <v>113</v>
      </c>
      <c r="Y85" s="274"/>
      <c r="Z85" s="378">
        <f>VLOOKUP("20122016"&amp;"AllSex"&amp;"AllEth"&amp;19&amp;ref!Z12,DHB5yr,7,FALSE)</f>
        <v>132</v>
      </c>
      <c r="AA85" s="376">
        <f>IF(Z85&lt;5,"-",VLOOKUP("20122016"&amp;"AllSex"&amp;"AllEth"&amp;19&amp;ref!Z12,DHB5yr,8,FALSE))</f>
        <v>15.3445965888308</v>
      </c>
      <c r="BA85" s="600" t="s">
        <v>64</v>
      </c>
      <c r="BB85" s="605">
        <f>VLOOKUP("20122016"&amp;"AllSex"&amp;"AllEth"&amp;19&amp;ref!Z12,DHB5yr,9,FALSE)</f>
        <v>3.4</v>
      </c>
      <c r="BD85" s="605">
        <f t="shared" si="3"/>
        <v>22.157636926570166</v>
      </c>
    </row>
    <row r="86" spans="2:56">
      <c r="B86" s="70"/>
      <c r="C86" s="70"/>
      <c r="D86" s="70"/>
      <c r="E86" s="70"/>
      <c r="F86" s="70"/>
      <c r="G86" s="70"/>
      <c r="H86" s="70"/>
      <c r="I86" s="70"/>
      <c r="J86" s="70"/>
      <c r="K86" s="70"/>
      <c r="L86" s="70"/>
      <c r="M86" s="70"/>
      <c r="N86" s="70"/>
      <c r="O86" s="70"/>
      <c r="W86" s="372"/>
      <c r="X86" s="274" t="s">
        <v>65</v>
      </c>
      <c r="Y86" s="274"/>
      <c r="Z86" s="378">
        <f>VLOOKUP("20122016"&amp;"AllSex"&amp;"AllEth"&amp;19&amp;ref!Z13,DHB5yr,7,FALSE)</f>
        <v>42</v>
      </c>
      <c r="AA86" s="376">
        <f>IF(Z86&lt;5,"-",VLOOKUP("20122016"&amp;"AllSex"&amp;"AllEth"&amp;19&amp;ref!Z13,DHB5yr,8,FALSE))</f>
        <v>14.5439172325546</v>
      </c>
      <c r="BA86" s="600" t="s">
        <v>65</v>
      </c>
      <c r="BB86" s="605">
        <f>VLOOKUP("20122016"&amp;"AllSex"&amp;"AllEth"&amp;19&amp;ref!Z13,DHB5yr,9,FALSE)</f>
        <v>5.8</v>
      </c>
      <c r="BD86" s="605">
        <f t="shared" si="3"/>
        <v>39.879214844660147</v>
      </c>
    </row>
    <row r="87" spans="2:56">
      <c r="B87" s="70"/>
      <c r="C87" s="70"/>
      <c r="D87" s="70"/>
      <c r="E87" s="70"/>
      <c r="F87" s="70"/>
      <c r="G87" s="70"/>
      <c r="H87" s="70"/>
      <c r="I87" s="70"/>
      <c r="J87" s="70"/>
      <c r="K87" s="70"/>
      <c r="L87" s="70"/>
      <c r="M87" s="70"/>
      <c r="N87" s="70"/>
      <c r="O87" s="70"/>
      <c r="W87" s="372"/>
      <c r="X87" s="274" t="s">
        <v>66</v>
      </c>
      <c r="Y87" s="274"/>
      <c r="Z87" s="378">
        <f>VLOOKUP("20122016"&amp;"AllSex"&amp;"AllEth"&amp;19&amp;ref!Z14,DHB5yr,7,FALSE)</f>
        <v>143</v>
      </c>
      <c r="AA87" s="376">
        <f>IF(Z87&lt;5,"-",VLOOKUP("20122016"&amp;"AllSex"&amp;"AllEth"&amp;19&amp;ref!Z14,DHB5yr,8,FALSE))</f>
        <v>8.9492627152604403</v>
      </c>
      <c r="BA87" s="600" t="s">
        <v>66</v>
      </c>
      <c r="BB87" s="605">
        <f>VLOOKUP("20122016"&amp;"AllSex"&amp;"AllEth"&amp;19&amp;ref!Z14,DHB5yr,9,FALSE)</f>
        <v>1.9</v>
      </c>
      <c r="BD87" s="605">
        <f t="shared" si="3"/>
        <v>21.230799233998198</v>
      </c>
    </row>
    <row r="88" spans="2:56">
      <c r="B88" s="70"/>
      <c r="C88" s="70"/>
      <c r="D88" s="70"/>
      <c r="E88" s="70"/>
      <c r="F88" s="70"/>
      <c r="G88" s="70"/>
      <c r="H88" s="70"/>
      <c r="I88" s="70"/>
      <c r="J88" s="70"/>
      <c r="K88" s="70"/>
      <c r="L88" s="70"/>
      <c r="M88" s="70"/>
      <c r="N88" s="70"/>
      <c r="O88" s="70"/>
      <c r="W88" s="372"/>
      <c r="X88" s="274" t="s">
        <v>67</v>
      </c>
      <c r="Y88" s="274"/>
      <c r="Z88" s="378">
        <f>VLOOKUP("20122016"&amp;"AllSex"&amp;"AllEth"&amp;19&amp;ref!Z15,DHB5yr,7,FALSE)</f>
        <v>92</v>
      </c>
      <c r="AA88" s="376">
        <f>IF(Z88&lt;5,"-",VLOOKUP("20122016"&amp;"AllSex"&amp;"AllEth"&amp;19&amp;ref!Z15,DHB5yr,8,FALSE))</f>
        <v>12.371523325455099</v>
      </c>
      <c r="BA88" s="600" t="s">
        <v>67</v>
      </c>
      <c r="BB88" s="605">
        <f>VLOOKUP("20122016"&amp;"AllSex"&amp;"AllEth"&amp;19&amp;ref!Z15,DHB5yr,9,FALSE)</f>
        <v>3.3</v>
      </c>
      <c r="BD88" s="605">
        <f t="shared" si="3"/>
        <v>26.674160595971763</v>
      </c>
    </row>
    <row r="89" spans="2:56">
      <c r="B89" s="70"/>
      <c r="C89" s="70"/>
      <c r="D89" s="70"/>
      <c r="E89" s="70"/>
      <c r="F89" s="70"/>
      <c r="G89" s="70"/>
      <c r="H89" s="70"/>
      <c r="I89" s="70"/>
      <c r="J89" s="70"/>
      <c r="K89" s="70"/>
      <c r="L89" s="70"/>
      <c r="M89" s="70"/>
      <c r="N89" s="70"/>
      <c r="O89" s="70"/>
      <c r="W89" s="372"/>
      <c r="X89" s="274" t="s">
        <v>68</v>
      </c>
      <c r="Y89" s="274"/>
      <c r="Z89" s="378">
        <f>VLOOKUP("20122016"&amp;"AllSex"&amp;"AllEth"&amp;19&amp;ref!Z16,DHB5yr,7,FALSE)</f>
        <v>37</v>
      </c>
      <c r="AA89" s="376">
        <f>IF(Z89&lt;5,"-",VLOOKUP("20122016"&amp;"AllSex"&amp;"AllEth"&amp;19&amp;ref!Z16,DHB5yr,8,FALSE))</f>
        <v>17.713416586712299</v>
      </c>
      <c r="BA89" s="600" t="s">
        <v>68</v>
      </c>
      <c r="BB89" s="605">
        <f>VLOOKUP("20122016"&amp;"AllSex"&amp;"AllEth"&amp;19&amp;ref!Z16,DHB5yr,9,FALSE)</f>
        <v>7.5</v>
      </c>
      <c r="BD89" s="605">
        <f t="shared" si="3"/>
        <v>42.340787071118271</v>
      </c>
    </row>
    <row r="90" spans="2:56">
      <c r="B90" s="70"/>
      <c r="C90" s="70"/>
      <c r="D90" s="70"/>
      <c r="E90" s="70"/>
      <c r="F90" s="70"/>
      <c r="G90" s="70"/>
      <c r="H90" s="70"/>
      <c r="I90" s="70"/>
      <c r="J90" s="70"/>
      <c r="K90" s="70"/>
      <c r="L90" s="70"/>
      <c r="M90" s="70"/>
      <c r="N90" s="70"/>
      <c r="O90" s="70"/>
      <c r="W90" s="372"/>
      <c r="X90" s="274" t="s">
        <v>69</v>
      </c>
      <c r="Y90" s="274"/>
      <c r="Z90" s="378">
        <f>VLOOKUP("20122016"&amp;"AllSex"&amp;"AllEth"&amp;19&amp;ref!Z17,DHB5yr,7,FALSE)</f>
        <v>85</v>
      </c>
      <c r="AA90" s="376">
        <f>IF(Z90&lt;5,"-",VLOOKUP("20122016"&amp;"AllSex"&amp;"AllEth"&amp;19&amp;ref!Z17,DHB5yr,8,FALSE))</f>
        <v>11.253237212717799</v>
      </c>
      <c r="BA90" s="600" t="s">
        <v>69</v>
      </c>
      <c r="BB90" s="605">
        <f>VLOOKUP("20122016"&amp;"AllSex"&amp;"AllEth"&amp;19&amp;ref!Z17,DHB5yr,9,FALSE)</f>
        <v>3.1</v>
      </c>
      <c r="BD90" s="605">
        <f t="shared" si="3"/>
        <v>27.547628663657314</v>
      </c>
    </row>
    <row r="91" spans="2:56">
      <c r="B91" s="70"/>
      <c r="C91" s="70"/>
      <c r="D91" s="70"/>
      <c r="E91" s="70"/>
      <c r="F91" s="70"/>
      <c r="G91" s="70"/>
      <c r="H91" s="70"/>
      <c r="I91" s="70"/>
      <c r="J91" s="70"/>
      <c r="K91" s="70"/>
      <c r="L91" s="70"/>
      <c r="M91" s="70"/>
      <c r="N91" s="70"/>
      <c r="O91" s="70"/>
      <c r="W91" s="372"/>
      <c r="X91" s="274" t="s">
        <v>70</v>
      </c>
      <c r="Y91" s="274"/>
      <c r="Z91" s="378">
        <f>VLOOKUP("20122016"&amp;"AllSex"&amp;"AllEth"&amp;19&amp;ref!Z18,DHB5yr,7,FALSE)</f>
        <v>37</v>
      </c>
      <c r="AA91" s="376">
        <f>IF(Z91&lt;5,"-",VLOOKUP("20122016"&amp;"AllSex"&amp;"AllEth"&amp;19&amp;ref!Z18,DHB5yr,8,FALSE))</f>
        <v>25.504881808908099</v>
      </c>
      <c r="BA91" s="600" t="s">
        <v>70</v>
      </c>
      <c r="BB91" s="605">
        <f>VLOOKUP("20122016"&amp;"AllSex"&amp;"AllEth"&amp;19&amp;ref!Z18,DHB5yr,9,FALSE)</f>
        <v>10.8</v>
      </c>
      <c r="BD91" s="605">
        <f t="shared" si="3"/>
        <v>42.344834533708294</v>
      </c>
    </row>
    <row r="92" spans="2:56">
      <c r="B92" s="70"/>
      <c r="C92" s="70"/>
      <c r="D92" s="70"/>
      <c r="E92" s="70"/>
      <c r="F92" s="70"/>
      <c r="G92" s="70"/>
      <c r="H92" s="70"/>
      <c r="I92" s="70"/>
      <c r="J92" s="70"/>
      <c r="K92" s="70"/>
      <c r="L92" s="70"/>
      <c r="M92" s="70"/>
      <c r="N92" s="70"/>
      <c r="O92" s="70"/>
      <c r="W92" s="372"/>
      <c r="X92" s="274" t="s">
        <v>71</v>
      </c>
      <c r="Y92" s="274"/>
      <c r="Z92" s="378">
        <f>VLOOKUP("20122016"&amp;"AllSex"&amp;"AllEth"&amp;19&amp;ref!Z19,DHB5yr,7,FALSE)</f>
        <v>309</v>
      </c>
      <c r="AA92" s="376">
        <f>IF(Z92&lt;5,"-",VLOOKUP("20122016"&amp;"AllSex"&amp;"AllEth"&amp;19&amp;ref!Z19,DHB5yr,8,FALSE))</f>
        <v>11.399211184765701</v>
      </c>
      <c r="BA92" s="600" t="s">
        <v>71</v>
      </c>
      <c r="BB92" s="605">
        <f>VLOOKUP("20122016"&amp;"AllSex"&amp;"AllEth"&amp;19&amp;ref!Z19,DHB5yr,9,FALSE)</f>
        <v>1.7</v>
      </c>
      <c r="BD92" s="605">
        <f t="shared" si="3"/>
        <v>14.913312618262031</v>
      </c>
    </row>
    <row r="93" spans="2:56">
      <c r="B93" s="70"/>
      <c r="C93" s="70"/>
      <c r="D93" s="70"/>
      <c r="E93" s="70"/>
      <c r="F93" s="70"/>
      <c r="G93" s="70"/>
      <c r="H93" s="70"/>
      <c r="I93" s="70"/>
      <c r="J93" s="70"/>
      <c r="K93" s="70"/>
      <c r="L93" s="70"/>
      <c r="M93" s="70"/>
      <c r="N93" s="70"/>
      <c r="O93" s="70"/>
      <c r="W93" s="372"/>
      <c r="X93" s="274" t="s">
        <v>72</v>
      </c>
      <c r="Y93" s="274"/>
      <c r="Z93" s="378">
        <f>VLOOKUP("20122016"&amp;"AllSex"&amp;"AllEth"&amp;19&amp;ref!Z20,DHB5yr,7,FALSE)</f>
        <v>34</v>
      </c>
      <c r="AA93" s="376">
        <f>IF(Z93&lt;5,"-",VLOOKUP("20122016"&amp;"AllSex"&amp;"AllEth"&amp;19&amp;ref!Z20,DHB5yr,8,FALSE))</f>
        <v>13.6201605498718</v>
      </c>
      <c r="BA93" s="600" t="s">
        <v>72</v>
      </c>
      <c r="BB93" s="605">
        <f>VLOOKUP("20122016"&amp;"AllSex"&amp;"AllEth"&amp;19&amp;ref!Z20,DHB5yr,9,FALSE)</f>
        <v>6</v>
      </c>
      <c r="BD93" s="605">
        <f t="shared" si="3"/>
        <v>44.052344155785114</v>
      </c>
    </row>
    <row r="94" spans="2:56">
      <c r="B94" s="70"/>
      <c r="C94" s="70"/>
      <c r="D94" s="70"/>
      <c r="E94" s="70"/>
      <c r="F94" s="70"/>
      <c r="G94" s="70"/>
      <c r="H94" s="70"/>
      <c r="I94" s="70"/>
      <c r="J94" s="70"/>
      <c r="K94" s="70"/>
      <c r="L94" s="70"/>
      <c r="M94" s="70"/>
      <c r="N94" s="70"/>
      <c r="O94" s="70"/>
      <c r="W94" s="372"/>
      <c r="X94" s="274" t="s">
        <v>73</v>
      </c>
      <c r="Y94" s="274"/>
      <c r="Z94" s="378">
        <f>VLOOKUP("20122016"&amp;"AllSex"&amp;"AllEth"&amp;19&amp;ref!Z21,DHB5yr,7,FALSE)</f>
        <v>206</v>
      </c>
      <c r="AA94" s="376">
        <f>IF(Z94&lt;5,"-",VLOOKUP("20122016"&amp;"AllSex"&amp;"AllEth"&amp;19&amp;ref!Z21,DHB5yr,8,FALSE))</f>
        <v>13.2539499729693</v>
      </c>
      <c r="BA94" s="600" t="s">
        <v>73</v>
      </c>
      <c r="BB94" s="605">
        <f>VLOOKUP("20122016"&amp;"AllSex"&amp;"AllEth"&amp;19&amp;ref!Z21,DHB5yr,9,FALSE)</f>
        <v>2.4</v>
      </c>
      <c r="BD94" s="605">
        <f t="shared" si="3"/>
        <v>18.107809406966734</v>
      </c>
    </row>
    <row r="95" spans="2:56">
      <c r="B95" s="70"/>
      <c r="C95" s="70"/>
      <c r="D95" s="70"/>
      <c r="E95" s="70"/>
      <c r="F95" s="70"/>
      <c r="G95" s="70"/>
      <c r="H95" s="70"/>
      <c r="I95" s="70"/>
      <c r="J95" s="70"/>
      <c r="K95" s="70"/>
      <c r="L95" s="70"/>
      <c r="M95" s="70"/>
      <c r="N95" s="70"/>
      <c r="O95" s="70"/>
      <c r="W95" s="372"/>
      <c r="X95" s="274" t="s">
        <v>75</v>
      </c>
      <c r="Y95" s="274"/>
      <c r="Z95" s="378">
        <f>VLOOKUP("20122016"&amp;"AllSex"&amp;"AllEth"&amp;19&amp;ref!Z22,DHB5yr,7,FALSE)</f>
        <v>11</v>
      </c>
      <c r="AA95" s="560" t="s">
        <v>85</v>
      </c>
    </row>
    <row r="96" spans="2:56">
      <c r="B96" s="70"/>
      <c r="C96" s="70"/>
      <c r="D96" s="70"/>
      <c r="E96" s="70"/>
      <c r="F96" s="70"/>
      <c r="G96" s="70"/>
      <c r="H96" s="70"/>
      <c r="I96" s="70"/>
      <c r="J96" s="70"/>
      <c r="K96" s="70"/>
      <c r="L96" s="70"/>
      <c r="M96" s="70"/>
      <c r="N96" s="70"/>
      <c r="O96" s="70"/>
      <c r="W96" s="379"/>
      <c r="X96" s="303"/>
      <c r="Y96" s="303"/>
      <c r="Z96" s="303"/>
      <c r="AA96" s="303"/>
      <c r="BB96" s="606"/>
    </row>
    <row r="97" spans="2:56">
      <c r="B97" s="70"/>
      <c r="C97" s="662" t="s">
        <v>99</v>
      </c>
      <c r="D97" s="672"/>
      <c r="E97" s="672"/>
      <c r="F97" s="672"/>
      <c r="G97" s="672"/>
      <c r="H97" s="672"/>
      <c r="I97" s="672"/>
      <c r="J97" s="672"/>
      <c r="K97" s="672"/>
      <c r="L97" s="672"/>
      <c r="M97" s="672"/>
      <c r="N97" s="672"/>
      <c r="O97" s="672"/>
      <c r="W97" s="372" t="s">
        <v>156</v>
      </c>
      <c r="X97" s="274" t="s">
        <v>74</v>
      </c>
      <c r="Y97" s="274"/>
      <c r="Z97" s="274">
        <v>591</v>
      </c>
      <c r="AA97" s="432" t="s">
        <v>85</v>
      </c>
    </row>
    <row r="98" spans="2:56">
      <c r="B98" s="70"/>
      <c r="C98" s="665" t="s">
        <v>353</v>
      </c>
      <c r="D98" s="665"/>
      <c r="E98" s="665"/>
      <c r="F98" s="665"/>
      <c r="G98" s="665"/>
      <c r="H98" s="665"/>
      <c r="I98" s="665"/>
      <c r="J98" s="665"/>
      <c r="K98" s="665"/>
      <c r="L98" s="665"/>
      <c r="M98" s="665"/>
      <c r="N98" s="665"/>
      <c r="O98" s="70"/>
      <c r="W98" s="372"/>
      <c r="X98" s="274" t="s">
        <v>54</v>
      </c>
      <c r="Y98" s="274"/>
      <c r="Z98" s="274">
        <f>VLOOKUP("20122016"&amp;"AllSex"&amp;"AllEth"&amp;22&amp;ref!Z2,DHB5yr,7,FALSE)</f>
        <v>33</v>
      </c>
      <c r="AA98" s="432" t="s">
        <v>85</v>
      </c>
    </row>
    <row r="99" spans="2:56">
      <c r="B99" s="70"/>
      <c r="C99" s="81" t="s">
        <v>431</v>
      </c>
      <c r="D99" s="422"/>
      <c r="E99" s="422"/>
      <c r="F99" s="422"/>
      <c r="G99" s="422"/>
      <c r="H99" s="422"/>
      <c r="I99" s="422"/>
      <c r="J99" s="422"/>
      <c r="K99" s="422"/>
      <c r="L99" s="422"/>
      <c r="M99" s="422"/>
      <c r="N99" s="421"/>
      <c r="O99" s="421"/>
      <c r="W99" s="372"/>
      <c r="X99" s="274" t="s">
        <v>55</v>
      </c>
      <c r="Y99" s="274"/>
      <c r="Z99" s="274">
        <f>VLOOKUP("20122016"&amp;"AllSex"&amp;"AllEth"&amp;22&amp;ref!Z3,DHB5yr,7,FALSE)</f>
        <v>44</v>
      </c>
      <c r="AA99" s="432" t="s">
        <v>85</v>
      </c>
    </row>
    <row r="100" spans="2:56">
      <c r="B100" s="70"/>
      <c r="C100" s="81" t="s">
        <v>436</v>
      </c>
      <c r="D100" s="422"/>
      <c r="E100" s="422"/>
      <c r="F100" s="422"/>
      <c r="G100" s="422"/>
      <c r="H100" s="422"/>
      <c r="I100" s="422"/>
      <c r="J100" s="422"/>
      <c r="K100" s="422"/>
      <c r="L100" s="422"/>
      <c r="M100" s="422"/>
      <c r="N100" s="421"/>
      <c r="O100" s="421"/>
      <c r="W100" s="372"/>
      <c r="X100" s="274" t="s">
        <v>56</v>
      </c>
      <c r="Y100" s="274"/>
      <c r="Z100" s="274">
        <f>VLOOKUP("20122016"&amp;"AllSex"&amp;"AllEth"&amp;22&amp;ref!Z4,DHB5yr,7,FALSE)</f>
        <v>42</v>
      </c>
      <c r="AA100" s="432" t="s">
        <v>85</v>
      </c>
      <c r="BB100" s="600" t="s">
        <v>115</v>
      </c>
    </row>
    <row r="101" spans="2:56">
      <c r="B101" s="70"/>
      <c r="C101" s="81" t="s">
        <v>135</v>
      </c>
      <c r="D101" s="70"/>
      <c r="E101" s="70"/>
      <c r="F101" s="70"/>
      <c r="G101" s="70"/>
      <c r="H101" s="70"/>
      <c r="I101" s="70"/>
      <c r="J101" s="70"/>
      <c r="K101" s="70"/>
      <c r="L101" s="272"/>
      <c r="M101" s="70"/>
      <c r="N101" s="70"/>
      <c r="O101" s="70"/>
      <c r="W101" s="372"/>
      <c r="X101" s="274" t="s">
        <v>57</v>
      </c>
      <c r="Y101" s="274"/>
      <c r="Z101" s="274">
        <f>VLOOKUP("20122016"&amp;"AllSex"&amp;"AllEth"&amp;22&amp;ref!Z5,DHB5yr,7,FALSE)</f>
        <v>61</v>
      </c>
      <c r="AA101" s="432" t="s">
        <v>85</v>
      </c>
    </row>
    <row r="102" spans="2:56">
      <c r="B102" s="70"/>
      <c r="C102" s="70"/>
      <c r="D102" s="70"/>
      <c r="E102" s="70"/>
      <c r="F102" s="70"/>
      <c r="G102" s="70"/>
      <c r="H102" s="70"/>
      <c r="I102" s="70"/>
      <c r="J102" s="70"/>
      <c r="K102" s="70"/>
      <c r="L102" s="272"/>
      <c r="M102" s="70"/>
      <c r="N102" s="70"/>
      <c r="O102" s="70"/>
      <c r="W102" s="372"/>
      <c r="X102" s="274" t="s">
        <v>58</v>
      </c>
      <c r="Y102" s="274"/>
      <c r="Z102" s="274">
        <f>VLOOKUP("20122016"&amp;"AllSex"&amp;"AllEth"&amp;22&amp;ref!Z6,DHB5yr,7,FALSE)</f>
        <v>49</v>
      </c>
      <c r="AA102" s="432" t="s">
        <v>85</v>
      </c>
      <c r="BB102" s="600" t="s">
        <v>86</v>
      </c>
      <c r="BC102" s="600" t="s">
        <v>87</v>
      </c>
    </row>
    <row r="103" spans="2:56">
      <c r="B103" s="387"/>
      <c r="C103" s="387"/>
      <c r="D103" s="387"/>
      <c r="E103" s="387"/>
      <c r="F103" s="387"/>
      <c r="G103" s="387"/>
      <c r="H103" s="387"/>
      <c r="I103" s="387"/>
      <c r="J103" s="387"/>
      <c r="K103" s="387"/>
      <c r="L103" s="387"/>
      <c r="M103" s="387"/>
      <c r="N103" s="387"/>
      <c r="O103" s="387"/>
      <c r="W103" s="372"/>
      <c r="X103" s="274" t="s">
        <v>59</v>
      </c>
      <c r="Y103" s="274"/>
      <c r="Z103" s="274">
        <f>VLOOKUP("20122016"&amp;"AllSex"&amp;"AllEth"&amp;22&amp;ref!Z7,DHB5yr,7,FALSE)</f>
        <v>26</v>
      </c>
      <c r="AA103" s="432" t="s">
        <v>85</v>
      </c>
      <c r="BB103" s="600">
        <v>0</v>
      </c>
      <c r="BC103" s="600">
        <f>AA74</f>
        <v>11.3</v>
      </c>
    </row>
    <row r="104" spans="2:56">
      <c r="B104" s="387"/>
      <c r="C104" s="387"/>
      <c r="D104" s="387"/>
      <c r="E104" s="387"/>
      <c r="F104" s="387"/>
      <c r="G104" s="387"/>
      <c r="H104" s="387"/>
      <c r="I104" s="387"/>
      <c r="J104" s="387"/>
      <c r="K104" s="387"/>
      <c r="L104" s="387"/>
      <c r="M104" s="387"/>
      <c r="N104" s="387"/>
      <c r="O104" s="387"/>
      <c r="W104" s="372"/>
      <c r="X104" s="274" t="s">
        <v>60</v>
      </c>
      <c r="Y104" s="274"/>
      <c r="Z104" s="274">
        <f>VLOOKUP("20122016"&amp;"AllSex"&amp;"AllEth"&amp;22&amp;ref!Z8,DHB5yr,7,FALSE)</f>
        <v>31</v>
      </c>
      <c r="AA104" s="432" t="s">
        <v>85</v>
      </c>
      <c r="BB104" s="600">
        <v>1</v>
      </c>
      <c r="BC104" s="600">
        <f>AA74</f>
        <v>11.3</v>
      </c>
    </row>
    <row r="105" spans="2:56">
      <c r="B105" s="387"/>
      <c r="C105" s="387"/>
      <c r="D105" s="387"/>
      <c r="E105" s="387"/>
      <c r="F105" s="387"/>
      <c r="G105" s="387"/>
      <c r="H105" s="387"/>
      <c r="I105" s="387"/>
      <c r="J105" s="387"/>
      <c r="K105" s="387"/>
      <c r="L105" s="387"/>
      <c r="M105" s="387"/>
      <c r="N105" s="387"/>
      <c r="O105" s="387"/>
      <c r="W105" s="372"/>
      <c r="X105" s="274" t="s">
        <v>112</v>
      </c>
      <c r="Y105" s="274"/>
      <c r="Z105" s="274">
        <f>VLOOKUP("20122016"&amp;"AllSex"&amp;"AllEth"&amp;22&amp;ref!Z9,DHB5yr,7,FALSE)</f>
        <v>7</v>
      </c>
      <c r="AA105" s="432" t="s">
        <v>85</v>
      </c>
    </row>
    <row r="106" spans="2:56">
      <c r="B106" s="387"/>
      <c r="C106" s="387"/>
      <c r="D106" s="387"/>
      <c r="E106" s="387"/>
      <c r="F106" s="387"/>
      <c r="G106" s="387"/>
      <c r="H106" s="387"/>
      <c r="I106" s="387"/>
      <c r="J106" s="387"/>
      <c r="K106" s="387"/>
      <c r="L106" s="387"/>
      <c r="M106" s="387"/>
      <c r="N106" s="387"/>
      <c r="O106" s="387"/>
      <c r="W106" s="372"/>
      <c r="X106" s="274" t="s">
        <v>62</v>
      </c>
      <c r="Y106" s="274"/>
      <c r="Z106" s="274">
        <f>VLOOKUP("20122016"&amp;"AllSex"&amp;"AllEth"&amp;22&amp;ref!Z10,DHB5yr,7,FALSE)</f>
        <v>26</v>
      </c>
      <c r="AA106" s="432" t="s">
        <v>85</v>
      </c>
      <c r="BD106" s="605"/>
    </row>
    <row r="107" spans="2:56">
      <c r="B107" s="387"/>
      <c r="C107" s="387"/>
      <c r="D107" s="387"/>
      <c r="E107" s="387"/>
      <c r="F107" s="387"/>
      <c r="G107" s="387"/>
      <c r="H107" s="387"/>
      <c r="I107" s="387"/>
      <c r="J107" s="387"/>
      <c r="K107" s="387"/>
      <c r="L107" s="387"/>
      <c r="M107" s="387"/>
      <c r="N107" s="387"/>
      <c r="O107" s="387"/>
      <c r="W107" s="372"/>
      <c r="X107" s="274" t="s">
        <v>63</v>
      </c>
      <c r="Y107" s="274"/>
      <c r="Z107" s="274">
        <f>VLOOKUP("20122016"&amp;"AllSex"&amp;"AllEth"&amp;22&amp;ref!Z11,DHB5yr,7,FALSE)</f>
        <v>13</v>
      </c>
      <c r="AA107" s="432" t="s">
        <v>85</v>
      </c>
      <c r="BD107" s="605"/>
    </row>
    <row r="108" spans="2:56">
      <c r="B108" s="387"/>
      <c r="C108" s="387"/>
      <c r="D108" s="387"/>
      <c r="E108" s="387"/>
      <c r="F108" s="387"/>
      <c r="G108" s="387"/>
      <c r="H108" s="387"/>
      <c r="I108" s="387"/>
      <c r="J108" s="387"/>
      <c r="K108" s="387"/>
      <c r="L108" s="387"/>
      <c r="M108" s="387"/>
      <c r="N108" s="387"/>
      <c r="O108" s="387"/>
      <c r="W108" s="372"/>
      <c r="X108" s="274" t="s">
        <v>113</v>
      </c>
      <c r="Y108" s="274"/>
      <c r="Z108" s="274">
        <f>VLOOKUP("20122016"&amp;"AllSex"&amp;"AllEth"&amp;22&amp;ref!Z12,DHB5yr,7,FALSE)</f>
        <v>32</v>
      </c>
      <c r="AA108" s="432" t="s">
        <v>85</v>
      </c>
      <c r="BD108" s="605"/>
    </row>
    <row r="109" spans="2:56">
      <c r="B109" s="387"/>
      <c r="C109" s="387"/>
      <c r="D109" s="387"/>
      <c r="E109" s="387"/>
      <c r="F109" s="387"/>
      <c r="G109" s="387"/>
      <c r="H109" s="387"/>
      <c r="I109" s="387"/>
      <c r="J109" s="387"/>
      <c r="K109" s="387"/>
      <c r="L109" s="387"/>
      <c r="M109" s="387"/>
      <c r="N109" s="387"/>
      <c r="O109" s="387"/>
      <c r="W109" s="372"/>
      <c r="X109" s="274" t="s">
        <v>65</v>
      </c>
      <c r="Y109" s="274"/>
      <c r="Z109" s="274">
        <f>VLOOKUP("20122016"&amp;"AllSex"&amp;"AllEth"&amp;22&amp;ref!Z13,DHB5yr,7,FALSE)</f>
        <v>10</v>
      </c>
      <c r="AA109" s="432" t="s">
        <v>85</v>
      </c>
      <c r="BD109" s="605"/>
    </row>
    <row r="110" spans="2:56">
      <c r="B110" s="387"/>
      <c r="C110" s="387"/>
      <c r="D110" s="387"/>
      <c r="E110" s="387"/>
      <c r="F110" s="387"/>
      <c r="G110" s="387"/>
      <c r="H110" s="387"/>
      <c r="I110" s="387"/>
      <c r="J110" s="387"/>
      <c r="K110" s="387"/>
      <c r="L110" s="387"/>
      <c r="M110" s="387"/>
      <c r="N110" s="387"/>
      <c r="O110" s="387"/>
      <c r="W110" s="372"/>
      <c r="X110" s="274" t="s">
        <v>66</v>
      </c>
      <c r="Y110" s="274"/>
      <c r="Z110" s="274">
        <f>VLOOKUP("20122016"&amp;"AllSex"&amp;"AllEth"&amp;22&amp;ref!Z14,DHB5yr,7,FALSE)</f>
        <v>31</v>
      </c>
      <c r="AA110" s="432" t="s">
        <v>85</v>
      </c>
      <c r="BD110" s="605"/>
    </row>
    <row r="111" spans="2:56">
      <c r="B111" s="387"/>
      <c r="C111" s="387"/>
      <c r="D111" s="387"/>
      <c r="E111" s="387"/>
      <c r="F111" s="387"/>
      <c r="G111" s="387"/>
      <c r="H111" s="387"/>
      <c r="I111" s="387"/>
      <c r="J111" s="387"/>
      <c r="K111" s="387"/>
      <c r="L111" s="387"/>
      <c r="M111" s="387"/>
      <c r="N111" s="387"/>
      <c r="O111" s="387"/>
      <c r="W111" s="372"/>
      <c r="X111" s="274" t="s">
        <v>67</v>
      </c>
      <c r="Y111" s="274"/>
      <c r="Z111" s="274">
        <f>VLOOKUP("20122016"&amp;"AllSex"&amp;"AllEth"&amp;22&amp;ref!Z15,DHB5yr,7,FALSE)</f>
        <v>23</v>
      </c>
      <c r="AA111" s="432" t="s">
        <v>85</v>
      </c>
      <c r="BD111" s="605"/>
    </row>
    <row r="112" spans="2:56">
      <c r="B112" s="387"/>
      <c r="C112" s="387"/>
      <c r="D112" s="387"/>
      <c r="E112" s="387"/>
      <c r="F112" s="387"/>
      <c r="G112" s="387"/>
      <c r="H112" s="387"/>
      <c r="I112" s="387"/>
      <c r="J112" s="387"/>
      <c r="K112" s="387"/>
      <c r="L112" s="387"/>
      <c r="M112" s="387"/>
      <c r="N112" s="387"/>
      <c r="O112" s="387"/>
      <c r="W112" s="372"/>
      <c r="X112" s="274" t="s">
        <v>68</v>
      </c>
      <c r="Y112" s="274"/>
      <c r="Z112" s="274">
        <f>VLOOKUP("20122016"&amp;"AllSex"&amp;"AllEth"&amp;22&amp;ref!Z16,DHB5yr,7,FALSE)</f>
        <v>7</v>
      </c>
      <c r="AA112" s="432" t="s">
        <v>85</v>
      </c>
      <c r="BD112" s="605"/>
    </row>
    <row r="113" spans="2:63">
      <c r="B113" s="387"/>
      <c r="C113" s="387"/>
      <c r="D113" s="387"/>
      <c r="E113" s="387"/>
      <c r="F113" s="387"/>
      <c r="G113" s="387"/>
      <c r="H113" s="387"/>
      <c r="I113" s="387"/>
      <c r="J113" s="387"/>
      <c r="K113" s="387"/>
      <c r="L113" s="387"/>
      <c r="M113" s="387"/>
      <c r="N113" s="387"/>
      <c r="O113" s="387"/>
      <c r="W113" s="372"/>
      <c r="X113" s="274" t="s">
        <v>69</v>
      </c>
      <c r="Y113" s="274"/>
      <c r="Z113" s="274">
        <f>VLOOKUP("20122016"&amp;"AllSex"&amp;"AllEth"&amp;22&amp;ref!Z17,DHB5yr,7,FALSE)</f>
        <v>13</v>
      </c>
      <c r="AA113" s="432" t="s">
        <v>85</v>
      </c>
      <c r="BD113" s="605"/>
    </row>
    <row r="114" spans="2:63">
      <c r="B114" s="387"/>
      <c r="C114" s="387"/>
      <c r="D114" s="387"/>
      <c r="E114" s="387"/>
      <c r="F114" s="387"/>
      <c r="G114" s="387"/>
      <c r="H114" s="387"/>
      <c r="I114" s="387"/>
      <c r="J114" s="387"/>
      <c r="K114" s="387"/>
      <c r="L114" s="387"/>
      <c r="M114" s="387"/>
      <c r="N114" s="387"/>
      <c r="O114" s="387"/>
      <c r="W114" s="372"/>
      <c r="X114" s="274" t="s">
        <v>70</v>
      </c>
      <c r="Y114" s="274"/>
      <c r="Z114" s="274">
        <f>VLOOKUP("20122016"&amp;"AllSex"&amp;"AllEth"&amp;22&amp;ref!Z18,DHB5yr,7,FALSE)</f>
        <v>12</v>
      </c>
      <c r="AA114" s="432" t="s">
        <v>85</v>
      </c>
      <c r="BD114" s="605"/>
    </row>
    <row r="115" spans="2:63">
      <c r="B115" s="387"/>
      <c r="C115" s="387"/>
      <c r="D115" s="387"/>
      <c r="E115" s="387"/>
      <c r="F115" s="387"/>
      <c r="G115" s="387"/>
      <c r="H115" s="387"/>
      <c r="I115" s="387"/>
      <c r="J115" s="387"/>
      <c r="K115" s="387"/>
      <c r="L115" s="387"/>
      <c r="M115" s="387"/>
      <c r="N115" s="387"/>
      <c r="O115" s="387"/>
      <c r="W115" s="372"/>
      <c r="X115" s="274" t="s">
        <v>71</v>
      </c>
      <c r="Y115" s="274"/>
      <c r="Z115" s="274">
        <f>VLOOKUP("20122016"&amp;"AllSex"&amp;"AllEth"&amp;22&amp;ref!Z19,DHB5yr,7,FALSE)</f>
        <v>58</v>
      </c>
      <c r="AA115" s="432" t="s">
        <v>85</v>
      </c>
      <c r="BD115" s="605"/>
    </row>
    <row r="116" spans="2:63">
      <c r="B116" s="387"/>
      <c r="C116" s="387"/>
      <c r="D116" s="387"/>
      <c r="E116" s="387"/>
      <c r="F116" s="387"/>
      <c r="G116" s="387"/>
      <c r="H116" s="387"/>
      <c r="I116" s="387"/>
      <c r="J116" s="387"/>
      <c r="K116" s="387"/>
      <c r="L116" s="387"/>
      <c r="M116" s="387"/>
      <c r="N116" s="387"/>
      <c r="O116" s="387"/>
      <c r="W116" s="372"/>
      <c r="X116" s="274" t="s">
        <v>72</v>
      </c>
      <c r="Y116" s="274"/>
      <c r="Z116" s="274">
        <f>VLOOKUP("20122016"&amp;"AllSex"&amp;"AllEth"&amp;22&amp;ref!Z20,DHB5yr,7,FALSE)</f>
        <v>10</v>
      </c>
      <c r="AA116" s="432" t="s">
        <v>85</v>
      </c>
      <c r="BD116" s="605"/>
    </row>
    <row r="117" spans="2:63">
      <c r="B117" s="387"/>
      <c r="C117" s="387"/>
      <c r="D117" s="387"/>
      <c r="E117" s="387"/>
      <c r="F117" s="387"/>
      <c r="G117" s="387"/>
      <c r="H117" s="387"/>
      <c r="I117" s="387"/>
      <c r="J117" s="387"/>
      <c r="K117" s="387"/>
      <c r="L117" s="387"/>
      <c r="M117" s="387"/>
      <c r="N117" s="387"/>
      <c r="O117" s="387"/>
      <c r="W117" s="372"/>
      <c r="X117" s="274" t="s">
        <v>73</v>
      </c>
      <c r="Y117" s="274"/>
      <c r="Z117" s="274">
        <f>VLOOKUP("20122016"&amp;"AllSex"&amp;"AllEth"&amp;22&amp;ref!Z21,DHB5yr,7,FALSE)</f>
        <v>42</v>
      </c>
      <c r="AA117" s="432" t="s">
        <v>85</v>
      </c>
      <c r="BD117" s="605"/>
    </row>
    <row r="118" spans="2:63">
      <c r="B118" s="387"/>
      <c r="C118" s="387"/>
      <c r="D118" s="387"/>
      <c r="E118" s="387"/>
      <c r="F118" s="387"/>
      <c r="G118" s="387"/>
      <c r="H118" s="387"/>
      <c r="I118" s="387"/>
      <c r="J118" s="387"/>
      <c r="K118" s="387"/>
      <c r="L118" s="387"/>
      <c r="M118" s="387"/>
      <c r="N118" s="387"/>
      <c r="O118" s="387"/>
      <c r="W118" s="372"/>
      <c r="X118" s="274" t="s">
        <v>75</v>
      </c>
      <c r="Y118" s="274"/>
      <c r="Z118" s="274">
        <f>VLOOKUP("20122016"&amp;"AllSex"&amp;"AllEth"&amp;22&amp;ref!Z22,DHB5yr,7,FALSE)</f>
        <v>1</v>
      </c>
      <c r="AA118" s="432" t="s">
        <v>85</v>
      </c>
      <c r="BD118" s="605"/>
    </row>
    <row r="119" spans="2:63">
      <c r="B119" s="387"/>
      <c r="C119" s="387"/>
      <c r="D119" s="387"/>
      <c r="E119" s="387"/>
      <c r="F119" s="387"/>
      <c r="G119" s="387"/>
      <c r="H119" s="387"/>
      <c r="I119" s="387"/>
      <c r="J119" s="387"/>
      <c r="K119" s="387"/>
      <c r="L119" s="387"/>
      <c r="M119" s="387"/>
      <c r="N119" s="387"/>
      <c r="O119" s="387"/>
      <c r="W119" s="372"/>
      <c r="X119" s="274"/>
      <c r="Y119" s="274"/>
      <c r="Z119" s="274"/>
      <c r="AA119" s="274"/>
      <c r="BD119" s="605"/>
    </row>
    <row r="120" spans="2:63">
      <c r="B120" s="387"/>
      <c r="C120" s="387"/>
      <c r="D120" s="387"/>
      <c r="E120" s="387"/>
      <c r="F120" s="387"/>
      <c r="G120" s="387"/>
      <c r="H120" s="387"/>
      <c r="I120" s="387"/>
      <c r="J120" s="387"/>
      <c r="K120" s="387"/>
      <c r="L120" s="387"/>
      <c r="M120" s="387"/>
      <c r="N120" s="387"/>
      <c r="O120" s="387"/>
      <c r="X120" s="190" t="s">
        <v>99</v>
      </c>
      <c r="Y120" s="190"/>
      <c r="Z120" s="190"/>
      <c r="AA120" s="190"/>
      <c r="BD120" s="605"/>
    </row>
    <row r="121" spans="2:63" ht="24" customHeight="1">
      <c r="B121" s="387"/>
      <c r="C121" s="387"/>
      <c r="D121" s="387"/>
      <c r="E121" s="387"/>
      <c r="F121" s="387"/>
      <c r="G121" s="387"/>
      <c r="H121" s="387"/>
      <c r="I121" s="387"/>
      <c r="J121" s="387"/>
      <c r="K121" s="387"/>
      <c r="L121" s="387"/>
      <c r="M121" s="387"/>
      <c r="N121" s="387"/>
      <c r="O121" s="387"/>
      <c r="X121" s="676" t="s">
        <v>442</v>
      </c>
      <c r="Y121" s="658"/>
      <c r="Z121" s="658"/>
      <c r="AA121" s="658"/>
    </row>
    <row r="122" spans="2:63" s="424" customFormat="1" ht="33.75" customHeight="1">
      <c r="B122" s="430"/>
      <c r="C122" s="430"/>
      <c r="D122" s="430"/>
      <c r="E122" s="430"/>
      <c r="F122" s="430"/>
      <c r="G122" s="430"/>
      <c r="H122" s="430"/>
      <c r="I122" s="430"/>
      <c r="J122" s="430"/>
      <c r="K122" s="430"/>
      <c r="L122" s="430"/>
      <c r="M122" s="430"/>
      <c r="N122" s="430"/>
      <c r="O122" s="430"/>
      <c r="W122" s="429"/>
      <c r="X122" s="645" t="s">
        <v>441</v>
      </c>
      <c r="Y122" s="675"/>
      <c r="Z122" s="675"/>
      <c r="AA122" s="675"/>
      <c r="AG122" s="452"/>
      <c r="AH122" s="452"/>
      <c r="AI122" s="452"/>
      <c r="AJ122" s="452"/>
      <c r="AK122" s="452"/>
      <c r="AL122" s="452"/>
      <c r="AM122" s="452"/>
      <c r="AN122" s="452"/>
      <c r="AO122" s="452"/>
      <c r="AP122" s="452"/>
      <c r="AQ122" s="452"/>
      <c r="AS122" s="452"/>
      <c r="AT122" s="452"/>
      <c r="AU122" s="452"/>
      <c r="AZ122" s="604"/>
      <c r="BA122" s="604"/>
      <c r="BB122" s="604"/>
      <c r="BC122" s="604"/>
      <c r="BD122" s="604"/>
      <c r="BE122" s="604"/>
      <c r="BF122" s="604"/>
      <c r="BG122" s="604"/>
      <c r="BH122" s="604"/>
      <c r="BI122" s="604"/>
      <c r="BJ122" s="604"/>
      <c r="BK122" s="604"/>
    </row>
    <row r="123" spans="2:63" ht="12" customHeight="1">
      <c r="B123" s="387"/>
      <c r="C123" s="387"/>
      <c r="D123" s="387"/>
      <c r="E123" s="387"/>
      <c r="F123" s="387"/>
      <c r="G123" s="387"/>
      <c r="H123" s="387"/>
      <c r="I123" s="387"/>
      <c r="J123" s="387"/>
      <c r="K123" s="387"/>
      <c r="L123" s="387"/>
      <c r="M123" s="387"/>
      <c r="N123" s="387"/>
      <c r="O123" s="387"/>
      <c r="X123" s="188" t="s">
        <v>135</v>
      </c>
      <c r="Y123" s="190"/>
      <c r="Z123" s="190"/>
      <c r="AA123" s="190"/>
    </row>
    <row r="124" spans="2:63">
      <c r="B124" s="387"/>
      <c r="C124" s="387"/>
      <c r="D124" s="387"/>
      <c r="E124" s="387"/>
      <c r="F124" s="387"/>
      <c r="G124" s="387"/>
      <c r="H124" s="387"/>
      <c r="I124" s="387"/>
      <c r="J124" s="387"/>
      <c r="K124" s="387"/>
      <c r="L124" s="387"/>
      <c r="M124" s="387"/>
      <c r="N124" s="387"/>
      <c r="O124" s="387"/>
      <c r="W124" s="176"/>
      <c r="X124" s="277"/>
      <c r="Y124" s="277"/>
      <c r="Z124" s="277"/>
      <c r="AA124" s="277"/>
    </row>
    <row r="125" spans="2:63">
      <c r="B125" s="387"/>
      <c r="C125" s="387"/>
      <c r="D125" s="387"/>
      <c r="E125" s="387"/>
      <c r="F125" s="387"/>
      <c r="G125" s="387"/>
      <c r="H125" s="387"/>
      <c r="I125" s="387"/>
      <c r="J125" s="387"/>
      <c r="K125" s="387"/>
      <c r="L125" s="387"/>
      <c r="M125" s="387"/>
      <c r="N125" s="387"/>
      <c r="O125" s="387"/>
      <c r="Z125" s="175"/>
    </row>
    <row r="126" spans="2:63" ht="12.75" customHeight="1">
      <c r="B126" s="387"/>
      <c r="C126" s="387"/>
      <c r="D126" s="387"/>
      <c r="E126" s="387"/>
      <c r="F126" s="387"/>
      <c r="G126" s="387"/>
      <c r="H126" s="387"/>
      <c r="I126" s="387"/>
      <c r="J126" s="387"/>
      <c r="K126" s="387"/>
      <c r="L126" s="387"/>
      <c r="M126" s="387"/>
      <c r="N126" s="387"/>
      <c r="O126" s="387"/>
    </row>
    <row r="127" spans="2:63">
      <c r="B127" s="387"/>
      <c r="C127" s="387"/>
      <c r="D127" s="387"/>
      <c r="E127" s="387"/>
      <c r="F127" s="387"/>
      <c r="G127" s="387"/>
      <c r="H127" s="387"/>
      <c r="I127" s="387"/>
      <c r="J127" s="387"/>
      <c r="K127" s="387"/>
      <c r="L127" s="387"/>
      <c r="M127" s="387"/>
      <c r="N127" s="387"/>
      <c r="O127" s="387"/>
    </row>
    <row r="128" spans="2:63">
      <c r="B128" s="387"/>
      <c r="C128" s="387"/>
      <c r="D128" s="387"/>
      <c r="E128" s="387"/>
      <c r="F128" s="387"/>
      <c r="G128" s="387"/>
      <c r="H128" s="387"/>
      <c r="I128" s="387"/>
      <c r="J128" s="387"/>
      <c r="K128" s="387"/>
      <c r="L128" s="387"/>
      <c r="M128" s="387"/>
      <c r="N128" s="387"/>
      <c r="O128" s="387"/>
    </row>
    <row r="129" spans="2:15">
      <c r="B129" s="387"/>
      <c r="C129" s="417"/>
      <c r="D129" s="387"/>
      <c r="E129" s="387"/>
      <c r="F129" s="387"/>
      <c r="G129" s="387"/>
      <c r="H129" s="387"/>
      <c r="I129" s="387"/>
      <c r="J129" s="387"/>
      <c r="K129" s="387"/>
      <c r="L129" s="411"/>
      <c r="M129" s="387"/>
      <c r="N129" s="387"/>
      <c r="O129" s="387"/>
    </row>
    <row r="130" spans="2:15">
      <c r="B130" s="387"/>
      <c r="C130" s="387"/>
      <c r="D130" s="387"/>
      <c r="E130" s="387"/>
      <c r="F130" s="387"/>
      <c r="G130" s="387"/>
      <c r="H130" s="387"/>
      <c r="I130" s="387"/>
      <c r="J130" s="387"/>
      <c r="K130" s="387"/>
      <c r="L130" s="387"/>
      <c r="M130" s="387"/>
      <c r="N130" s="387"/>
      <c r="O130" s="387"/>
    </row>
    <row r="131" spans="2:15">
      <c r="B131" s="387"/>
      <c r="C131" s="387"/>
      <c r="D131" s="387"/>
      <c r="E131" s="387"/>
      <c r="F131" s="387"/>
      <c r="G131" s="387"/>
      <c r="H131" s="387"/>
      <c r="I131" s="387"/>
      <c r="J131" s="387"/>
      <c r="K131" s="387"/>
      <c r="L131" s="387"/>
      <c r="M131" s="387"/>
      <c r="N131" s="387"/>
      <c r="O131" s="387"/>
    </row>
    <row r="132" spans="2:15">
      <c r="B132" s="387"/>
      <c r="C132" s="387"/>
      <c r="D132" s="387"/>
      <c r="E132" s="387"/>
      <c r="F132" s="387"/>
      <c r="G132" s="387"/>
      <c r="H132" s="387"/>
      <c r="I132" s="387"/>
      <c r="J132" s="387"/>
      <c r="K132" s="387"/>
      <c r="L132" s="387"/>
      <c r="M132" s="387"/>
      <c r="N132" s="387"/>
      <c r="O132" s="387"/>
    </row>
  </sheetData>
  <mergeCells count="14">
    <mergeCell ref="X58:AB58"/>
    <mergeCell ref="W8:AB9"/>
    <mergeCell ref="C9:P9"/>
    <mergeCell ref="X122:AA122"/>
    <mergeCell ref="C98:N98"/>
    <mergeCell ref="C97:O97"/>
    <mergeCell ref="C57:R57"/>
    <mergeCell ref="X121:AA121"/>
    <mergeCell ref="W70:AA70"/>
    <mergeCell ref="C4:R4"/>
    <mergeCell ref="C5:R5"/>
    <mergeCell ref="C6:R6"/>
    <mergeCell ref="C7:R7"/>
    <mergeCell ref="C58:R58"/>
  </mergeCells>
  <hyperlinks>
    <hyperlink ref="W1" location="'Key findings'!A1" display="Back to Key Findings" xr:uid="{00000000-0004-0000-0800-000000000000}"/>
  </hyperlinks>
  <pageMargins left="0.7" right="0.7" top="0.75" bottom="0.75" header="0.3" footer="0.3"/>
  <pageSetup paperSize="9" scale="50" fitToHeight="0" orientation="landscape" r:id="rId1"/>
  <rowBreaks count="1" manualBreakCount="1">
    <brk id="65" max="2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26</vt:i4>
      </vt:variant>
    </vt:vector>
  </HeadingPairs>
  <TitlesOfParts>
    <vt:vector size="42" baseType="lpstr">
      <vt:lpstr>Intro</vt:lpstr>
      <vt:lpstr>Contents</vt:lpstr>
      <vt:lpstr>Quick facts</vt:lpstr>
      <vt:lpstr>Key findings</vt:lpstr>
      <vt:lpstr>Māori Non-Māori</vt:lpstr>
      <vt:lpstr>Age Sex</vt:lpstr>
      <vt:lpstr>Deprivation</vt:lpstr>
      <vt:lpstr>Methods</vt:lpstr>
      <vt:lpstr>DHB region</vt:lpstr>
      <vt:lpstr>Urban Rural</vt:lpstr>
      <vt:lpstr>Ethnic group</vt:lpstr>
      <vt:lpstr>International</vt:lpstr>
      <vt:lpstr>About</vt:lpstr>
      <vt:lpstr>Codes</vt:lpstr>
      <vt:lpstr>ref</vt:lpstr>
      <vt:lpstr>Data</vt:lpstr>
      <vt:lpstr>About!_Toc126059762</vt:lpstr>
      <vt:lpstr>Codes!_Toc462301296</vt:lpstr>
      <vt:lpstr>agesextable</vt:lpstr>
      <vt:lpstr>deptable</vt:lpstr>
      <vt:lpstr>DHB5yr</vt:lpstr>
      <vt:lpstr>DHB5yrNatRate</vt:lpstr>
      <vt:lpstr>Methodstable</vt:lpstr>
      <vt:lpstr>MPAO5yr</vt:lpstr>
      <vt:lpstr>MPAOdep5yr</vt:lpstr>
      <vt:lpstr>mpaopercmethods</vt:lpstr>
      <vt:lpstr>Percalldeaths</vt:lpstr>
      <vt:lpstr>About!Print_Area</vt:lpstr>
      <vt:lpstr>'Age Sex'!Print_Area</vt:lpstr>
      <vt:lpstr>Codes!Print_Area</vt:lpstr>
      <vt:lpstr>Contents!Print_Area</vt:lpstr>
      <vt:lpstr>Deprivation!Print_Area</vt:lpstr>
      <vt:lpstr>'DHB region'!Print_Area</vt:lpstr>
      <vt:lpstr>'Ethnic group'!Print_Area</vt:lpstr>
      <vt:lpstr>Intro!Print_Area</vt:lpstr>
      <vt:lpstr>'Key findings'!Print_Area</vt:lpstr>
      <vt:lpstr>'Māori Non-Māori'!Print_Area</vt:lpstr>
      <vt:lpstr>Methods!Print_Area</vt:lpstr>
      <vt:lpstr>'Quick facts'!Print_Area</vt:lpstr>
      <vt:lpstr>UnkDep</vt:lpstr>
      <vt:lpstr>Unknown_Urban_Rural</vt:lpstr>
      <vt:lpstr>URtable</vt:lpstr>
    </vt:vector>
  </TitlesOfParts>
  <Company>Ministry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Suicide Facts: Data tables 1996−2016</dc:title>
  <dc:creator>Ministry of Health</dc:creator>
  <cp:lastModifiedBy>Ministry of Health</cp:lastModifiedBy>
  <cp:lastPrinted>2019-10-14T19:37:51Z</cp:lastPrinted>
  <dcterms:created xsi:type="dcterms:W3CDTF">2018-02-01T21:00:48Z</dcterms:created>
  <dcterms:modified xsi:type="dcterms:W3CDTF">2019-11-20T21:20:01Z</dcterms:modified>
</cp:coreProperties>
</file>